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0.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filterPrivacy="1" codeName="ЭтаКнига" defaultThemeVersion="124226"/>
  <xr:revisionPtr revIDLastSave="0" documentId="8_{2ED8ED5C-D62B-4A0A-AA47-DA7A4C01FB88}" xr6:coauthVersionLast="47" xr6:coauthVersionMax="47" xr10:uidLastSave="{00000000-0000-0000-0000-000000000000}"/>
  <bookViews>
    <workbookView xWindow="-28920" yWindow="-7110" windowWidth="29040" windowHeight="15720" tabRatio="850" firstSheet="19" activeTab="22" xr2:uid="{00000000-000D-0000-FFFF-FFFF00000000}"/>
  </bookViews>
  <sheets>
    <sheet name="Вхідні дані" sheetId="24" state="hidden" r:id="rId1"/>
    <sheet name="Д 1_Заява" sheetId="32" state="hidden" r:id="rId2"/>
    <sheet name="Д 2_Т на В" sheetId="55" state="hidden" r:id="rId3"/>
    <sheet name="Д 4_Т на П" sheetId="57" state="hidden" r:id="rId4"/>
    <sheet name="Д 5 Т на ТЕ з IТП" sheetId="58" state="hidden" r:id="rId5"/>
    <sheet name="ТЕ_2ст_тариф_з ІТП" sheetId="99" state="hidden" r:id="rId6"/>
    <sheet name="ТЕ_2ст_вих" sheetId="98" state="hidden" r:id="rId7"/>
    <sheet name="Д 6_Втрати" sheetId="26" state="hidden" r:id="rId8"/>
    <sheet name="Д 7_РП" sheetId="54" state="hidden" r:id="rId9"/>
    <sheet name="Д 8_Паливо" sheetId="20" state="hidden" r:id="rId10"/>
    <sheet name="Д 9_ЕЕ" sheetId="21" state="hidden" r:id="rId11"/>
    <sheet name="Д - 10" sheetId="22" state="hidden" r:id="rId12"/>
    <sheet name="Д -11" sheetId="97" state="hidden" r:id="rId13"/>
    <sheet name="Д -12" sheetId="29" state="hidden" r:id="rId14"/>
    <sheet name="Д - 13_Реєстр" sheetId="31" state="hidden" r:id="rId15"/>
    <sheet name="Виробництво_1ст" sheetId="84" state="hidden" r:id="rId16"/>
    <sheet name="Транспортування_1ст" sheetId="159" state="hidden" r:id="rId17"/>
    <sheet name="Постачання_1ст" sheetId="83" state="hidden" r:id="rId18"/>
    <sheet name="ЗВВ_1ст" sheetId="186" state="hidden" r:id="rId19"/>
    <sheet name="D3_2023-2024" sheetId="169" r:id="rId20"/>
    <sheet name="Адміністративні_1ст" sheetId="187" state="hidden" r:id="rId21"/>
    <sheet name="D1_2023-2024" sheetId="165" r:id="rId22"/>
    <sheet name="D2_2023-2024" sheetId="167" r:id="rId23"/>
    <sheet name="D4_2023-2024" sheetId="172" state="hidden" r:id="rId24"/>
    <sheet name="hозрахунок ее" sheetId="188" state="hidden" r:id="rId25"/>
    <sheet name="Д 11" sheetId="27" state="hidden" r:id="rId26"/>
    <sheet name="Д 14" sheetId="30" state="hidden" r:id="rId27"/>
    <sheet name="БАЗИ РОЗПОДІЛУ" sheetId="90" state="hidden" r:id="rId28"/>
    <sheet name="Витрати" sheetId="190" state="hidden" r:id="rId29"/>
    <sheet name="Податки" sheetId="180" state="hidden" r:id="rId30"/>
    <sheet name="ОП" sheetId="68" state="hidden" r:id="rId31"/>
    <sheet name="ФОП" sheetId="69" state="hidden" r:id="rId32"/>
    <sheet name="ШР" sheetId="189" state="hidden" r:id="rId33"/>
    <sheet name="Амортизація" sheetId="70" state="hidden" r:id="rId34"/>
    <sheet name="гран розмір" sheetId="125" state="hidden" r:id="rId35"/>
    <sheet name="Ціна ее" sheetId="118" state="hidden" r:id="rId36"/>
    <sheet name="Ціна газ" sheetId="119" state="hidden" r:id="rId37"/>
    <sheet name="ВОДА" sheetId="85" state="hidden" r:id="rId38"/>
    <sheet name="Додаток 1 до рішення" sheetId="130" state="hidden" r:id="rId39"/>
    <sheet name="Додаток 2 до рішення" sheetId="131" state="hidden" r:id="rId40"/>
    <sheet name="Додаток 3 до рішення" sheetId="132" state="hidden" r:id="rId41"/>
    <sheet name="Додаток 4 до рішення" sheetId="134" state="hidden" r:id="rId42"/>
    <sheet name="Додаток 5 до рішення" sheetId="133" state="hidden" r:id="rId43"/>
    <sheet name="Додаток 6 до рішення" sheetId="135" state="hidden" r:id="rId44"/>
    <sheet name="Додаток 7 до рішення" sheetId="136" state="hidden" r:id="rId45"/>
    <sheet name="Додаток 8 до рішення" sheetId="137" state="hidden" r:id="rId46"/>
    <sheet name="Додаток 9 до рішення" sheetId="153" state="hidden" r:id="rId47"/>
    <sheet name="Додаток 10 до рішення" sheetId="154" state="hidden" r:id="rId48"/>
    <sheet name="% структури" sheetId="173" state="hidden" r:id="rId49"/>
    <sheet name="Склад статей витрат" sheetId="185" state="hidden"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_gvp14" localSheetId="15">[1]рік!#REF!</definedName>
    <definedName name="__gvp14" localSheetId="17">[1]рік!#REF!</definedName>
    <definedName name="__gvp14">[1]рік!#REF!</definedName>
    <definedName name="__gvp2" localSheetId="15">[1]рік!#REF!</definedName>
    <definedName name="__gvp2" localSheetId="17">[1]рік!#REF!</definedName>
    <definedName name="__gvp2">[1]рік!#REF!</definedName>
    <definedName name="__xlnm.Print_Area">#REF!</definedName>
    <definedName name="__xlnm.Print_Titles">(#REF!,#REF!)</definedName>
    <definedName name="_gvp14" localSheetId="15">[2]рік!#REF!</definedName>
    <definedName name="_gvp14" localSheetId="37">[3]рік!#REF!</definedName>
    <definedName name="_gvp14" localSheetId="17">[2]рік!#REF!</definedName>
    <definedName name="_gvp14">[2]рік!#REF!</definedName>
    <definedName name="_gvp2" localSheetId="15">[2]рік!#REF!</definedName>
    <definedName name="_gvp2" localSheetId="37">[3]рік!#REF!</definedName>
    <definedName name="_gvp2" localSheetId="17">[2]рік!#REF!</definedName>
    <definedName name="_gvp2">[2]рік!#REF!</definedName>
    <definedName name="_wrn2" hidden="1">{#N/A,#N/A,FALSE,"9PS0"}</definedName>
    <definedName name="_xlnm._FilterDatabase" localSheetId="15" hidden="1">Виробництво_1ст!$A$8:$V$8</definedName>
    <definedName name="_xlnm._FilterDatabase" localSheetId="12" hidden="1">'Д -11'!$A$13:$T$677</definedName>
    <definedName name="_xlnm._FilterDatabase" localSheetId="10" hidden="1">'Д 9_ЕЕ'!$B$8:$T$84</definedName>
    <definedName name="_xlnm._FilterDatabase" localSheetId="5" hidden="1">'ТЕ_2ст_тариф_з ІТП'!$A$14:$AI$14</definedName>
    <definedName name="_xlnm._FilterDatabase" localSheetId="16" hidden="1">Транспортування_1ст!$A$29:$AD$80</definedName>
    <definedName name="A1048999" localSheetId="15">#REF!</definedName>
    <definedName name="A1048999" localSheetId="37">'[4]1_Структура по елементах'!#REF!</definedName>
    <definedName name="A1048999" localSheetId="2">#REF!</definedName>
    <definedName name="A1048999" localSheetId="8">#REF!</definedName>
    <definedName name="A1048999" localSheetId="17">#REF!</definedName>
    <definedName name="A1048999">#REF!</definedName>
    <definedName name="A1049000" localSheetId="15">#REF!</definedName>
    <definedName name="A1049000" localSheetId="37">'[4]1_Структура по елементах'!#REF!</definedName>
    <definedName name="A1049000" localSheetId="2">#REF!</definedName>
    <definedName name="A1049000" localSheetId="8">#REF!</definedName>
    <definedName name="A1049000" localSheetId="17">#REF!</definedName>
    <definedName name="A1049000">#REF!</definedName>
    <definedName name="A1049999" localSheetId="15">#REF!</definedName>
    <definedName name="A1049999" localSheetId="37">'[4]1_Структура по елементах'!#REF!</definedName>
    <definedName name="A1049999" localSheetId="2">#REF!</definedName>
    <definedName name="A1049999" localSheetId="8">#REF!</definedName>
    <definedName name="A1049999" localSheetId="17">#REF!</definedName>
    <definedName name="A1049999">#REF!</definedName>
    <definedName name="A1050000" localSheetId="15">#REF!</definedName>
    <definedName name="A1050000" localSheetId="37">'[4]1_Структура по елементах'!#REF!</definedName>
    <definedName name="A1050000" localSheetId="2">#REF!</definedName>
    <definedName name="A1050000" localSheetId="8">#REF!</definedName>
    <definedName name="A1050000" localSheetId="17">#REF!</definedName>
    <definedName name="A1050000">#REF!</definedName>
    <definedName name="A1060000" localSheetId="15">#REF!</definedName>
    <definedName name="A1060000" localSheetId="37">'[4]1_Структура по елементах'!#REF!</definedName>
    <definedName name="A1060000" localSheetId="2">#REF!</definedName>
    <definedName name="A1060000" localSheetId="8">#REF!</definedName>
    <definedName name="A1060000" localSheetId="17">#REF!</definedName>
    <definedName name="A1060000">#REF!</definedName>
    <definedName name="A1999999" localSheetId="15">#REF!</definedName>
    <definedName name="A1999999" localSheetId="37">'[4]1_Структура по елементах'!#REF!</definedName>
    <definedName name="A1999999" localSheetId="2">#REF!</definedName>
    <definedName name="A1999999" localSheetId="8">#REF!</definedName>
    <definedName name="A1999999" localSheetId="17">#REF!</definedName>
    <definedName name="A1999999">#REF!</definedName>
    <definedName name="A2000021" localSheetId="15">#REF!</definedName>
    <definedName name="A2000021" localSheetId="37">'[4]1_Структура по елементах'!#REF!</definedName>
    <definedName name="A2000021" localSheetId="2">#REF!</definedName>
    <definedName name="A2000021" localSheetId="8">#REF!</definedName>
    <definedName name="A2000021" localSheetId="17">#REF!</definedName>
    <definedName name="A2000021">#REF!</definedName>
    <definedName name="A6000000" localSheetId="15">#REF!</definedName>
    <definedName name="A6000000" localSheetId="37">'[4]1_Структура по елементах'!#REF!</definedName>
    <definedName name="A6000000" localSheetId="2">#REF!</definedName>
    <definedName name="A6000000" localSheetId="8">#REF!</definedName>
    <definedName name="A6000000" localSheetId="17">#REF!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15">#REF!</definedName>
    <definedName name="adhdfharh" localSheetId="17">#REF!</definedName>
    <definedName name="adhdfharh">#REF!</definedName>
    <definedName name="bbb" hidden="1">{#N/A,#N/A,FALSE,"9PS0"}</definedName>
    <definedName name="Button_21">"Ltke22_LTKE1_0798__3__Таблица"</definedName>
    <definedName name="chel20" localSheetId="15">[2]рік!#REF!</definedName>
    <definedName name="chel20" localSheetId="37">[3]рік!#REF!</definedName>
    <definedName name="chel20" localSheetId="17">[2]рік!#REF!</definedName>
    <definedName name="chel20">[2]рік!#REF!</definedName>
    <definedName name="DataLevels">[5]Ini!$C$47:$C$49</definedName>
    <definedName name="dtjuwr6wu" localSheetId="15">#REF!</definedName>
    <definedName name="dtjuwr6wu" localSheetId="17">#REF!</definedName>
    <definedName name="dtjuwr6wu">#REF!</definedName>
    <definedName name="Excel_BuiltIn_Print_Area_1" localSheetId="15">#REF!</definedName>
    <definedName name="Excel_BuiltIn_Print_Area_1" localSheetId="37">#REF!</definedName>
    <definedName name="Excel_BuiltIn_Print_Area_1" localSheetId="17">#REF!</definedName>
    <definedName name="Excel_BuiltIn_Print_Area_1">#REF!</definedName>
    <definedName name="Excel_BuiltIn_Print_Area_3" localSheetId="15">#REF!</definedName>
    <definedName name="Excel_BuiltIn_Print_Area_3" localSheetId="37">#REF!</definedName>
    <definedName name="Excel_BuiltIn_Print_Area_3" localSheetId="17">#REF!</definedName>
    <definedName name="Excel_BuiltIn_Print_Area_3">#REF!</definedName>
    <definedName name="Excel_BuiltIn_Print_Area_9" localSheetId="15">#REF!</definedName>
    <definedName name="Excel_BuiltIn_Print_Area_9" localSheetId="37">#REF!</definedName>
    <definedName name="Excel_BuiltIn_Print_Area_9" localSheetId="17">#REF!</definedName>
    <definedName name="Excel_BuiltIn_Print_Area_9">#REF!</definedName>
    <definedName name="f" hidden="1">'[6]3 утв.'!$F$1:$H$65536,'[6]3 утв.'!$P$1:$AQ$65536</definedName>
    <definedName name="fdf">#REF!</definedName>
    <definedName name="fsdgfag">#REF!</definedName>
    <definedName name="Id_TypeList" localSheetId="15">'[7]Типи данних філії'!#REF!</definedName>
    <definedName name="Id_TypeList" localSheetId="17">'[7]Типи данних філії'!#REF!</definedName>
    <definedName name="Id_TypeList">'[7]Типи данних філії'!#REF!</definedName>
    <definedName name="koef_e_T5">[8]KOEF!$C$2</definedName>
    <definedName name="koef_e_T6">[8]KOEF!$D$2</definedName>
    <definedName name="koefE_1.1.1." localSheetId="15">#REF!</definedName>
    <definedName name="koefE_1.1.1." localSheetId="17">#REF!</definedName>
    <definedName name="koefE_1.1.1.">#REF!</definedName>
    <definedName name="koefE_1.1.2." localSheetId="15">#REF!</definedName>
    <definedName name="koefE_1.1.2." localSheetId="17">#REF!</definedName>
    <definedName name="koefE_1.1.2.">#REF!</definedName>
    <definedName name="koefT_1.2." localSheetId="15">#REF!</definedName>
    <definedName name="koefT_1.2." localSheetId="17">#REF!</definedName>
    <definedName name="koefT_1.2.">#REF!</definedName>
    <definedName name="kot" hidden="1">{#N/A,#N/A,FALSE,"9PS0"}</definedName>
    <definedName name="l">[9]Ф2!$F$4</definedName>
    <definedName name="LastDataLev">[5]Ini!$C$46</definedName>
    <definedName name="LastDtLev">[5]Ini!$C$38</definedName>
    <definedName name="LastItem">[10]Лист1!$A$1</definedName>
    <definedName name="LevNames">[5]Ini!$C$40:$C$44</definedName>
    <definedName name="Ltke22_LTKE1_0798__3__Таблица">#REF!</definedName>
    <definedName name="QКТМ" localSheetId="15">[2]рік!#REF!</definedName>
    <definedName name="QКТМ" localSheetId="37">[3]рік!#REF!</definedName>
    <definedName name="QКТМ" localSheetId="17">[2]рік!#REF!</definedName>
    <definedName name="QКТМ">[2]рік!#REF!</definedName>
    <definedName name="QКТМ1" localSheetId="15">[2]рік!#REF!</definedName>
    <definedName name="QКТМ1" localSheetId="37">[3]рік!#REF!</definedName>
    <definedName name="QКТМ1" localSheetId="17">[2]рік!#REF!</definedName>
    <definedName name="QКТМ1">[2]рік!#REF!</definedName>
    <definedName name="Qрозрах" localSheetId="15">[2]рік!#REF!</definedName>
    <definedName name="Qрозрах" localSheetId="37">[3]рік!#REF!</definedName>
    <definedName name="Qрозрах" localSheetId="17">[2]рік!#REF!</definedName>
    <definedName name="Qрозрах">[2]рік!#REF!</definedName>
    <definedName name="ReportsList" localSheetId="15">#REF!</definedName>
    <definedName name="ReportsList" localSheetId="17">#REF!</definedName>
    <definedName name="ReportsList">#REF!</definedName>
    <definedName name="s" hidden="1">{#N/A,#N/A,FALSE,"9PS0"}</definedName>
    <definedName name="ShowFil" localSheetId="15">[10]!ShowFil</definedName>
    <definedName name="ShowFil" localSheetId="2">[10]!ShowFil</definedName>
    <definedName name="ShowFil" localSheetId="8">[10]!ShowFil</definedName>
    <definedName name="ShowFil" localSheetId="17">[10]!ShowFil</definedName>
    <definedName name="ShowFil">[10]!ShowFil</definedName>
    <definedName name="Skk" localSheetId="15">[11]рік!#REF!</definedName>
    <definedName name="Skk" localSheetId="37">[12]рік!#REF!</definedName>
    <definedName name="Skk" localSheetId="17">[11]рік!#REF!</definedName>
    <definedName name="Skk">[11]рік!#REF!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15" hidden="1">#REF!</definedName>
    <definedName name="solver_opt" localSheetId="1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15">#REF!</definedName>
    <definedName name="st" localSheetId="17">#REF!</definedName>
    <definedName name="st">#REF!</definedName>
    <definedName name="stroka">'[13]tar ee 99'!$CT$95:$CT$110</definedName>
    <definedName name="SZFHDFHA" localSheetId="15">'[14]Вхідні дані'!#REF!</definedName>
    <definedName name="SZFHDFHA" localSheetId="17">'[14]Вхідні дані'!#REF!</definedName>
    <definedName name="SZFHDFHA">'[14]Вхідні дані'!#REF!</definedName>
    <definedName name="t" hidden="1">{#N/A,#N/A,FALSE,"9PS0"}</definedName>
    <definedName name="tgfaf">#REF!</definedName>
    <definedName name="ver" hidden="1">{#N/A,#N/A,FALSE,"9PS0"}</definedName>
    <definedName name="voda100" localSheetId="15">[2]рік!#REF!</definedName>
    <definedName name="voda100" localSheetId="37">[3]рік!#REF!</definedName>
    <definedName name="voda100" localSheetId="17">[2]рік!#REF!</definedName>
    <definedName name="voda100">[2]рік!#REF!</definedName>
    <definedName name="wrn.r1." hidden="1">{#N/A,#N/A,FALSE,"9PS0"}</definedName>
    <definedName name="xff1" localSheetId="15">#REF!</definedName>
    <definedName name="xff1" localSheetId="37">'[4]1_Структура по елементах'!#REF!</definedName>
    <definedName name="xff1" localSheetId="2">#REF!</definedName>
    <definedName name="xff1" localSheetId="8">#REF!</definedName>
    <definedName name="xff1" localSheetId="17">#REF!</definedName>
    <definedName name="xff1">#REF!</definedName>
    <definedName name="xgg" localSheetId="15">#REF!</definedName>
    <definedName name="xgg" localSheetId="37">'[4]1_Структура по елементах'!#REF!</definedName>
    <definedName name="xgg" localSheetId="2">#REF!</definedName>
    <definedName name="xgg" localSheetId="8">#REF!</definedName>
    <definedName name="xgg" localSheetId="17">#REF!</definedName>
    <definedName name="xgg">#REF!</definedName>
    <definedName name="xgg1" localSheetId="15">#REF!</definedName>
    <definedName name="xgg1" localSheetId="37">'[4]1_Структура по елементах'!#REF!</definedName>
    <definedName name="xgg1" localSheetId="2">#REF!</definedName>
    <definedName name="xgg1" localSheetId="8">#REF!</definedName>
    <definedName name="xgg1" localSheetId="17">#REF!</definedName>
    <definedName name="xgg1">#REF!</definedName>
    <definedName name="xxx1" localSheetId="15">#REF!</definedName>
    <definedName name="xxx1" localSheetId="37">'[4]1_Структура по елементах'!#REF!</definedName>
    <definedName name="xxx1" localSheetId="2">#REF!</definedName>
    <definedName name="xxx1" localSheetId="8">#REF!</definedName>
    <definedName name="xxx1" localSheetId="17">#REF!</definedName>
    <definedName name="xxx1">#REF!</definedName>
    <definedName name="Year" localSheetId="15">#REF!</definedName>
    <definedName name="Year" localSheetId="17">#REF!</definedName>
    <definedName name="Year">#REF!</definedName>
    <definedName name="Z_2B9BA360_C094_11D4_BCAF_00C026C07CB6_.wvu.Cols" hidden="1">'[15]0'!$C$1:$L$65536,'[15]0'!$P$1:$AI$65536</definedName>
    <definedName name="Z_2B9BA361_C094_11D4_BCAF_00C026C07CB6_.wvu.Cols" hidden="1">'[15]1'!$D$1:$F$65536,'[15]1'!$L$1:$AQ$65536</definedName>
    <definedName name="Z_2B9BA362_C094_11D4_BCAF_00C026C07CB6_.wvu.Cols" hidden="1">'[15]1 кв'!$C$1:$E$65536,'[15]1 кв'!$N$1:$AX$65536</definedName>
    <definedName name="Z_2B9BA363_C094_11D4_BCAF_00C026C07CB6_.wvu.Cols" hidden="1">'[15]10'!$F$1:$H$65536,'[15]10'!$P$1:$AR$65536</definedName>
    <definedName name="Z_2B9BA364_C094_11D4_BCAF_00C026C07CB6_.wvu.Cols" hidden="1">'[15]10 міс.'!$C$1:$E$65536,'[15]10 міс.'!$N$1:$AX$65536</definedName>
    <definedName name="Z_2B9BA365_C094_11D4_BCAF_00C026C07CB6_.wvu.Cols" hidden="1">'[15]11'!$F$1:$H$65536,'[15]11'!$P$1:$AR$65536</definedName>
    <definedName name="Z_2B9BA366_C094_11D4_BCAF_00C026C07CB6_.wvu.Cols" hidden="1">'[15]11 міс.'!$C$1:$E$65536,'[15]11 міс.'!$N$1:$AX$65536</definedName>
    <definedName name="Z_2B9BA367_C094_11D4_BCAF_00C026C07CB6_.wvu.Cols" hidden="1">'[15]12'!$F$1:$H$65536,'[15]12'!$P$1:$AR$65536</definedName>
    <definedName name="Z_2B9BA368_C094_11D4_BCAF_00C026C07CB6_.wvu.Cols" hidden="1">'[15]12 міс.'!$C$1:$E$65536,'[15]12 міс.'!$N$1:$AX$65536</definedName>
    <definedName name="Z_2B9BA369_C094_11D4_BCAF_00C026C07CB6_.wvu.Cols" hidden="1">'[15]1998'!$C$1:$E$65536,'[15]1998'!$I$1:$AC$65536</definedName>
    <definedName name="Z_2B9BA36A_C094_11D4_BCAF_00C026C07CB6_.wvu.Cols" hidden="1">'[15]1півр'!$C$1:$E$65536,'[15]1півр'!$N$1:$AX$65536</definedName>
    <definedName name="Z_2B9BA36B_C094_11D4_BCAF_00C026C07CB6_.wvu.Cols" hidden="1">'[15]2'!$F$1:$H$65536,'[15]2'!$P$1:$AQ$65536</definedName>
    <definedName name="Z_2B9BA36C_C094_11D4_BCAF_00C026C07CB6_.wvu.Cols" hidden="1">'[15]2 кв'!$C$1:$E$65536,'[15]2 кв'!$M$1:$AW$65536</definedName>
    <definedName name="Z_2B9BA36D_C094_11D4_BCAF_00C026C07CB6_.wvu.Cols" hidden="1">'[15]2 утв'!$F$1:$H$65536,'[15]2 утв'!$P$1:$AM$65536</definedName>
    <definedName name="Z_2B9BA36E_C094_11D4_BCAF_00C026C07CB6_.wvu.Cols" hidden="1">'[15]3 не сокр.'!$F$1:$H$65536,'[15]3 не сокр.'!$P$1:$AQ$65536</definedName>
    <definedName name="Z_2B9BA36F_C094_11D4_BCAF_00C026C07CB6_.wvu.Cols" hidden="1">'[15]3 тар.'!$C$1:$E$65536,'[15]3 тар.'!$I$1:$AO$65536</definedName>
    <definedName name="Z_2B9BA370_C094_11D4_BCAF_00C026C07CB6_.wvu.Cols" hidden="1">'[15]3 утв.'!$F$1:$H$65536,'[15]3 утв.'!$P$1:$AQ$65536</definedName>
    <definedName name="Z_2B9BA371_C094_11D4_BCAF_00C026C07CB6_.wvu.Cols" hidden="1">'[15]3кв'!$C$1:$E$65536,'[15]3кв'!$N$1:$AX$65536</definedName>
    <definedName name="Z_2B9BA372_C094_11D4_BCAF_00C026C07CB6_.wvu.Cols" hidden="1">'[15]3кв '!$C$1:$E$65536,'[15]3кв '!$I$1:$AA$65536</definedName>
    <definedName name="Z_2B9BA373_C094_11D4_BCAF_00C026C07CB6_.wvu.Cols" hidden="1">'[15]4 утв'!$F$1:$H$65536,'[15]4 утв'!$P$1:$AR$65536</definedName>
    <definedName name="Z_2B9BA374_C094_11D4_BCAF_00C026C07CB6_.wvu.Cols" hidden="1">'[15]5'!$F$1:$H$65536,'[15]5'!$P$1:$AR$65536</definedName>
    <definedName name="Z_2B9BA375_C094_11D4_BCAF_00C026C07CB6_.wvu.Cols" hidden="1">'[15]6'!$F$1:$H$65536,'[15]6'!$P$1:$AR$65536</definedName>
    <definedName name="Z_2B9BA376_C094_11D4_BCAF_00C026C07CB6_.wvu.Cols" hidden="1">'[15]7'!$F$1:$H$65536,'[15]7'!$P$1:$AR$65536</definedName>
    <definedName name="Z_2B9BA377_C094_11D4_BCAF_00C026C07CB6_.wvu.Cols" hidden="1">'[15]7 міс'!$C$1:$E$65536,'[15]7 міс'!$N$1:$AX$65536</definedName>
    <definedName name="Z_2B9BA378_C094_11D4_BCAF_00C026C07CB6_.wvu.Cols" hidden="1">'[15]8'!$F$1:$H$65536,'[15]8'!$P$1:$AR$65536</definedName>
    <definedName name="Z_2B9BA379_C094_11D4_BCAF_00C026C07CB6_.wvu.Cols" hidden="1">'[15]8 міс.'!$C$1:$E$65536,'[15]8 міс.'!$N$1:$AX$65536</definedName>
    <definedName name="Z_2B9BA37A_C094_11D4_BCAF_00C026C07CB6_.wvu.Cols" hidden="1">'[15]812'!$F$1:$H$65536,'[15]812'!$P$1:$AM$65536</definedName>
    <definedName name="Z_2B9BA37B_C094_11D4_BCAF_00C026C07CB6_.wvu.Cols" hidden="1">'[15]812 (2)'!$F$1:$H$65536,'[15]812 (2)'!$P$1:$AL$65536</definedName>
    <definedName name="Z_2B9BA37C_C094_11D4_BCAF_00C026C07CB6_.wvu.Cols" hidden="1">'[15]9'!$F$1:$H$65536,'[15]9'!$P$1:$AP$65536</definedName>
    <definedName name="Z_2B9BA37D_C094_11D4_BCAF_00C026C07CB6_.wvu.Cols" hidden="1">'[15]9 (2)'!$C$1:$E$65536,'[15]9 (2)'!$I$1:$AF$65536</definedName>
    <definedName name="Z_2B9BA37E_C094_11D4_BCAF_00C026C07CB6_.wvu.Cols" hidden="1">'[15]9 міс.'!$C$1:$E$65536,'[15]9 міс.'!$N$1:$AX$65536</definedName>
    <definedName name="Z_F5654560_D292_11D4_BCAF_00C026C07CB6_.wvu.Cols" hidden="1">'[15]0'!$C$1:$L$65536,'[15]0'!$P$1:$AI$65536</definedName>
    <definedName name="Z_F5654561_D292_11D4_BCAF_00C026C07CB6_.wvu.Cols" hidden="1">'[15]1'!$D$1:$F$65536,'[15]1'!$L$1:$AQ$65536</definedName>
    <definedName name="Z_F5654562_D292_11D4_BCAF_00C026C07CB6_.wvu.Cols" hidden="1">'[15]1 кв'!$C$1:$E$65536,'[15]1 кв'!$N$1:$AX$65536</definedName>
    <definedName name="Z_F5654563_D292_11D4_BCAF_00C026C07CB6_.wvu.Cols" hidden="1">'[15]10'!$F$1:$H$65536,'[15]10'!$P$1:$AR$65536</definedName>
    <definedName name="Z_F5654564_D292_11D4_BCAF_00C026C07CB6_.wvu.Cols" hidden="1">'[15]10 міс.'!$C$1:$E$65536,'[15]10 міс.'!$N$1:$AX$65536</definedName>
    <definedName name="Z_F5654565_D292_11D4_BCAF_00C026C07CB6_.wvu.Cols" hidden="1">'[15]11'!$F$1:$H$65536,'[15]11'!$P$1:$AR$65536</definedName>
    <definedName name="Z_F5654566_D292_11D4_BCAF_00C026C07CB6_.wvu.Cols" hidden="1">'[15]11 міс.'!$C$1:$E$65536,'[15]11 міс.'!$N$1:$AX$65536</definedName>
    <definedName name="Z_F5654567_D292_11D4_BCAF_00C026C07CB6_.wvu.Cols" hidden="1">'[15]12'!$F$1:$H$65536,'[15]12'!$P$1:$AR$65536</definedName>
    <definedName name="Z_F5654568_D292_11D4_BCAF_00C026C07CB6_.wvu.Cols" hidden="1">'[15]12 міс.'!$C$1:$E$65536,'[15]12 міс.'!$N$1:$AX$65536</definedName>
    <definedName name="Z_F5654569_D292_11D4_BCAF_00C026C07CB6_.wvu.Cols" hidden="1">'[15]1998'!$C$1:$E$65536,'[15]1998'!$I$1:$AC$65536</definedName>
    <definedName name="Z_F565456A_D292_11D4_BCAF_00C026C07CB6_.wvu.Cols" hidden="1">'[15]1півр'!$C$1:$E$65536,'[15]1півр'!$N$1:$AX$65536</definedName>
    <definedName name="Z_F565456B_D292_11D4_BCAF_00C026C07CB6_.wvu.Cols" hidden="1">'[15]2'!$F$1:$H$65536,'[15]2'!$P$1:$AQ$65536</definedName>
    <definedName name="Z_F565456C_D292_11D4_BCAF_00C026C07CB6_.wvu.Cols" hidden="1">'[15]2 кв'!$C$1:$E$65536,'[15]2 кв'!$M$1:$AW$65536</definedName>
    <definedName name="Z_F565456D_D292_11D4_BCAF_00C026C07CB6_.wvu.Cols" hidden="1">'[15]2 утв'!$F$1:$H$65536,'[15]2 утв'!$P$1:$AM$65536</definedName>
    <definedName name="Z_F565456E_D292_11D4_BCAF_00C026C07CB6_.wvu.Cols" hidden="1">'[15]3 не сокр.'!$F$1:$H$65536,'[15]3 не сокр.'!$P$1:$AQ$65536</definedName>
    <definedName name="Z_F565456F_D292_11D4_BCAF_00C026C07CB6_.wvu.Cols" hidden="1">'[15]3 тар.'!$C$1:$E$65536,'[15]3 тар.'!$I$1:$AO$65536</definedName>
    <definedName name="Z_F5654570_D292_11D4_BCAF_00C026C07CB6_.wvu.Cols" hidden="1">'[15]3 утв.'!$F$1:$H$65536,'[15]3 утв.'!$P$1:$AQ$65536</definedName>
    <definedName name="Z_F5654571_D292_11D4_BCAF_00C026C07CB6_.wvu.Cols" hidden="1">'[15]3кв'!$C$1:$E$65536,'[15]3кв'!$N$1:$AX$65536</definedName>
    <definedName name="Z_F5654572_D292_11D4_BCAF_00C026C07CB6_.wvu.Cols" hidden="1">'[15]3кв '!$C$1:$E$65536,'[15]3кв '!$I$1:$AA$65536</definedName>
    <definedName name="Z_F5654573_D292_11D4_BCAF_00C026C07CB6_.wvu.Cols" hidden="1">'[15]4 утв'!$F$1:$H$65536,'[15]4 утв'!$P$1:$AR$65536</definedName>
    <definedName name="Z_F5654574_D292_11D4_BCAF_00C026C07CB6_.wvu.Cols" hidden="1">'[15]5'!$F$1:$H$65536,'[15]5'!$P$1:$AR$65536</definedName>
    <definedName name="Z_F5654575_D292_11D4_BCAF_00C026C07CB6_.wvu.Cols" hidden="1">'[15]6'!$F$1:$H$65536,'[15]6'!$P$1:$AR$65536</definedName>
    <definedName name="Z_F5654576_D292_11D4_BCAF_00C026C07CB6_.wvu.Cols" hidden="1">'[15]7'!$F$1:$H$65536,'[15]7'!$P$1:$AR$65536</definedName>
    <definedName name="Z_F5654577_D292_11D4_BCAF_00C026C07CB6_.wvu.Cols" hidden="1">'[15]7 міс'!$C$1:$E$65536,'[15]7 міс'!$N$1:$AX$65536</definedName>
    <definedName name="Z_F5654578_D292_11D4_BCAF_00C026C07CB6_.wvu.Cols" hidden="1">'[15]8'!$F$1:$H$65536,'[15]8'!$P$1:$AR$65536</definedName>
    <definedName name="Z_F5654579_D292_11D4_BCAF_00C026C07CB6_.wvu.Cols" hidden="1">'[15]8 міс.'!$C$1:$E$65536,'[15]8 міс.'!$N$1:$AX$65536</definedName>
    <definedName name="Z_F565457A_D292_11D4_BCAF_00C026C07CB6_.wvu.Cols" hidden="1">'[15]812'!$F$1:$H$65536,'[15]812'!$P$1:$AM$65536</definedName>
    <definedName name="Z_F565457B_D292_11D4_BCAF_00C026C07CB6_.wvu.Cols" hidden="1">'[15]812 (2)'!$F$1:$H$65536,'[15]812 (2)'!$P$1:$AL$65536</definedName>
    <definedName name="Z_F565457C_D292_11D4_BCAF_00C026C07CB6_.wvu.Cols" hidden="1">'[15]9'!$F$1:$H$65536,'[15]9'!$P$1:$AP$65536</definedName>
    <definedName name="Z_F565457D_D292_11D4_BCAF_00C026C07CB6_.wvu.Cols" hidden="1">'[15]9 (2)'!$C$1:$E$65536,'[15]9 (2)'!$I$1:$AF$65536</definedName>
    <definedName name="Z_F565457E_D292_11D4_BCAF_00C026C07CB6_.wvu.Cols" hidden="1">'[15]9 міс.'!$C$1:$E$65536,'[15]9 міс.'!$N$1:$AX$65536</definedName>
    <definedName name="zzz1" localSheetId="15">#REF!</definedName>
    <definedName name="zzz1" localSheetId="37">'[4]1_Структура по елементах'!#REF!</definedName>
    <definedName name="zzz1" localSheetId="2">#REF!</definedName>
    <definedName name="zzz1" localSheetId="8">#REF!</definedName>
    <definedName name="zzz1" localSheetId="17">#REF!</definedName>
    <definedName name="zzz1">#REF!</definedName>
    <definedName name="А1" localSheetId="15">#REF!</definedName>
    <definedName name="А1" localSheetId="17">#REF!</definedName>
    <definedName name="А1">#REF!</definedName>
    <definedName name="ааола" localSheetId="15">#REF!</definedName>
    <definedName name="ааола" localSheetId="17">#REF!</definedName>
    <definedName name="ааола">#REF!</definedName>
    <definedName name="АвтоподборВС" localSheetId="15">#REF!</definedName>
    <definedName name="АвтоподборВС" localSheetId="2">#REF!</definedName>
    <definedName name="АвтоподборВС" localSheetId="8">#REF!</definedName>
    <definedName name="АвтоподборВС" localSheetId="17">#REF!</definedName>
    <definedName name="АвтоподборВС">#REF!</definedName>
    <definedName name="аеочапо" localSheetId="15">#REF!</definedName>
    <definedName name="аеочапо" localSheetId="17">#REF!</definedName>
    <definedName name="аеочапо">#REF!</definedName>
    <definedName name="ап" localSheetId="15">#REF!</definedName>
    <definedName name="ап" localSheetId="17">#REF!</definedName>
    <definedName name="ап">#REF!</definedName>
    <definedName name="_xlnm.Database" localSheetId="15">#REF!</definedName>
    <definedName name="_xlnm.Database" localSheetId="17">#REF!</definedName>
    <definedName name="_xlnm.Database">#REF!</definedName>
    <definedName name="База_данных_ИМ" localSheetId="15">#REF!</definedName>
    <definedName name="База_данных_ИМ" localSheetId="17">#REF!</definedName>
    <definedName name="База_данных_ИМ">#REF!</definedName>
    <definedName name="Баланс">[0]!Баланс</definedName>
    <definedName name="Безраб" localSheetId="15">#REF!</definedName>
    <definedName name="Безраб" localSheetId="17">#REF!</definedName>
    <definedName name="Безраб">#REF!</definedName>
    <definedName name="бер">'[16]812'!$P$1:$P$65536</definedName>
    <definedName name="БПн">[17]Ф2!$E$2</definedName>
    <definedName name="бюдж_п">[18]м_812!$I$1:$I$65536</definedName>
    <definedName name="Бюдж1" localSheetId="15">[2]рік!#REF!</definedName>
    <definedName name="Бюдж1" localSheetId="37">[3]рік!#REF!</definedName>
    <definedName name="Бюдж1" localSheetId="17">[2]рік!#REF!</definedName>
    <definedName name="Бюдж1">[2]рік!#REF!</definedName>
    <definedName name="Бюдж2" localSheetId="15">[2]рік!#REF!</definedName>
    <definedName name="Бюдж2" localSheetId="37">[3]рік!#REF!</definedName>
    <definedName name="Бюдж2" localSheetId="17">[2]рік!#REF!</definedName>
    <definedName name="Бюдж2">[2]рік!#REF!</definedName>
    <definedName name="вадлрфпвдаот" localSheetId="15">#REF!</definedName>
    <definedName name="вадлрфпвдаот" localSheetId="17">#REF!</definedName>
    <definedName name="вадлрфпвдаот">#REF!</definedName>
    <definedName name="ВДЛпрфюпод" localSheetId="15">'[14]Вхідні дані'!#REF!</definedName>
    <definedName name="ВДЛпрфюпод" localSheetId="17">'[14]Вхідні дані'!#REF!</definedName>
    <definedName name="ВДЛпрфюпод">'[14]Вхідні дані'!#REF!</definedName>
    <definedName name="вер">'[16]812'!$X$1:$X$65536</definedName>
    <definedName name="врівар" localSheetId="15">#REF!</definedName>
    <definedName name="врівар" localSheetId="17">#REF!</definedName>
    <definedName name="врівар">#REF!</definedName>
    <definedName name="Встав">[19]Коригування!$W$9:$W$2131,[19]Коригування!$AF$9:$AH$2131,[19]Коригування!$AM$9:$AM$2131,[19]Коригування!$AO$9:$AO$2131,[19]Коригування!$AQ$9:$AQ$2131,[19]Коригування!$AU$9:$AU$2131,[19]Коригування!$AW$9:$AW$2131+[19]Коригування!$AY$9:$BD$2131,[19]Коригування!$BG$9:$BP$2131,[19]Коригування!$BY$9:$BY$2131,[19]Коригування!$CF$9:$CG$2131,[19]Коригування!$CJ$9:$CO$2131,[19]Коригування!$CX$9:$CY$2131,[19]Коригування!$DB$9:$DC$2131,[19]Коригування!$DJ$9:$DJ$2131,[19]Коригування!$DL$9:$DM$2131,[19]Коригування!$DO$9:$DO$2131,[19]Коригування!$DT$9:$DT$2131</definedName>
    <definedName name="ВСЬОГО" localSheetId="15">#REF!</definedName>
    <definedName name="ВСЬОГО" localSheetId="17">#REF!</definedName>
    <definedName name="ВСЬОГО">#REF!</definedName>
    <definedName name="ВчерашнийДень">[0]!ВчерашнийДень</definedName>
    <definedName name="Г123" localSheetId="15">'[20]ВД (анал)'!#REF!</definedName>
    <definedName name="Г123" localSheetId="17">'[20]ВД (анал)'!#REF!</definedName>
    <definedName name="Г123">'[20]ВД (анал)'!#REF!</definedName>
    <definedName name="г154" localSheetId="15">#REF!</definedName>
    <definedName name="г154" localSheetId="17">#REF!</definedName>
    <definedName name="г154">#REF!</definedName>
    <definedName name="Год">'[21]Технич лист'!$F$2:$F$100</definedName>
    <definedName name="груд">'[16]812'!$AB$1:$AB$65536</definedName>
    <definedName name="ГРУДЕНЬ" hidden="1">{#N/A,#N/A,FALSE,"9PS0"}</definedName>
    <definedName name="Д" localSheetId="15">#REF!</definedName>
    <definedName name="Д" localSheetId="37">#REF!</definedName>
    <definedName name="Д" localSheetId="17">#REF!</definedName>
    <definedName name="Д">#REF!</definedName>
    <definedName name="ДДД" localSheetId="15">#REF!</definedName>
    <definedName name="ДДД" localSheetId="17">#REF!</definedName>
    <definedName name="ДДД">#REF!</definedName>
    <definedName name="ДепЕЗ" hidden="1">{#N/A,#N/A,FALSE,"9PS0"}</definedName>
    <definedName name="додаток" localSheetId="15">#REF!</definedName>
    <definedName name="додаток" localSheetId="17">#REF!</definedName>
    <definedName name="додаток">#REF!</definedName>
    <definedName name="Доро" localSheetId="15">#REF!</definedName>
    <definedName name="Доро" localSheetId="17">#REF!</definedName>
    <definedName name="Доро">#REF!</definedName>
    <definedName name="дохпожу" localSheetId="15">#REF!</definedName>
    <definedName name="дохпожу" localSheetId="17">#REF!</definedName>
    <definedName name="дохпожу">#REF!</definedName>
    <definedName name="експл_9">[22]Експл!$J$59</definedName>
    <definedName name="експл_9п">[22]Експл!$I$59</definedName>
    <definedName name="експл_зв">[22]Експл!$E$59</definedName>
    <definedName name="експл_п">[22]Експл!$K$59</definedName>
    <definedName name="жвалдофрждвао" localSheetId="15">#REF!</definedName>
    <definedName name="жвалдофрждвао" localSheetId="17">#REF!</definedName>
    <definedName name="жвалдофрждвао">#REF!</definedName>
    <definedName name="жжж" localSheetId="15">#REF!</definedName>
    <definedName name="жжж" localSheetId="17">#REF!</definedName>
    <definedName name="жжж">#REF!</definedName>
    <definedName name="жовт">'[16]812'!$Z$1:$Z$65536</definedName>
    <definedName name="жовтень" hidden="1">{#N/A,#N/A,FALSE,"9PS0"}</definedName>
    <definedName name="_xlnm.Print_Titles" localSheetId="21">'D1_2023-2024'!$6:$6</definedName>
    <definedName name="_xlnm.Print_Titles" localSheetId="22">'D2_2023-2024'!$7:$7</definedName>
    <definedName name="_xlnm.Print_Titles" localSheetId="15">Виробництво_1ст!$7:$8</definedName>
    <definedName name="_xlnm.Print_Titles" localSheetId="11">'Д - 10'!$11:$11</definedName>
    <definedName name="_xlnm.Print_Titles" localSheetId="12">'Д -11'!$13:$13</definedName>
    <definedName name="_xlnm.Print_Titles" localSheetId="13">'Д -12'!$13:$13</definedName>
    <definedName name="_xlnm.Print_Titles" localSheetId="2">'Д 2_Т на В'!$11:$11</definedName>
    <definedName name="_xlnm.Print_Titles" localSheetId="4">'Д 5 Т на ТЕ з IТП'!$10:$10</definedName>
    <definedName name="_xlnm.Print_Titles" localSheetId="8">'Д 7_РП'!$13:$13</definedName>
    <definedName name="_xlnm.Print_Titles" localSheetId="9">'Д 8_Паливо'!$7:$7</definedName>
    <definedName name="_xlnm.Print_Titles" localSheetId="10">'Д 9_ЕЕ'!$8:$8</definedName>
    <definedName name="_xlnm.Print_Titles" localSheetId="44">'Додаток 7 до рішення'!$11:$11</definedName>
    <definedName name="_xlnm.Print_Titles" localSheetId="45">'Додаток 8 до рішення'!$11:$11</definedName>
    <definedName name="_xlnm.Print_Titles" localSheetId="30">ОП!#REF!</definedName>
    <definedName name="_xlnm.Print_Titles" localSheetId="5">'ТЕ_2ст_тариф_з ІТП'!$14:$14</definedName>
    <definedName name="_xlnm.Print_Titles" localSheetId="16">Транспортування_1ст!$6:$8</definedName>
    <definedName name="зарплатаБ" hidden="1">{#N/A,#N/A,FALSE,"9PS0"}</definedName>
    <definedName name="ЗБ">'[23]tar ee 99'!$CT$95:$CT$110</definedName>
    <definedName name="зв">[22]ПЛАН_1вар!$G$1:$G$65536</definedName>
    <definedName name="зв_2004">[18]м_812!$H$1:$H$65536</definedName>
    <definedName name="зв_9">[22]ПЛАН_1вар!$L$1:$L$65536</definedName>
    <definedName name="зв_9м">[18]м_812!$K$1:$K$65536</definedName>
    <definedName name="ЗведКоштор1КВбезСЗ" localSheetId="15">#REF!</definedName>
    <definedName name="ЗведКоштор1КВбезСЗ" localSheetId="17">#REF!</definedName>
    <definedName name="ЗведКоштор1КВбезСЗ">#REF!</definedName>
    <definedName name="ЗЗЗ" localSheetId="15">#REF!</definedName>
    <definedName name="ЗЗЗ" localSheetId="17">#REF!</definedName>
    <definedName name="ЗЗЗ">#REF!</definedName>
    <definedName name="иваиява" localSheetId="15">'[24]Вхідні дані'!#REF!</definedName>
    <definedName name="иваиява" localSheetId="17">'[24]Вхідні дані'!#REF!</definedName>
    <definedName name="иваиява">'[24]Вхідні дані'!#REF!</definedName>
    <definedName name="Извлечение_ИМ" localSheetId="15">#REF!</definedName>
    <definedName name="Извлечение_ИМ" localSheetId="17">#REF!</definedName>
    <definedName name="Извлечение_ИМ">#REF!</definedName>
    <definedName name="_xlnm.Extract" localSheetId="15">#REF!</definedName>
    <definedName name="_xlnm.Extract" localSheetId="17">#REF!</definedName>
    <definedName name="_xlnm.Extract">#REF!</definedName>
    <definedName name="Инно" localSheetId="15">#REF!</definedName>
    <definedName name="Инно" localSheetId="17">#REF!</definedName>
    <definedName name="Инно">#REF!</definedName>
    <definedName name="ИсключитьПраздник">[0]!ИсключитьПраздник</definedName>
    <definedName name="іва" localSheetId="15">#REF!</definedName>
    <definedName name="іва" localSheetId="17">#REF!</definedName>
    <definedName name="іва">#REF!</definedName>
    <definedName name="іваіф" localSheetId="15">#REF!</definedName>
    <definedName name="іваіф" localSheetId="17">#REF!</definedName>
    <definedName name="іваіф">#REF!</definedName>
    <definedName name="івп" localSheetId="15">#REF!</definedName>
    <definedName name="івп" localSheetId="17">#REF!</definedName>
    <definedName name="івп">#REF!</definedName>
    <definedName name="Інші1" localSheetId="15">[2]рік!#REF!</definedName>
    <definedName name="Інші1" localSheetId="37">[3]рік!#REF!</definedName>
    <definedName name="Інші1" localSheetId="17">[2]рік!#REF!</definedName>
    <definedName name="Інші1">[2]рік!#REF!</definedName>
    <definedName name="Інші2" localSheetId="15">[2]рік!#REF!</definedName>
    <definedName name="Інші2" localSheetId="37">[3]рік!#REF!</definedName>
    <definedName name="Інші2" localSheetId="17">[2]рік!#REF!</definedName>
    <definedName name="Інші2">[2]рік!#REF!</definedName>
    <definedName name="кв_4">[18]м_812!$AF$1:$AF$65536</definedName>
    <definedName name="кв1">'[16]812'!$M$1:$M$65536</definedName>
    <definedName name="кв2">'[16]812'!$Q$1:$Q$65536</definedName>
    <definedName name="кв3">'[16]812'!$U$1:$U$65536</definedName>
    <definedName name="кв4">'[16]812'!$Y$1:$Y$65536</definedName>
    <definedName name="квіт">'[16]812'!$R$1:$R$65536</definedName>
    <definedName name="ккк" localSheetId="15">#REF!</definedName>
    <definedName name="ккк" localSheetId="2">#REF!</definedName>
    <definedName name="ккк" localSheetId="8">#REF!</definedName>
    <definedName name="ккк" localSheetId="17">#REF!</definedName>
    <definedName name="ккк">#REF!</definedName>
    <definedName name="клімат1" localSheetId="15">[2]рік!#REF!</definedName>
    <definedName name="клімат1" localSheetId="37">[3]рік!#REF!</definedName>
    <definedName name="клімат1" localSheetId="17">[2]рік!#REF!</definedName>
    <definedName name="клімат1">[2]рік!#REF!</definedName>
    <definedName name="клімат2" localSheetId="15">[2]рік!#REF!</definedName>
    <definedName name="клімат2" localSheetId="37">[3]рік!#REF!</definedName>
    <definedName name="клімат2" localSheetId="17">[2]рік!#REF!</definedName>
    <definedName name="клімат2">[2]рік!#REF!</definedName>
    <definedName name="клімат3" localSheetId="15">[2]рік!#REF!</definedName>
    <definedName name="клімат3" localSheetId="37">[3]рік!#REF!</definedName>
    <definedName name="клімат3" localSheetId="17">[2]рік!#REF!</definedName>
    <definedName name="клімат3">[2]рік!#REF!</definedName>
    <definedName name="КМКП_НАСЕЛЕННЯ" localSheetId="15">#REF!</definedName>
    <definedName name="КМКП_НАСЕЛЕННЯ" localSheetId="17">#REF!</definedName>
    <definedName name="КМКП_НАСЕЛЕННЯ">#REF!</definedName>
    <definedName name="копия">[17]Ф2!$E$2</definedName>
    <definedName name="_xlnm.Criteria" localSheetId="15">#REF!</definedName>
    <definedName name="_xlnm.Criteria" localSheetId="17">#REF!</definedName>
    <definedName name="_xlnm.Criteria">#REF!</definedName>
    <definedName name="Критерии_ИМ" localSheetId="15">#REF!</definedName>
    <definedName name="Критерии_ИМ" localSheetId="17">#REF!</definedName>
    <definedName name="Критерии_ИМ">#REF!</definedName>
    <definedName name="КТМ1" localSheetId="15">[2]рік!#REF!</definedName>
    <definedName name="КТМ1" localSheetId="37">[3]рік!#REF!</definedName>
    <definedName name="КТМ1" localSheetId="17">[2]рік!#REF!</definedName>
    <definedName name="КТМ1">[2]рік!#REF!</definedName>
    <definedName name="КТМ2" localSheetId="15">[2]рік!#REF!</definedName>
    <definedName name="КТМ2" localSheetId="37">[3]рік!#REF!</definedName>
    <definedName name="КТМ2" localSheetId="17">[2]рік!#REF!</definedName>
    <definedName name="КТМ2">[2]рік!#REF!</definedName>
    <definedName name="КТМ3" localSheetId="15">[2]рік!#REF!</definedName>
    <definedName name="КТМ3" localSheetId="37">[3]рік!#REF!</definedName>
    <definedName name="КТМ3" localSheetId="17">[2]рік!#REF!</definedName>
    <definedName name="КТМ3">[2]рік!#REF!</definedName>
    <definedName name="кфк" localSheetId="15">#REF!</definedName>
    <definedName name="кфк" localSheetId="17">#REF!</definedName>
    <definedName name="кфк">#REF!</definedName>
    <definedName name="лип">'[16]812'!$V$1:$V$65536</definedName>
    <definedName name="лист">'[16]812'!$AA$1:$AA$65536</definedName>
    <definedName name="Лист2" localSheetId="15">#REF!</definedName>
    <definedName name="Лист2" localSheetId="17">#REF!</definedName>
    <definedName name="Лист2">#REF!</definedName>
    <definedName name="ло" hidden="1">{#N/A,#N/A,FALSE,"9PS0"}</definedName>
    <definedName name="лют">'[16]812'!$O$1:$O$65536</definedName>
    <definedName name="лютий" hidden="1">{#N/A,#N/A,FALSE,"9PS0"}</definedName>
    <definedName name="макет812">'[16]812'!$A$8:$AB$262</definedName>
    <definedName name="Месяц">'[21]Технич лист'!$E$2:$E$23</definedName>
    <definedName name="Мой_лист">MID(CELL("имяфайла",[25]База!$E$1),SEARCH("[",CELL("имяфайла",[25]База!$E$1)),256)&amp;"!"</definedName>
    <definedName name="НазваПроекту">'[21]Технич лист'!$C$2:$C$6</definedName>
    <definedName name="Наименование">[26]Ф2!$E$2</definedName>
    <definedName name="Накоп" localSheetId="15">#REF!</definedName>
    <definedName name="Накоп" localSheetId="17">#REF!</definedName>
    <definedName name="Накоп">#REF!</definedName>
    <definedName name="НАСЕЛЕННЯ" localSheetId="15">#REF!</definedName>
    <definedName name="НАСЕЛЕННЯ" localSheetId="17">#REF!</definedName>
    <definedName name="НАСЕЛЕННЯ">#REF!</definedName>
    <definedName name="НДС" localSheetId="15">#REF!</definedName>
    <definedName name="НДС" localSheetId="17">#REF!</definedName>
    <definedName name="НДС">#REF!</definedName>
    <definedName name="_xlnm.Print_Area" localSheetId="21">'D1_2023-2024'!$A$1:$H$107</definedName>
    <definedName name="_xlnm.Print_Area" localSheetId="22">'D2_2023-2024'!$A$1:$H$131</definedName>
    <definedName name="_xlnm.Print_Area" localSheetId="19">'D3_2023-2024'!$B$1:$F$25</definedName>
    <definedName name="_xlnm.Print_Area" localSheetId="23">'D4_2023-2024'!$B$1:$F$26</definedName>
    <definedName name="_xlnm.Print_Area" localSheetId="20">Адміністративні_1ст!$B$1:$K$64</definedName>
    <definedName name="_xlnm.Print_Area" localSheetId="33">Амортизація!$A$1:$S$31</definedName>
    <definedName name="_xlnm.Print_Area" localSheetId="27">'БАЗИ РОЗПОДІЛУ'!$B$1:$J$27</definedName>
    <definedName name="_xlnm.Print_Area" localSheetId="15">Виробництво_1ст!$B$2:$K$88</definedName>
    <definedName name="_xlnm.Print_Area" localSheetId="37">ВОДА!$A$3:$W$110</definedName>
    <definedName name="_xlnm.Print_Area" localSheetId="0">'Вхідні дані'!$B$2:$F$71</definedName>
    <definedName name="_xlnm.Print_Area" localSheetId="11">'Д - 10'!$A$1:$G$131</definedName>
    <definedName name="_xlnm.Print_Area" localSheetId="14">'Д - 13_Реєстр'!$A$1:$C$40</definedName>
    <definedName name="_xlnm.Print_Area" localSheetId="1">'Д 1_Заява'!$A$4:$B$40</definedName>
    <definedName name="_xlnm.Print_Area" localSheetId="12">'Д -11'!$A$1:$P$61</definedName>
    <definedName name="_xlnm.Print_Area" localSheetId="13">'Д -12'!$A$1:$Q$46</definedName>
    <definedName name="_xlnm.Print_Area" localSheetId="2">'Д 2_Т на В'!$B$1:$X$65</definedName>
    <definedName name="_xlnm.Print_Area" localSheetId="3">'Д 4_Т на П'!$A$1:$G$53</definedName>
    <definedName name="_xlnm.Print_Area" localSheetId="4">'Д 5 Т на ТЕ з IТП'!$A$1:$I$49</definedName>
    <definedName name="_xlnm.Print_Area" localSheetId="7">'Д 6_Втрати'!$A:$F</definedName>
    <definedName name="_xlnm.Print_Area" localSheetId="9">'Д 8_Паливо'!$B$1:$J$55</definedName>
    <definedName name="_xlnm.Print_Area" localSheetId="10">'Д 9_ЕЕ'!$B$1:$P$88</definedName>
    <definedName name="_xlnm.Print_Area" localSheetId="47">'Додаток 10 до рішення'!$B$1:$F$42</definedName>
    <definedName name="_xlnm.Print_Area" localSheetId="39">'Додаток 2 до рішення'!$A$1:$G$49</definedName>
    <definedName name="_xlnm.Print_Area" localSheetId="40">'Додаток 3 до рішення'!$A$1:$G$41</definedName>
    <definedName name="_xlnm.Print_Area" localSheetId="41">'Додаток 4 до рішення'!$A$1:$G$43</definedName>
    <definedName name="_xlnm.Print_Area" localSheetId="42">'Додаток 5 до рішення'!$A$1:$G$43</definedName>
    <definedName name="_xlnm.Print_Area" localSheetId="43">'Додаток 6 до рішення'!$A$1:$G$38</definedName>
    <definedName name="_xlnm.Print_Area" localSheetId="44">'Додаток 7 до рішення'!$A$1:$G$135</definedName>
    <definedName name="_xlnm.Print_Area" localSheetId="45">'Додаток 8 до рішення'!$A$1:$G$135</definedName>
    <definedName name="_xlnm.Print_Area" localSheetId="46">'Додаток 9 до рішення'!$B$1:$F$35</definedName>
    <definedName name="_xlnm.Print_Area" localSheetId="18">ЗВВ_1ст!$B$1:$K$70</definedName>
    <definedName name="_xlnm.Print_Area" localSheetId="30">ОП!#REF!</definedName>
    <definedName name="_xlnm.Print_Area" localSheetId="29">Податки!$B$1:$F$14</definedName>
    <definedName name="_xlnm.Print_Area" localSheetId="17">Постачання_1ст!$B$1:$K$69</definedName>
    <definedName name="_xlnm.Print_Area" localSheetId="6">ТЕ_2ст_вих!$A$1:$J$79</definedName>
    <definedName name="_xlnm.Print_Area" localSheetId="5">'ТЕ_2ст_тариф_з ІТП'!$B$1:$V$236</definedName>
    <definedName name="_xlnm.Print_Area" localSheetId="16">Транспортування_1ст!$B$1:$T$80</definedName>
    <definedName name="_xlnm.Print_Area" localSheetId="31">ФОП!$A$1:$F$56</definedName>
    <definedName name="_xlnm.Print_Area" localSheetId="35">'Ціна ее'!$A$3:$H$19</definedName>
    <definedName name="облік" localSheetId="15">[27]скрыть!$D$4:$D$6</definedName>
    <definedName name="облік" localSheetId="17">[27]скрыть!$D$4:$D$6</definedName>
    <definedName name="облік">[28]скрыть!$D$4:$D$6</definedName>
    <definedName name="облікГВП" localSheetId="15">[27]скрыть!$G$4:$G$6</definedName>
    <definedName name="облікГВП" localSheetId="17">[27]скрыть!$G$4:$G$6</definedName>
    <definedName name="облікГВП">[28]скрыть!$G$4:$G$6</definedName>
    <definedName name="Од" localSheetId="15">#REF!</definedName>
    <definedName name="Од" localSheetId="2">#REF!</definedName>
    <definedName name="Од" localSheetId="8">#REF!</definedName>
    <definedName name="Од" localSheetId="17">#REF!</definedName>
    <definedName name="Од">#REF!</definedName>
    <definedName name="Од_Б" localSheetId="15">#REF!</definedName>
    <definedName name="Од_Б" localSheetId="2">#REF!</definedName>
    <definedName name="Од_Б" localSheetId="8">#REF!</definedName>
    <definedName name="Од_Б" localSheetId="17">#REF!</definedName>
    <definedName name="Од_Б">#REF!</definedName>
    <definedName name="Од_БI" localSheetId="15">#REF!</definedName>
    <definedName name="Од_БI" localSheetId="2">#REF!</definedName>
    <definedName name="Од_БI" localSheetId="8">#REF!</definedName>
    <definedName name="Од_БI" localSheetId="17">#REF!</definedName>
    <definedName name="Од_БI">#REF!</definedName>
    <definedName name="Од_І" localSheetId="15">#REF!</definedName>
    <definedName name="Од_І" localSheetId="2">#REF!</definedName>
    <definedName name="Од_І" localSheetId="8">#REF!</definedName>
    <definedName name="Од_І" localSheetId="17">#REF!</definedName>
    <definedName name="Од_І">#REF!</definedName>
    <definedName name="Од_Н" localSheetId="15">#REF!</definedName>
    <definedName name="Од_Н" localSheetId="2">#REF!</definedName>
    <definedName name="Од_Н" localSheetId="8">#REF!</definedName>
    <definedName name="Од_Н" localSheetId="17">#REF!</definedName>
    <definedName name="Од_Н">#REF!</definedName>
    <definedName name="ооо" localSheetId="15">'[24]Вхідні дані'!#REF!</definedName>
    <definedName name="ооо" localSheetId="17">'[24]Вхідні дані'!#REF!</definedName>
    <definedName name="ооо">'[24]Вхідні дані'!#REF!</definedName>
    <definedName name="Откл">#REF!</definedName>
    <definedName name="отклонение" localSheetId="15">#REF!</definedName>
    <definedName name="отклонение" localSheetId="17">#REF!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15">'[29]Вхідні дані'!#REF!</definedName>
    <definedName name="отклонение_2" localSheetId="17">'[29]Вхідні дані'!#REF!</definedName>
    <definedName name="отклонение_2">'[29]Вхідні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15">#REF!</definedName>
    <definedName name="Отсорт_Д_СВ" localSheetId="2">#REF!</definedName>
    <definedName name="Отсорт_Д_СВ" localSheetId="8">#REF!</definedName>
    <definedName name="Отсорт_Д_СВ" localSheetId="17">#REF!</definedName>
    <definedName name="Отсорт_Д_СВ">#REF!</definedName>
    <definedName name="отчет_2005">'[30]812'!$F$1:$F$65536</definedName>
    <definedName name="отчет_9мес">'[16]812'!$K$1:$K$65536</definedName>
    <definedName name="охорона_праці">NA()</definedName>
    <definedName name="охорона_праці_15">NA()</definedName>
    <definedName name="оч_г">[22]ПЛАН_1вар!$N$1:$N$65536</definedName>
    <definedName name="оч_рік">[18]м_812!$L$1:$L$65536</definedName>
    <definedName name="очікув">'[16]812'!$J$1:$J$65536</definedName>
    <definedName name="пдв" localSheetId="15">#REF!</definedName>
    <definedName name="пдв" localSheetId="17">#REF!</definedName>
    <definedName name="пдв">#REF!</definedName>
    <definedName name="пдв_15">"$#ССЫЛ!.$#ССЫЛ!$#ССЫЛ!"</definedName>
    <definedName name="пдв_18">NA()</definedName>
    <definedName name="пдв_18_15">NA()</definedName>
    <definedName name="пдв_2" localSheetId="15">'[29]Вхідні дані'!#REF!</definedName>
    <definedName name="пдв_2" localSheetId="17">'[29]Вхідні дані'!#REF!</definedName>
    <definedName name="пдв_2">'[29]Вхідні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15">#REF!</definedName>
    <definedName name="Пенс" localSheetId="17">#REF!</definedName>
    <definedName name="Пенс">#REF!</definedName>
    <definedName name="Период">[26]Ф2!$F$4</definedName>
    <definedName name="ПериодОтчёта">'[26]Технич лист'!$B$2:$B$7</definedName>
    <definedName name="пл_9">[22]ПЛАН_1вар!$K$1:$K$65536</definedName>
    <definedName name="пл_г">[22]ПЛАН_1вар!$M$1:$M$65536</definedName>
    <definedName name="пл_скор">[18]м_812!$J$1:$J$65536</definedName>
    <definedName name="план" hidden="1">{#N/A,#N/A,FALSE,"9PS0"}</definedName>
    <definedName name="поверхи" localSheetId="15">[27]скрыть!$B$4:$B$9</definedName>
    <definedName name="поверхи" localSheetId="17">[27]скрыть!$B$4:$B$9</definedName>
    <definedName name="поверхи">[28]скрыть!$B$4:$B$9</definedName>
    <definedName name="ппп" localSheetId="15">#REF!</definedName>
    <definedName name="ппп" localSheetId="2">#REF!</definedName>
    <definedName name="ппп" localSheetId="8">#REF!</definedName>
    <definedName name="ппп" localSheetId="17">#REF!</definedName>
    <definedName name="ппп">#REF!</definedName>
    <definedName name="пр_1">[22]ПЛАН_1вар!$P$1:$P$65536</definedName>
    <definedName name="пр_1кв">[18]м_812!$N$1:$N$65536</definedName>
    <definedName name="пр_2">[22]ПЛАН_1вар!$Q$1:$Q$65536</definedName>
    <definedName name="пр_2кв">[18]м_812!$O$1:$O$65536</definedName>
    <definedName name="пр_3">[22]ПЛАН_1вар!$R$1:$R$65536</definedName>
    <definedName name="пр_3кв">[18]м_812!$P$1:$P$65536</definedName>
    <definedName name="пр_4">[22]ПЛАН_1вар!$S$1:$S$65536</definedName>
    <definedName name="пр_4кв">[18]м_812!$Q$1:$Q$65536</definedName>
    <definedName name="пр_г">[22]ПЛАН_1вар!$O$1:$O$65536</definedName>
    <definedName name="пр_рік">[18]м_812!$M$1:$M$65536</definedName>
    <definedName name="Признак">'[26]Технич лист'!$A$2:$A$4</definedName>
    <definedName name="проект">'[16]812'!$L$1:$L$65536</definedName>
    <definedName name="проь" localSheetId="15">#REF!</definedName>
    <definedName name="проь" localSheetId="17">#REF!</definedName>
    <definedName name="проь">#REF!</definedName>
    <definedName name="РЕГ" localSheetId="15">#REF!</definedName>
    <definedName name="РЕГ" localSheetId="2">#REF!</definedName>
    <definedName name="РЕГ" localSheetId="8">#REF!</definedName>
    <definedName name="РЕГ" localSheetId="17">#REF!</definedName>
    <definedName name="РЕГ">#REF!</definedName>
    <definedName name="Регіон" localSheetId="15">#REF!</definedName>
    <definedName name="Регіон" localSheetId="2">#REF!</definedName>
    <definedName name="Регіон" localSheetId="8">#REF!</definedName>
    <definedName name="Регіон" localSheetId="17">#REF!</definedName>
    <definedName name="Регіон">#REF!</definedName>
    <definedName name="рік" hidden="1">{#N/A,#N/A,FALSE,"9PS0"}</definedName>
    <definedName name="рое" hidden="1">{#N/A,#N/A,FALSE,"9PS0"}</definedName>
    <definedName name="Розр1" localSheetId="15">[2]рік!#REF!</definedName>
    <definedName name="Розр1" localSheetId="37">[3]рік!#REF!</definedName>
    <definedName name="Розр1" localSheetId="17">[2]рік!#REF!</definedName>
    <definedName name="Розр1">[2]рік!#REF!</definedName>
    <definedName name="Розр2" localSheetId="15">[2]рік!#REF!</definedName>
    <definedName name="Розр2" localSheetId="37">[3]рік!#REF!</definedName>
    <definedName name="Розр2" localSheetId="17">[2]рік!#REF!</definedName>
    <definedName name="Розр2">[2]рік!#REF!</definedName>
    <definedName name="Розр3" localSheetId="15">[2]рік!#REF!</definedName>
    <definedName name="Розр3" localSheetId="37">[3]рік!#REF!</definedName>
    <definedName name="Розр3" localSheetId="17">[2]рік!#REF!</definedName>
    <definedName name="Розр3">[2]рік!#REF!</definedName>
    <definedName name="рр" localSheetId="15">#REF!</definedName>
    <definedName name="рр" localSheetId="2">#REF!</definedName>
    <definedName name="рр" localSheetId="8">#REF!</definedName>
    <definedName name="рр" localSheetId="17">#REF!</definedName>
    <definedName name="рр">#REF!</definedName>
    <definedName name="ррр" localSheetId="15">#REF!</definedName>
    <definedName name="ррр" localSheetId="17">#REF!</definedName>
    <definedName name="ррр">#REF!</definedName>
    <definedName name="свод">[18]м_812!$A$1:$AL$65536</definedName>
    <definedName name="серп">'[16]812'!$W$1:$W$65536</definedName>
    <definedName name="СЕРПЕНЬ" hidden="1">{#N/A,#N/A,FALSE,"9PS0"}</definedName>
    <definedName name="січ">'[16]812'!$N$1:$N$65536</definedName>
    <definedName name="скоригов">'[16]812'!$I$1:$I$65536</definedName>
    <definedName name="Соц" localSheetId="15">#REF!</definedName>
    <definedName name="Соц" localSheetId="17">#REF!</definedName>
    <definedName name="Соц">#REF!</definedName>
    <definedName name="соц_1">'[22]Інші витрати'!$M$65</definedName>
    <definedName name="соц_2">'[22]Інші витрати'!$N$65</definedName>
    <definedName name="соц_3">'[22]Інші витрати'!$O$65</definedName>
    <definedName name="соц_4">'[22]Інші витрати'!$P$65</definedName>
    <definedName name="соц_9">'[22]Інші витрати'!$I$65</definedName>
    <definedName name="соц_9п">'[22]Інші витрати'!$H$65</definedName>
    <definedName name="соц_зв">'[22]Інші витрати'!$D$65</definedName>
    <definedName name="соц_о">'[22]Інші витрати'!$K$65</definedName>
    <definedName name="соц_п">'[22]Інші витрати'!$J$65</definedName>
    <definedName name="Список_компах" localSheetId="15">OFFSET(#REF!,,,COUNTA(#REF!),1)</definedName>
    <definedName name="Список_компах" localSheetId="2">OFFSET(#REF!,,,COUNTA(#REF!),1)</definedName>
    <definedName name="Список_компах" localSheetId="8">OFFSET(#REF!,,,COUNTA(#REF!),1)</definedName>
    <definedName name="Список_компах" localSheetId="17">OFFSET(#REF!,,,COUNTA(#REF!),1)</definedName>
    <definedName name="Список_компах">OFFSET(#REF!,,,COUNTA(#REF!),1)</definedName>
    <definedName name="статьи">[18]м_812!$D$1:$D$65536</definedName>
    <definedName name="Тело_СТ" localSheetId="15">#REF!</definedName>
    <definedName name="Тело_СТ" localSheetId="2">#REF!</definedName>
    <definedName name="Тело_СТ" localSheetId="8">#REF!</definedName>
    <definedName name="Тело_СТ" localSheetId="17">#REF!</definedName>
    <definedName name="Тело_СТ">#REF!</definedName>
    <definedName name="тепло" localSheetId="15">'[29]Вхідні дані'!#REF!</definedName>
    <definedName name="тепло" localSheetId="17">'[29]Вхідні дані'!#REF!</definedName>
    <definedName name="тепло">'[29]Вхідні дані'!#REF!</definedName>
    <definedName name="трав">'[16]812'!$S$1:$S$65536</definedName>
    <definedName name="травень" hidden="1">{#N/A,#N/A,FALSE,"9PS0"}</definedName>
    <definedName name="Уз" localSheetId="15">#REF!</definedName>
    <definedName name="Уз" localSheetId="2">#REF!</definedName>
    <definedName name="Уз" localSheetId="8">#REF!</definedName>
    <definedName name="Уз" localSheetId="17">#REF!</definedName>
    <definedName name="Уз">#REF!</definedName>
    <definedName name="Уз_б" localSheetId="15">#REF!</definedName>
    <definedName name="Уз_б" localSheetId="2">#REF!</definedName>
    <definedName name="Уз_б" localSheetId="8">#REF!</definedName>
    <definedName name="Уз_б" localSheetId="17">#REF!</definedName>
    <definedName name="Уз_б">#REF!</definedName>
    <definedName name="Уз_і" localSheetId="15">#REF!</definedName>
    <definedName name="Уз_і" localSheetId="2">#REF!</definedName>
    <definedName name="Уз_і" localSheetId="8">#REF!</definedName>
    <definedName name="Уз_і" localSheetId="17">#REF!</definedName>
    <definedName name="Уз_і">#REF!</definedName>
    <definedName name="Уз_н" localSheetId="15">#REF!</definedName>
    <definedName name="Уз_н" localSheetId="2">#REF!</definedName>
    <definedName name="Уз_н" localSheetId="8">#REF!</definedName>
    <definedName name="Уз_н" localSheetId="17">#REF!</definedName>
    <definedName name="Уз_н">#REF!</definedName>
    <definedName name="Уп" localSheetId="15">#REF!</definedName>
    <definedName name="Уп" localSheetId="2">#REF!</definedName>
    <definedName name="Уп" localSheetId="8">#REF!</definedName>
    <definedName name="Уп" localSheetId="17">#REF!</definedName>
    <definedName name="Уп">#REF!</definedName>
    <definedName name="Уп_б" localSheetId="15">#REF!</definedName>
    <definedName name="Уп_б" localSheetId="2">#REF!</definedName>
    <definedName name="Уп_б" localSheetId="8">#REF!</definedName>
    <definedName name="Уп_б" localSheetId="17">#REF!</definedName>
    <definedName name="Уп_б">#REF!</definedName>
    <definedName name="Уп_і" localSheetId="15">#REF!</definedName>
    <definedName name="Уп_і" localSheetId="2">#REF!</definedName>
    <definedName name="Уп_і" localSheetId="8">#REF!</definedName>
    <definedName name="Уп_і" localSheetId="17">#REF!</definedName>
    <definedName name="Уп_і">#REF!</definedName>
    <definedName name="Уп_н" localSheetId="15">#REF!</definedName>
    <definedName name="Уп_н" localSheetId="2">#REF!</definedName>
    <definedName name="Уп_н" localSheetId="8">#REF!</definedName>
    <definedName name="Уп_н" localSheetId="17">#REF!</definedName>
    <definedName name="Уп_н">#REF!</definedName>
    <definedName name="ууй" localSheetId="15">#REF!</definedName>
    <definedName name="ууй" localSheetId="17">#REF!</definedName>
    <definedName name="ууй">#REF!</definedName>
    <definedName name="УХ" localSheetId="15">#REF!</definedName>
    <definedName name="УХ" localSheetId="2">#REF!</definedName>
    <definedName name="УХ" localSheetId="8">#REF!</definedName>
    <definedName name="УХ" localSheetId="17">#REF!</definedName>
    <definedName name="УХ">#REF!</definedName>
    <definedName name="ухват" localSheetId="15">#REF!</definedName>
    <definedName name="ухват" localSheetId="2">#REF!</definedName>
    <definedName name="ухват" localSheetId="8">#REF!</definedName>
    <definedName name="ухват" localSheetId="17">#REF!</definedName>
    <definedName name="ухват">#REF!</definedName>
    <definedName name="Ф" localSheetId="15">#REF!</definedName>
    <definedName name="Ф" localSheetId="17">#REF!</definedName>
    <definedName name="Ф">#REF!</definedName>
    <definedName name="фдпшгфж" localSheetId="15">#REF!</definedName>
    <definedName name="фдпшгфж" localSheetId="17">#REF!</definedName>
    <definedName name="фдпшгфж">#REF!</definedName>
    <definedName name="філії">[31]Лист1!$C$4:$C$11</definedName>
    <definedName name="ццц" localSheetId="15">#REF!</definedName>
    <definedName name="ццц" localSheetId="17">#REF!</definedName>
    <definedName name="ццц">#REF!</definedName>
    <definedName name="чапельник" localSheetId="15">#REF!</definedName>
    <definedName name="чапельник" localSheetId="2">#REF!</definedName>
    <definedName name="чапельник" localSheetId="8">#REF!</definedName>
    <definedName name="чапельник" localSheetId="17">#REF!</definedName>
    <definedName name="чапельник">#REF!</definedName>
    <definedName name="черв">'[16]812'!$T$1:$T$65536</definedName>
    <definedName name="Черта" localSheetId="15">#REF!</definedName>
    <definedName name="Черта" localSheetId="2">#REF!</definedName>
    <definedName name="Черта" localSheetId="8">#REF!</definedName>
    <definedName name="Черта" localSheetId="17">#REF!</definedName>
    <definedName name="Черта">#REF!</definedName>
    <definedName name="чпапат" localSheetId="15">#REF!</definedName>
    <definedName name="чпапат" localSheetId="17">#REF!</definedName>
    <definedName name="чпапат">#REF!</definedName>
    <definedName name="яаиаипфа" localSheetId="15">#REF!</definedName>
    <definedName name="яаиаипфа" localSheetId="17">#REF!</definedName>
    <definedName name="яаиаипфа">#REF!</definedName>
  </definedNames>
  <calcPr calcId="191029"/>
</workbook>
</file>

<file path=xl/calcChain.xml><?xml version="1.0" encoding="utf-8"?>
<calcChain xmlns="http://schemas.openxmlformats.org/spreadsheetml/2006/main">
  <c r="B4" i="169" l="1"/>
  <c r="A3" i="167"/>
  <c r="A2" i="165"/>
  <c r="E25" i="172" l="1"/>
  <c r="B25" i="172"/>
  <c r="E25" i="169"/>
  <c r="B25" i="169"/>
  <c r="G15" i="167"/>
  <c r="G18" i="167"/>
  <c r="D131" i="167"/>
  <c r="I76" i="165" l="1"/>
  <c r="J76" i="165"/>
  <c r="K76" i="165"/>
  <c r="L76" i="165"/>
  <c r="M76" i="165"/>
  <c r="N76" i="165"/>
  <c r="O76" i="165"/>
  <c r="P76" i="165"/>
  <c r="Q76" i="165"/>
  <c r="R76" i="165"/>
  <c r="S76" i="165"/>
  <c r="D5" i="165"/>
  <c r="B82" i="22"/>
  <c r="B63" i="22"/>
  <c r="C10" i="173"/>
  <c r="E29" i="29"/>
  <c r="D29" i="29"/>
  <c r="E18" i="29"/>
  <c r="D18" i="29"/>
  <c r="E14" i="29"/>
  <c r="D14" i="29"/>
  <c r="C12" i="29"/>
  <c r="N26" i="29"/>
  <c r="N25" i="29"/>
  <c r="M25" i="29"/>
  <c r="N24" i="29"/>
  <c r="M24" i="29"/>
  <c r="L21" i="29"/>
  <c r="L20" i="29"/>
  <c r="N19" i="29"/>
  <c r="N28" i="29" s="1"/>
  <c r="L18" i="29"/>
  <c r="L17" i="29"/>
  <c r="L25" i="29" s="1"/>
  <c r="L16" i="29"/>
  <c r="L24" i="29" s="1"/>
  <c r="N15" i="29"/>
  <c r="N23" i="29" s="1"/>
  <c r="M15" i="29"/>
  <c r="L14" i="29"/>
  <c r="G58" i="22" s="1"/>
  <c r="G85" i="22" s="1"/>
  <c r="G33" i="98"/>
  <c r="F33" i="98"/>
  <c r="M60" i="97"/>
  <c r="B60" i="97"/>
  <c r="A4" i="97"/>
  <c r="L56" i="97"/>
  <c r="K56" i="97"/>
  <c r="H56" i="97"/>
  <c r="G56" i="97"/>
  <c r="P50" i="97"/>
  <c r="O50" i="97"/>
  <c r="N50" i="97"/>
  <c r="M50" i="97"/>
  <c r="K50" i="97"/>
  <c r="J50" i="97"/>
  <c r="H50" i="97"/>
  <c r="G50" i="97"/>
  <c r="P42" i="97"/>
  <c r="O42" i="97"/>
  <c r="N42" i="97"/>
  <c r="M42" i="97"/>
  <c r="K42" i="97"/>
  <c r="J42" i="97"/>
  <c r="H42" i="97"/>
  <c r="P34" i="97"/>
  <c r="O34" i="97"/>
  <c r="N34" i="97"/>
  <c r="M34" i="97"/>
  <c r="M33" i="97" s="1"/>
  <c r="L34" i="97"/>
  <c r="K34" i="97"/>
  <c r="J34" i="97"/>
  <c r="H34" i="97"/>
  <c r="G34" i="97"/>
  <c r="P33" i="97"/>
  <c r="O33" i="97"/>
  <c r="K33" i="97"/>
  <c r="J33" i="97"/>
  <c r="H33" i="97"/>
  <c r="G33" i="97"/>
  <c r="P32" i="97"/>
  <c r="O32" i="97"/>
  <c r="N32" i="97"/>
  <c r="M32" i="97"/>
  <c r="L32" i="97"/>
  <c r="K32" i="97"/>
  <c r="J32" i="97"/>
  <c r="I32" i="97"/>
  <c r="H32" i="97"/>
  <c r="G32" i="97"/>
  <c r="P30" i="97"/>
  <c r="O30" i="97"/>
  <c r="O29" i="97" s="1"/>
  <c r="O28" i="97" s="1"/>
  <c r="N30" i="97"/>
  <c r="M30" i="97"/>
  <c r="M29" i="97" s="1"/>
  <c r="M28" i="97" s="1"/>
  <c r="L30" i="97"/>
  <c r="K30" i="97"/>
  <c r="K29" i="97" s="1"/>
  <c r="K28" i="97" s="1"/>
  <c r="J30" i="97"/>
  <c r="J29" i="97" s="1"/>
  <c r="J28" i="97" s="1"/>
  <c r="I30" i="97"/>
  <c r="I29" i="97" s="1"/>
  <c r="H30" i="97"/>
  <c r="G30" i="97"/>
  <c r="G29" i="97" s="1"/>
  <c r="G28" i="97" s="1"/>
  <c r="P29" i="97"/>
  <c r="P28" i="97" s="1"/>
  <c r="N29" i="97"/>
  <c r="L29" i="97"/>
  <c r="H29" i="97"/>
  <c r="H28" i="97" s="1"/>
  <c r="W26" i="97"/>
  <c r="V26" i="97"/>
  <c r="U26" i="97"/>
  <c r="T26" i="97"/>
  <c r="P26" i="97"/>
  <c r="O26" i="97"/>
  <c r="N26" i="97"/>
  <c r="M26" i="97"/>
  <c r="L26" i="97"/>
  <c r="K26" i="97"/>
  <c r="J26" i="97"/>
  <c r="I26" i="97"/>
  <c r="I52" i="97" s="1"/>
  <c r="H26" i="97"/>
  <c r="G26" i="97"/>
  <c r="A22" i="97"/>
  <c r="A23" i="97" s="1"/>
  <c r="A24" i="97" s="1"/>
  <c r="A14" i="97"/>
  <c r="A15" i="97" s="1"/>
  <c r="A16" i="97" s="1"/>
  <c r="A17" i="97" s="1"/>
  <c r="A18" i="97" s="1"/>
  <c r="L28" i="97" l="1"/>
  <c r="L33" i="97"/>
  <c r="N33" i="97"/>
  <c r="N28" i="97" s="1"/>
  <c r="L15" i="29"/>
  <c r="I35" i="97"/>
  <c r="I39" i="97"/>
  <c r="I44" i="97"/>
  <c r="I51" i="97"/>
  <c r="I38" i="97"/>
  <c r="I43" i="97"/>
  <c r="I47" i="97"/>
  <c r="L50" i="97"/>
  <c r="I54" i="97"/>
  <c r="I37" i="97"/>
  <c r="I41" i="97"/>
  <c r="I46" i="97"/>
  <c r="I53" i="97"/>
  <c r="I48" i="97"/>
  <c r="I55" i="97"/>
  <c r="I36" i="97"/>
  <c r="I40" i="97"/>
  <c r="I45" i="97"/>
  <c r="I49" i="97"/>
  <c r="I50" i="97" l="1"/>
  <c r="I34" i="97"/>
  <c r="I33" i="97" s="1"/>
  <c r="I28" i="97" s="1"/>
  <c r="I42" i="97"/>
  <c r="E22" i="98" l="1"/>
  <c r="E21" i="98"/>
  <c r="F8" i="98"/>
  <c r="E48" i="190" l="1"/>
  <c r="H48" i="190"/>
  <c r="D47" i="190"/>
  <c r="K47" i="190" s="1"/>
  <c r="D46" i="190"/>
  <c r="K46" i="190" s="1"/>
  <c r="D45" i="190"/>
  <c r="K45" i="190" s="1"/>
  <c r="G44" i="190"/>
  <c r="K44" i="190" s="1"/>
  <c r="K43" i="190"/>
  <c r="I42" i="190"/>
  <c r="K42" i="190" s="1"/>
  <c r="K41" i="190"/>
  <c r="I40" i="190"/>
  <c r="K40" i="190" s="1"/>
  <c r="D39" i="190"/>
  <c r="K39" i="190" s="1"/>
  <c r="J38" i="190"/>
  <c r="K38" i="190" s="1"/>
  <c r="K37" i="190"/>
  <c r="K36" i="190"/>
  <c r="F36" i="190"/>
  <c r="F48" i="190" s="1"/>
  <c r="I35" i="190"/>
  <c r="K35" i="190" s="1"/>
  <c r="K34" i="190"/>
  <c r="J34" i="190"/>
  <c r="I33" i="190"/>
  <c r="K33" i="190" s="1"/>
  <c r="K32" i="190"/>
  <c r="J32" i="190"/>
  <c r="K31" i="190"/>
  <c r="J30" i="190"/>
  <c r="K30" i="190" s="1"/>
  <c r="J29" i="190"/>
  <c r="K29" i="190" s="1"/>
  <c r="I28" i="190"/>
  <c r="K28" i="190" s="1"/>
  <c r="J27" i="190"/>
  <c r="J48" i="190" s="1"/>
  <c r="K26" i="190"/>
  <c r="K25" i="190"/>
  <c r="K24" i="190"/>
  <c r="G22" i="190"/>
  <c r="K22" i="190" s="1"/>
  <c r="K21" i="190"/>
  <c r="G21" i="190"/>
  <c r="I20" i="190"/>
  <c r="K20" i="190" s="1"/>
  <c r="K19" i="190"/>
  <c r="I19" i="190"/>
  <c r="D18" i="190"/>
  <c r="K18" i="190" s="1"/>
  <c r="K17" i="190"/>
  <c r="J17" i="190"/>
  <c r="I16" i="190"/>
  <c r="K16" i="190" s="1"/>
  <c r="K15" i="190"/>
  <c r="I15" i="190"/>
  <c r="I14" i="190"/>
  <c r="K14" i="190" s="1"/>
  <c r="K13" i="190"/>
  <c r="I13" i="190"/>
  <c r="K12" i="190"/>
  <c r="I12" i="190"/>
  <c r="K11" i="190"/>
  <c r="I11" i="190"/>
  <c r="K10" i="190"/>
  <c r="F10" i="190"/>
  <c r="K9" i="190"/>
  <c r="I9" i="190"/>
  <c r="K8" i="190"/>
  <c r="I8" i="190"/>
  <c r="K7" i="190"/>
  <c r="G7" i="190"/>
  <c r="K6" i="190"/>
  <c r="G6" i="190"/>
  <c r="K5" i="190"/>
  <c r="D5" i="190"/>
  <c r="K4" i="190"/>
  <c r="G4" i="190"/>
  <c r="K3" i="190"/>
  <c r="D3" i="190"/>
  <c r="D23" i="190" s="1"/>
  <c r="K23" i="190" s="1"/>
  <c r="L37" i="187"/>
  <c r="E9" i="186"/>
  <c r="I48" i="190" l="1"/>
  <c r="D48" i="190"/>
  <c r="G48" i="190"/>
  <c r="K27" i="190"/>
  <c r="K48" i="190" s="1"/>
  <c r="E23" i="189" l="1"/>
  <c r="E22" i="189"/>
  <c r="E21" i="189"/>
  <c r="E20" i="189"/>
  <c r="E19" i="189"/>
  <c r="E18" i="189"/>
  <c r="E17" i="189"/>
  <c r="E16" i="189"/>
  <c r="E15" i="189"/>
  <c r="E14" i="189"/>
  <c r="E13" i="189"/>
  <c r="E12" i="189"/>
  <c r="E11" i="189"/>
  <c r="E10" i="189"/>
  <c r="E9" i="189"/>
  <c r="E8" i="189"/>
  <c r="E7" i="189"/>
  <c r="E6" i="189"/>
  <c r="E5" i="189"/>
  <c r="E4" i="189"/>
  <c r="W147" i="99"/>
  <c r="W148" i="99"/>
  <c r="W149" i="99"/>
  <c r="W150" i="99"/>
  <c r="W151" i="99"/>
  <c r="W153" i="99"/>
  <c r="W157" i="99"/>
  <c r="X157" i="99" s="1"/>
  <c r="W158" i="99"/>
  <c r="X158" i="99" s="1"/>
  <c r="W63" i="99"/>
  <c r="W64" i="99"/>
  <c r="W65" i="99"/>
  <c r="W66" i="99"/>
  <c r="W67" i="99"/>
  <c r="W68" i="99"/>
  <c r="W74" i="99"/>
  <c r="W75" i="99"/>
  <c r="R235" i="99"/>
  <c r="D44" i="69" l="1"/>
  <c r="D19" i="69"/>
  <c r="D39" i="69"/>
  <c r="D29" i="69"/>
  <c r="D24" i="69"/>
  <c r="C24" i="69"/>
  <c r="N25" i="189"/>
  <c r="C44" i="69" s="1"/>
  <c r="M25" i="189"/>
  <c r="C39" i="69" s="1"/>
  <c r="K25" i="189"/>
  <c r="C29" i="69" s="1"/>
  <c r="I25" i="189"/>
  <c r="C19" i="69" s="1"/>
  <c r="H25" i="189"/>
  <c r="C9" i="69" s="1"/>
  <c r="L24" i="189"/>
  <c r="C24" i="189"/>
  <c r="F23" i="189"/>
  <c r="M23" i="189" s="1"/>
  <c r="F22" i="189"/>
  <c r="M22" i="189" s="1"/>
  <c r="F21" i="189"/>
  <c r="K21" i="189" s="1"/>
  <c r="F20" i="189"/>
  <c r="K20" i="189" s="1"/>
  <c r="F19" i="189"/>
  <c r="N19" i="189" s="1"/>
  <c r="F18" i="189"/>
  <c r="H18" i="189" s="1"/>
  <c r="H24" i="189" s="1"/>
  <c r="H9" i="69" s="1"/>
  <c r="F17" i="189"/>
  <c r="K17" i="189" s="1"/>
  <c r="F16" i="189"/>
  <c r="F15" i="189"/>
  <c r="K15" i="189" s="1"/>
  <c r="F14" i="189"/>
  <c r="M14" i="189" s="1"/>
  <c r="F13" i="189"/>
  <c r="M13" i="189" s="1"/>
  <c r="F12" i="189"/>
  <c r="M12" i="189" s="1"/>
  <c r="F11" i="189"/>
  <c r="M11" i="189" s="1"/>
  <c r="F10" i="189"/>
  <c r="M10" i="189" s="1"/>
  <c r="F9" i="189"/>
  <c r="N9" i="189" s="1"/>
  <c r="F8" i="189"/>
  <c r="J8" i="189" s="1"/>
  <c r="J24" i="189" s="1"/>
  <c r="H24" i="69" s="1"/>
  <c r="F7" i="189"/>
  <c r="N7" i="189" s="1"/>
  <c r="F6" i="189"/>
  <c r="N6" i="189" s="1"/>
  <c r="E24" i="189"/>
  <c r="E25" i="189" s="1"/>
  <c r="F4" i="189"/>
  <c r="N4" i="189" s="1"/>
  <c r="H93" i="85"/>
  <c r="F93" i="85"/>
  <c r="H92" i="85"/>
  <c r="F92" i="85"/>
  <c r="J91" i="85"/>
  <c r="J93" i="85" s="1"/>
  <c r="E39" i="98" s="1"/>
  <c r="J90" i="85"/>
  <c r="J92" i="85" s="1"/>
  <c r="D90" i="85"/>
  <c r="D92" i="85" s="1"/>
  <c r="J88" i="85"/>
  <c r="K88" i="85" s="1"/>
  <c r="L88" i="85" s="1"/>
  <c r="M88" i="85" s="1"/>
  <c r="N88" i="85" s="1"/>
  <c r="O88" i="85" s="1"/>
  <c r="P88" i="85" s="1"/>
  <c r="Q88" i="85" s="1"/>
  <c r="R88" i="85" s="1"/>
  <c r="S88" i="85" s="1"/>
  <c r="T88" i="85" s="1"/>
  <c r="U88" i="85" s="1"/>
  <c r="V88" i="85" s="1"/>
  <c r="W88" i="85" s="1"/>
  <c r="X88" i="85" s="1"/>
  <c r="Y88" i="85" s="1"/>
  <c r="G88" i="85"/>
  <c r="D88" i="85"/>
  <c r="E88" i="85" s="1"/>
  <c r="I86" i="85"/>
  <c r="I87" i="85" s="1"/>
  <c r="H86" i="85"/>
  <c r="H87" i="85" s="1"/>
  <c r="F86" i="85"/>
  <c r="F87" i="85" s="1"/>
  <c r="Y85" i="85"/>
  <c r="X85" i="85"/>
  <c r="W85" i="85"/>
  <c r="V85" i="85"/>
  <c r="U85" i="85"/>
  <c r="T85" i="85"/>
  <c r="S85" i="85"/>
  <c r="R85" i="85"/>
  <c r="Q85" i="85"/>
  <c r="P85" i="85"/>
  <c r="O85" i="85"/>
  <c r="N85" i="85"/>
  <c r="M85" i="85"/>
  <c r="L85" i="85"/>
  <c r="K85" i="85"/>
  <c r="J85" i="85"/>
  <c r="G85" i="85"/>
  <c r="F85" i="85"/>
  <c r="E85" i="85"/>
  <c r="D85" i="85"/>
  <c r="Y82" i="85"/>
  <c r="X82" i="85"/>
  <c r="W82" i="85"/>
  <c r="V82" i="85"/>
  <c r="U82" i="85"/>
  <c r="T82" i="85"/>
  <c r="S82" i="85"/>
  <c r="R82" i="85"/>
  <c r="Q82" i="85"/>
  <c r="P82" i="85"/>
  <c r="O82" i="85"/>
  <c r="N82" i="85"/>
  <c r="M82" i="85"/>
  <c r="L82" i="85"/>
  <c r="K82" i="85"/>
  <c r="J82" i="85"/>
  <c r="G82" i="85"/>
  <c r="G86" i="85" s="1"/>
  <c r="F82" i="85"/>
  <c r="E82" i="85"/>
  <c r="Y79" i="85"/>
  <c r="X79" i="85"/>
  <c r="W79" i="85"/>
  <c r="V79" i="85"/>
  <c r="U79" i="85"/>
  <c r="T79" i="85"/>
  <c r="S79" i="85"/>
  <c r="R79" i="85"/>
  <c r="Q79" i="85"/>
  <c r="P79" i="85"/>
  <c r="O79" i="85"/>
  <c r="N79" i="85"/>
  <c r="J79" i="85" s="1"/>
  <c r="M79" i="85"/>
  <c r="L79" i="85"/>
  <c r="K78" i="85"/>
  <c r="G78" i="85"/>
  <c r="F78" i="85"/>
  <c r="E78" i="85"/>
  <c r="D78" i="85"/>
  <c r="K77" i="85"/>
  <c r="J77" i="85"/>
  <c r="J78" i="85" s="1"/>
  <c r="Y76" i="85"/>
  <c r="X76" i="85"/>
  <c r="W76" i="85"/>
  <c r="V76" i="85"/>
  <c r="U76" i="85"/>
  <c r="T76" i="85"/>
  <c r="S76" i="85"/>
  <c r="R76" i="85"/>
  <c r="Q76" i="85"/>
  <c r="P76" i="85"/>
  <c r="O76" i="85"/>
  <c r="N76" i="85"/>
  <c r="M76" i="85"/>
  <c r="K76" i="85" s="1"/>
  <c r="L76" i="85"/>
  <c r="J76" i="85" s="1"/>
  <c r="G75" i="85"/>
  <c r="F75" i="85"/>
  <c r="E75" i="85"/>
  <c r="D75" i="85"/>
  <c r="K74" i="85"/>
  <c r="K75" i="85" s="1"/>
  <c r="J74" i="85"/>
  <c r="J75" i="85" s="1"/>
  <c r="Y73" i="85"/>
  <c r="X73" i="85"/>
  <c r="W73" i="85"/>
  <c r="V73" i="85"/>
  <c r="U73" i="85"/>
  <c r="T73" i="85"/>
  <c r="S73" i="85"/>
  <c r="R73" i="85"/>
  <c r="Q73" i="85"/>
  <c r="P73" i="85"/>
  <c r="O73" i="85"/>
  <c r="N73" i="85"/>
  <c r="J73" i="85" s="1"/>
  <c r="M73" i="85"/>
  <c r="L73" i="85"/>
  <c r="K72" i="85"/>
  <c r="G72" i="85"/>
  <c r="F72" i="85"/>
  <c r="E72" i="85"/>
  <c r="D72" i="85"/>
  <c r="K71" i="85"/>
  <c r="J71" i="85"/>
  <c r="J72" i="85" s="1"/>
  <c r="Y70" i="85"/>
  <c r="X70" i="85"/>
  <c r="W70" i="85"/>
  <c r="V70" i="85"/>
  <c r="U70" i="85"/>
  <c r="T70" i="85"/>
  <c r="S70" i="85"/>
  <c r="R70" i="85"/>
  <c r="Q70" i="85"/>
  <c r="P70" i="85"/>
  <c r="O70" i="85"/>
  <c r="N70" i="85"/>
  <c r="M70" i="85"/>
  <c r="K70" i="85" s="1"/>
  <c r="L70" i="85"/>
  <c r="J70" i="85" s="1"/>
  <c r="G69" i="85"/>
  <c r="F69" i="85"/>
  <c r="E69" i="85"/>
  <c r="D69" i="85"/>
  <c r="K68" i="85"/>
  <c r="K69" i="85" s="1"/>
  <c r="J68" i="85"/>
  <c r="J69" i="85" s="1"/>
  <c r="Y67" i="85"/>
  <c r="X67" i="85"/>
  <c r="W67" i="85"/>
  <c r="V67" i="85"/>
  <c r="U67" i="85"/>
  <c r="T67" i="85"/>
  <c r="S67" i="85"/>
  <c r="R67" i="85"/>
  <c r="Q67" i="85"/>
  <c r="P67" i="85"/>
  <c r="O67" i="85"/>
  <c r="N67" i="85"/>
  <c r="J67" i="85" s="1"/>
  <c r="M67" i="85"/>
  <c r="L67" i="85"/>
  <c r="K66" i="85"/>
  <c r="G66" i="85"/>
  <c r="F66" i="85"/>
  <c r="E66" i="85"/>
  <c r="D66" i="85"/>
  <c r="K65" i="85"/>
  <c r="J65" i="85"/>
  <c r="J66" i="85" s="1"/>
  <c r="Y64" i="85"/>
  <c r="X64" i="85"/>
  <c r="W64" i="85"/>
  <c r="V64" i="85"/>
  <c r="U64" i="85"/>
  <c r="T64" i="85"/>
  <c r="S64" i="85"/>
  <c r="R64" i="85"/>
  <c r="Q64" i="85"/>
  <c r="P64" i="85"/>
  <c r="O64" i="85"/>
  <c r="N64" i="85"/>
  <c r="M64" i="85"/>
  <c r="K64" i="85" s="1"/>
  <c r="L64" i="85"/>
  <c r="J64" i="85" s="1"/>
  <c r="G63" i="85"/>
  <c r="F63" i="85"/>
  <c r="E63" i="85"/>
  <c r="D63" i="85"/>
  <c r="K62" i="85"/>
  <c r="K63" i="85" s="1"/>
  <c r="J62" i="85"/>
  <c r="J63" i="85" s="1"/>
  <c r="Y61" i="85"/>
  <c r="X61" i="85"/>
  <c r="W61" i="85"/>
  <c r="V61" i="85"/>
  <c r="U61" i="85"/>
  <c r="T61" i="85"/>
  <c r="S61" i="85"/>
  <c r="R61" i="85"/>
  <c r="Q61" i="85"/>
  <c r="P61" i="85"/>
  <c r="O61" i="85"/>
  <c r="N61" i="85"/>
  <c r="J61" i="85" s="1"/>
  <c r="M61" i="85"/>
  <c r="L61" i="85"/>
  <c r="K60" i="85"/>
  <c r="G60" i="85"/>
  <c r="F60" i="85"/>
  <c r="E60" i="85"/>
  <c r="D60" i="85"/>
  <c r="K59" i="85"/>
  <c r="J59" i="85"/>
  <c r="J60" i="85" s="1"/>
  <c r="Y58" i="85"/>
  <c r="X58" i="85"/>
  <c r="W58" i="85"/>
  <c r="V58" i="85"/>
  <c r="U58" i="85"/>
  <c r="T58" i="85"/>
  <c r="S58" i="85"/>
  <c r="R58" i="85"/>
  <c r="Q58" i="85"/>
  <c r="P58" i="85"/>
  <c r="O58" i="85"/>
  <c r="N58" i="85"/>
  <c r="M58" i="85"/>
  <c r="K58" i="85" s="1"/>
  <c r="L58" i="85"/>
  <c r="J58" i="85" s="1"/>
  <c r="G57" i="85"/>
  <c r="F57" i="85"/>
  <c r="E57" i="85"/>
  <c r="D57" i="85"/>
  <c r="K56" i="85"/>
  <c r="K57" i="85" s="1"/>
  <c r="J56" i="85"/>
  <c r="J57" i="85" s="1"/>
  <c r="Y55" i="85"/>
  <c r="X55" i="85"/>
  <c r="W55" i="85"/>
  <c r="V55" i="85"/>
  <c r="U55" i="85"/>
  <c r="T55" i="85"/>
  <c r="S55" i="85"/>
  <c r="R55" i="85"/>
  <c r="Q55" i="85"/>
  <c r="P55" i="85"/>
  <c r="O55" i="85"/>
  <c r="N55" i="85"/>
  <c r="M55" i="85"/>
  <c r="L55" i="85"/>
  <c r="J55" i="85"/>
  <c r="K54" i="85"/>
  <c r="G54" i="85"/>
  <c r="F54" i="85"/>
  <c r="E54" i="85"/>
  <c r="D54" i="85"/>
  <c r="K53" i="85"/>
  <c r="J53" i="85"/>
  <c r="J54" i="85" s="1"/>
  <c r="Y52" i="85"/>
  <c r="X52" i="85"/>
  <c r="W52" i="85"/>
  <c r="V52" i="85"/>
  <c r="U52" i="85"/>
  <c r="T52" i="85"/>
  <c r="S52" i="85"/>
  <c r="R52" i="85"/>
  <c r="Q52" i="85"/>
  <c r="P52" i="85"/>
  <c r="O52" i="85"/>
  <c r="N52" i="85"/>
  <c r="M52" i="85"/>
  <c r="K52" i="85" s="1"/>
  <c r="L52" i="85"/>
  <c r="J52" i="85" s="1"/>
  <c r="G51" i="85"/>
  <c r="F51" i="85"/>
  <c r="E51" i="85"/>
  <c r="D51" i="85"/>
  <c r="K50" i="85"/>
  <c r="K51" i="85" s="1"/>
  <c r="J50" i="85"/>
  <c r="J51" i="85" s="1"/>
  <c r="Y49" i="85"/>
  <c r="X49" i="85"/>
  <c r="W49" i="85"/>
  <c r="V49" i="85"/>
  <c r="Q49" i="85"/>
  <c r="P49" i="85"/>
  <c r="O49" i="85"/>
  <c r="N49" i="85"/>
  <c r="U48" i="85"/>
  <c r="U49" i="85" s="1"/>
  <c r="T48" i="85"/>
  <c r="T49" i="85" s="1"/>
  <c r="S48" i="85"/>
  <c r="S49" i="85" s="1"/>
  <c r="R48" i="85"/>
  <c r="R49" i="85" s="1"/>
  <c r="M48" i="85"/>
  <c r="L48" i="85"/>
  <c r="K48" i="85"/>
  <c r="J48" i="85"/>
  <c r="G48" i="85"/>
  <c r="F48" i="85"/>
  <c r="E48" i="85"/>
  <c r="D48" i="85"/>
  <c r="L47" i="85"/>
  <c r="L49" i="85" s="1"/>
  <c r="Y46" i="85"/>
  <c r="X46" i="85"/>
  <c r="W46" i="85"/>
  <c r="V46" i="85"/>
  <c r="Q46" i="85"/>
  <c r="P46" i="85"/>
  <c r="O46" i="85"/>
  <c r="N46" i="85"/>
  <c r="U45" i="85"/>
  <c r="U46" i="85" s="1"/>
  <c r="T45" i="85"/>
  <c r="T46" i="85" s="1"/>
  <c r="S45" i="85"/>
  <c r="S46" i="85" s="1"/>
  <c r="R45" i="85"/>
  <c r="R46" i="85" s="1"/>
  <c r="M45" i="85"/>
  <c r="L45" i="85"/>
  <c r="K45" i="85"/>
  <c r="J45" i="85"/>
  <c r="G45" i="85"/>
  <c r="F45" i="85"/>
  <c r="E45" i="85"/>
  <c r="D45" i="85"/>
  <c r="L44" i="85"/>
  <c r="J44" i="85"/>
  <c r="AQ43" i="85"/>
  <c r="AP43" i="85"/>
  <c r="AO43" i="85"/>
  <c r="AN43" i="85"/>
  <c r="AM43" i="85"/>
  <c r="AL43" i="85"/>
  <c r="AK43" i="85"/>
  <c r="AJ43" i="85"/>
  <c r="AI43" i="85"/>
  <c r="AH43" i="85"/>
  <c r="AG43" i="85"/>
  <c r="AF43" i="85"/>
  <c r="AE43" i="85"/>
  <c r="AD43" i="85"/>
  <c r="AC43" i="85"/>
  <c r="AB43" i="85"/>
  <c r="AA43" i="85"/>
  <c r="Z43" i="85"/>
  <c r="Y43" i="85"/>
  <c r="X43" i="85"/>
  <c r="W43" i="85"/>
  <c r="V43" i="85"/>
  <c r="Q43" i="85"/>
  <c r="P43" i="85"/>
  <c r="O43" i="85"/>
  <c r="N43" i="85"/>
  <c r="U42" i="85"/>
  <c r="U43" i="85" s="1"/>
  <c r="T42" i="85"/>
  <c r="T43" i="85" s="1"/>
  <c r="S42" i="85"/>
  <c r="S43" i="85" s="1"/>
  <c r="R42" i="85"/>
  <c r="R43" i="85" s="1"/>
  <c r="M42" i="85"/>
  <c r="L42" i="85"/>
  <c r="K42" i="85"/>
  <c r="J42" i="85"/>
  <c r="G42" i="85"/>
  <c r="F42" i="85"/>
  <c r="E42" i="85"/>
  <c r="D42" i="85"/>
  <c r="L41" i="85"/>
  <c r="Y40" i="85"/>
  <c r="X40" i="85"/>
  <c r="W40" i="85"/>
  <c r="V40" i="85"/>
  <c r="Q40" i="85"/>
  <c r="P40" i="85"/>
  <c r="O40" i="85"/>
  <c r="N40" i="85"/>
  <c r="U39" i="85"/>
  <c r="U40" i="85" s="1"/>
  <c r="T39" i="85"/>
  <c r="T40" i="85" s="1"/>
  <c r="S39" i="85"/>
  <c r="S40" i="85" s="1"/>
  <c r="R39" i="85"/>
  <c r="R40" i="85" s="1"/>
  <c r="M39" i="85"/>
  <c r="L39" i="85"/>
  <c r="K39" i="85"/>
  <c r="J39" i="85"/>
  <c r="G39" i="85"/>
  <c r="F39" i="85"/>
  <c r="E39" i="85"/>
  <c r="D39" i="85"/>
  <c r="L38" i="85"/>
  <c r="L40" i="85" s="1"/>
  <c r="J40" i="85" s="1"/>
  <c r="X37" i="85"/>
  <c r="P37" i="85"/>
  <c r="E37" i="85"/>
  <c r="Y36" i="85"/>
  <c r="X36" i="85"/>
  <c r="W36" i="85"/>
  <c r="V36" i="85"/>
  <c r="V37" i="85" s="1"/>
  <c r="O36" i="85"/>
  <c r="O37" i="85" s="1"/>
  <c r="O31" i="85" s="1"/>
  <c r="O86" i="85" s="1"/>
  <c r="O87" i="85" s="1"/>
  <c r="N36" i="85"/>
  <c r="N37" i="85" s="1"/>
  <c r="N31" i="85" s="1"/>
  <c r="N86" i="85" s="1"/>
  <c r="H36" i="85"/>
  <c r="F36" i="85"/>
  <c r="Y35" i="85"/>
  <c r="Y37" i="85" s="1"/>
  <c r="W35" i="85"/>
  <c r="Q35" i="85"/>
  <c r="Q37" i="85" s="1"/>
  <c r="I35" i="85"/>
  <c r="I37" i="85" s="1"/>
  <c r="I36" i="85" s="1"/>
  <c r="G35" i="85"/>
  <c r="G36" i="85" s="1"/>
  <c r="E35" i="85"/>
  <c r="O34" i="85"/>
  <c r="N34" i="85"/>
  <c r="E34" i="85"/>
  <c r="E31" i="85" s="1"/>
  <c r="E86" i="85" s="1"/>
  <c r="E87" i="85" s="1"/>
  <c r="D34" i="85"/>
  <c r="D86" i="85" s="1"/>
  <c r="D87" i="85" s="1"/>
  <c r="P33" i="85"/>
  <c r="M33" i="85"/>
  <c r="U33" i="85" s="1"/>
  <c r="L33" i="85"/>
  <c r="T33" i="85" s="1"/>
  <c r="G33" i="85"/>
  <c r="F33" i="85"/>
  <c r="L32" i="85"/>
  <c r="M32" i="85" s="1"/>
  <c r="D31" i="85"/>
  <c r="O29" i="85"/>
  <c r="O30" i="85" s="1"/>
  <c r="N29" i="85"/>
  <c r="N30" i="85" s="1"/>
  <c r="G29" i="85"/>
  <c r="G30" i="85" s="1"/>
  <c r="F29" i="85"/>
  <c r="F30" i="85" s="1"/>
  <c r="N27" i="85"/>
  <c r="H27" i="85"/>
  <c r="F27" i="85"/>
  <c r="AN27" i="85" s="1"/>
  <c r="AN26" i="85"/>
  <c r="X26" i="85"/>
  <c r="Y26" i="85" s="1"/>
  <c r="Y16" i="85" s="1"/>
  <c r="Y32" i="85" s="1"/>
  <c r="V26" i="85"/>
  <c r="W26" i="85" s="1"/>
  <c r="W16" i="85" s="1"/>
  <c r="W32" i="85" s="1"/>
  <c r="T26" i="85"/>
  <c r="T35" i="85" s="1"/>
  <c r="R26" i="85"/>
  <c r="R35" i="85" s="1"/>
  <c r="P26" i="85"/>
  <c r="Q26" i="85" s="1"/>
  <c r="Q16" i="85" s="1"/>
  <c r="Q32" i="85" s="1"/>
  <c r="N26" i="85"/>
  <c r="O26" i="85" s="1"/>
  <c r="L26" i="85"/>
  <c r="E26" i="85"/>
  <c r="D26" i="85"/>
  <c r="AL26" i="85" s="1"/>
  <c r="K25" i="85"/>
  <c r="J25" i="85"/>
  <c r="K24" i="85"/>
  <c r="J24" i="85"/>
  <c r="E24" i="85"/>
  <c r="AN23" i="85"/>
  <c r="AL23" i="85"/>
  <c r="AA23" i="85"/>
  <c r="Z23" i="85"/>
  <c r="K23" i="85"/>
  <c r="AC23" i="85" s="1"/>
  <c r="J23" i="85"/>
  <c r="AP23" i="85" s="1"/>
  <c r="AN22" i="85"/>
  <c r="O22" i="85"/>
  <c r="L22" i="85"/>
  <c r="I22" i="85"/>
  <c r="G22" i="85"/>
  <c r="D22" i="85"/>
  <c r="AN21" i="85"/>
  <c r="AH21" i="85"/>
  <c r="O21" i="85"/>
  <c r="J21" i="85"/>
  <c r="AJ21" i="85" s="1"/>
  <c r="I21" i="85"/>
  <c r="G21" i="85"/>
  <c r="D21" i="85"/>
  <c r="AF21" i="85" s="1"/>
  <c r="AN20" i="85"/>
  <c r="AH20" i="85"/>
  <c r="O20" i="85"/>
  <c r="L20" i="85"/>
  <c r="M20" i="85" s="1"/>
  <c r="D20" i="85"/>
  <c r="AF20" i="85" s="1"/>
  <c r="AN19" i="85"/>
  <c r="AH19" i="85"/>
  <c r="O19" i="85"/>
  <c r="L19" i="85"/>
  <c r="M19" i="85" s="1"/>
  <c r="I19" i="85"/>
  <c r="G19" i="85"/>
  <c r="E19" i="85"/>
  <c r="AL19" i="85" s="1"/>
  <c r="D19" i="85"/>
  <c r="AN18" i="85"/>
  <c r="L18" i="85"/>
  <c r="M18" i="85" s="1"/>
  <c r="I18" i="85"/>
  <c r="G18" i="85"/>
  <c r="D18" i="85"/>
  <c r="O17" i="85"/>
  <c r="O16" i="85" s="1"/>
  <c r="N17" i="85"/>
  <c r="I17" i="85"/>
  <c r="H17" i="85"/>
  <c r="G17" i="85"/>
  <c r="G16" i="85" s="1"/>
  <c r="AC11" i="85" s="1"/>
  <c r="F17" i="85"/>
  <c r="AN17" i="85" s="1"/>
  <c r="V16" i="85"/>
  <c r="V32" i="85" s="1"/>
  <c r="T16" i="85"/>
  <c r="R16" i="85"/>
  <c r="N16" i="85"/>
  <c r="I16" i="85"/>
  <c r="I32" i="85" s="1"/>
  <c r="H16" i="85"/>
  <c r="H32" i="85" s="1"/>
  <c r="F16" i="85"/>
  <c r="AN16" i="85" s="1"/>
  <c r="AC10" i="85"/>
  <c r="AD8" i="85"/>
  <c r="AC8" i="85"/>
  <c r="AA8" i="85"/>
  <c r="F5" i="85"/>
  <c r="D27" i="85" l="1"/>
  <c r="K19" i="85"/>
  <c r="E21" i="85"/>
  <c r="S33" i="85"/>
  <c r="S36" i="85" s="1"/>
  <c r="M36" i="85"/>
  <c r="W37" i="85"/>
  <c r="G37" i="85"/>
  <c r="AF19" i="85"/>
  <c r="K20" i="85"/>
  <c r="N87" i="85"/>
  <c r="L43" i="85"/>
  <c r="L46" i="85"/>
  <c r="J46" i="85" s="1"/>
  <c r="G87" i="85"/>
  <c r="AL21" i="85"/>
  <c r="K55" i="85"/>
  <c r="K61" i="85"/>
  <c r="K67" i="85"/>
  <c r="K73" i="85"/>
  <c r="K79" i="85"/>
  <c r="Z21" i="85"/>
  <c r="M44" i="85"/>
  <c r="K44" i="85" s="1"/>
  <c r="K21" i="85"/>
  <c r="AC21" i="85" s="1"/>
  <c r="M24" i="189"/>
  <c r="H39" i="69" s="1"/>
  <c r="L17" i="85"/>
  <c r="L16" i="85" s="1"/>
  <c r="P16" i="85"/>
  <c r="P32" i="85" s="1"/>
  <c r="P34" i="85" s="1"/>
  <c r="P31" i="85" s="1"/>
  <c r="P86" i="85" s="1"/>
  <c r="P87" i="85" s="1"/>
  <c r="X16" i="85"/>
  <c r="X32" i="85" s="1"/>
  <c r="J18" i="85"/>
  <c r="M47" i="85"/>
  <c r="K47" i="85" s="1"/>
  <c r="AB21" i="85"/>
  <c r="J47" i="85"/>
  <c r="L27" i="85"/>
  <c r="J27" i="85" s="1"/>
  <c r="J26" i="85"/>
  <c r="I16" i="189"/>
  <c r="I24" i="189" s="1"/>
  <c r="H19" i="69" s="1"/>
  <c r="K16" i="189"/>
  <c r="K24" i="189"/>
  <c r="H29" i="69" s="1"/>
  <c r="F5" i="189"/>
  <c r="N5" i="189" s="1"/>
  <c r="N8" i="189"/>
  <c r="AC20" i="85"/>
  <c r="U35" i="85"/>
  <c r="T29" i="85"/>
  <c r="H33" i="85"/>
  <c r="H29" i="85"/>
  <c r="H30" i="85" s="1"/>
  <c r="P29" i="85"/>
  <c r="P30" i="85" s="1"/>
  <c r="X34" i="85"/>
  <c r="X31" i="85" s="1"/>
  <c r="X86" i="85" s="1"/>
  <c r="X87" i="85" s="1"/>
  <c r="X29" i="85"/>
  <c r="X30" i="85" s="1"/>
  <c r="R29" i="85"/>
  <c r="S35" i="85"/>
  <c r="M34" i="85"/>
  <c r="K32" i="85"/>
  <c r="U34" i="85"/>
  <c r="U36" i="85"/>
  <c r="V34" i="85"/>
  <c r="V31" i="85" s="1"/>
  <c r="V86" i="85" s="1"/>
  <c r="V87" i="85" s="1"/>
  <c r="V29" i="85"/>
  <c r="V30" i="85" s="1"/>
  <c r="AL27" i="85"/>
  <c r="AA10" i="85"/>
  <c r="AC19" i="85"/>
  <c r="AA19" i="85"/>
  <c r="Q34" i="85"/>
  <c r="Q31" i="85" s="1"/>
  <c r="Q86" i="85" s="1"/>
  <c r="Q87" i="85" s="1"/>
  <c r="Q29" i="85"/>
  <c r="Q30" i="85" s="1"/>
  <c r="Y34" i="85"/>
  <c r="Y31" i="85" s="1"/>
  <c r="Y86" i="85" s="1"/>
  <c r="Y87" i="85" s="1"/>
  <c r="Y29" i="85"/>
  <c r="Y30" i="85" s="1"/>
  <c r="T36" i="85"/>
  <c r="T37" i="85" s="1"/>
  <c r="T34" i="85"/>
  <c r="W34" i="85"/>
  <c r="W31" i="85" s="1"/>
  <c r="W86" i="85" s="1"/>
  <c r="W87" i="85" s="1"/>
  <c r="W29" i="85"/>
  <c r="W30" i="85" s="1"/>
  <c r="J49" i="85"/>
  <c r="I29" i="85"/>
  <c r="I30" i="85" s="1"/>
  <c r="I33" i="85"/>
  <c r="K18" i="85"/>
  <c r="AD10" i="85"/>
  <c r="AP27" i="85"/>
  <c r="Z27" i="85"/>
  <c r="AB27" i="85"/>
  <c r="Z26" i="85"/>
  <c r="AB26" i="85"/>
  <c r="J43" i="85"/>
  <c r="D17" i="85"/>
  <c r="E18" i="85"/>
  <c r="AA21" i="85"/>
  <c r="AP21" i="85"/>
  <c r="M22" i="85"/>
  <c r="K22" i="85" s="1"/>
  <c r="M26" i="85"/>
  <c r="U26" i="85"/>
  <c r="U16" i="85" s="1"/>
  <c r="R33" i="85"/>
  <c r="L34" i="85"/>
  <c r="L36" i="85"/>
  <c r="M46" i="85"/>
  <c r="K46" i="85" s="1"/>
  <c r="Z18" i="85"/>
  <c r="J32" i="85"/>
  <c r="S34" i="85"/>
  <c r="L35" i="85"/>
  <c r="J38" i="85"/>
  <c r="J41" i="85"/>
  <c r="J19" i="85"/>
  <c r="J20" i="85"/>
  <c r="E22" i="85"/>
  <c r="AL22" i="85" s="1"/>
  <c r="S26" i="85"/>
  <c r="S16" i="85" s="1"/>
  <c r="M38" i="85"/>
  <c r="M41" i="85"/>
  <c r="AB18" i="85"/>
  <c r="E20" i="85"/>
  <c r="AA20" i="85" s="1"/>
  <c r="J22" i="85"/>
  <c r="AB23" i="85"/>
  <c r="AL20" i="85" l="1"/>
  <c r="M49" i="85"/>
  <c r="K49" i="85" s="1"/>
  <c r="F24" i="189"/>
  <c r="H49" i="69" s="1"/>
  <c r="M17" i="85"/>
  <c r="J17" i="85"/>
  <c r="AB17" i="85" s="1"/>
  <c r="N24" i="189"/>
  <c r="H44" i="69" s="1"/>
  <c r="F25" i="189"/>
  <c r="K17" i="84"/>
  <c r="J17" i="84"/>
  <c r="Z17" i="85"/>
  <c r="K26" i="85"/>
  <c r="AR26" i="85"/>
  <c r="S29" i="85"/>
  <c r="S37" i="85"/>
  <c r="E17" i="85"/>
  <c r="E16" i="85" s="1"/>
  <c r="Z22" i="85"/>
  <c r="AP22" i="85"/>
  <c r="AB22" i="85"/>
  <c r="M40" i="85"/>
  <c r="K38" i="85"/>
  <c r="AB19" i="85"/>
  <c r="AP19" i="85"/>
  <c r="Z19" i="85"/>
  <c r="L37" i="85"/>
  <c r="J35" i="85"/>
  <c r="J29" i="85" s="1"/>
  <c r="E37" i="98" s="1"/>
  <c r="M35" i="85"/>
  <c r="L29" i="85"/>
  <c r="R34" i="85"/>
  <c r="R36" i="85"/>
  <c r="R37" i="85" s="1"/>
  <c r="AC18" i="85"/>
  <c r="K17" i="85"/>
  <c r="AA18" i="85"/>
  <c r="M43" i="85"/>
  <c r="K41" i="85"/>
  <c r="AB20" i="85"/>
  <c r="AP20" i="85"/>
  <c r="Z20" i="85"/>
  <c r="J34" i="85"/>
  <c r="L31" i="85"/>
  <c r="AC22" i="85"/>
  <c r="AA22" i="85"/>
  <c r="D16" i="85"/>
  <c r="AL17" i="85"/>
  <c r="K34" i="85"/>
  <c r="S31" i="85"/>
  <c r="S86" i="85" s="1"/>
  <c r="S87" i="85" s="1"/>
  <c r="M16" i="85"/>
  <c r="AL18" i="85"/>
  <c r="AP18" i="85"/>
  <c r="T31" i="85"/>
  <c r="U29" i="85"/>
  <c r="U37" i="85"/>
  <c r="U31" i="85" s="1"/>
  <c r="U86" i="85" s="1"/>
  <c r="U87" i="85" s="1"/>
  <c r="R31" i="85" l="1"/>
  <c r="F26" i="186" s="1"/>
  <c r="J37" i="85"/>
  <c r="J16" i="85"/>
  <c r="T86" i="85"/>
  <c r="T87" i="85" s="1"/>
  <c r="F27" i="187"/>
  <c r="K43" i="85"/>
  <c r="I17" i="84"/>
  <c r="L86" i="85"/>
  <c r="L87" i="85" s="1"/>
  <c r="K40" i="85"/>
  <c r="H17" i="84"/>
  <c r="J36" i="85"/>
  <c r="Z16" i="85"/>
  <c r="AB16" i="85"/>
  <c r="U30" i="85"/>
  <c r="L30" i="85"/>
  <c r="S30" i="85"/>
  <c r="AA17" i="85"/>
  <c r="K16" i="85"/>
  <c r="AP16" i="85" s="1"/>
  <c r="AC17" i="85"/>
  <c r="K33" i="85"/>
  <c r="AA26" i="85"/>
  <c r="AC26" i="85"/>
  <c r="AP26" i="85"/>
  <c r="T30" i="85"/>
  <c r="AP17" i="85"/>
  <c r="AL16" i="85"/>
  <c r="D32" i="85"/>
  <c r="AR31" i="85"/>
  <c r="J31" i="85"/>
  <c r="J86" i="85" s="1"/>
  <c r="J87" i="85" s="1"/>
  <c r="J33" i="85"/>
  <c r="M37" i="85"/>
  <c r="G17" i="84" s="1"/>
  <c r="K35" i="85"/>
  <c r="K29" i="85" s="1"/>
  <c r="M29" i="85"/>
  <c r="E32" i="85"/>
  <c r="AA11" i="85"/>
  <c r="R30" i="85" l="1"/>
  <c r="R86" i="85"/>
  <c r="R87" i="85" s="1"/>
  <c r="J30" i="85"/>
  <c r="E36" i="85"/>
  <c r="E29" i="85"/>
  <c r="E30" i="85" s="1"/>
  <c r="E33" i="85"/>
  <c r="K37" i="85"/>
  <c r="K31" i="85" s="1"/>
  <c r="K86" i="85" s="1"/>
  <c r="K87" i="85" s="1"/>
  <c r="M31" i="85"/>
  <c r="D33" i="85"/>
  <c r="D36" i="85"/>
  <c r="D29" i="85"/>
  <c r="D30" i="85" s="1"/>
  <c r="AA16" i="85"/>
  <c r="AD11" i="85"/>
  <c r="AC16" i="85"/>
  <c r="M86" i="85" l="1"/>
  <c r="M87" i="85" s="1"/>
  <c r="M30" i="85"/>
  <c r="K30" i="85"/>
  <c r="K36" i="85"/>
  <c r="M45" i="99" l="1"/>
  <c r="M46" i="99"/>
  <c r="M47" i="99"/>
  <c r="J45" i="99"/>
  <c r="J46" i="99"/>
  <c r="J47" i="99"/>
  <c r="J64" i="99"/>
  <c r="J65" i="99"/>
  <c r="J66" i="99"/>
  <c r="E30" i="99"/>
  <c r="E29" i="99"/>
  <c r="E28" i="99"/>
  <c r="E27" i="99"/>
  <c r="E26" i="99"/>
  <c r="E25" i="99"/>
  <c r="E24" i="99"/>
  <c r="E23" i="99"/>
  <c r="E22" i="99"/>
  <c r="E21" i="99"/>
  <c r="P45" i="99"/>
  <c r="P46" i="99"/>
  <c r="P47" i="99"/>
  <c r="P64" i="99"/>
  <c r="P65" i="99"/>
  <c r="P66" i="99"/>
  <c r="S45" i="99"/>
  <c r="S46" i="99"/>
  <c r="S47" i="99"/>
  <c r="S64" i="99"/>
  <c r="S65" i="99"/>
  <c r="S66" i="99"/>
  <c r="S67" i="99"/>
  <c r="V64" i="99"/>
  <c r="V65" i="99"/>
  <c r="V66" i="99"/>
  <c r="V67" i="99"/>
  <c r="V45" i="99"/>
  <c r="V46" i="99"/>
  <c r="V47" i="99"/>
  <c r="H33" i="99"/>
  <c r="K33" i="99"/>
  <c r="E33" i="99" s="1"/>
  <c r="N33" i="99"/>
  <c r="Q33" i="99"/>
  <c r="T33" i="99"/>
  <c r="R228" i="99"/>
  <c r="S227" i="99"/>
  <c r="S226" i="99"/>
  <c r="R226" i="99"/>
  <c r="Q226" i="99"/>
  <c r="R225" i="99"/>
  <c r="S224" i="99"/>
  <c r="S223" i="99"/>
  <c r="R223" i="99"/>
  <c r="Q223" i="99"/>
  <c r="S222" i="99"/>
  <c r="R222" i="99"/>
  <c r="S221" i="99"/>
  <c r="R221" i="99"/>
  <c r="R210" i="99"/>
  <c r="R209" i="99"/>
  <c r="R208" i="99"/>
  <c r="R207" i="99"/>
  <c r="R206" i="99"/>
  <c r="R202" i="99"/>
  <c r="R201" i="99"/>
  <c r="R199" i="99"/>
  <c r="R198" i="99"/>
  <c r="R196" i="99"/>
  <c r="R195" i="99"/>
  <c r="R194" i="99"/>
  <c r="R192" i="99"/>
  <c r="R191" i="99"/>
  <c r="R190" i="99"/>
  <c r="R188" i="99"/>
  <c r="R187" i="99"/>
  <c r="R186" i="99"/>
  <c r="R184" i="99"/>
  <c r="R183" i="99"/>
  <c r="R182" i="99"/>
  <c r="R181" i="99"/>
  <c r="R180" i="99"/>
  <c r="Q180" i="99"/>
  <c r="S179" i="99"/>
  <c r="R179" i="99"/>
  <c r="Q179" i="99"/>
  <c r="S178" i="99"/>
  <c r="R178" i="99"/>
  <c r="Q178" i="99"/>
  <c r="S177" i="99"/>
  <c r="R177" i="99"/>
  <c r="R175" i="99"/>
  <c r="S174" i="99"/>
  <c r="S173" i="99"/>
  <c r="S158" i="99"/>
  <c r="S157" i="99"/>
  <c r="Q123" i="99"/>
  <c r="R197" i="99"/>
  <c r="R193" i="99"/>
  <c r="R189" i="99"/>
  <c r="R185" i="99"/>
  <c r="Q75" i="99"/>
  <c r="S75" i="99" s="1"/>
  <c r="Q74" i="99"/>
  <c r="S74" i="99" s="1"/>
  <c r="Q73" i="99"/>
  <c r="S73" i="99" s="1"/>
  <c r="R71" i="99"/>
  <c r="R70" i="99"/>
  <c r="Q70" i="99" s="1"/>
  <c r="R66" i="99"/>
  <c r="R200" i="99" s="1"/>
  <c r="Q45" i="99"/>
  <c r="Q177" i="99" s="1"/>
  <c r="N33" i="84"/>
  <c r="E58" i="55"/>
  <c r="F58" i="55"/>
  <c r="G58" i="55"/>
  <c r="E57" i="55"/>
  <c r="F57" i="55"/>
  <c r="G57" i="55"/>
  <c r="E56" i="55"/>
  <c r="F56" i="55"/>
  <c r="G56" i="55"/>
  <c r="E55" i="55"/>
  <c r="F55" i="55"/>
  <c r="G55" i="55"/>
  <c r="E50" i="55"/>
  <c r="F50" i="55"/>
  <c r="F45" i="55" s="1"/>
  <c r="G50" i="55"/>
  <c r="G45" i="55" s="1"/>
  <c r="E19" i="55"/>
  <c r="E20" i="55"/>
  <c r="E21" i="55"/>
  <c r="E22" i="55"/>
  <c r="E23" i="55"/>
  <c r="E24" i="55"/>
  <c r="E25" i="55"/>
  <c r="E26" i="55"/>
  <c r="E27" i="55"/>
  <c r="E28" i="55"/>
  <c r="F24" i="55"/>
  <c r="G24" i="55"/>
  <c r="H19" i="55"/>
  <c r="H20" i="55"/>
  <c r="H21" i="55"/>
  <c r="E18" i="55"/>
  <c r="F18" i="55"/>
  <c r="G18" i="55"/>
  <c r="E17" i="55"/>
  <c r="F17" i="55"/>
  <c r="G17" i="55"/>
  <c r="E16" i="55"/>
  <c r="F16" i="55"/>
  <c r="G16" i="55"/>
  <c r="E15" i="55"/>
  <c r="F15" i="55"/>
  <c r="G15" i="55"/>
  <c r="H56" i="55"/>
  <c r="H57" i="55"/>
  <c r="D29" i="58"/>
  <c r="F15" i="58"/>
  <c r="G15" i="58"/>
  <c r="H15" i="58"/>
  <c r="I15" i="58"/>
  <c r="H183" i="54"/>
  <c r="B57" i="22" s="1"/>
  <c r="B67" i="22" s="1"/>
  <c r="I183" i="54"/>
  <c r="B58" i="22" s="1"/>
  <c r="B69" i="22" s="1"/>
  <c r="J183" i="54"/>
  <c r="B59" i="22" s="1"/>
  <c r="B71" i="22" s="1"/>
  <c r="G183" i="54"/>
  <c r="B56" i="22" s="1"/>
  <c r="B65" i="22" s="1"/>
  <c r="D19" i="57"/>
  <c r="E19" i="57"/>
  <c r="F19" i="57"/>
  <c r="H2" i="57"/>
  <c r="E2" i="58" s="1"/>
  <c r="P2" i="99" s="1"/>
  <c r="AB27" i="55"/>
  <c r="X27" i="55"/>
  <c r="T27" i="55"/>
  <c r="P53" i="99" s="1"/>
  <c r="L27" i="55"/>
  <c r="J53" i="99" s="1"/>
  <c r="P27" i="55"/>
  <c r="M53" i="99" s="1"/>
  <c r="F26" i="187"/>
  <c r="R2" i="188"/>
  <c r="L2" i="188"/>
  <c r="L3" i="188"/>
  <c r="H3" i="188"/>
  <c r="I1" i="188" s="1"/>
  <c r="K3" i="188"/>
  <c r="J3" i="188"/>
  <c r="I3" i="188"/>
  <c r="Q2" i="188"/>
  <c r="P2" i="188"/>
  <c r="O2" i="188"/>
  <c r="K2" i="188"/>
  <c r="J2" i="188"/>
  <c r="I2" i="188"/>
  <c r="BN23" i="20"/>
  <c r="BN24" i="20"/>
  <c r="BN25" i="20"/>
  <c r="R16" i="20"/>
  <c r="R10" i="20"/>
  <c r="AB10" i="20"/>
  <c r="AB9" i="20" s="1"/>
  <c r="AB15" i="20"/>
  <c r="AB16" i="20"/>
  <c r="AL16" i="20"/>
  <c r="AL15" i="20"/>
  <c r="AL9" i="20"/>
  <c r="AL10" i="20"/>
  <c r="AV10" i="20"/>
  <c r="AV9" i="20" s="1"/>
  <c r="AV15" i="20"/>
  <c r="AV16" i="20"/>
  <c r="BF16" i="20"/>
  <c r="BF15" i="20" s="1"/>
  <c r="BF10" i="20"/>
  <c r="BF9" i="20" s="1"/>
  <c r="BE22" i="20"/>
  <c r="BE21" i="20" s="1"/>
  <c r="AU22" i="20"/>
  <c r="AU21" i="20" s="1"/>
  <c r="AA22" i="20"/>
  <c r="G22" i="20"/>
  <c r="BN22" i="20" s="1"/>
  <c r="Q22" i="20"/>
  <c r="Q21" i="20" s="1"/>
  <c r="AZ64" i="20"/>
  <c r="AZ63" i="20"/>
  <c r="AZ62" i="20"/>
  <c r="BF25" i="20"/>
  <c r="BG25" i="20" s="1"/>
  <c r="BF24" i="20"/>
  <c r="BG24" i="20" s="1"/>
  <c r="BF23" i="20"/>
  <c r="BG23" i="20" s="1"/>
  <c r="BA13" i="20"/>
  <c r="BA19" i="20" s="1"/>
  <c r="BA12" i="20"/>
  <c r="BA18" i="20" s="1"/>
  <c r="BA11" i="20"/>
  <c r="BA29" i="20" s="1"/>
  <c r="BA49" i="20" s="1"/>
  <c r="BD27" i="20"/>
  <c r="BB27" i="20"/>
  <c r="BE2" i="20"/>
  <c r="AP64" i="20"/>
  <c r="AP63" i="20"/>
  <c r="AP62" i="20"/>
  <c r="AV25" i="20"/>
  <c r="AW25" i="20" s="1"/>
  <c r="AV24" i="20"/>
  <c r="AW24" i="20" s="1"/>
  <c r="AV23" i="20"/>
  <c r="AW23" i="20" s="1"/>
  <c r="AQ13" i="20"/>
  <c r="AQ19" i="20" s="1"/>
  <c r="AQ12" i="20"/>
  <c r="AQ18" i="20" s="1"/>
  <c r="AQ11" i="20"/>
  <c r="AQ29" i="20" s="1"/>
  <c r="AQ49" i="20" s="1"/>
  <c r="AT27" i="20"/>
  <c r="AR27" i="20"/>
  <c r="AU2" i="20"/>
  <c r="AF64" i="20"/>
  <c r="AF63" i="20"/>
  <c r="AF62" i="20"/>
  <c r="AL25" i="20"/>
  <c r="AM25" i="20" s="1"/>
  <c r="AL24" i="20"/>
  <c r="AM24" i="20" s="1"/>
  <c r="AL23" i="20"/>
  <c r="AM23" i="20" s="1"/>
  <c r="AK21" i="20"/>
  <c r="AG13" i="20"/>
  <c r="AG31" i="20" s="1"/>
  <c r="AG51" i="20" s="1"/>
  <c r="AG12" i="20"/>
  <c r="AG18" i="20" s="1"/>
  <c r="AG11" i="20"/>
  <c r="AG29" i="20" s="1"/>
  <c r="AG49" i="20" s="1"/>
  <c r="AJ27" i="20"/>
  <c r="AH27" i="20"/>
  <c r="AK2" i="20"/>
  <c r="V64" i="20"/>
  <c r="V63" i="20"/>
  <c r="V62" i="20"/>
  <c r="AB25" i="20"/>
  <c r="AC25" i="20" s="1"/>
  <c r="AB24" i="20"/>
  <c r="AC24" i="20" s="1"/>
  <c r="AB23" i="20"/>
  <c r="AC23" i="20" s="1"/>
  <c r="AA21" i="20"/>
  <c r="W13" i="20"/>
  <c r="W19" i="20" s="1"/>
  <c r="W12" i="20"/>
  <c r="W18" i="20" s="1"/>
  <c r="W11" i="20"/>
  <c r="W29" i="20" s="1"/>
  <c r="W49" i="20" s="1"/>
  <c r="Z27" i="20"/>
  <c r="AA2" i="20"/>
  <c r="L64" i="20"/>
  <c r="L63" i="20"/>
  <c r="L62" i="20"/>
  <c r="S25" i="20"/>
  <c r="S24" i="20"/>
  <c r="S23" i="20"/>
  <c r="R15" i="20"/>
  <c r="M13" i="20"/>
  <c r="M31" i="20" s="1"/>
  <c r="M51" i="20" s="1"/>
  <c r="M12" i="20"/>
  <c r="M11" i="20"/>
  <c r="M29" i="20" s="1"/>
  <c r="M49" i="20" s="1"/>
  <c r="P27" i="20"/>
  <c r="N27" i="20"/>
  <c r="Q2" i="20"/>
  <c r="H27" i="55" l="1"/>
  <c r="G46" i="99"/>
  <c r="AC21" i="55"/>
  <c r="W47" i="99"/>
  <c r="V53" i="99"/>
  <c r="G45" i="99"/>
  <c r="AC20" i="55"/>
  <c r="W46" i="99"/>
  <c r="AC19" i="55"/>
  <c r="W45" i="99"/>
  <c r="S53" i="99"/>
  <c r="G53" i="99" s="1"/>
  <c r="G47" i="99"/>
  <c r="BJ12" i="20"/>
  <c r="BJ11" i="20"/>
  <c r="BJ13" i="20"/>
  <c r="R205" i="99"/>
  <c r="R204" i="99"/>
  <c r="Q209" i="99"/>
  <c r="Q17" i="99"/>
  <c r="S209" i="99"/>
  <c r="S208" i="99"/>
  <c r="Q208" i="99"/>
  <c r="S183" i="99"/>
  <c r="Q20" i="99"/>
  <c r="Q183" i="99"/>
  <c r="BA17" i="20"/>
  <c r="BA30" i="20"/>
  <c r="BA50" i="20" s="1"/>
  <c r="BB10" i="20"/>
  <c r="J33" i="98" s="1"/>
  <c r="BB15" i="20"/>
  <c r="BA31" i="20"/>
  <c r="BA51" i="20" s="1"/>
  <c r="BD10" i="20"/>
  <c r="AR10" i="20"/>
  <c r="I33" i="98" s="1"/>
  <c r="AR15" i="20"/>
  <c r="AQ17" i="20"/>
  <c r="AQ31" i="20"/>
  <c r="AQ51" i="20" s="1"/>
  <c r="AQ30" i="20"/>
  <c r="AQ50" i="20" s="1"/>
  <c r="AT10" i="20"/>
  <c r="AJ10" i="20"/>
  <c r="AG19" i="20"/>
  <c r="AG30" i="20"/>
  <c r="AG50" i="20" s="1"/>
  <c r="AH10" i="20"/>
  <c r="H33" i="98" s="1"/>
  <c r="AH15" i="20"/>
  <c r="AG17" i="20"/>
  <c r="X28" i="20"/>
  <c r="X11" i="20"/>
  <c r="X27" i="20"/>
  <c r="W17" i="20"/>
  <c r="W31" i="20"/>
  <c r="W51" i="20" s="1"/>
  <c r="W30" i="20"/>
  <c r="W50" i="20" s="1"/>
  <c r="Z10" i="20"/>
  <c r="P15" i="20"/>
  <c r="M18" i="20"/>
  <c r="M19" i="20"/>
  <c r="M30" i="20"/>
  <c r="M50" i="20" s="1"/>
  <c r="N15" i="20"/>
  <c r="M17" i="20"/>
  <c r="C19" i="165" l="1"/>
  <c r="AC27" i="55"/>
  <c r="W53" i="99"/>
  <c r="Q53" i="99"/>
  <c r="BD11" i="20"/>
  <c r="BD28" i="20"/>
  <c r="BB28" i="20"/>
  <c r="BB11" i="20"/>
  <c r="BB16" i="20"/>
  <c r="AT11" i="20"/>
  <c r="AT28" i="20"/>
  <c r="AR28" i="20"/>
  <c r="AR11" i="20"/>
  <c r="AR16" i="20"/>
  <c r="AH11" i="20"/>
  <c r="AH16" i="20"/>
  <c r="AH28" i="20"/>
  <c r="AJ28" i="20"/>
  <c r="AJ11" i="20"/>
  <c r="Z11" i="20"/>
  <c r="Z28" i="20"/>
  <c r="X12" i="20"/>
  <c r="Y11" i="20"/>
  <c r="X29" i="20"/>
  <c r="X17" i="20"/>
  <c r="N11" i="20"/>
  <c r="N16" i="20"/>
  <c r="N28" i="20"/>
  <c r="P28" i="20"/>
  <c r="P11" i="20"/>
  <c r="P16" i="20"/>
  <c r="BB12" i="20" l="1"/>
  <c r="BB29" i="20"/>
  <c r="BB17" i="20"/>
  <c r="BC11" i="20"/>
  <c r="BD29" i="20"/>
  <c r="BD17" i="20"/>
  <c r="BD12" i="20"/>
  <c r="AT29" i="20"/>
  <c r="AT17" i="20"/>
  <c r="AT12" i="20"/>
  <c r="AR12" i="20"/>
  <c r="AR29" i="20"/>
  <c r="AR17" i="20"/>
  <c r="AS11" i="20"/>
  <c r="AH29" i="20"/>
  <c r="AH17" i="20"/>
  <c r="AH12" i="20"/>
  <c r="AI11" i="20"/>
  <c r="AJ12" i="20"/>
  <c r="AJ29" i="20"/>
  <c r="AJ17" i="20"/>
  <c r="X30" i="20"/>
  <c r="X13" i="20"/>
  <c r="X18" i="20"/>
  <c r="Y12" i="20"/>
  <c r="Y17" i="20"/>
  <c r="Y29" i="20"/>
  <c r="Y49" i="20" s="1"/>
  <c r="X49" i="20" s="1"/>
  <c r="Z29" i="20"/>
  <c r="Z17" i="20"/>
  <c r="Z12" i="20"/>
  <c r="N29" i="20"/>
  <c r="N17" i="20"/>
  <c r="O11" i="20"/>
  <c r="N12" i="20"/>
  <c r="P12" i="20"/>
  <c r="P29" i="20"/>
  <c r="P17" i="20"/>
  <c r="BL11" i="20" l="1"/>
  <c r="BC29" i="20"/>
  <c r="BC49" i="20" s="1"/>
  <c r="BB49" i="20" s="1"/>
  <c r="BC17" i="20"/>
  <c r="BD18" i="20"/>
  <c r="BD13" i="20"/>
  <c r="BD30" i="20"/>
  <c r="BB30" i="20"/>
  <c r="BB18" i="20"/>
  <c r="BB13" i="20"/>
  <c r="BC12" i="20"/>
  <c r="AS29" i="20"/>
  <c r="AS49" i="20" s="1"/>
  <c r="AR49" i="20" s="1"/>
  <c r="AS17" i="20"/>
  <c r="AT18" i="20"/>
  <c r="AT13" i="20"/>
  <c r="AT30" i="20"/>
  <c r="AR30" i="20"/>
  <c r="AR13" i="20"/>
  <c r="AR18" i="20"/>
  <c r="AS12" i="20"/>
  <c r="AI29" i="20"/>
  <c r="AI49" i="20" s="1"/>
  <c r="AH49" i="20" s="1"/>
  <c r="AI17" i="20"/>
  <c r="AH18" i="20"/>
  <c r="AH13" i="20"/>
  <c r="AH30" i="20"/>
  <c r="AI12" i="20"/>
  <c r="AJ13" i="20"/>
  <c r="AJ30" i="20"/>
  <c r="AJ18" i="20"/>
  <c r="Y30" i="20"/>
  <c r="Y50" i="20" s="1"/>
  <c r="X50" i="20" s="1"/>
  <c r="Y18" i="20"/>
  <c r="X19" i="20"/>
  <c r="X31" i="20"/>
  <c r="Y13" i="20"/>
  <c r="Z18" i="20"/>
  <c r="Z13" i="20"/>
  <c r="Z30" i="20"/>
  <c r="P13" i="20"/>
  <c r="P30" i="20"/>
  <c r="P18" i="20"/>
  <c r="O29" i="20"/>
  <c r="O49" i="20" s="1"/>
  <c r="N49" i="20" s="1"/>
  <c r="O17" i="20"/>
  <c r="N18" i="20"/>
  <c r="N13" i="20"/>
  <c r="N30" i="20"/>
  <c r="O12" i="20"/>
  <c r="BL12" i="20" l="1"/>
  <c r="BC30" i="20"/>
  <c r="BC50" i="20" s="1"/>
  <c r="BB50" i="20" s="1"/>
  <c r="BC18" i="20"/>
  <c r="BB19" i="20"/>
  <c r="BB31" i="20"/>
  <c r="BC13" i="20"/>
  <c r="BD31" i="20"/>
  <c r="BD19" i="20"/>
  <c r="AR19" i="20"/>
  <c r="AR31" i="20"/>
  <c r="AS13" i="20"/>
  <c r="AS30" i="20"/>
  <c r="AS50" i="20" s="1"/>
  <c r="AR50" i="20" s="1"/>
  <c r="AS18" i="20"/>
  <c r="AT31" i="20"/>
  <c r="AT19" i="20"/>
  <c r="AI30" i="20"/>
  <c r="AI50" i="20" s="1"/>
  <c r="AH50" i="20" s="1"/>
  <c r="AI18" i="20"/>
  <c r="AH31" i="20"/>
  <c r="AH19" i="20"/>
  <c r="AI13" i="20"/>
  <c r="AJ19" i="20"/>
  <c r="AJ31" i="20"/>
  <c r="Y31" i="20"/>
  <c r="Y51" i="20" s="1"/>
  <c r="X51" i="20" s="1"/>
  <c r="Y19" i="20"/>
  <c r="Z31" i="20"/>
  <c r="Z19" i="20"/>
  <c r="P19" i="20"/>
  <c r="P31" i="20"/>
  <c r="N31" i="20"/>
  <c r="N19" i="20"/>
  <c r="O13" i="20"/>
  <c r="O30" i="20"/>
  <c r="O50" i="20" s="1"/>
  <c r="N50" i="20" s="1"/>
  <c r="O18" i="20"/>
  <c r="BL13" i="20" l="1"/>
  <c r="BC31" i="20"/>
  <c r="BC51" i="20" s="1"/>
  <c r="BB51" i="20" s="1"/>
  <c r="BC19" i="20"/>
  <c r="AS19" i="20"/>
  <c r="AS31" i="20"/>
  <c r="AS51" i="20" s="1"/>
  <c r="AR51" i="20" s="1"/>
  <c r="AI19" i="20"/>
  <c r="AI31" i="20"/>
  <c r="AI51" i="20" s="1"/>
  <c r="AH51" i="20" s="1"/>
  <c r="O19" i="20"/>
  <c r="O31" i="20"/>
  <c r="O51" i="20" s="1"/>
  <c r="N51" i="20" s="1"/>
  <c r="A14" i="32" l="1"/>
  <c r="C2" i="186" l="1"/>
  <c r="G68" i="186"/>
  <c r="B68" i="186"/>
  <c r="G66" i="186"/>
  <c r="B66" i="186"/>
  <c r="H3" i="57" l="1"/>
  <c r="G68" i="83" l="1"/>
  <c r="B68" i="83"/>
  <c r="H8" i="83"/>
  <c r="I8" i="83"/>
  <c r="J8" i="83"/>
  <c r="K8" i="83"/>
  <c r="G8" i="83"/>
  <c r="P11" i="21"/>
  <c r="P69" i="21" s="1"/>
  <c r="G87" i="84"/>
  <c r="B87" i="84"/>
  <c r="C8" i="70"/>
  <c r="D8" i="70"/>
  <c r="E8" i="70"/>
  <c r="F8" i="70"/>
  <c r="B8" i="70"/>
  <c r="F3" i="90"/>
  <c r="I3" i="90"/>
  <c r="G26" i="90"/>
  <c r="G24" i="90"/>
  <c r="B26" i="90"/>
  <c r="E56" i="69"/>
  <c r="B56" i="69"/>
  <c r="E54" i="69"/>
  <c r="H8" i="84"/>
  <c r="I8" i="84"/>
  <c r="J8" i="84"/>
  <c r="K8" i="84"/>
  <c r="L179" i="54"/>
  <c r="B179" i="54"/>
  <c r="R177" i="54"/>
  <c r="Q177" i="54"/>
  <c r="P177" i="54"/>
  <c r="O177" i="54"/>
  <c r="N177" i="54"/>
  <c r="M177" i="54"/>
  <c r="L177" i="54"/>
  <c r="K177" i="54"/>
  <c r="J177" i="54"/>
  <c r="I177" i="54"/>
  <c r="H177" i="54"/>
  <c r="G177" i="54"/>
  <c r="F177" i="54"/>
  <c r="J186" i="54" s="1"/>
  <c r="M176" i="54"/>
  <c r="L176" i="54"/>
  <c r="K176" i="54"/>
  <c r="J176" i="54"/>
  <c r="I176" i="54"/>
  <c r="H176" i="54"/>
  <c r="G176" i="54"/>
  <c r="B175" i="54"/>
  <c r="R174" i="54"/>
  <c r="Q174" i="54"/>
  <c r="P174" i="54"/>
  <c r="O174" i="54"/>
  <c r="N174" i="54"/>
  <c r="M174" i="54"/>
  <c r="L174" i="54"/>
  <c r="K174" i="54"/>
  <c r="J174" i="54"/>
  <c r="I174" i="54"/>
  <c r="H174" i="54"/>
  <c r="G174" i="54"/>
  <c r="F174" i="54"/>
  <c r="M173" i="54"/>
  <c r="L173" i="54"/>
  <c r="K173" i="54"/>
  <c r="J173" i="54"/>
  <c r="I173" i="54"/>
  <c r="H173" i="54"/>
  <c r="G173" i="54"/>
  <c r="F173" i="54" s="1"/>
  <c r="I184" i="54" s="1"/>
  <c r="B172" i="54"/>
  <c r="R171" i="54"/>
  <c r="Q171" i="54"/>
  <c r="P171" i="54"/>
  <c r="O171" i="54"/>
  <c r="N171" i="54"/>
  <c r="M171" i="54"/>
  <c r="L171" i="54"/>
  <c r="K171" i="54"/>
  <c r="J171" i="54"/>
  <c r="I171" i="54"/>
  <c r="H171" i="54"/>
  <c r="G171" i="54"/>
  <c r="F171" i="54"/>
  <c r="H186" i="54" s="1"/>
  <c r="M170" i="54"/>
  <c r="L170" i="54"/>
  <c r="K170" i="54"/>
  <c r="J170" i="54"/>
  <c r="I170" i="54"/>
  <c r="H170" i="54"/>
  <c r="G170" i="54"/>
  <c r="B169" i="54"/>
  <c r="R168" i="54"/>
  <c r="Q168" i="54"/>
  <c r="P168" i="54"/>
  <c r="O168" i="54"/>
  <c r="N168" i="54"/>
  <c r="M168" i="54"/>
  <c r="L168" i="54"/>
  <c r="K168" i="54"/>
  <c r="J168" i="54"/>
  <c r="I168" i="54"/>
  <c r="H168" i="54"/>
  <c r="G168" i="54"/>
  <c r="F168" i="54"/>
  <c r="G186" i="54" s="1"/>
  <c r="M167" i="54"/>
  <c r="M127" i="54" s="1"/>
  <c r="L167" i="54"/>
  <c r="K167" i="54"/>
  <c r="J167" i="54"/>
  <c r="I167" i="54"/>
  <c r="I127" i="54" s="1"/>
  <c r="H167" i="54"/>
  <c r="G167" i="54"/>
  <c r="B166" i="54"/>
  <c r="R163" i="54"/>
  <c r="R162" i="54" s="1"/>
  <c r="Q163" i="54"/>
  <c r="Q162" i="54" s="1"/>
  <c r="P163" i="54"/>
  <c r="P162" i="54" s="1"/>
  <c r="O163" i="54"/>
  <c r="O162" i="54" s="1"/>
  <c r="N163" i="54"/>
  <c r="N162" i="54" s="1"/>
  <c r="M163" i="54"/>
  <c r="M162" i="54" s="1"/>
  <c r="L163" i="54"/>
  <c r="L162" i="54" s="1"/>
  <c r="K163" i="54"/>
  <c r="K162" i="54" s="1"/>
  <c r="J163" i="54"/>
  <c r="J162" i="54" s="1"/>
  <c r="I163" i="54"/>
  <c r="I162" i="54" s="1"/>
  <c r="H163" i="54"/>
  <c r="H162" i="54" s="1"/>
  <c r="G163" i="54"/>
  <c r="G162" i="54" s="1"/>
  <c r="F163" i="54"/>
  <c r="F162" i="54" s="1"/>
  <c r="M160" i="54"/>
  <c r="M159" i="54" s="1"/>
  <c r="L160" i="54"/>
  <c r="L159" i="54" s="1"/>
  <c r="K160" i="54"/>
  <c r="K159" i="54" s="1"/>
  <c r="J160" i="54"/>
  <c r="J159" i="54" s="1"/>
  <c r="I160" i="54"/>
  <c r="I159" i="54" s="1"/>
  <c r="H160" i="54"/>
  <c r="H159" i="54" s="1"/>
  <c r="G160" i="54"/>
  <c r="G159" i="54" s="1"/>
  <c r="R159" i="54"/>
  <c r="Q159" i="54"/>
  <c r="P159" i="54"/>
  <c r="O159" i="54"/>
  <c r="N159" i="54"/>
  <c r="B158" i="54"/>
  <c r="R156" i="54"/>
  <c r="Q156" i="54"/>
  <c r="Q155" i="54" s="1"/>
  <c r="P156" i="54"/>
  <c r="P155" i="54" s="1"/>
  <c r="O156" i="54"/>
  <c r="O155" i="54" s="1"/>
  <c r="N156" i="54"/>
  <c r="M156" i="54"/>
  <c r="M155" i="54" s="1"/>
  <c r="L156" i="54"/>
  <c r="L155" i="54" s="1"/>
  <c r="K156" i="54"/>
  <c r="K155" i="54" s="1"/>
  <c r="J156" i="54"/>
  <c r="J155" i="54" s="1"/>
  <c r="I156" i="54"/>
  <c r="I155" i="54" s="1"/>
  <c r="H156" i="54"/>
  <c r="H155" i="54" s="1"/>
  <c r="G156" i="54"/>
  <c r="G155" i="54" s="1"/>
  <c r="F156" i="54"/>
  <c r="F155" i="54" s="1"/>
  <c r="R155" i="54"/>
  <c r="N155" i="54"/>
  <c r="F154" i="54"/>
  <c r="M153" i="54"/>
  <c r="M152" i="54" s="1"/>
  <c r="L153" i="54"/>
  <c r="L152" i="54" s="1"/>
  <c r="K153" i="54"/>
  <c r="K122" i="54" s="1"/>
  <c r="K121" i="54" s="1"/>
  <c r="J153" i="54"/>
  <c r="I153" i="54"/>
  <c r="I122" i="54" s="1"/>
  <c r="I121" i="54" s="1"/>
  <c r="H153" i="54"/>
  <c r="H152" i="54" s="1"/>
  <c r="G153" i="54"/>
  <c r="G152" i="54" s="1"/>
  <c r="J152" i="54"/>
  <c r="B151" i="54"/>
  <c r="F136" i="54"/>
  <c r="D136" i="54"/>
  <c r="F135" i="54"/>
  <c r="D135" i="54"/>
  <c r="R134" i="54"/>
  <c r="Q134" i="54"/>
  <c r="P134" i="54"/>
  <c r="O134" i="54"/>
  <c r="N134" i="54"/>
  <c r="M134" i="54"/>
  <c r="L134" i="54"/>
  <c r="K134" i="54"/>
  <c r="J134" i="54"/>
  <c r="I134" i="54"/>
  <c r="H134" i="54"/>
  <c r="G134" i="54"/>
  <c r="D134" i="54"/>
  <c r="F133" i="54"/>
  <c r="D133" i="54"/>
  <c r="F132" i="54"/>
  <c r="D132" i="54"/>
  <c r="R131" i="54"/>
  <c r="Q131" i="54"/>
  <c r="P131" i="54"/>
  <c r="O131" i="54"/>
  <c r="N131" i="54"/>
  <c r="M131" i="54"/>
  <c r="L131" i="54"/>
  <c r="K131" i="54"/>
  <c r="J131" i="54"/>
  <c r="I131" i="54"/>
  <c r="H131" i="54"/>
  <c r="G131" i="54"/>
  <c r="F131" i="54"/>
  <c r="F130" i="54"/>
  <c r="F129" i="54"/>
  <c r="D129" i="54"/>
  <c r="M128" i="54"/>
  <c r="L128" i="54"/>
  <c r="K128" i="54"/>
  <c r="J128" i="54"/>
  <c r="I128" i="54"/>
  <c r="H128" i="54"/>
  <c r="G128" i="54"/>
  <c r="F128" i="54" s="1"/>
  <c r="R127" i="54"/>
  <c r="Q127" i="54"/>
  <c r="P127" i="54"/>
  <c r="O127" i="54"/>
  <c r="N127" i="54"/>
  <c r="J127" i="54"/>
  <c r="F126" i="54"/>
  <c r="E126" i="54"/>
  <c r="D126" i="54"/>
  <c r="F125" i="54"/>
  <c r="D125" i="54"/>
  <c r="M124" i="54"/>
  <c r="L124" i="54"/>
  <c r="K124" i="54"/>
  <c r="J124" i="54"/>
  <c r="I124" i="54"/>
  <c r="H124" i="54"/>
  <c r="G124" i="54"/>
  <c r="F123" i="54"/>
  <c r="D123" i="54"/>
  <c r="R122" i="54"/>
  <c r="Q122" i="54"/>
  <c r="P122" i="54"/>
  <c r="O122" i="54"/>
  <c r="N122" i="54"/>
  <c r="G122" i="54"/>
  <c r="D122" i="54"/>
  <c r="R120" i="54"/>
  <c r="Q120" i="54"/>
  <c r="P120" i="54"/>
  <c r="O120" i="54"/>
  <c r="N120" i="54"/>
  <c r="R118" i="54"/>
  <c r="Q118" i="54"/>
  <c r="P118" i="54"/>
  <c r="O118" i="54"/>
  <c r="N118" i="54"/>
  <c r="E118" i="54"/>
  <c r="R116" i="54"/>
  <c r="Q116" i="54"/>
  <c r="P116" i="54"/>
  <c r="O116" i="54"/>
  <c r="N116" i="54"/>
  <c r="M116" i="54"/>
  <c r="L116" i="54"/>
  <c r="K116" i="54"/>
  <c r="J116" i="54"/>
  <c r="I116" i="54"/>
  <c r="H116" i="54"/>
  <c r="R115" i="54"/>
  <c r="Q115" i="54"/>
  <c r="P115" i="54"/>
  <c r="O115" i="54"/>
  <c r="N115" i="54"/>
  <c r="M115" i="54"/>
  <c r="L115" i="54"/>
  <c r="K115" i="54"/>
  <c r="J115" i="54"/>
  <c r="I115" i="54"/>
  <c r="H115" i="54"/>
  <c r="G115" i="54"/>
  <c r="E115" i="54"/>
  <c r="D115" i="54"/>
  <c r="R114" i="54"/>
  <c r="Q114" i="54"/>
  <c r="P114" i="54"/>
  <c r="O114" i="54"/>
  <c r="N114" i="54"/>
  <c r="M114" i="54"/>
  <c r="L114" i="54"/>
  <c r="K114" i="54"/>
  <c r="J114" i="54"/>
  <c r="I114" i="54"/>
  <c r="H114" i="54"/>
  <c r="G114" i="54"/>
  <c r="G112" i="54" s="1"/>
  <c r="R113" i="54"/>
  <c r="Q113" i="54"/>
  <c r="Q112" i="54" s="1"/>
  <c r="P113" i="54"/>
  <c r="O113" i="54"/>
  <c r="O112" i="54" s="1"/>
  <c r="N113" i="54"/>
  <c r="M113" i="54"/>
  <c r="M112" i="54" s="1"/>
  <c r="L113" i="54"/>
  <c r="K113" i="54"/>
  <c r="K112" i="54" s="1"/>
  <c r="J113" i="54"/>
  <c r="I113" i="54"/>
  <c r="I112" i="54" s="1"/>
  <c r="H113" i="54"/>
  <c r="R112" i="54"/>
  <c r="P112" i="54"/>
  <c r="N112" i="54"/>
  <c r="L112" i="54"/>
  <c r="J112" i="54"/>
  <c r="H112" i="54"/>
  <c r="F112" i="54"/>
  <c r="E112" i="54"/>
  <c r="D112" i="54"/>
  <c r="R111" i="54"/>
  <c r="Q111" i="54"/>
  <c r="P111" i="54"/>
  <c r="O111" i="54"/>
  <c r="N111" i="54"/>
  <c r="M111" i="54"/>
  <c r="L111" i="54"/>
  <c r="K111" i="54"/>
  <c r="J111" i="54"/>
  <c r="I111" i="54"/>
  <c r="H111" i="54"/>
  <c r="G111" i="54"/>
  <c r="R110" i="54"/>
  <c r="Q110" i="54"/>
  <c r="P110" i="54"/>
  <c r="O110" i="54"/>
  <c r="N110" i="54"/>
  <c r="M110" i="54"/>
  <c r="L110" i="54"/>
  <c r="K110" i="54"/>
  <c r="J110" i="54"/>
  <c r="I110" i="54"/>
  <c r="H110" i="54"/>
  <c r="G110" i="54"/>
  <c r="R109" i="54"/>
  <c r="Q109" i="54"/>
  <c r="P109" i="54"/>
  <c r="O109" i="54"/>
  <c r="N109" i="54"/>
  <c r="M109" i="54"/>
  <c r="L109" i="54"/>
  <c r="K109" i="54"/>
  <c r="J109" i="54"/>
  <c r="I109" i="54"/>
  <c r="H109" i="54"/>
  <c r="G109" i="54"/>
  <c r="F109" i="54"/>
  <c r="E109" i="54"/>
  <c r="D109" i="54"/>
  <c r="R108" i="54"/>
  <c r="Q108" i="54"/>
  <c r="P108" i="54"/>
  <c r="O108" i="54"/>
  <c r="N108" i="54"/>
  <c r="M108" i="54"/>
  <c r="L108" i="54"/>
  <c r="K108" i="54"/>
  <c r="J108" i="54"/>
  <c r="I108" i="54"/>
  <c r="H108" i="54"/>
  <c r="G108" i="54"/>
  <c r="R107" i="54"/>
  <c r="Q107" i="54"/>
  <c r="P107" i="54"/>
  <c r="O107" i="54"/>
  <c r="N107" i="54"/>
  <c r="M107" i="54"/>
  <c r="L107" i="54"/>
  <c r="K107" i="54"/>
  <c r="J107" i="54"/>
  <c r="I107" i="54"/>
  <c r="H107" i="54"/>
  <c r="G107" i="54"/>
  <c r="H106" i="54"/>
  <c r="I106" i="54" s="1"/>
  <c r="J106" i="54" s="1"/>
  <c r="K106" i="54" s="1"/>
  <c r="L106" i="54" s="1"/>
  <c r="M106" i="54" s="1"/>
  <c r="N106" i="54" s="1"/>
  <c r="O106" i="54" s="1"/>
  <c r="P106" i="54" s="1"/>
  <c r="Q106" i="54" s="1"/>
  <c r="R106" i="54" s="1"/>
  <c r="G106" i="54"/>
  <c r="E106" i="54"/>
  <c r="D106" i="54"/>
  <c r="P105" i="54"/>
  <c r="O105" i="54"/>
  <c r="L105" i="54"/>
  <c r="K105" i="54"/>
  <c r="H105" i="54"/>
  <c r="G105" i="54"/>
  <c r="R104" i="54"/>
  <c r="Q104" i="54"/>
  <c r="P104" i="54"/>
  <c r="O104" i="54"/>
  <c r="N104" i="54"/>
  <c r="M104" i="54"/>
  <c r="L104" i="54"/>
  <c r="K104" i="54"/>
  <c r="J104" i="54"/>
  <c r="I104" i="54"/>
  <c r="H104" i="54"/>
  <c r="G104" i="54"/>
  <c r="R103" i="54"/>
  <c r="Q103" i="54"/>
  <c r="P103" i="54"/>
  <c r="O103" i="54"/>
  <c r="N103" i="54"/>
  <c r="M103" i="54"/>
  <c r="L103" i="54"/>
  <c r="K103" i="54"/>
  <c r="J103" i="54"/>
  <c r="I103" i="54"/>
  <c r="H103" i="54"/>
  <c r="G103" i="54"/>
  <c r="F102" i="54"/>
  <c r="R102" i="54" s="1"/>
  <c r="E102" i="54"/>
  <c r="D102" i="54"/>
  <c r="R101" i="54"/>
  <c r="Q101" i="54"/>
  <c r="P101" i="54"/>
  <c r="O101" i="54"/>
  <c r="N101" i="54"/>
  <c r="M101" i="54"/>
  <c r="L101" i="54"/>
  <c r="K101" i="54"/>
  <c r="J101" i="54"/>
  <c r="I101" i="54"/>
  <c r="H101" i="54"/>
  <c r="G101" i="54"/>
  <c r="E99" i="54"/>
  <c r="E98" i="54" s="1"/>
  <c r="E97" i="54" s="1"/>
  <c r="D99" i="54"/>
  <c r="D97" i="54"/>
  <c r="F96" i="54"/>
  <c r="F95" i="54"/>
  <c r="R93" i="54"/>
  <c r="Q93" i="54"/>
  <c r="P93" i="54"/>
  <c r="O93" i="54"/>
  <c r="N93" i="54"/>
  <c r="M93" i="54"/>
  <c r="L93" i="54"/>
  <c r="K93" i="54"/>
  <c r="J93" i="54"/>
  <c r="I93" i="54"/>
  <c r="H93" i="54"/>
  <c r="G93" i="54"/>
  <c r="E93" i="54"/>
  <c r="D93" i="54"/>
  <c r="N89" i="54"/>
  <c r="F91" i="54"/>
  <c r="R89" i="54"/>
  <c r="Q89" i="54"/>
  <c r="P89" i="54"/>
  <c r="O89" i="54"/>
  <c r="E89" i="54"/>
  <c r="D89" i="54"/>
  <c r="D131" i="54" s="1"/>
  <c r="F88" i="54"/>
  <c r="F85" i="54" s="1"/>
  <c r="E85" i="54"/>
  <c r="E127" i="54" s="1"/>
  <c r="D85" i="54"/>
  <c r="D127" i="54" s="1"/>
  <c r="M84" i="54"/>
  <c r="M48" i="54" s="1"/>
  <c r="M52" i="54" s="1"/>
  <c r="M28" i="54" s="1"/>
  <c r="I84" i="54"/>
  <c r="I48" i="54" s="1"/>
  <c r="I52" i="54" s="1"/>
  <c r="I28" i="54" s="1"/>
  <c r="F83" i="54"/>
  <c r="F82" i="54"/>
  <c r="R81" i="54"/>
  <c r="Q81" i="54"/>
  <c r="P81" i="54"/>
  <c r="O81" i="54"/>
  <c r="N81" i="54"/>
  <c r="M81" i="54"/>
  <c r="L81" i="54"/>
  <c r="K81" i="54"/>
  <c r="J81" i="54"/>
  <c r="I81" i="54"/>
  <c r="H81" i="54"/>
  <c r="G81" i="54"/>
  <c r="F81" i="54"/>
  <c r="E81" i="54"/>
  <c r="D81" i="54"/>
  <c r="D124" i="54" s="1"/>
  <c r="F80" i="54"/>
  <c r="R78" i="54"/>
  <c r="Q78" i="54"/>
  <c r="P78" i="54"/>
  <c r="O78" i="54"/>
  <c r="N78" i="54"/>
  <c r="E78" i="54"/>
  <c r="E76" i="54" s="1"/>
  <c r="E75" i="54" s="1"/>
  <c r="D78" i="54"/>
  <c r="D121" i="54" s="1"/>
  <c r="D76" i="54"/>
  <c r="D120" i="54" s="1"/>
  <c r="R75" i="54"/>
  <c r="Q75" i="54"/>
  <c r="P75" i="54"/>
  <c r="O75" i="54"/>
  <c r="N75" i="54"/>
  <c r="F73" i="54"/>
  <c r="F72" i="54" s="1"/>
  <c r="R72" i="54"/>
  <c r="R70" i="54" s="1"/>
  <c r="Q72" i="54"/>
  <c r="Q70" i="54" s="1"/>
  <c r="P72" i="54"/>
  <c r="P70" i="54" s="1"/>
  <c r="O72" i="54"/>
  <c r="N72" i="54"/>
  <c r="M72" i="54"/>
  <c r="L72" i="54"/>
  <c r="K72" i="54"/>
  <c r="J72" i="54"/>
  <c r="I72" i="54"/>
  <c r="H72" i="54"/>
  <c r="G72" i="54"/>
  <c r="E72" i="54"/>
  <c r="D72" i="54"/>
  <c r="N70" i="54"/>
  <c r="F64" i="54"/>
  <c r="F63" i="54"/>
  <c r="F62" i="54"/>
  <c r="F61" i="54"/>
  <c r="F60" i="54"/>
  <c r="R59" i="54"/>
  <c r="Q59" i="54"/>
  <c r="P59" i="54"/>
  <c r="O59" i="54"/>
  <c r="N59" i="54"/>
  <c r="M59" i="54"/>
  <c r="L59" i="54"/>
  <c r="K59" i="54"/>
  <c r="J59" i="54"/>
  <c r="I59" i="54"/>
  <c r="H59" i="54"/>
  <c r="G59" i="54"/>
  <c r="E59" i="54"/>
  <c r="D59" i="54"/>
  <c r="F58" i="54"/>
  <c r="F57" i="54"/>
  <c r="F56" i="54"/>
  <c r="F55" i="54"/>
  <c r="L53" i="54"/>
  <c r="L49" i="54" s="1"/>
  <c r="J53" i="54"/>
  <c r="J49" i="54" s="1"/>
  <c r="I53" i="54"/>
  <c r="I49" i="54" s="1"/>
  <c r="R53" i="54"/>
  <c r="Q53" i="54"/>
  <c r="Q49" i="54" s="1"/>
  <c r="Q46" i="54" s="1"/>
  <c r="Q50" i="54" s="1"/>
  <c r="P53" i="54"/>
  <c r="O53" i="54"/>
  <c r="N53" i="54"/>
  <c r="M53" i="54"/>
  <c r="M49" i="54" s="1"/>
  <c r="K53" i="54"/>
  <c r="K49" i="54" s="1"/>
  <c r="G53" i="54"/>
  <c r="E53" i="54"/>
  <c r="D53" i="54"/>
  <c r="O49" i="54"/>
  <c r="G49" i="54"/>
  <c r="E49" i="54"/>
  <c r="R48" i="54"/>
  <c r="Q48" i="54"/>
  <c r="P48" i="54"/>
  <c r="O48" i="54"/>
  <c r="N48" i="54"/>
  <c r="E48" i="54"/>
  <c r="D48" i="54"/>
  <c r="R47" i="54"/>
  <c r="Q47" i="54"/>
  <c r="P47" i="54"/>
  <c r="O47" i="54"/>
  <c r="N47" i="54"/>
  <c r="E47" i="54"/>
  <c r="D47" i="54"/>
  <c r="E46" i="54"/>
  <c r="D46" i="54"/>
  <c r="R43" i="54"/>
  <c r="R41" i="54" s="1"/>
  <c r="Q43" i="54"/>
  <c r="Q41" i="54" s="1"/>
  <c r="P43" i="54"/>
  <c r="O43" i="54"/>
  <c r="O41" i="54" s="1"/>
  <c r="N43" i="54"/>
  <c r="N41" i="54" s="1"/>
  <c r="M43" i="54"/>
  <c r="M41" i="54" s="1"/>
  <c r="L43" i="54"/>
  <c r="K43" i="54"/>
  <c r="K41" i="54" s="1"/>
  <c r="J43" i="54"/>
  <c r="J41" i="54" s="1"/>
  <c r="I43" i="54"/>
  <c r="I41" i="54" s="1"/>
  <c r="H43" i="54"/>
  <c r="G43" i="54"/>
  <c r="G41" i="54" s="1"/>
  <c r="F43" i="54"/>
  <c r="F41" i="54" s="1"/>
  <c r="E43" i="54"/>
  <c r="E41" i="54" s="1"/>
  <c r="D43" i="54"/>
  <c r="P41" i="54"/>
  <c r="L41" i="54"/>
  <c r="H41" i="54"/>
  <c r="D41" i="54"/>
  <c r="R40" i="54"/>
  <c r="Q40" i="54"/>
  <c r="Q38" i="54" s="1"/>
  <c r="P40" i="54"/>
  <c r="O40" i="54"/>
  <c r="N40" i="54"/>
  <c r="M40" i="54"/>
  <c r="M38" i="54" s="1"/>
  <c r="L40" i="54"/>
  <c r="K40" i="54"/>
  <c r="J40" i="54"/>
  <c r="I40" i="54"/>
  <c r="I38" i="54" s="1"/>
  <c r="H40" i="54"/>
  <c r="G40" i="54"/>
  <c r="E40" i="54"/>
  <c r="D40" i="54"/>
  <c r="D38" i="54" s="1"/>
  <c r="R39" i="54"/>
  <c r="Q39" i="54"/>
  <c r="P39" i="54"/>
  <c r="O39" i="54"/>
  <c r="N39" i="54"/>
  <c r="M39" i="54"/>
  <c r="L39" i="54"/>
  <c r="K39" i="54"/>
  <c r="J39" i="54"/>
  <c r="J38" i="54" s="1"/>
  <c r="I39" i="54"/>
  <c r="H39" i="54"/>
  <c r="G39" i="54"/>
  <c r="F39" i="54" s="1"/>
  <c r="E39" i="54"/>
  <c r="R38" i="54"/>
  <c r="P38" i="54"/>
  <c r="N38" i="54"/>
  <c r="L38" i="54"/>
  <c r="H38" i="54"/>
  <c r="R37" i="54"/>
  <c r="Q37" i="54"/>
  <c r="P37" i="54"/>
  <c r="P35" i="54" s="1"/>
  <c r="O37" i="54"/>
  <c r="N37" i="54"/>
  <c r="M37" i="54"/>
  <c r="L37" i="54"/>
  <c r="L35" i="54" s="1"/>
  <c r="K37" i="54"/>
  <c r="J37" i="54"/>
  <c r="I37" i="54"/>
  <c r="H37" i="54"/>
  <c r="H35" i="54" s="1"/>
  <c r="G37" i="54"/>
  <c r="E37" i="54"/>
  <c r="R36" i="54"/>
  <c r="Q36" i="54"/>
  <c r="Q35" i="54" s="1"/>
  <c r="P36" i="54"/>
  <c r="O36" i="54"/>
  <c r="O35" i="54" s="1"/>
  <c r="N36" i="54"/>
  <c r="M36" i="54"/>
  <c r="M35" i="54" s="1"/>
  <c r="L36" i="54"/>
  <c r="K36" i="54"/>
  <c r="K35" i="54" s="1"/>
  <c r="J36" i="54"/>
  <c r="I36" i="54"/>
  <c r="I35" i="54" s="1"/>
  <c r="H36" i="54"/>
  <c r="G36" i="54"/>
  <c r="G35" i="54" s="1"/>
  <c r="E36" i="54"/>
  <c r="R35" i="54"/>
  <c r="N35" i="54"/>
  <c r="J35" i="54"/>
  <c r="E35" i="54"/>
  <c r="D35" i="54"/>
  <c r="R34" i="54"/>
  <c r="Q34" i="54"/>
  <c r="P34" i="54"/>
  <c r="O34" i="54"/>
  <c r="N34" i="54"/>
  <c r="M34" i="54"/>
  <c r="L34" i="54"/>
  <c r="K34" i="54"/>
  <c r="J34" i="54"/>
  <c r="I34" i="54"/>
  <c r="H34" i="54"/>
  <c r="F34" i="54" s="1"/>
  <c r="G34" i="54"/>
  <c r="E34" i="54"/>
  <c r="R33" i="54"/>
  <c r="R21" i="54" s="1"/>
  <c r="Q33" i="54"/>
  <c r="P33" i="54"/>
  <c r="P32" i="54" s="1"/>
  <c r="O33" i="54"/>
  <c r="N33" i="54"/>
  <c r="N32" i="54" s="1"/>
  <c r="M33" i="54"/>
  <c r="L33" i="54"/>
  <c r="L32" i="54" s="1"/>
  <c r="K33" i="54"/>
  <c r="J33" i="54"/>
  <c r="J32" i="54" s="1"/>
  <c r="I33" i="54"/>
  <c r="H33" i="54"/>
  <c r="H32" i="54" s="1"/>
  <c r="G33" i="54"/>
  <c r="E33" i="54"/>
  <c r="E32" i="54" s="1"/>
  <c r="Q32" i="54"/>
  <c r="O32" i="54"/>
  <c r="M32" i="54"/>
  <c r="K32" i="54"/>
  <c r="I32" i="54"/>
  <c r="G32" i="54"/>
  <c r="D32" i="54"/>
  <c r="R31" i="54"/>
  <c r="R29" i="54" s="1"/>
  <c r="Q31" i="54"/>
  <c r="P31" i="54"/>
  <c r="O31" i="54"/>
  <c r="N31" i="54"/>
  <c r="N29" i="54" s="1"/>
  <c r="M31" i="54"/>
  <c r="L31" i="54"/>
  <c r="K31" i="54"/>
  <c r="J31" i="54"/>
  <c r="J29" i="54" s="1"/>
  <c r="I31" i="54"/>
  <c r="H31" i="54"/>
  <c r="G31" i="54"/>
  <c r="E31" i="54"/>
  <c r="R30" i="54"/>
  <c r="Q30" i="54"/>
  <c r="Q29" i="54" s="1"/>
  <c r="P30" i="54"/>
  <c r="O30" i="54"/>
  <c r="O29" i="54" s="1"/>
  <c r="N30" i="54"/>
  <c r="M30" i="54"/>
  <c r="M29" i="54" s="1"/>
  <c r="L30" i="54"/>
  <c r="K30" i="54"/>
  <c r="K29" i="54" s="1"/>
  <c r="J30" i="54"/>
  <c r="I30" i="54"/>
  <c r="I29" i="54" s="1"/>
  <c r="H30" i="54"/>
  <c r="G30" i="54"/>
  <c r="F30" i="54" s="1"/>
  <c r="E30" i="54"/>
  <c r="D30" i="54"/>
  <c r="D29" i="54" s="1"/>
  <c r="P29" i="54"/>
  <c r="L29" i="54"/>
  <c r="H29" i="54"/>
  <c r="E28" i="54"/>
  <c r="E26" i="54" s="1"/>
  <c r="Q27" i="54"/>
  <c r="P27" i="54"/>
  <c r="P21" i="54" s="1"/>
  <c r="P16" i="54" s="1"/>
  <c r="O27" i="54"/>
  <c r="N27" i="54"/>
  <c r="N21" i="54" s="1"/>
  <c r="N16" i="54" s="1"/>
  <c r="E27" i="54"/>
  <c r="D26" i="54"/>
  <c r="E21" i="54"/>
  <c r="E16" i="54" s="1"/>
  <c r="F19" i="54"/>
  <c r="D15" i="54"/>
  <c r="F14" i="54"/>
  <c r="D13" i="54"/>
  <c r="F35" i="54" l="1"/>
  <c r="Q21" i="54"/>
  <c r="Q16" i="54" s="1"/>
  <c r="F31" i="54"/>
  <c r="E38" i="54"/>
  <c r="D49" i="54"/>
  <c r="O70" i="54"/>
  <c r="K102" i="54"/>
  <c r="J29" i="29"/>
  <c r="H10" i="98"/>
  <c r="H11" i="98" s="1"/>
  <c r="V5" i="20"/>
  <c r="E5" i="165"/>
  <c r="F12" i="29"/>
  <c r="G8" i="98"/>
  <c r="J9" i="57"/>
  <c r="G9" i="58"/>
  <c r="N10" i="99" s="1"/>
  <c r="F33" i="54"/>
  <c r="F36" i="54"/>
  <c r="F40" i="54"/>
  <c r="K38" i="54"/>
  <c r="O38" i="54"/>
  <c r="M102" i="54"/>
  <c r="F134" i="54"/>
  <c r="I120" i="54"/>
  <c r="I119" i="54" s="1"/>
  <c r="I118" i="54" s="1"/>
  <c r="AZ5" i="20"/>
  <c r="H5" i="165"/>
  <c r="O12" i="29"/>
  <c r="J8" i="98"/>
  <c r="E9" i="58"/>
  <c r="H10" i="99" s="1"/>
  <c r="H9" i="57"/>
  <c r="D6" i="167" s="1"/>
  <c r="I9" i="57"/>
  <c r="F9" i="58"/>
  <c r="K10" i="99" s="1"/>
  <c r="E22" i="54"/>
  <c r="E17" i="54" s="1"/>
  <c r="E15" i="54" s="1"/>
  <c r="E13" i="54" s="1"/>
  <c r="O21" i="54"/>
  <c r="O16" i="54" s="1"/>
  <c r="E29" i="54"/>
  <c r="E25" i="54" s="1"/>
  <c r="E23" i="54" s="1"/>
  <c r="R32" i="54"/>
  <c r="F32" i="54" s="1"/>
  <c r="F37" i="54"/>
  <c r="O46" i="54"/>
  <c r="O50" i="54" s="1"/>
  <c r="I22" i="54"/>
  <c r="I17" i="54" s="1"/>
  <c r="G102" i="54"/>
  <c r="O102" i="54"/>
  <c r="F124" i="54"/>
  <c r="M22" i="29"/>
  <c r="I17" i="98"/>
  <c r="P29" i="29"/>
  <c r="J10" i="98"/>
  <c r="J11" i="98" s="1"/>
  <c r="AP5" i="20"/>
  <c r="L12" i="29"/>
  <c r="G5" i="165"/>
  <c r="I8" i="98"/>
  <c r="L9" i="57"/>
  <c r="I9" i="58"/>
  <c r="T10" i="99" s="1"/>
  <c r="D25" i="54"/>
  <c r="D23" i="54" s="1"/>
  <c r="F59" i="54"/>
  <c r="P49" i="54"/>
  <c r="P46" i="54" s="1"/>
  <c r="P50" i="54" s="1"/>
  <c r="E70" i="54"/>
  <c r="M22" i="54"/>
  <c r="M17" i="54" s="1"/>
  <c r="F89" i="54"/>
  <c r="F93" i="54"/>
  <c r="I102" i="54"/>
  <c r="Q102" i="54"/>
  <c r="F116" i="54"/>
  <c r="F115" i="54" s="1"/>
  <c r="G79" i="54"/>
  <c r="G47" i="54" s="1"/>
  <c r="G29" i="29"/>
  <c r="G10" i="98"/>
  <c r="G11" i="98" s="1"/>
  <c r="AF5" i="20"/>
  <c r="I12" i="29"/>
  <c r="F5" i="165"/>
  <c r="H8" i="98"/>
  <c r="K9" i="57"/>
  <c r="H9" i="58"/>
  <c r="Q10" i="99" s="1"/>
  <c r="K43" i="57"/>
  <c r="G47" i="57" s="1"/>
  <c r="X58" i="55"/>
  <c r="K4" i="188"/>
  <c r="K5" i="188" s="1"/>
  <c r="H38" i="58"/>
  <c r="AQ16" i="20"/>
  <c r="AS16" i="20" s="1"/>
  <c r="R15" i="99"/>
  <c r="G13" i="167" s="1"/>
  <c r="AQ10" i="20"/>
  <c r="Q105" i="54"/>
  <c r="I186" i="54"/>
  <c r="L127" i="54"/>
  <c r="K84" i="54"/>
  <c r="K48" i="54" s="1"/>
  <c r="K52" i="54" s="1"/>
  <c r="K28" i="54" s="1"/>
  <c r="K22" i="54" s="1"/>
  <c r="K17" i="54" s="1"/>
  <c r="J84" i="54"/>
  <c r="J48" i="54" s="1"/>
  <c r="J52" i="54" s="1"/>
  <c r="J28" i="54" s="1"/>
  <c r="J22" i="54" s="1"/>
  <c r="J17" i="54" s="1"/>
  <c r="P19" i="99"/>
  <c r="M19" i="99"/>
  <c r="K152" i="54"/>
  <c r="K79" i="54" s="1"/>
  <c r="K78" i="54" s="1"/>
  <c r="V19" i="99"/>
  <c r="F100" i="54"/>
  <c r="P100" i="54" s="1"/>
  <c r="I152" i="54"/>
  <c r="I79" i="54" s="1"/>
  <c r="F160" i="54"/>
  <c r="M79" i="54"/>
  <c r="M47" i="54" s="1"/>
  <c r="M51" i="54" s="1"/>
  <c r="H127" i="54"/>
  <c r="L84" i="54"/>
  <c r="L48" i="54" s="1"/>
  <c r="L52" i="54" s="1"/>
  <c r="L28" i="54" s="1"/>
  <c r="L22" i="54" s="1"/>
  <c r="L17" i="54" s="1"/>
  <c r="H84" i="54"/>
  <c r="H48" i="54" s="1"/>
  <c r="H52" i="54" s="1"/>
  <c r="H28" i="54" s="1"/>
  <c r="H22" i="54" s="1"/>
  <c r="H17" i="54" s="1"/>
  <c r="F153" i="54"/>
  <c r="L79" i="54"/>
  <c r="L78" i="54" s="1"/>
  <c r="L76" i="54" s="1"/>
  <c r="F170" i="54"/>
  <c r="H184" i="54" s="1"/>
  <c r="F54" i="54"/>
  <c r="G84" i="54"/>
  <c r="G48" i="54" s="1"/>
  <c r="F105" i="54"/>
  <c r="J105" i="54"/>
  <c r="N105" i="54"/>
  <c r="R105" i="54"/>
  <c r="M122" i="54"/>
  <c r="M121" i="54" s="1"/>
  <c r="M120" i="54" s="1"/>
  <c r="M119" i="54" s="1"/>
  <c r="M118" i="54" s="1"/>
  <c r="F167" i="54"/>
  <c r="G184" i="54" s="1"/>
  <c r="K127" i="54"/>
  <c r="K120" i="54" s="1"/>
  <c r="K119" i="54" s="1"/>
  <c r="K118" i="54" s="1"/>
  <c r="H79" i="54"/>
  <c r="H78" i="54" s="1"/>
  <c r="H27" i="54" s="1"/>
  <c r="O51" i="54"/>
  <c r="N49" i="54"/>
  <c r="N46" i="54" s="1"/>
  <c r="N50" i="54" s="1"/>
  <c r="N51" i="54" s="1"/>
  <c r="N52" i="54" s="1"/>
  <c r="N28" i="54" s="1"/>
  <c r="R49" i="54"/>
  <c r="R46" i="54" s="1"/>
  <c r="R50" i="54" s="1"/>
  <c r="R51" i="54" s="1"/>
  <c r="R52" i="54" s="1"/>
  <c r="I105" i="54"/>
  <c r="M105" i="54"/>
  <c r="J79" i="54"/>
  <c r="J78" i="54" s="1"/>
  <c r="J27" i="54" s="1"/>
  <c r="F176" i="54"/>
  <c r="J184" i="54" s="1"/>
  <c r="F152" i="54"/>
  <c r="G52" i="54"/>
  <c r="G28" i="54" s="1"/>
  <c r="Q51" i="54"/>
  <c r="Q52" i="54" s="1"/>
  <c r="R28" i="54" s="1"/>
  <c r="O52" i="54"/>
  <c r="D119" i="54"/>
  <c r="D118" i="54" s="1"/>
  <c r="P51" i="54"/>
  <c r="P52" i="54" s="1"/>
  <c r="Q28" i="54" s="1"/>
  <c r="F159" i="54"/>
  <c r="L27" i="54"/>
  <c r="G27" i="54"/>
  <c r="G29" i="54"/>
  <c r="F29" i="54" s="1"/>
  <c r="H47" i="54"/>
  <c r="H53" i="54"/>
  <c r="H49" i="54" s="1"/>
  <c r="F92" i="54"/>
  <c r="G100" i="54"/>
  <c r="K100" i="54"/>
  <c r="O100" i="54"/>
  <c r="H102" i="54"/>
  <c r="L102" i="54"/>
  <c r="P102" i="54"/>
  <c r="H122" i="54"/>
  <c r="H121" i="54" s="1"/>
  <c r="H120" i="54" s="1"/>
  <c r="H119" i="54" s="1"/>
  <c r="H118" i="54" s="1"/>
  <c r="L122" i="54"/>
  <c r="L121" i="54" s="1"/>
  <c r="L120" i="54" s="1"/>
  <c r="L119" i="54" s="1"/>
  <c r="L118" i="54" s="1"/>
  <c r="J100" i="54"/>
  <c r="N100" i="54"/>
  <c r="R100" i="54"/>
  <c r="G51" i="54"/>
  <c r="G38" i="54"/>
  <c r="F38" i="54" s="1"/>
  <c r="D75" i="54"/>
  <c r="D70" i="54" s="1"/>
  <c r="G78" i="54"/>
  <c r="F99" i="54"/>
  <c r="F186" i="54" s="1"/>
  <c r="F10" i="98" s="1"/>
  <c r="I100" i="54"/>
  <c r="M100" i="54"/>
  <c r="Q100" i="54"/>
  <c r="J102" i="54"/>
  <c r="N102" i="54"/>
  <c r="G121" i="54"/>
  <c r="J122" i="54"/>
  <c r="J121" i="54" s="1"/>
  <c r="J120" i="54" s="1"/>
  <c r="J119" i="54" s="1"/>
  <c r="J118" i="54" s="1"/>
  <c r="G127" i="54"/>
  <c r="F127" i="54" s="1"/>
  <c r="H100" i="54"/>
  <c r="L100" i="54"/>
  <c r="A34" i="32"/>
  <c r="P22" i="29" l="1"/>
  <c r="J17" i="98"/>
  <c r="J23" i="98" s="1"/>
  <c r="G22" i="29"/>
  <c r="G17" i="98"/>
  <c r="G23" i="98" s="1"/>
  <c r="J22" i="29"/>
  <c r="H17" i="98"/>
  <c r="H23" i="98" s="1"/>
  <c r="M78" i="54"/>
  <c r="M27" i="54" s="1"/>
  <c r="G6" i="167"/>
  <c r="B85" i="22"/>
  <c r="F11" i="98"/>
  <c r="X55" i="55"/>
  <c r="H13" i="58" s="1"/>
  <c r="G41" i="165"/>
  <c r="G19" i="165"/>
  <c r="E6" i="167"/>
  <c r="B83" i="22"/>
  <c r="F6" i="167"/>
  <c r="B84" i="22"/>
  <c r="M29" i="29"/>
  <c r="L29" i="29" s="1"/>
  <c r="I10" i="98"/>
  <c r="I11" i="98" s="1"/>
  <c r="I15" i="98"/>
  <c r="I25" i="98" s="1"/>
  <c r="I23" i="98"/>
  <c r="I26" i="98" s="1"/>
  <c r="B8" i="169"/>
  <c r="B14" i="172"/>
  <c r="B8" i="172" s="1"/>
  <c r="H6" i="167"/>
  <c r="B86" i="22"/>
  <c r="L22" i="29"/>
  <c r="L26" i="29" s="1"/>
  <c r="M26" i="29"/>
  <c r="M19" i="29"/>
  <c r="I78" i="54"/>
  <c r="I47" i="54"/>
  <c r="I51" i="54" s="1"/>
  <c r="K27" i="54"/>
  <c r="K76" i="54"/>
  <c r="F184" i="54"/>
  <c r="K47" i="54"/>
  <c r="K51" i="54" s="1"/>
  <c r="J47" i="54"/>
  <c r="J51" i="54" s="1"/>
  <c r="L15" i="99"/>
  <c r="L16" i="99" s="1"/>
  <c r="W10" i="20"/>
  <c r="I43" i="57"/>
  <c r="P58" i="55"/>
  <c r="I4" i="188"/>
  <c r="I5" i="188" s="1"/>
  <c r="F38" i="58"/>
  <c r="W16" i="20"/>
  <c r="T58" i="55"/>
  <c r="J43" i="57"/>
  <c r="AG10" i="20"/>
  <c r="O15" i="99"/>
  <c r="O16" i="99" s="1"/>
  <c r="J4" i="188"/>
  <c r="J5" i="188" s="1"/>
  <c r="G38" i="58"/>
  <c r="AG16" i="20"/>
  <c r="AI16" i="20" s="1"/>
  <c r="V18" i="99"/>
  <c r="V126" i="99"/>
  <c r="P18" i="99"/>
  <c r="P126" i="99"/>
  <c r="S19" i="99"/>
  <c r="G17" i="167" s="1"/>
  <c r="J76" i="54"/>
  <c r="R16" i="99"/>
  <c r="Q15" i="99"/>
  <c r="J19" i="99"/>
  <c r="BA10" i="20"/>
  <c r="I38" i="58"/>
  <c r="AB58" i="55"/>
  <c r="L43" i="57"/>
  <c r="G48" i="57" s="1"/>
  <c r="BA16" i="20"/>
  <c r="BC16" i="20" s="1"/>
  <c r="U15" i="99"/>
  <c r="U16" i="99" s="1"/>
  <c r="L4" i="188"/>
  <c r="L5" i="188" s="1"/>
  <c r="AQ28" i="20"/>
  <c r="AQ48" i="20" s="1"/>
  <c r="AQ9" i="20"/>
  <c r="AS10" i="20"/>
  <c r="I15" i="99"/>
  <c r="I16" i="99" s="1"/>
  <c r="E38" i="58"/>
  <c r="M16" i="20"/>
  <c r="H43" i="57"/>
  <c r="G44" i="57" s="1"/>
  <c r="H4" i="188"/>
  <c r="H5" i="188" s="1"/>
  <c r="L58" i="55"/>
  <c r="D41" i="165" s="1"/>
  <c r="D104" i="165" s="1"/>
  <c r="M18" i="99"/>
  <c r="M126" i="99"/>
  <c r="H36" i="58"/>
  <c r="H35" i="58"/>
  <c r="H39" i="58"/>
  <c r="E184" i="54"/>
  <c r="L47" i="54"/>
  <c r="L51" i="54" s="1"/>
  <c r="F48" i="54"/>
  <c r="F52" i="54" s="1"/>
  <c r="F84" i="54"/>
  <c r="G76" i="54"/>
  <c r="G75" i="54" s="1"/>
  <c r="G70" i="54" s="1"/>
  <c r="H51" i="54"/>
  <c r="H76" i="54"/>
  <c r="H75" i="54" s="1"/>
  <c r="M76" i="54"/>
  <c r="M75" i="54" s="1"/>
  <c r="F79" i="54"/>
  <c r="N22" i="54"/>
  <c r="N17" i="54" s="1"/>
  <c r="N15" i="54" s="1"/>
  <c r="N13" i="54" s="1"/>
  <c r="L11" i="21" s="1"/>
  <c r="L69" i="21" s="1"/>
  <c r="N26" i="54"/>
  <c r="N25" i="54" s="1"/>
  <c r="R26" i="54"/>
  <c r="R25" i="54" s="1"/>
  <c r="R22" i="54"/>
  <c r="G22" i="54"/>
  <c r="Q99" i="54"/>
  <c r="M99" i="54"/>
  <c r="I99" i="54"/>
  <c r="R99" i="54"/>
  <c r="N99" i="54"/>
  <c r="J99" i="54"/>
  <c r="O99" i="54"/>
  <c r="K99" i="54"/>
  <c r="G99" i="54"/>
  <c r="F98" i="54"/>
  <c r="P99" i="54"/>
  <c r="L99" i="54"/>
  <c r="H99" i="54"/>
  <c r="G26" i="54"/>
  <c r="G21" i="54"/>
  <c r="L26" i="54"/>
  <c r="L25" i="54" s="1"/>
  <c r="L21" i="54"/>
  <c r="L16" i="54" s="1"/>
  <c r="L15" i="54" s="1"/>
  <c r="L13" i="54" s="1"/>
  <c r="O28" i="54"/>
  <c r="P28" i="54"/>
  <c r="M21" i="54"/>
  <c r="M16" i="54" s="1"/>
  <c r="M15" i="54" s="1"/>
  <c r="M13" i="54" s="1"/>
  <c r="M26" i="54"/>
  <c r="M25" i="54" s="1"/>
  <c r="F122" i="54"/>
  <c r="Q22" i="54"/>
  <c r="Q17" i="54" s="1"/>
  <c r="Q15" i="54" s="1"/>
  <c r="Q13" i="54" s="1"/>
  <c r="O11" i="21" s="1"/>
  <c r="O69" i="21" s="1"/>
  <c r="Q26" i="54"/>
  <c r="Q25" i="54" s="1"/>
  <c r="K75" i="54"/>
  <c r="K77" i="54" s="1"/>
  <c r="J21" i="54"/>
  <c r="J16" i="54" s="1"/>
  <c r="J15" i="54" s="1"/>
  <c r="J13" i="54" s="1"/>
  <c r="J26" i="54"/>
  <c r="J25" i="54" s="1"/>
  <c r="L75" i="54"/>
  <c r="L77" i="54" s="1"/>
  <c r="F121" i="54"/>
  <c r="G120" i="54"/>
  <c r="H26" i="54"/>
  <c r="H25" i="54" s="1"/>
  <c r="H21" i="54"/>
  <c r="H16" i="54" s="1"/>
  <c r="H15" i="54" s="1"/>
  <c r="H13" i="54" s="1"/>
  <c r="K26" i="54"/>
  <c r="K25" i="54" s="1"/>
  <c r="K21" i="54"/>
  <c r="K16" i="54" s="1"/>
  <c r="K15" i="54" s="1"/>
  <c r="K13" i="54" s="1"/>
  <c r="J75" i="54"/>
  <c r="J77" i="54" s="1"/>
  <c r="F53" i="54"/>
  <c r="F49" i="54"/>
  <c r="G63" i="187"/>
  <c r="B63" i="187"/>
  <c r="G61" i="187"/>
  <c r="B61" i="187"/>
  <c r="H3" i="187"/>
  <c r="C3" i="187"/>
  <c r="E24" i="186"/>
  <c r="D24" i="186"/>
  <c r="C24" i="186"/>
  <c r="E20" i="186"/>
  <c r="D20" i="186"/>
  <c r="C20" i="186"/>
  <c r="D9" i="186"/>
  <c r="C9" i="186"/>
  <c r="E24" i="187"/>
  <c r="D24" i="187"/>
  <c r="C24" i="187"/>
  <c r="E20" i="187"/>
  <c r="D20" i="187"/>
  <c r="C20" i="187"/>
  <c r="E9" i="187"/>
  <c r="D9" i="187"/>
  <c r="C9" i="187"/>
  <c r="T55" i="55" l="1"/>
  <c r="G13" i="58" s="1"/>
  <c r="F41" i="165"/>
  <c r="F104" i="165" s="1"/>
  <c r="P55" i="55"/>
  <c r="F13" i="58" s="1"/>
  <c r="E41" i="165"/>
  <c r="E104" i="165" s="1"/>
  <c r="B11" i="169"/>
  <c r="B20" i="172"/>
  <c r="B11" i="172" s="1"/>
  <c r="B9" i="169"/>
  <c r="B16" i="172"/>
  <c r="B9" i="172" s="1"/>
  <c r="E10" i="98"/>
  <c r="AB55" i="55"/>
  <c r="I13" i="58" s="1"/>
  <c r="H41" i="165"/>
  <c r="H35" i="165" s="1"/>
  <c r="H19" i="165"/>
  <c r="D22" i="29"/>
  <c r="E22" i="29"/>
  <c r="F17" i="98"/>
  <c r="F23" i="98" s="1"/>
  <c r="F187" i="54"/>
  <c r="E17" i="98"/>
  <c r="E23" i="98" s="1"/>
  <c r="Q16" i="99"/>
  <c r="Q32" i="99" s="1"/>
  <c r="G14" i="167"/>
  <c r="M28" i="29"/>
  <c r="M23" i="29"/>
  <c r="L19" i="29"/>
  <c r="B12" i="169"/>
  <c r="B22" i="172"/>
  <c r="B12" i="172" s="1"/>
  <c r="B18" i="172"/>
  <c r="B10" i="172" s="1"/>
  <c r="B10" i="169"/>
  <c r="G35" i="165"/>
  <c r="G104" i="165"/>
  <c r="I27" i="54"/>
  <c r="I76" i="54"/>
  <c r="I75" i="54" s="1"/>
  <c r="F185" i="54"/>
  <c r="G6" i="83" s="1"/>
  <c r="J185" i="54"/>
  <c r="F78" i="54"/>
  <c r="M10" i="20"/>
  <c r="AQ15" i="20"/>
  <c r="AQ27" i="20"/>
  <c r="AQ47" i="20" s="1"/>
  <c r="BA28" i="20"/>
  <c r="BA48" i="20" s="1"/>
  <c r="BA9" i="20"/>
  <c r="BC10" i="20"/>
  <c r="R32" i="99"/>
  <c r="R31" i="99" s="1"/>
  <c r="G12" i="167" s="1"/>
  <c r="Q31" i="99"/>
  <c r="G36" i="58"/>
  <c r="G39" i="58"/>
  <c r="G35" i="58"/>
  <c r="F35" i="58"/>
  <c r="F36" i="58"/>
  <c r="F39" i="58"/>
  <c r="W28" i="20"/>
  <c r="W48" i="20" s="1"/>
  <c r="Y10" i="20"/>
  <c r="W9" i="20"/>
  <c r="W27" i="20" s="1"/>
  <c r="W47" i="20" s="1"/>
  <c r="D38" i="58"/>
  <c r="F15" i="99"/>
  <c r="F16" i="99" s="1"/>
  <c r="I185" i="54"/>
  <c r="H187" i="54"/>
  <c r="J187" i="54"/>
  <c r="G187" i="54"/>
  <c r="E187" i="54" s="1"/>
  <c r="AS28" i="20"/>
  <c r="AS48" i="20" s="1"/>
  <c r="AR48" i="20" s="1"/>
  <c r="AS9" i="20"/>
  <c r="I35" i="58"/>
  <c r="I36" i="58"/>
  <c r="I39" i="58"/>
  <c r="AG9" i="20"/>
  <c r="AG28" i="20"/>
  <c r="AG48" i="20" s="1"/>
  <c r="AI10" i="20"/>
  <c r="Y16" i="20"/>
  <c r="W15" i="20"/>
  <c r="Y15" i="20" s="1"/>
  <c r="I187" i="54"/>
  <c r="L55" i="55"/>
  <c r="H58" i="55"/>
  <c r="E35" i="58"/>
  <c r="E36" i="58"/>
  <c r="E39" i="58"/>
  <c r="J126" i="99"/>
  <c r="J18" i="99"/>
  <c r="Q19" i="99"/>
  <c r="S126" i="99"/>
  <c r="S18" i="99"/>
  <c r="H185" i="54"/>
  <c r="G185" i="54"/>
  <c r="E8" i="186"/>
  <c r="D8" i="186"/>
  <c r="C8" i="186"/>
  <c r="F47" i="54"/>
  <c r="F51" i="54" s="1"/>
  <c r="F76" i="54"/>
  <c r="F75" i="54" s="1"/>
  <c r="H77" i="54"/>
  <c r="J70" i="54"/>
  <c r="J46" i="54" s="1"/>
  <c r="J50" i="54" s="1"/>
  <c r="J90" i="54"/>
  <c r="J86" i="54"/>
  <c r="J94" i="54"/>
  <c r="L70" i="54"/>
  <c r="L46" i="54" s="1"/>
  <c r="L50" i="54" s="1"/>
  <c r="L90" i="54"/>
  <c r="L86" i="54"/>
  <c r="L94" i="54"/>
  <c r="Q23" i="54"/>
  <c r="Q20" i="54" s="1"/>
  <c r="Q18" i="54" s="1"/>
  <c r="O26" i="54"/>
  <c r="O25" i="54" s="1"/>
  <c r="O22" i="54"/>
  <c r="O17" i="54" s="1"/>
  <c r="O15" i="54" s="1"/>
  <c r="O13" i="54" s="1"/>
  <c r="M11" i="21" s="1"/>
  <c r="M69" i="21" s="1"/>
  <c r="L20" i="54"/>
  <c r="L18" i="54" s="1"/>
  <c r="L23" i="54"/>
  <c r="J11" i="21" s="1"/>
  <c r="J69" i="21" s="1"/>
  <c r="N23" i="54"/>
  <c r="N20" i="54" s="1"/>
  <c r="N18" i="54" s="1"/>
  <c r="F28" i="54"/>
  <c r="H20" i="54"/>
  <c r="H18" i="54" s="1"/>
  <c r="H23" i="54"/>
  <c r="F11" i="21" s="1"/>
  <c r="F69" i="21" s="1"/>
  <c r="K90" i="54"/>
  <c r="K86" i="54"/>
  <c r="K70" i="54"/>
  <c r="K46" i="54" s="1"/>
  <c r="K50" i="54" s="1"/>
  <c r="K94" i="54"/>
  <c r="M23" i="54"/>
  <c r="K11" i="21" s="1"/>
  <c r="K69" i="21" s="1"/>
  <c r="M20" i="54"/>
  <c r="M18" i="54" s="1"/>
  <c r="M90" i="54"/>
  <c r="M86" i="54"/>
  <c r="M70" i="54"/>
  <c r="M46" i="54" s="1"/>
  <c r="M50" i="54" s="1"/>
  <c r="M94" i="54"/>
  <c r="I90" i="54"/>
  <c r="I86" i="54"/>
  <c r="I70" i="54"/>
  <c r="I46" i="54" s="1"/>
  <c r="I50" i="54" s="1"/>
  <c r="I94" i="54"/>
  <c r="K23" i="54"/>
  <c r="I11" i="21" s="1"/>
  <c r="I69" i="21" s="1"/>
  <c r="K20" i="54"/>
  <c r="K18" i="54" s="1"/>
  <c r="P22" i="54"/>
  <c r="P17" i="54" s="1"/>
  <c r="P15" i="54" s="1"/>
  <c r="P13" i="54" s="1"/>
  <c r="N11" i="21" s="1"/>
  <c r="N69" i="21" s="1"/>
  <c r="P26" i="54"/>
  <c r="P25" i="54" s="1"/>
  <c r="G25" i="54"/>
  <c r="P98" i="54"/>
  <c r="P97" i="54" s="1"/>
  <c r="L98" i="54"/>
  <c r="L97" i="54" s="1"/>
  <c r="H98" i="54"/>
  <c r="H97" i="54" s="1"/>
  <c r="F97" i="54"/>
  <c r="E186" i="54" s="1"/>
  <c r="G14" i="22" s="1"/>
  <c r="Q98" i="54"/>
  <c r="Q97" i="54" s="1"/>
  <c r="M98" i="54"/>
  <c r="M97" i="54" s="1"/>
  <c r="I98" i="54"/>
  <c r="I97" i="54" s="1"/>
  <c r="R98" i="54"/>
  <c r="R97" i="54" s="1"/>
  <c r="N98" i="54"/>
  <c r="N97" i="54" s="1"/>
  <c r="J98" i="54"/>
  <c r="J97" i="54" s="1"/>
  <c r="O98" i="54"/>
  <c r="O97" i="54" s="1"/>
  <c r="K98" i="54"/>
  <c r="K97" i="54" s="1"/>
  <c r="G98" i="54"/>
  <c r="G97" i="54" s="1"/>
  <c r="K2" i="54" s="1"/>
  <c r="G17" i="54"/>
  <c r="R23" i="54"/>
  <c r="R20" i="54" s="1"/>
  <c r="R18" i="54" s="1"/>
  <c r="G77" i="54"/>
  <c r="G46" i="54"/>
  <c r="G50" i="54" s="1"/>
  <c r="F120" i="54"/>
  <c r="G119" i="54"/>
  <c r="J23" i="54"/>
  <c r="H11" i="21" s="1"/>
  <c r="H69" i="21" s="1"/>
  <c r="J20" i="54"/>
  <c r="J18" i="54" s="1"/>
  <c r="H70" i="54"/>
  <c r="H46" i="54" s="1"/>
  <c r="H50" i="54" s="1"/>
  <c r="H90" i="54"/>
  <c r="H86" i="54"/>
  <c r="H94" i="54"/>
  <c r="G16" i="54"/>
  <c r="M77" i="54"/>
  <c r="I77" i="54"/>
  <c r="D8" i="187"/>
  <c r="C8" i="187"/>
  <c r="E8" i="187"/>
  <c r="F9" i="186"/>
  <c r="F40" i="186"/>
  <c r="F24" i="186"/>
  <c r="F9" i="187"/>
  <c r="F24" i="187"/>
  <c r="Q18" i="99" l="1"/>
  <c r="G16" i="167"/>
  <c r="L28" i="29"/>
  <c r="G69" i="22"/>
  <c r="G70" i="22" s="1"/>
  <c r="L23" i="29"/>
  <c r="G9" i="84"/>
  <c r="K13" i="21"/>
  <c r="H13" i="21"/>
  <c r="F13" i="21"/>
  <c r="J13" i="21"/>
  <c r="I13" i="21"/>
  <c r="F27" i="54"/>
  <c r="I26" i="54"/>
  <c r="I25" i="54" s="1"/>
  <c r="I21" i="54"/>
  <c r="I6" i="83"/>
  <c r="I9" i="84"/>
  <c r="BC28" i="20"/>
  <c r="BC48" i="20" s="1"/>
  <c r="BB48" i="20" s="1"/>
  <c r="BC9" i="20"/>
  <c r="K9" i="84"/>
  <c r="K6" i="83"/>
  <c r="H6" i="83"/>
  <c r="H9" i="84"/>
  <c r="AG15" i="20"/>
  <c r="AG27" i="20"/>
  <c r="AG47" i="20" s="1"/>
  <c r="D36" i="58"/>
  <c r="D39" i="58"/>
  <c r="D35" i="58"/>
  <c r="E185" i="54"/>
  <c r="E13" i="58"/>
  <c r="H55" i="55"/>
  <c r="AS27" i="20"/>
  <c r="AS47" i="20" s="1"/>
  <c r="AR47" i="20" s="1"/>
  <c r="AS15" i="20"/>
  <c r="AU9" i="20"/>
  <c r="I28" i="98" s="1"/>
  <c r="G55" i="83"/>
  <c r="H10" i="57"/>
  <c r="F77" i="54"/>
  <c r="C10" i="20"/>
  <c r="D10" i="20" s="1"/>
  <c r="G15" i="22" s="1"/>
  <c r="G17" i="22" s="1"/>
  <c r="G18" i="22" s="1"/>
  <c r="AI28" i="20"/>
  <c r="AI48" i="20" s="1"/>
  <c r="AH48" i="20" s="1"/>
  <c r="AI9" i="20"/>
  <c r="J6" i="83"/>
  <c r="J9" i="84"/>
  <c r="Y28" i="20"/>
  <c r="Y48" i="20" s="1"/>
  <c r="X48" i="20" s="1"/>
  <c r="Y9" i="20"/>
  <c r="BA15" i="20"/>
  <c r="BA27" i="20"/>
  <c r="BA47" i="20" s="1"/>
  <c r="M9" i="20"/>
  <c r="M28" i="20"/>
  <c r="M48" i="20" s="1"/>
  <c r="O10" i="20"/>
  <c r="G36" i="84"/>
  <c r="G41" i="84"/>
  <c r="G45" i="84"/>
  <c r="G49" i="84"/>
  <c r="G53" i="84"/>
  <c r="G57" i="84"/>
  <c r="G61" i="84"/>
  <c r="G65" i="84"/>
  <c r="G69" i="84"/>
  <c r="G73" i="84"/>
  <c r="G77" i="84"/>
  <c r="G81" i="84"/>
  <c r="G35" i="84"/>
  <c r="G40" i="84"/>
  <c r="G44" i="84"/>
  <c r="G48" i="84"/>
  <c r="G52" i="84"/>
  <c r="G56" i="84"/>
  <c r="G60" i="84"/>
  <c r="G64" i="84"/>
  <c r="G68" i="84"/>
  <c r="G72" i="84"/>
  <c r="G76" i="84"/>
  <c r="G80" i="84"/>
  <c r="G19" i="84"/>
  <c r="G23" i="84"/>
  <c r="G39" i="84"/>
  <c r="G43" i="84"/>
  <c r="G47" i="84"/>
  <c r="G51" i="84"/>
  <c r="G55" i="84"/>
  <c r="G59" i="84"/>
  <c r="G63" i="84"/>
  <c r="G67" i="84"/>
  <c r="G71" i="84"/>
  <c r="G75" i="84"/>
  <c r="G79" i="84"/>
  <c r="G34" i="84"/>
  <c r="G18" i="84"/>
  <c r="G37" i="84"/>
  <c r="G42" i="84"/>
  <c r="G46" i="84"/>
  <c r="G50" i="84"/>
  <c r="G54" i="84"/>
  <c r="G58" i="84"/>
  <c r="G62" i="84"/>
  <c r="G66" i="84"/>
  <c r="G70" i="84"/>
  <c r="G74" i="84"/>
  <c r="G78" i="84"/>
  <c r="G82" i="84"/>
  <c r="F9" i="84"/>
  <c r="F22" i="54"/>
  <c r="F26" i="54"/>
  <c r="F25" i="54" s="1"/>
  <c r="F23" i="54" s="1"/>
  <c r="D11" i="21" s="1"/>
  <c r="D69" i="21" s="1"/>
  <c r="F17" i="54"/>
  <c r="P23" i="54"/>
  <c r="P20" i="54" s="1"/>
  <c r="P18" i="54" s="1"/>
  <c r="F70" i="54"/>
  <c r="F46" i="54" s="1"/>
  <c r="F50" i="54" s="1"/>
  <c r="G15" i="54"/>
  <c r="G118" i="54"/>
  <c r="F119" i="54"/>
  <c r="F118" i="54" s="1"/>
  <c r="G23" i="54"/>
  <c r="E11" i="21" s="1"/>
  <c r="E69" i="21" s="1"/>
  <c r="G20" i="54"/>
  <c r="O23" i="54"/>
  <c r="O20" i="54" s="1"/>
  <c r="O18" i="54" s="1"/>
  <c r="F86" i="54"/>
  <c r="F90" i="54"/>
  <c r="F94" i="54"/>
  <c r="G126" i="167" l="1"/>
  <c r="G125" i="167"/>
  <c r="G49" i="167"/>
  <c r="G54" i="167"/>
  <c r="G53" i="167"/>
  <c r="G55" i="167"/>
  <c r="G37" i="167"/>
  <c r="I20" i="54"/>
  <c r="I18" i="54" s="1"/>
  <c r="I23" i="54"/>
  <c r="G11" i="21" s="1"/>
  <c r="G69" i="21" s="1"/>
  <c r="I16" i="54"/>
  <c r="F21" i="54"/>
  <c r="M27" i="20"/>
  <c r="M47" i="20" s="1"/>
  <c r="M15" i="20"/>
  <c r="AI27" i="20"/>
  <c r="AI47" i="20" s="1"/>
  <c r="AH47" i="20" s="1"/>
  <c r="AK9" i="20"/>
  <c r="H28" i="98" s="1"/>
  <c r="AI15" i="20"/>
  <c r="K36" i="84"/>
  <c r="K41" i="84"/>
  <c r="K45" i="84"/>
  <c r="K49" i="84"/>
  <c r="K53" i="84"/>
  <c r="K57" i="84"/>
  <c r="K61" i="84"/>
  <c r="K65" i="84"/>
  <c r="K69" i="84"/>
  <c r="K73" i="84"/>
  <c r="K77" i="84"/>
  <c r="K81" i="84"/>
  <c r="K19" i="84"/>
  <c r="K18" i="84"/>
  <c r="AB23" i="55" s="1"/>
  <c r="K35" i="84"/>
  <c r="K40" i="84"/>
  <c r="K44" i="84"/>
  <c r="K48" i="84"/>
  <c r="K52" i="84"/>
  <c r="K56" i="84"/>
  <c r="K60" i="84"/>
  <c r="K64" i="84"/>
  <c r="K68" i="84"/>
  <c r="K72" i="84"/>
  <c r="K76" i="84"/>
  <c r="K80" i="84"/>
  <c r="K23" i="84"/>
  <c r="K39" i="84"/>
  <c r="K43" i="84"/>
  <c r="K47" i="84"/>
  <c r="K51" i="84"/>
  <c r="K55" i="84"/>
  <c r="K59" i="84"/>
  <c r="K63" i="84"/>
  <c r="K67" i="84"/>
  <c r="K71" i="84"/>
  <c r="K75" i="84"/>
  <c r="K79" i="84"/>
  <c r="K37" i="84"/>
  <c r="K42" i="84"/>
  <c r="K46" i="84"/>
  <c r="K50" i="84"/>
  <c r="K54" i="84"/>
  <c r="K58" i="84"/>
  <c r="K62" i="84"/>
  <c r="K66" i="84"/>
  <c r="K70" i="84"/>
  <c r="K74" i="84"/>
  <c r="K78" i="84"/>
  <c r="K82" i="84"/>
  <c r="K34" i="84"/>
  <c r="I55" i="83"/>
  <c r="J10" i="57"/>
  <c r="Y27" i="20"/>
  <c r="Y47" i="20" s="1"/>
  <c r="X47" i="20" s="1"/>
  <c r="AA9" i="20"/>
  <c r="G28" i="98" s="1"/>
  <c r="K55" i="83"/>
  <c r="L10" i="57"/>
  <c r="I23" i="84"/>
  <c r="I39" i="84"/>
  <c r="I43" i="84"/>
  <c r="I47" i="84"/>
  <c r="I51" i="84"/>
  <c r="I55" i="84"/>
  <c r="I59" i="84"/>
  <c r="I63" i="84"/>
  <c r="I67" i="84"/>
  <c r="I71" i="84"/>
  <c r="I75" i="84"/>
  <c r="I79" i="84"/>
  <c r="I37" i="84"/>
  <c r="I42" i="84"/>
  <c r="I46" i="84"/>
  <c r="I50" i="84"/>
  <c r="I54" i="84"/>
  <c r="I58" i="84"/>
  <c r="I62" i="84"/>
  <c r="I66" i="84"/>
  <c r="I70" i="84"/>
  <c r="I74" i="84"/>
  <c r="I78" i="84"/>
  <c r="I82" i="84"/>
  <c r="I34" i="84"/>
  <c r="I36" i="84"/>
  <c r="I41" i="84"/>
  <c r="I45" i="84"/>
  <c r="I49" i="84"/>
  <c r="I53" i="84"/>
  <c r="I57" i="84"/>
  <c r="I61" i="84"/>
  <c r="I65" i="84"/>
  <c r="I69" i="84"/>
  <c r="I73" i="84"/>
  <c r="I77" i="84"/>
  <c r="I81" i="84"/>
  <c r="I19" i="84"/>
  <c r="I18" i="84"/>
  <c r="T23" i="55" s="1"/>
  <c r="P49" i="99" s="1"/>
  <c r="I35" i="84"/>
  <c r="I40" i="84"/>
  <c r="I44" i="84"/>
  <c r="I48" i="84"/>
  <c r="I52" i="84"/>
  <c r="I56" i="84"/>
  <c r="I60" i="84"/>
  <c r="I64" i="84"/>
  <c r="I68" i="84"/>
  <c r="I72" i="84"/>
  <c r="I76" i="84"/>
  <c r="I80" i="84"/>
  <c r="Q10" i="20"/>
  <c r="O28" i="20"/>
  <c r="O48" i="20" s="1"/>
  <c r="N48" i="20" s="1"/>
  <c r="BL10" i="20"/>
  <c r="O16" i="20"/>
  <c r="O9" i="20"/>
  <c r="J20" i="83"/>
  <c r="K10" i="57"/>
  <c r="J48" i="83"/>
  <c r="J32" i="83"/>
  <c r="J49" i="83"/>
  <c r="J33" i="83"/>
  <c r="J61" i="83"/>
  <c r="J54" i="83"/>
  <c r="J38" i="83"/>
  <c r="J19" i="83"/>
  <c r="J51" i="83"/>
  <c r="J35" i="83"/>
  <c r="J14" i="83"/>
  <c r="J52" i="83"/>
  <c r="J36" i="83"/>
  <c r="J53" i="83"/>
  <c r="J37" i="83"/>
  <c r="J17" i="83"/>
  <c r="J58" i="83"/>
  <c r="J42" i="83"/>
  <c r="J26" i="83"/>
  <c r="J55" i="83"/>
  <c r="J39" i="83"/>
  <c r="J63" i="83"/>
  <c r="J56" i="83"/>
  <c r="J40" i="83"/>
  <c r="J15" i="83"/>
  <c r="J41" i="83"/>
  <c r="J22" i="83"/>
  <c r="J62" i="83"/>
  <c r="J46" i="83"/>
  <c r="J30" i="83"/>
  <c r="J59" i="83"/>
  <c r="J43" i="83"/>
  <c r="J27" i="83"/>
  <c r="J60" i="83"/>
  <c r="J44" i="83"/>
  <c r="J28" i="83"/>
  <c r="J45" i="83"/>
  <c r="J29" i="83"/>
  <c r="J57" i="83"/>
  <c r="J50" i="83"/>
  <c r="J34" i="83"/>
  <c r="J12" i="83"/>
  <c r="J47" i="83"/>
  <c r="J31" i="83"/>
  <c r="C9" i="20"/>
  <c r="BJ9" i="20" s="1"/>
  <c r="BJ10" i="20"/>
  <c r="H55" i="83"/>
  <c r="I10" i="57"/>
  <c r="L23" i="55"/>
  <c r="J19" i="84"/>
  <c r="J18" i="84"/>
  <c r="X23" i="55" s="1"/>
  <c r="J37" i="84"/>
  <c r="J42" i="84"/>
  <c r="J46" i="84"/>
  <c r="J50" i="84"/>
  <c r="J54" i="84"/>
  <c r="J58" i="84"/>
  <c r="J62" i="84"/>
  <c r="J66" i="84"/>
  <c r="J70" i="84"/>
  <c r="J74" i="84"/>
  <c r="J78" i="84"/>
  <c r="J82" i="84"/>
  <c r="J34" i="84"/>
  <c r="J23" i="84"/>
  <c r="J36" i="84"/>
  <c r="J41" i="84"/>
  <c r="J45" i="84"/>
  <c r="J49" i="84"/>
  <c r="J53" i="84"/>
  <c r="J57" i="84"/>
  <c r="J61" i="84"/>
  <c r="J65" i="84"/>
  <c r="J69" i="84"/>
  <c r="J73" i="84"/>
  <c r="J77" i="84"/>
  <c r="J81" i="84"/>
  <c r="J35" i="84"/>
  <c r="J40" i="84"/>
  <c r="J44" i="84"/>
  <c r="J48" i="84"/>
  <c r="J52" i="84"/>
  <c r="J56" i="84"/>
  <c r="J60" i="84"/>
  <c r="J64" i="84"/>
  <c r="J68" i="84"/>
  <c r="J72" i="84"/>
  <c r="J76" i="84"/>
  <c r="J80" i="84"/>
  <c r="J39" i="84"/>
  <c r="J43" i="84"/>
  <c r="J47" i="84"/>
  <c r="J51" i="84"/>
  <c r="J55" i="84"/>
  <c r="J59" i="84"/>
  <c r="J63" i="84"/>
  <c r="J67" i="84"/>
  <c r="J71" i="84"/>
  <c r="J75" i="84"/>
  <c r="J79" i="84"/>
  <c r="AU11" i="20"/>
  <c r="AW11" i="20" s="1"/>
  <c r="AU13" i="20"/>
  <c r="AW13" i="20" s="1"/>
  <c r="AU12" i="20"/>
  <c r="AW12" i="20" s="1"/>
  <c r="AU15" i="20"/>
  <c r="AU10" i="20"/>
  <c r="AW10" i="20" s="1"/>
  <c r="H35" i="84"/>
  <c r="H40" i="84"/>
  <c r="N40" i="84" s="1"/>
  <c r="H44" i="84"/>
  <c r="H48" i="84"/>
  <c r="H52" i="84"/>
  <c r="H56" i="84"/>
  <c r="H60" i="84"/>
  <c r="H64" i="84"/>
  <c r="H68" i="84"/>
  <c r="H72" i="84"/>
  <c r="H76" i="84"/>
  <c r="H80" i="84"/>
  <c r="H39" i="84"/>
  <c r="H43" i="84"/>
  <c r="H47" i="84"/>
  <c r="H51" i="84"/>
  <c r="H55" i="84"/>
  <c r="H59" i="84"/>
  <c r="H63" i="84"/>
  <c r="H67" i="84"/>
  <c r="H71" i="84"/>
  <c r="H75" i="84"/>
  <c r="H79" i="84"/>
  <c r="H19" i="84"/>
  <c r="N19" i="84" s="1"/>
  <c r="H18" i="84"/>
  <c r="P23" i="55" s="1"/>
  <c r="M49" i="99" s="1"/>
  <c r="H37" i="84"/>
  <c r="N37" i="84" s="1"/>
  <c r="H42" i="84"/>
  <c r="H46" i="84"/>
  <c r="H50" i="84"/>
  <c r="H54" i="84"/>
  <c r="H58" i="84"/>
  <c r="H62" i="84"/>
  <c r="H66" i="84"/>
  <c r="H70" i="84"/>
  <c r="H74" i="84"/>
  <c r="H78" i="84"/>
  <c r="H82" i="84"/>
  <c r="H34" i="84"/>
  <c r="N34" i="84" s="1"/>
  <c r="H23" i="84"/>
  <c r="N23" i="84" s="1"/>
  <c r="H36" i="84"/>
  <c r="H41" i="84"/>
  <c r="H45" i="84"/>
  <c r="H49" i="84"/>
  <c r="H53" i="84"/>
  <c r="H57" i="84"/>
  <c r="H61" i="84"/>
  <c r="H65" i="84"/>
  <c r="H69" i="84"/>
  <c r="H73" i="84"/>
  <c r="H77" i="84"/>
  <c r="H81" i="84"/>
  <c r="BE9" i="20"/>
  <c r="J28" i="98" s="1"/>
  <c r="BC27" i="20"/>
  <c r="BC47" i="20" s="1"/>
  <c r="BB47" i="20" s="1"/>
  <c r="BC15" i="20"/>
  <c r="N39" i="84"/>
  <c r="G18" i="54"/>
  <c r="F18" i="54" s="1"/>
  <c r="G20" i="22" s="1"/>
  <c r="F20" i="54"/>
  <c r="G13" i="54"/>
  <c r="S49" i="99" l="1"/>
  <c r="G15" i="165"/>
  <c r="V49" i="99"/>
  <c r="H15" i="165"/>
  <c r="I15" i="54"/>
  <c r="F16" i="54"/>
  <c r="N36" i="84"/>
  <c r="N35" i="84"/>
  <c r="AX13" i="20"/>
  <c r="K34" i="57"/>
  <c r="K29" i="57"/>
  <c r="K39" i="57"/>
  <c r="K28" i="57"/>
  <c r="K32" i="57"/>
  <c r="K31" i="57"/>
  <c r="K38" i="57"/>
  <c r="K30" i="57"/>
  <c r="AX12" i="20"/>
  <c r="AK12" i="20"/>
  <c r="AM12" i="20" s="1"/>
  <c r="AK13" i="20"/>
  <c r="AM13" i="20" s="1"/>
  <c r="AK11" i="20"/>
  <c r="AM11" i="20" s="1"/>
  <c r="AK10" i="20"/>
  <c r="AM10" i="20" s="1"/>
  <c r="AK15" i="20"/>
  <c r="BE12" i="20"/>
  <c r="BG12" i="20" s="1"/>
  <c r="BE11" i="20"/>
  <c r="BG11" i="20" s="1"/>
  <c r="BE13" i="20"/>
  <c r="BG13" i="20" s="1"/>
  <c r="BE15" i="20"/>
  <c r="BE10" i="20"/>
  <c r="BG10" i="20" s="1"/>
  <c r="AU19" i="20"/>
  <c r="AW19" i="20" s="1"/>
  <c r="AX19" i="20" s="1"/>
  <c r="AU16" i="20"/>
  <c r="AW16" i="20" s="1"/>
  <c r="AW15" i="20"/>
  <c r="AU17" i="20"/>
  <c r="AW17" i="20" s="1"/>
  <c r="AX17" i="20" s="1"/>
  <c r="AU18" i="20"/>
  <c r="AW18" i="20" s="1"/>
  <c r="AX18" i="20" s="1"/>
  <c r="Q9" i="20"/>
  <c r="F28" i="98" s="1"/>
  <c r="O27" i="20"/>
  <c r="O47" i="20" s="1"/>
  <c r="N47" i="20" s="1"/>
  <c r="O15" i="20"/>
  <c r="S10" i="20"/>
  <c r="AA15" i="20"/>
  <c r="AA10" i="20"/>
  <c r="AC10" i="20" s="1"/>
  <c r="AA12" i="20"/>
  <c r="AC12" i="20" s="1"/>
  <c r="AA11" i="20"/>
  <c r="AC11" i="20" s="1"/>
  <c r="AA13" i="20"/>
  <c r="AC13" i="20" s="1"/>
  <c r="N18" i="84"/>
  <c r="J13" i="84"/>
  <c r="X15" i="55" s="1"/>
  <c r="R41" i="99" s="1"/>
  <c r="AX10" i="20"/>
  <c r="AW9" i="20"/>
  <c r="AX11" i="20"/>
  <c r="AW29" i="20"/>
  <c r="J49" i="99"/>
  <c r="H23" i="55"/>
  <c r="E13" i="21"/>
  <c r="W49" i="99" l="1"/>
  <c r="C15" i="165"/>
  <c r="AC23" i="55"/>
  <c r="Q49" i="99"/>
  <c r="G33" i="167"/>
  <c r="G49" i="99"/>
  <c r="G10" i="20"/>
  <c r="G22" i="167"/>
  <c r="G23" i="167"/>
  <c r="I13" i="54"/>
  <c r="F15" i="54"/>
  <c r="BN10" i="20"/>
  <c r="R173" i="99"/>
  <c r="Q41" i="99"/>
  <c r="AD11" i="20"/>
  <c r="G13" i="84"/>
  <c r="L15" i="55" s="1"/>
  <c r="T10" i="20"/>
  <c r="BE19" i="20"/>
  <c r="BG19" i="20" s="1"/>
  <c r="BH19" i="20" s="1"/>
  <c r="BG15" i="20"/>
  <c r="BE16" i="20"/>
  <c r="BG16" i="20" s="1"/>
  <c r="BE17" i="20"/>
  <c r="BG17" i="20" s="1"/>
  <c r="BH17" i="20" s="1"/>
  <c r="BE18" i="20"/>
  <c r="BG18" i="20" s="1"/>
  <c r="BH18" i="20" s="1"/>
  <c r="AK17" i="20"/>
  <c r="AM17" i="20" s="1"/>
  <c r="AN17" i="20" s="1"/>
  <c r="AK18" i="20"/>
  <c r="AM18" i="20" s="1"/>
  <c r="AN18" i="20" s="1"/>
  <c r="AM15" i="20"/>
  <c r="AK16" i="20"/>
  <c r="AM16" i="20" s="1"/>
  <c r="AK19" i="20"/>
  <c r="AM19" i="20" s="1"/>
  <c r="AN19" i="20" s="1"/>
  <c r="AN12" i="20"/>
  <c r="AW31" i="20"/>
  <c r="AX29" i="20"/>
  <c r="AW49" i="20"/>
  <c r="AX49" i="20" s="1"/>
  <c r="AD13" i="20"/>
  <c r="AA17" i="20"/>
  <c r="AC17" i="20" s="1"/>
  <c r="AD17" i="20" s="1"/>
  <c r="AA18" i="20"/>
  <c r="AC18" i="20" s="1"/>
  <c r="AD18" i="20" s="1"/>
  <c r="AC15" i="20"/>
  <c r="AA19" i="20"/>
  <c r="AC19" i="20" s="1"/>
  <c r="AD19" i="20" s="1"/>
  <c r="AA16" i="20"/>
  <c r="AC16" i="20" s="1"/>
  <c r="Q11" i="20"/>
  <c r="Q12" i="20"/>
  <c r="Q13" i="20"/>
  <c r="Q15" i="20"/>
  <c r="K13" i="84"/>
  <c r="AB15" i="55" s="1"/>
  <c r="U41" i="99" s="1"/>
  <c r="BG9" i="20"/>
  <c r="BH10" i="20"/>
  <c r="BH12" i="20"/>
  <c r="BG30" i="20"/>
  <c r="AN13" i="20"/>
  <c r="AM31" i="20"/>
  <c r="H29" i="58"/>
  <c r="H33" i="58" s="1"/>
  <c r="H21" i="58"/>
  <c r="H25" i="58" s="1"/>
  <c r="AW30" i="20"/>
  <c r="AX9" i="20"/>
  <c r="AQ62" i="20"/>
  <c r="H13" i="84"/>
  <c r="P15" i="55" s="1"/>
  <c r="L41" i="99" s="1"/>
  <c r="AC9" i="20"/>
  <c r="AD10" i="20"/>
  <c r="J14" i="84"/>
  <c r="X16" i="55" s="1"/>
  <c r="R42" i="99" s="1"/>
  <c r="G24" i="167" s="1"/>
  <c r="AX16" i="20"/>
  <c r="BH11" i="20"/>
  <c r="BG29" i="20"/>
  <c r="AN11" i="20"/>
  <c r="AM29" i="20"/>
  <c r="AD12" i="20"/>
  <c r="AC30" i="20"/>
  <c r="AQ63" i="20"/>
  <c r="AX15" i="20"/>
  <c r="BH13" i="20"/>
  <c r="BG31" i="20"/>
  <c r="AM9" i="20"/>
  <c r="AN10" i="20"/>
  <c r="I13" i="84"/>
  <c r="T15" i="55" s="1"/>
  <c r="O41" i="99" s="1"/>
  <c r="G19" i="55"/>
  <c r="G20" i="55"/>
  <c r="G21" i="55"/>
  <c r="G22" i="55"/>
  <c r="G23" i="55"/>
  <c r="G25" i="55"/>
  <c r="G26" i="55"/>
  <c r="G27" i="55"/>
  <c r="G28" i="55"/>
  <c r="F19" i="55"/>
  <c r="F20" i="55"/>
  <c r="F21" i="55"/>
  <c r="F22" i="55"/>
  <c r="F23" i="55"/>
  <c r="F25" i="55"/>
  <c r="F26" i="55"/>
  <c r="F27" i="55"/>
  <c r="F28" i="55"/>
  <c r="K14" i="55"/>
  <c r="J14" i="55"/>
  <c r="I14" i="55"/>
  <c r="AA14" i="55"/>
  <c r="AA13" i="55" s="1"/>
  <c r="Z14" i="55"/>
  <c r="Y14" i="55"/>
  <c r="U14" i="55"/>
  <c r="V14" i="55"/>
  <c r="M14" i="55"/>
  <c r="N14" i="55"/>
  <c r="Q14" i="55"/>
  <c r="R14" i="55"/>
  <c r="AA45" i="55"/>
  <c r="AA41" i="55"/>
  <c r="AB37" i="55"/>
  <c r="V63" i="99" s="1"/>
  <c r="AA37" i="55"/>
  <c r="Z37" i="55"/>
  <c r="Y37" i="55"/>
  <c r="AA33" i="55"/>
  <c r="Y33" i="55"/>
  <c r="AA29" i="55"/>
  <c r="Y29" i="55"/>
  <c r="Y13" i="55"/>
  <c r="AB10" i="55"/>
  <c r="AA10" i="55"/>
  <c r="Z10" i="55"/>
  <c r="Y10" i="55"/>
  <c r="G78" i="98"/>
  <c r="B78" i="98"/>
  <c r="F45" i="69"/>
  <c r="F22" i="187" s="1"/>
  <c r="F44" i="69"/>
  <c r="F40" i="69"/>
  <c r="F22" i="186" s="1"/>
  <c r="F39" i="69"/>
  <c r="F35" i="69"/>
  <c r="F34" i="69"/>
  <c r="J8" i="90" s="1"/>
  <c r="J10" i="90" s="1"/>
  <c r="F30" i="69"/>
  <c r="F29" i="69"/>
  <c r="F25" i="69"/>
  <c r="F24" i="69"/>
  <c r="F20" i="69"/>
  <c r="F19" i="69"/>
  <c r="F21" i="83" s="1"/>
  <c r="F15" i="69"/>
  <c r="F14" i="69"/>
  <c r="D50" i="69"/>
  <c r="D49" i="69"/>
  <c r="E48" i="69"/>
  <c r="E46" i="69"/>
  <c r="E47" i="69" s="1"/>
  <c r="E45" i="69"/>
  <c r="E44" i="69"/>
  <c r="L4" i="187" s="1"/>
  <c r="E43" i="69"/>
  <c r="E41" i="69"/>
  <c r="E42" i="69" s="1"/>
  <c r="E40" i="69"/>
  <c r="E39" i="69"/>
  <c r="L3" i="186" s="1"/>
  <c r="E36" i="69"/>
  <c r="E34" i="69"/>
  <c r="E33" i="69"/>
  <c r="E31" i="69"/>
  <c r="E32" i="69" s="1"/>
  <c r="E30" i="69"/>
  <c r="E29" i="69"/>
  <c r="E28" i="69"/>
  <c r="E26" i="69"/>
  <c r="E27" i="69" s="1"/>
  <c r="E25" i="69"/>
  <c r="E24" i="69"/>
  <c r="E23" i="69"/>
  <c r="E21" i="69"/>
  <c r="E22" i="69" s="1"/>
  <c r="E20" i="69"/>
  <c r="E19" i="69"/>
  <c r="E18" i="69"/>
  <c r="E16" i="69"/>
  <c r="E17" i="69" s="1"/>
  <c r="E15" i="69"/>
  <c r="E14" i="69"/>
  <c r="E13" i="69"/>
  <c r="E11" i="69"/>
  <c r="E12" i="69" s="1"/>
  <c r="F10" i="69"/>
  <c r="C49" i="69"/>
  <c r="E9" i="69"/>
  <c r="E10" i="69"/>
  <c r="F9" i="69"/>
  <c r="O30" i="70"/>
  <c r="A30" i="70"/>
  <c r="C9" i="180"/>
  <c r="C11" i="173" s="1"/>
  <c r="E9" i="180"/>
  <c r="F9" i="180"/>
  <c r="D9" i="180"/>
  <c r="H9" i="68"/>
  <c r="B7" i="125"/>
  <c r="A1" i="119"/>
  <c r="I12" i="119"/>
  <c r="C12" i="119"/>
  <c r="D12" i="119"/>
  <c r="F12" i="119"/>
  <c r="G12" i="119"/>
  <c r="H12" i="119"/>
  <c r="E12" i="119"/>
  <c r="A3" i="118"/>
  <c r="H13" i="20"/>
  <c r="I13" i="20" s="1"/>
  <c r="E14" i="55" l="1"/>
  <c r="E53" i="55" s="1"/>
  <c r="F14" i="55"/>
  <c r="F53" i="55" s="1"/>
  <c r="I29" i="69"/>
  <c r="I8" i="90"/>
  <c r="I10" i="90" s="1"/>
  <c r="AA12" i="55"/>
  <c r="G13" i="21"/>
  <c r="D13" i="21" s="1"/>
  <c r="F13" i="54"/>
  <c r="G19" i="22" s="1"/>
  <c r="F21" i="186"/>
  <c r="I39" i="69"/>
  <c r="BG51" i="20"/>
  <c r="BH51" i="20" s="1"/>
  <c r="BH31" i="20"/>
  <c r="R174" i="99"/>
  <c r="R172" i="99" s="1"/>
  <c r="Q42" i="99"/>
  <c r="Q174" i="99" s="1"/>
  <c r="S13" i="20"/>
  <c r="BN13" i="20"/>
  <c r="H14" i="84"/>
  <c r="P16" i="55" s="1"/>
  <c r="L42" i="99" s="1"/>
  <c r="AD16" i="20"/>
  <c r="AW51" i="20"/>
  <c r="AX51" i="20" s="1"/>
  <c r="AX31" i="20"/>
  <c r="AG63" i="20"/>
  <c r="AN15" i="20"/>
  <c r="I41" i="99"/>
  <c r="F41" i="99" s="1"/>
  <c r="H15" i="55"/>
  <c r="AM30" i="20"/>
  <c r="AN9" i="20"/>
  <c r="AG62" i="20"/>
  <c r="AM49" i="20"/>
  <c r="AN49" i="20" s="1"/>
  <c r="AN29" i="20"/>
  <c r="AN31" i="20"/>
  <c r="AM51" i="20"/>
  <c r="AN51" i="20" s="1"/>
  <c r="Q19" i="20"/>
  <c r="S15" i="20"/>
  <c r="Q16" i="20"/>
  <c r="Q17" i="20"/>
  <c r="Q18" i="20"/>
  <c r="I14" i="84"/>
  <c r="T16" i="55" s="1"/>
  <c r="O42" i="99" s="1"/>
  <c r="AN16" i="20"/>
  <c r="AC50" i="20"/>
  <c r="AD50" i="20" s="1"/>
  <c r="AD30" i="20"/>
  <c r="W62" i="20"/>
  <c r="AD9" i="20"/>
  <c r="AW50" i="20"/>
  <c r="AX50" i="20" s="1"/>
  <c r="AX30" i="20"/>
  <c r="S11" i="20"/>
  <c r="BN11" i="20"/>
  <c r="AD15" i="20"/>
  <c r="W63" i="20"/>
  <c r="BH15" i="20"/>
  <c r="BA63" i="20"/>
  <c r="Q173" i="99"/>
  <c r="BG49" i="20"/>
  <c r="BH49" i="20" s="1"/>
  <c r="BH29" i="20"/>
  <c r="BG50" i="20"/>
  <c r="BH50" i="20" s="1"/>
  <c r="BH30" i="20"/>
  <c r="BA62" i="20"/>
  <c r="BH9" i="20"/>
  <c r="S12" i="20"/>
  <c r="BN12" i="20"/>
  <c r="K14" i="84"/>
  <c r="AB16" i="55" s="1"/>
  <c r="BH16" i="20"/>
  <c r="AC31" i="20"/>
  <c r="AC29" i="20"/>
  <c r="R40" i="99"/>
  <c r="F21" i="187"/>
  <c r="I44" i="69"/>
  <c r="E49" i="69"/>
  <c r="F49" i="69"/>
  <c r="I49" i="69" s="1"/>
  <c r="Y12" i="55"/>
  <c r="AA43" i="55"/>
  <c r="AA51" i="55" s="1"/>
  <c r="AA52" i="55" s="1"/>
  <c r="F50" i="69"/>
  <c r="W41" i="99" l="1"/>
  <c r="AC15" i="55"/>
  <c r="M13" i="21"/>
  <c r="L13" i="21"/>
  <c r="N13" i="21"/>
  <c r="O13" i="21"/>
  <c r="P13" i="21"/>
  <c r="AC49" i="20"/>
  <c r="AD49" i="20" s="1"/>
  <c r="AD29" i="20"/>
  <c r="U42" i="99"/>
  <c r="T11" i="20"/>
  <c r="S9" i="20"/>
  <c r="T15" i="20"/>
  <c r="M63" i="20"/>
  <c r="T12" i="20"/>
  <c r="S16" i="20"/>
  <c r="S17" i="20"/>
  <c r="S29" i="20" s="1"/>
  <c r="AN30" i="20"/>
  <c r="AM50" i="20"/>
  <c r="AN50" i="20" s="1"/>
  <c r="AC51" i="20"/>
  <c r="AD51" i="20" s="1"/>
  <c r="AD31" i="20"/>
  <c r="S18" i="20"/>
  <c r="S19" i="20"/>
  <c r="S31" i="20" s="1"/>
  <c r="T13" i="20"/>
  <c r="BP13" i="20"/>
  <c r="AA59" i="55"/>
  <c r="AA54" i="55"/>
  <c r="AA53" i="55"/>
  <c r="S49" i="20" l="1"/>
  <c r="T49" i="20" s="1"/>
  <c r="T29" i="20"/>
  <c r="S51" i="20"/>
  <c r="T51" i="20" s="1"/>
  <c r="T31" i="20"/>
  <c r="T18" i="20"/>
  <c r="G14" i="84"/>
  <c r="L16" i="55" s="1"/>
  <c r="T16" i="20"/>
  <c r="T19" i="20"/>
  <c r="T17" i="20"/>
  <c r="R9" i="20"/>
  <c r="M62" i="20"/>
  <c r="T9" i="20"/>
  <c r="S30" i="20"/>
  <c r="I42" i="99" l="1"/>
  <c r="F42" i="99" s="1"/>
  <c r="H16" i="55"/>
  <c r="S50" i="20"/>
  <c r="T50" i="20" s="1"/>
  <c r="T30" i="20"/>
  <c r="D164" i="21"/>
  <c r="W42" i="99" l="1"/>
  <c r="AC16" i="55"/>
  <c r="H37" i="24"/>
  <c r="H36" i="24"/>
  <c r="P80" i="21" l="1"/>
  <c r="O80" i="21"/>
  <c r="N80" i="21"/>
  <c r="M80" i="21"/>
  <c r="L80" i="21"/>
  <c r="K80" i="21"/>
  <c r="J80" i="21"/>
  <c r="I80" i="21"/>
  <c r="H80" i="21"/>
  <c r="G80" i="21"/>
  <c r="F80" i="21"/>
  <c r="E80" i="21"/>
  <c r="P77" i="21"/>
  <c r="O77" i="21"/>
  <c r="N77" i="21"/>
  <c r="M77" i="21"/>
  <c r="L77" i="21"/>
  <c r="K77" i="21"/>
  <c r="J77" i="21"/>
  <c r="I77" i="21"/>
  <c r="H77" i="21"/>
  <c r="G77" i="21"/>
  <c r="F77" i="21"/>
  <c r="E77" i="21"/>
  <c r="F55" i="21"/>
  <c r="G55" i="21"/>
  <c r="H55" i="21"/>
  <c r="I55" i="21"/>
  <c r="J55" i="21"/>
  <c r="K55" i="21"/>
  <c r="L55" i="21"/>
  <c r="M55" i="21"/>
  <c r="N55" i="21"/>
  <c r="O55" i="21"/>
  <c r="P55" i="21"/>
  <c r="E55" i="21"/>
  <c r="G48" i="21"/>
  <c r="F48" i="21"/>
  <c r="H48" i="21"/>
  <c r="I48" i="21"/>
  <c r="J48" i="21"/>
  <c r="K48" i="21"/>
  <c r="L48" i="21"/>
  <c r="M48" i="21"/>
  <c r="N48" i="21"/>
  <c r="O48" i="21"/>
  <c r="P48" i="21"/>
  <c r="E48" i="21"/>
  <c r="N34" i="21"/>
  <c r="M34" i="21"/>
  <c r="F34" i="21"/>
  <c r="H34" i="21"/>
  <c r="J34" i="21"/>
  <c r="L34" i="21" l="1"/>
  <c r="P34" i="21"/>
  <c r="K34" i="21"/>
  <c r="O34" i="21"/>
  <c r="E34" i="21"/>
  <c r="I34" i="21"/>
  <c r="G34" i="21"/>
  <c r="G17" i="20" l="1"/>
  <c r="BN17" i="20" s="1"/>
  <c r="G18" i="20"/>
  <c r="BN18" i="20" s="1"/>
  <c r="G19" i="20"/>
  <c r="BN19" i="20" s="1"/>
  <c r="G16" i="20"/>
  <c r="BN16" i="20" s="1"/>
  <c r="A28" i="70" l="1"/>
  <c r="J3" i="70"/>
  <c r="G10" i="70"/>
  <c r="F25" i="83" s="1"/>
  <c r="G11" i="70"/>
  <c r="G12" i="70"/>
  <c r="G13" i="70"/>
  <c r="G14" i="70"/>
  <c r="G15" i="70"/>
  <c r="G16" i="70"/>
  <c r="G17" i="70"/>
  <c r="G18" i="70"/>
  <c r="G19" i="70"/>
  <c r="G20" i="70"/>
  <c r="G21" i="70"/>
  <c r="G22" i="70"/>
  <c r="G23" i="70"/>
  <c r="G24" i="70"/>
  <c r="G25" i="70"/>
  <c r="F36" i="187" l="1"/>
  <c r="F37" i="186"/>
  <c r="G9" i="70"/>
  <c r="G8" i="70" s="1"/>
  <c r="D5" i="70"/>
  <c r="B11" i="180" l="1"/>
  <c r="B1" i="180"/>
  <c r="D11" i="180"/>
  <c r="B3" i="180"/>
  <c r="G9" i="180" l="1"/>
  <c r="I1" i="68"/>
  <c r="D161" i="21" l="1"/>
  <c r="D132" i="21"/>
  <c r="D107" i="21"/>
  <c r="P170" i="21"/>
  <c r="O170" i="21"/>
  <c r="N170" i="21"/>
  <c r="M170" i="21"/>
  <c r="L170" i="21"/>
  <c r="K170" i="21"/>
  <c r="J170" i="21"/>
  <c r="I170" i="21"/>
  <c r="H170" i="21"/>
  <c r="G170" i="21"/>
  <c r="F170" i="21"/>
  <c r="E170" i="21"/>
  <c r="D170" i="21"/>
  <c r="D154" i="21"/>
  <c r="D158" i="21" s="1"/>
  <c r="P152" i="21"/>
  <c r="P153" i="21" s="1"/>
  <c r="O152" i="21"/>
  <c r="O153" i="21" s="1"/>
  <c r="N152" i="21"/>
  <c r="N153" i="21" s="1"/>
  <c r="M152" i="21"/>
  <c r="M153" i="21" s="1"/>
  <c r="L152" i="21"/>
  <c r="L153" i="21" s="1"/>
  <c r="K152" i="21"/>
  <c r="K153" i="21" s="1"/>
  <c r="J152" i="21"/>
  <c r="J153" i="21" s="1"/>
  <c r="I152" i="21"/>
  <c r="I153" i="21" s="1"/>
  <c r="H152" i="21"/>
  <c r="H153" i="21" s="1"/>
  <c r="G152" i="21"/>
  <c r="G153" i="21" s="1"/>
  <c r="F152" i="21"/>
  <c r="F153" i="21" s="1"/>
  <c r="E152" i="21"/>
  <c r="E153" i="21" s="1"/>
  <c r="D152" i="21"/>
  <c r="E196" i="21"/>
  <c r="F196" i="21"/>
  <c r="G196" i="21"/>
  <c r="H196" i="21"/>
  <c r="I196" i="21"/>
  <c r="J196" i="21"/>
  <c r="K196" i="21"/>
  <c r="L196" i="21"/>
  <c r="M196" i="21"/>
  <c r="N196" i="21"/>
  <c r="O196" i="21"/>
  <c r="P196" i="21"/>
  <c r="P141" i="21"/>
  <c r="O141" i="21"/>
  <c r="N141" i="21"/>
  <c r="M141" i="21"/>
  <c r="L141" i="21"/>
  <c r="K141" i="21"/>
  <c r="J141" i="21"/>
  <c r="I141" i="21"/>
  <c r="H141" i="21"/>
  <c r="G141" i="21"/>
  <c r="F141" i="21"/>
  <c r="E141" i="21"/>
  <c r="D141" i="21"/>
  <c r="P129" i="21"/>
  <c r="O129" i="21"/>
  <c r="N129" i="21"/>
  <c r="L129" i="21"/>
  <c r="K129" i="21"/>
  <c r="J129" i="21"/>
  <c r="H129" i="21"/>
  <c r="G129" i="21"/>
  <c r="F129" i="21"/>
  <c r="P123" i="21"/>
  <c r="O123" i="21"/>
  <c r="N123" i="21"/>
  <c r="M123" i="21"/>
  <c r="L123" i="21"/>
  <c r="K123" i="21"/>
  <c r="J123" i="21"/>
  <c r="I123" i="21"/>
  <c r="H123" i="21"/>
  <c r="G123" i="21"/>
  <c r="F123" i="21"/>
  <c r="E123" i="21"/>
  <c r="D123" i="21"/>
  <c r="E207" i="21"/>
  <c r="F207" i="21"/>
  <c r="G207" i="21"/>
  <c r="H207" i="21"/>
  <c r="I207" i="21"/>
  <c r="J207" i="21"/>
  <c r="K207" i="21"/>
  <c r="L207" i="21"/>
  <c r="M207" i="21"/>
  <c r="N207" i="21"/>
  <c r="O207" i="21"/>
  <c r="P207" i="21"/>
  <c r="E206" i="21"/>
  <c r="F206" i="21"/>
  <c r="G206" i="21"/>
  <c r="H206" i="21"/>
  <c r="I206" i="21"/>
  <c r="J206" i="21"/>
  <c r="K206" i="21"/>
  <c r="L206" i="21"/>
  <c r="M206" i="21"/>
  <c r="N206" i="21"/>
  <c r="O206" i="21"/>
  <c r="P206" i="21"/>
  <c r="E205" i="21"/>
  <c r="F205" i="21"/>
  <c r="G205" i="21"/>
  <c r="H205" i="21"/>
  <c r="I205" i="21"/>
  <c r="J205" i="21"/>
  <c r="K205" i="21"/>
  <c r="L205" i="21"/>
  <c r="M205" i="21"/>
  <c r="N205" i="21"/>
  <c r="O205" i="21"/>
  <c r="P205" i="21"/>
  <c r="E195" i="21"/>
  <c r="F195" i="21"/>
  <c r="G195" i="21"/>
  <c r="H195" i="21"/>
  <c r="I195" i="21"/>
  <c r="J195" i="21"/>
  <c r="K195" i="21"/>
  <c r="L195" i="21"/>
  <c r="M195" i="21"/>
  <c r="N195" i="21"/>
  <c r="O195" i="21"/>
  <c r="P195" i="21"/>
  <c r="E194" i="21"/>
  <c r="F194" i="21"/>
  <c r="G194" i="21"/>
  <c r="H194" i="21"/>
  <c r="I194" i="21"/>
  <c r="J194" i="21"/>
  <c r="K194" i="21"/>
  <c r="L194" i="21"/>
  <c r="M194" i="21"/>
  <c r="N194" i="21"/>
  <c r="O194" i="21"/>
  <c r="P194" i="21"/>
  <c r="E193" i="21"/>
  <c r="F193" i="21"/>
  <c r="G193" i="21"/>
  <c r="H193" i="21"/>
  <c r="I193" i="21"/>
  <c r="J193" i="21"/>
  <c r="K193" i="21"/>
  <c r="L193" i="21"/>
  <c r="M193" i="21"/>
  <c r="N193" i="21"/>
  <c r="O193" i="21"/>
  <c r="P193" i="21"/>
  <c r="E216" i="21"/>
  <c r="F216" i="21"/>
  <c r="G216" i="21"/>
  <c r="H216" i="21"/>
  <c r="I216" i="21"/>
  <c r="J216" i="21"/>
  <c r="K216" i="21"/>
  <c r="L216" i="21"/>
  <c r="M216" i="21"/>
  <c r="N216" i="21"/>
  <c r="O216" i="21"/>
  <c r="P216" i="21"/>
  <c r="E204" i="21"/>
  <c r="F204" i="21"/>
  <c r="G204" i="21"/>
  <c r="H204" i="21"/>
  <c r="I204" i="21"/>
  <c r="J204" i="21"/>
  <c r="K204" i="21"/>
  <c r="L204" i="21"/>
  <c r="M204" i="21"/>
  <c r="N204" i="21"/>
  <c r="O204" i="21"/>
  <c r="P204" i="21"/>
  <c r="E203" i="21"/>
  <c r="F203" i="21"/>
  <c r="G203" i="21"/>
  <c r="H203" i="21"/>
  <c r="I203" i="21"/>
  <c r="J203" i="21"/>
  <c r="K203" i="21"/>
  <c r="L203" i="21"/>
  <c r="M203" i="21"/>
  <c r="N203" i="21"/>
  <c r="O203" i="21"/>
  <c r="P203" i="21"/>
  <c r="E202" i="21"/>
  <c r="F202" i="21"/>
  <c r="G202" i="21"/>
  <c r="H202" i="21"/>
  <c r="I202" i="21"/>
  <c r="J202" i="21"/>
  <c r="K202" i="21"/>
  <c r="L202" i="21"/>
  <c r="M202" i="21"/>
  <c r="N202" i="21"/>
  <c r="O202" i="21"/>
  <c r="P202" i="21"/>
  <c r="E215" i="21"/>
  <c r="F215" i="21"/>
  <c r="G215" i="21"/>
  <c r="H215" i="21"/>
  <c r="I215" i="21"/>
  <c r="J215" i="21"/>
  <c r="K215" i="21"/>
  <c r="L215" i="21"/>
  <c r="M215" i="21"/>
  <c r="N215" i="21"/>
  <c r="O215" i="21"/>
  <c r="P215" i="21"/>
  <c r="E214" i="21"/>
  <c r="F214" i="21"/>
  <c r="G214" i="21"/>
  <c r="H214" i="21"/>
  <c r="I214" i="21"/>
  <c r="J214" i="21"/>
  <c r="K214" i="21"/>
  <c r="L214" i="21"/>
  <c r="M214" i="21"/>
  <c r="N214" i="21"/>
  <c r="O214" i="21"/>
  <c r="P214" i="21"/>
  <c r="E212" i="21"/>
  <c r="F212" i="21"/>
  <c r="G212" i="21"/>
  <c r="H212" i="21"/>
  <c r="I212" i="21"/>
  <c r="J212" i="21"/>
  <c r="K212" i="21"/>
  <c r="L212" i="21"/>
  <c r="M212" i="21"/>
  <c r="N212" i="21"/>
  <c r="O212" i="21"/>
  <c r="P212" i="21"/>
  <c r="D50" i="21"/>
  <c r="D203" i="21" s="1"/>
  <c r="D49" i="21"/>
  <c r="D202" i="21" s="1"/>
  <c r="C200" i="21"/>
  <c r="E200" i="21"/>
  <c r="F200" i="21"/>
  <c r="G200" i="21"/>
  <c r="H200" i="21"/>
  <c r="I200" i="21"/>
  <c r="J200" i="21"/>
  <c r="K200" i="21"/>
  <c r="L200" i="21"/>
  <c r="M200" i="21"/>
  <c r="N200" i="21"/>
  <c r="O200" i="21"/>
  <c r="P200" i="21"/>
  <c r="P280" i="21"/>
  <c r="O280" i="21"/>
  <c r="N280" i="21"/>
  <c r="M280" i="21"/>
  <c r="L280" i="21"/>
  <c r="K280" i="21"/>
  <c r="J280" i="21"/>
  <c r="I280" i="21"/>
  <c r="H280" i="21"/>
  <c r="G280" i="21"/>
  <c r="F280" i="21"/>
  <c r="E280" i="21"/>
  <c r="D280" i="21"/>
  <c r="D153" i="21" l="1"/>
  <c r="H124" i="21"/>
  <c r="P124" i="21"/>
  <c r="E124" i="21"/>
  <c r="I124" i="21"/>
  <c r="M124" i="21"/>
  <c r="L124" i="21"/>
  <c r="F124" i="21"/>
  <c r="J124" i="21"/>
  <c r="N124" i="21"/>
  <c r="E129" i="21"/>
  <c r="I129" i="21"/>
  <c r="M129" i="21"/>
  <c r="G124" i="21"/>
  <c r="K124" i="21"/>
  <c r="O124" i="21"/>
  <c r="D125" i="21"/>
  <c r="D196" i="21" s="1"/>
  <c r="D48" i="21"/>
  <c r="D129" i="21" l="1"/>
  <c r="D124" i="21"/>
  <c r="D201" i="21"/>
  <c r="D71" i="24" l="1"/>
  <c r="H25" i="24" l="1"/>
  <c r="H23" i="24"/>
  <c r="H22" i="24"/>
  <c r="H21" i="24"/>
  <c r="J22" i="24"/>
  <c r="H13" i="118" l="1"/>
  <c r="D197" i="21"/>
  <c r="D198" i="21"/>
  <c r="D56" i="21" l="1"/>
  <c r="D214" i="21" s="1"/>
  <c r="D57" i="21"/>
  <c r="D215" i="21" s="1"/>
  <c r="F213" i="21"/>
  <c r="G213" i="21"/>
  <c r="H213" i="21"/>
  <c r="I213" i="21"/>
  <c r="J213" i="21"/>
  <c r="K213" i="21"/>
  <c r="L213" i="21"/>
  <c r="M213" i="21"/>
  <c r="N213" i="21"/>
  <c r="O213" i="21"/>
  <c r="P213" i="21"/>
  <c r="D116" i="21"/>
  <c r="D80" i="21"/>
  <c r="D216" i="21" s="1"/>
  <c r="D77" i="21"/>
  <c r="D204" i="21" s="1"/>
  <c r="F201" i="21"/>
  <c r="G201" i="21"/>
  <c r="H201" i="21"/>
  <c r="I201" i="21"/>
  <c r="J201" i="21"/>
  <c r="K201" i="21"/>
  <c r="L201" i="21"/>
  <c r="M201" i="21"/>
  <c r="N201" i="21"/>
  <c r="O201" i="21"/>
  <c r="P201" i="21"/>
  <c r="E201" i="21"/>
  <c r="D205" i="21" l="1"/>
  <c r="D206" i="21"/>
  <c r="D207" i="21"/>
  <c r="D55" i="21"/>
  <c r="D213" i="21" s="1"/>
  <c r="E213" i="21"/>
  <c r="E9" i="20" l="1"/>
  <c r="BL9" i="20" s="1"/>
  <c r="G9" i="20"/>
  <c r="BN9" i="20" s="1"/>
  <c r="F9" i="20" l="1"/>
  <c r="C6" i="70" l="1"/>
  <c r="B6" i="70"/>
  <c r="P26" i="29" l="1"/>
  <c r="P25" i="29"/>
  <c r="P24" i="29"/>
  <c r="K25" i="29"/>
  <c r="K26" i="29"/>
  <c r="K24" i="29"/>
  <c r="J26" i="29"/>
  <c r="J25" i="29"/>
  <c r="J24" i="29"/>
  <c r="D26" i="29"/>
  <c r="D25" i="29"/>
  <c r="D24" i="29"/>
  <c r="G26" i="29"/>
  <c r="G25" i="29"/>
  <c r="G24" i="29"/>
  <c r="Q26" i="29" l="1"/>
  <c r="Q25" i="29"/>
  <c r="Q24" i="29"/>
  <c r="C23" i="83" l="1"/>
  <c r="C10" i="83"/>
  <c r="C9" i="83" l="1"/>
  <c r="C29" i="159"/>
  <c r="C13" i="159"/>
  <c r="C12" i="159" l="1"/>
  <c r="C11" i="84"/>
  <c r="C10" i="84" l="1"/>
  <c r="F96" i="159" l="1"/>
  <c r="F95" i="159"/>
  <c r="F94" i="159"/>
  <c r="F93" i="159"/>
  <c r="F92" i="159"/>
  <c r="F91" i="159"/>
  <c r="F90" i="159"/>
  <c r="F89" i="159"/>
  <c r="D4" i="173" l="1"/>
  <c r="X98" i="165" l="1"/>
  <c r="X97" i="165"/>
  <c r="X96" i="165"/>
  <c r="X95" i="165"/>
  <c r="X77" i="165"/>
  <c r="X68" i="165"/>
  <c r="X66" i="165"/>
  <c r="X43" i="165"/>
  <c r="X31" i="165"/>
  <c r="C102" i="165" l="1"/>
  <c r="C73" i="165"/>
  <c r="E63" i="165"/>
  <c r="E23" i="134"/>
  <c r="E58" i="165" l="1"/>
  <c r="E28" i="134"/>
  <c r="C38" i="134" l="1"/>
  <c r="I29" i="29" l="1"/>
  <c r="F14" i="29"/>
  <c r="G56" i="22" s="1"/>
  <c r="G83" i="22" s="1"/>
  <c r="K19" i="29"/>
  <c r="P15" i="29"/>
  <c r="P23" i="29" s="1"/>
  <c r="J15" i="29"/>
  <c r="G15" i="29"/>
  <c r="P19" i="29"/>
  <c r="P28" i="29" s="1"/>
  <c r="J19" i="29"/>
  <c r="J28" i="29" s="1"/>
  <c r="G19" i="29"/>
  <c r="C14" i="29"/>
  <c r="G55" i="22" s="1"/>
  <c r="G82" i="22" s="1"/>
  <c r="I14" i="29"/>
  <c r="G57" i="22" s="1"/>
  <c r="G84" i="22" s="1"/>
  <c r="O14" i="29"/>
  <c r="G59" i="22" s="1"/>
  <c r="G86" i="22" s="1"/>
  <c r="D15" i="29"/>
  <c r="E15" i="29"/>
  <c r="H15" i="29"/>
  <c r="H23" i="29" s="1"/>
  <c r="C16" i="29"/>
  <c r="F16" i="29"/>
  <c r="F24" i="29" s="1"/>
  <c r="O16" i="29"/>
  <c r="C17" i="29"/>
  <c r="F17" i="29"/>
  <c r="F25" i="29" s="1"/>
  <c r="K15" i="29"/>
  <c r="K23" i="29" s="1"/>
  <c r="O17" i="29"/>
  <c r="C18" i="29"/>
  <c r="F18" i="29"/>
  <c r="I18" i="29"/>
  <c r="O18" i="29"/>
  <c r="E19" i="29"/>
  <c r="F20" i="29"/>
  <c r="I20" i="29"/>
  <c r="O20" i="29"/>
  <c r="C21" i="29"/>
  <c r="F21" i="29"/>
  <c r="I21" i="29"/>
  <c r="O21" i="29"/>
  <c r="C22" i="29"/>
  <c r="I22" i="29"/>
  <c r="O22" i="29"/>
  <c r="K28" i="29"/>
  <c r="C29" i="29"/>
  <c r="F29" i="29"/>
  <c r="O29" i="29"/>
  <c r="E23" i="29" l="1"/>
  <c r="G23" i="29"/>
  <c r="G28" i="29"/>
  <c r="G66" i="22"/>
  <c r="J23" i="29"/>
  <c r="I19" i="29"/>
  <c r="I26" i="29"/>
  <c r="F15" i="29"/>
  <c r="C25" i="29"/>
  <c r="C26" i="29"/>
  <c r="C15" i="29"/>
  <c r="O26" i="29"/>
  <c r="O25" i="29"/>
  <c r="O24" i="29"/>
  <c r="Q15" i="29"/>
  <c r="Q23" i="29" s="1"/>
  <c r="Q19" i="29"/>
  <c r="Q28" i="29" s="1"/>
  <c r="I15" i="29"/>
  <c r="I23" i="29" s="1"/>
  <c r="C20" i="29"/>
  <c r="C24" i="29" s="1"/>
  <c r="I16" i="29"/>
  <c r="I24" i="29" s="1"/>
  <c r="D19" i="29"/>
  <c r="I17" i="29"/>
  <c r="I25" i="29" s="1"/>
  <c r="D23" i="29" l="1"/>
  <c r="G64" i="22"/>
  <c r="I28" i="29"/>
  <c r="G67" i="22"/>
  <c r="O15" i="29"/>
  <c r="O23" i="29" s="1"/>
  <c r="O19" i="29"/>
  <c r="G71" i="22" s="1"/>
  <c r="D28" i="29"/>
  <c r="C19" i="29"/>
  <c r="C23" i="29" l="1"/>
  <c r="G63" i="22"/>
  <c r="O28" i="29"/>
  <c r="C28" i="29"/>
  <c r="E153" i="99" l="1"/>
  <c r="X153" i="99" s="1"/>
  <c r="E151" i="99"/>
  <c r="X151" i="99" s="1"/>
  <c r="E150" i="99"/>
  <c r="X150" i="99" s="1"/>
  <c r="E149" i="99"/>
  <c r="X149" i="99" s="1"/>
  <c r="E148" i="99"/>
  <c r="X148" i="99" s="1"/>
  <c r="E147" i="99"/>
  <c r="X147" i="99" s="1"/>
  <c r="V70" i="99"/>
  <c r="E75" i="99"/>
  <c r="X75" i="99" s="1"/>
  <c r="E74" i="99"/>
  <c r="C39" i="165" s="1"/>
  <c r="J70" i="99"/>
  <c r="F185" i="21"/>
  <c r="F188" i="21"/>
  <c r="F190" i="21"/>
  <c r="F192" i="21"/>
  <c r="G185" i="21"/>
  <c r="G188" i="21"/>
  <c r="G190" i="21"/>
  <c r="G192" i="21"/>
  <c r="H185" i="21"/>
  <c r="H188" i="21"/>
  <c r="H190" i="21"/>
  <c r="H192" i="21"/>
  <c r="I185" i="21"/>
  <c r="I188" i="21"/>
  <c r="I190" i="21"/>
  <c r="I192" i="21"/>
  <c r="X74" i="99" l="1"/>
  <c r="D25" i="24"/>
  <c r="AL21" i="20" l="1"/>
  <c r="AM21" i="20" s="1"/>
  <c r="AV21" i="20"/>
  <c r="AW21" i="20" s="1"/>
  <c r="AB21" i="20"/>
  <c r="AC21" i="20" s="1"/>
  <c r="AV22" i="20"/>
  <c r="AW22" i="20" s="1"/>
  <c r="BF21" i="20"/>
  <c r="BG21" i="20" s="1"/>
  <c r="R22" i="20"/>
  <c r="S22" i="20" s="1"/>
  <c r="AB22" i="20"/>
  <c r="AC22" i="20" s="1"/>
  <c r="BF22" i="20"/>
  <c r="BG22" i="20" s="1"/>
  <c r="R21" i="20"/>
  <c r="S21" i="20" s="1"/>
  <c r="AL22" i="20"/>
  <c r="AM22" i="20" s="1"/>
  <c r="D22" i="21"/>
  <c r="D212" i="21" s="1"/>
  <c r="D19" i="21"/>
  <c r="D200" i="21" s="1"/>
  <c r="M64" i="20" l="1"/>
  <c r="S27" i="20"/>
  <c r="J15" i="84"/>
  <c r="X17" i="55" s="1"/>
  <c r="S43" i="99" s="1"/>
  <c r="AW28" i="20"/>
  <c r="H15" i="84"/>
  <c r="P17" i="55" s="1"/>
  <c r="M43" i="99" s="1"/>
  <c r="AC28" i="20"/>
  <c r="W64" i="20"/>
  <c r="AC27" i="20"/>
  <c r="K15" i="84"/>
  <c r="AB17" i="55" s="1"/>
  <c r="BG28" i="20"/>
  <c r="I15" i="84"/>
  <c r="T17" i="55" s="1"/>
  <c r="P43" i="99" s="1"/>
  <c r="AM28" i="20"/>
  <c r="G15" i="84"/>
  <c r="L17" i="55" s="1"/>
  <c r="S28" i="20"/>
  <c r="AQ64" i="20"/>
  <c r="AW27" i="20"/>
  <c r="BA64" i="20"/>
  <c r="BG27" i="20"/>
  <c r="AG64" i="20"/>
  <c r="AM27" i="20"/>
  <c r="D94" i="159"/>
  <c r="AN27" i="20" l="1"/>
  <c r="AM47" i="20"/>
  <c r="AN47" i="20" s="1"/>
  <c r="AM48" i="20"/>
  <c r="AN28" i="20"/>
  <c r="AD27" i="20"/>
  <c r="AC47" i="20"/>
  <c r="AD47" i="20" s="1"/>
  <c r="AX28" i="20"/>
  <c r="AW48" i="20"/>
  <c r="BA61" i="20"/>
  <c r="BB64" i="20"/>
  <c r="AX27" i="20"/>
  <c r="AW47" i="20"/>
  <c r="AX47" i="20" s="1"/>
  <c r="AG61" i="20"/>
  <c r="AH64" i="20"/>
  <c r="AQ61" i="20"/>
  <c r="AR64" i="20"/>
  <c r="W61" i="20"/>
  <c r="X64" i="20"/>
  <c r="S175" i="99"/>
  <c r="S172" i="99" s="1"/>
  <c r="G31" i="167"/>
  <c r="S40" i="99"/>
  <c r="G30" i="167" s="1"/>
  <c r="Q43" i="99"/>
  <c r="BH27" i="20"/>
  <c r="BG47" i="20"/>
  <c r="BH47" i="20" s="1"/>
  <c r="G12" i="84"/>
  <c r="T28" i="20"/>
  <c r="S48" i="20"/>
  <c r="T48" i="20" s="1"/>
  <c r="BH28" i="20"/>
  <c r="BG48" i="20"/>
  <c r="AC48" i="20"/>
  <c r="AD28" i="20"/>
  <c r="S47" i="20"/>
  <c r="T47" i="20" s="1"/>
  <c r="T27" i="20"/>
  <c r="H17" i="55"/>
  <c r="J43" i="99"/>
  <c r="L14" i="55"/>
  <c r="V43" i="99"/>
  <c r="AB14" i="55"/>
  <c r="M61" i="20"/>
  <c r="N64" i="20"/>
  <c r="D95" i="159"/>
  <c r="A7" i="119"/>
  <c r="A8" i="119" s="1"/>
  <c r="A9" i="119" s="1"/>
  <c r="A10" i="119" s="1"/>
  <c r="A11" i="119" s="1"/>
  <c r="J12" i="84" l="1"/>
  <c r="AX48" i="20"/>
  <c r="G43" i="99"/>
  <c r="AB53" i="55"/>
  <c r="H12" i="165"/>
  <c r="AC17" i="55"/>
  <c r="W43" i="99"/>
  <c r="AD48" i="20"/>
  <c r="H12" i="84"/>
  <c r="AR63" i="20"/>
  <c r="AR62" i="20"/>
  <c r="AR65" i="20"/>
  <c r="I12" i="84"/>
  <c r="AN48" i="20"/>
  <c r="BH48" i="20"/>
  <c r="K12" i="84"/>
  <c r="Q175" i="99"/>
  <c r="Q172" i="99" s="1"/>
  <c r="Q40" i="99"/>
  <c r="N62" i="20"/>
  <c r="N63" i="20"/>
  <c r="N65" i="20"/>
  <c r="X63" i="20"/>
  <c r="X62" i="20"/>
  <c r="X65" i="20"/>
  <c r="AH62" i="20"/>
  <c r="AH61" i="20" s="1"/>
  <c r="AH63" i="20"/>
  <c r="AH65" i="20"/>
  <c r="BB63" i="20"/>
  <c r="BB62" i="20"/>
  <c r="BB61" i="20" s="1"/>
  <c r="BB65" i="20"/>
  <c r="H98" i="159"/>
  <c r="H94" i="159"/>
  <c r="AR61" i="20" l="1"/>
  <c r="X61" i="20"/>
  <c r="N61" i="20"/>
  <c r="H95" i="159"/>
  <c r="B5" i="68" l="1"/>
  <c r="B6" i="68" s="1"/>
  <c r="B7" i="68" s="1"/>
  <c r="B8" i="68" s="1"/>
  <c r="G9" i="68" l="1"/>
  <c r="J9" i="68"/>
  <c r="F28" i="84"/>
  <c r="I9" i="68"/>
  <c r="E9" i="68"/>
  <c r="F27" i="84"/>
  <c r="F9" i="68"/>
  <c r="D9" i="68"/>
  <c r="G28" i="84" l="1"/>
  <c r="N28" i="84" s="1"/>
  <c r="I28" i="84"/>
  <c r="H28" i="84"/>
  <c r="K28" i="84"/>
  <c r="J28" i="84"/>
  <c r="G27" i="84"/>
  <c r="J27" i="84"/>
  <c r="K27" i="84"/>
  <c r="I27" i="84"/>
  <c r="H27" i="84"/>
  <c r="N27" i="84" s="1"/>
  <c r="K9" i="68"/>
  <c r="A5" i="118"/>
  <c r="O2" i="159" l="1"/>
  <c r="F7" i="159"/>
  <c r="R7" i="159"/>
  <c r="O7" i="159"/>
  <c r="L7" i="159"/>
  <c r="I7" i="159"/>
  <c r="L79" i="159"/>
  <c r="B79" i="159"/>
  <c r="L77" i="159"/>
  <c r="B77" i="159"/>
  <c r="E29" i="159"/>
  <c r="D29" i="159"/>
  <c r="E13" i="159"/>
  <c r="D13" i="159"/>
  <c r="E7" i="159"/>
  <c r="D8" i="159"/>
  <c r="C8" i="159"/>
  <c r="L3" i="159"/>
  <c r="D3" i="159"/>
  <c r="E12" i="159" l="1"/>
  <c r="D12" i="159"/>
  <c r="O33" i="55"/>
  <c r="O14" i="55"/>
  <c r="O29" i="55"/>
  <c r="O53" i="55" l="1"/>
  <c r="F99" i="159"/>
  <c r="F97" i="159"/>
  <c r="O13" i="55"/>
  <c r="O12" i="55" s="1"/>
  <c r="O43" i="55" s="1"/>
  <c r="O59" i="55" s="1"/>
  <c r="E2" i="22"/>
  <c r="P3" i="99"/>
  <c r="E97" i="159" l="1"/>
  <c r="E95" i="159"/>
  <c r="E94" i="159"/>
  <c r="E89" i="159"/>
  <c r="E96" i="159"/>
  <c r="E90" i="159"/>
  <c r="E92" i="159"/>
  <c r="E93" i="159"/>
  <c r="E91" i="159"/>
  <c r="E98" i="159"/>
  <c r="O54" i="55"/>
  <c r="E99" i="159" l="1"/>
  <c r="D40" i="58"/>
  <c r="H12" i="118" l="1"/>
  <c r="H11" i="118"/>
  <c r="H10" i="118"/>
  <c r="H9" i="118"/>
  <c r="H8" i="118"/>
  <c r="H39" i="154" l="1"/>
  <c r="H32" i="154"/>
  <c r="H30" i="154"/>
  <c r="H23" i="154"/>
  <c r="H21" i="154"/>
  <c r="H14" i="154"/>
  <c r="H12" i="154"/>
  <c r="H32" i="153"/>
  <c r="H25" i="153"/>
  <c r="H23" i="153"/>
  <c r="H16" i="153"/>
  <c r="H14" i="153"/>
  <c r="H10" i="20" l="1"/>
  <c r="I10" i="20" s="1"/>
  <c r="BP10" i="20" s="1"/>
  <c r="F60" i="98" l="1"/>
  <c r="H12" i="20"/>
  <c r="I12" i="20" s="1"/>
  <c r="BP12" i="20" s="1"/>
  <c r="H11" i="20" l="1"/>
  <c r="I11" i="20" l="1"/>
  <c r="H9" i="20"/>
  <c r="I9" i="20" l="1"/>
  <c r="BP9" i="20" s="1"/>
  <c r="BP11" i="20"/>
  <c r="C38" i="133"/>
  <c r="C33" i="135"/>
  <c r="J60" i="98" l="1"/>
  <c r="C35" i="69" l="1"/>
  <c r="E38" i="69" l="1"/>
  <c r="C50" i="69"/>
  <c r="E35" i="69"/>
  <c r="E50" i="69" s="1"/>
  <c r="E37" i="69"/>
  <c r="B4" i="125"/>
  <c r="H16" i="20" l="1"/>
  <c r="I16" i="20" s="1"/>
  <c r="BP16" i="20" s="1"/>
  <c r="H17" i="20"/>
  <c r="H18" i="20"/>
  <c r="H19" i="20"/>
  <c r="H15" i="20"/>
  <c r="K33" i="55" l="1"/>
  <c r="W14" i="55"/>
  <c r="S14" i="55"/>
  <c r="G14" i="55" s="1"/>
  <c r="G53" i="55" s="1"/>
  <c r="K13" i="55" l="1"/>
  <c r="F43" i="57"/>
  <c r="D93" i="159" l="1"/>
  <c r="H93" i="159" s="1"/>
  <c r="L22" i="55" l="1"/>
  <c r="J48" i="99" l="1"/>
  <c r="D14" i="118"/>
  <c r="D229" i="21" l="1"/>
  <c r="F14" i="118" l="1"/>
  <c r="E14" i="118"/>
  <c r="D32" i="24" s="1"/>
  <c r="C14" i="118"/>
  <c r="H14" i="118" s="1"/>
  <c r="D34" i="24" l="1"/>
  <c r="D81" i="21"/>
  <c r="D168" i="21"/>
  <c r="E168" i="21" s="1"/>
  <c r="D139" i="21"/>
  <c r="D136" i="21"/>
  <c r="D117" i="21"/>
  <c r="D165" i="21"/>
  <c r="E165" i="21" s="1"/>
  <c r="D28" i="24"/>
  <c r="E169" i="21" l="1"/>
  <c r="F168" i="21"/>
  <c r="D102" i="21"/>
  <c r="D159" i="21"/>
  <c r="E159" i="21" s="1"/>
  <c r="D130" i="21"/>
  <c r="E166" i="21"/>
  <c r="F165" i="21"/>
  <c r="D183" i="21"/>
  <c r="N192" i="21"/>
  <c r="J185" i="21"/>
  <c r="L185" i="21"/>
  <c r="M185" i="21"/>
  <c r="N185" i="21"/>
  <c r="O185" i="21"/>
  <c r="P185" i="21"/>
  <c r="K38" i="84" l="1"/>
  <c r="J38" i="84"/>
  <c r="I38" i="84"/>
  <c r="G38" i="84"/>
  <c r="H38" i="84"/>
  <c r="G168" i="21"/>
  <c r="F169" i="21"/>
  <c r="F166" i="21"/>
  <c r="G165" i="21"/>
  <c r="E160" i="21"/>
  <c r="F159" i="21"/>
  <c r="E288" i="21"/>
  <c r="E171" i="21"/>
  <c r="E172" i="21" s="1"/>
  <c r="I211" i="21"/>
  <c r="G211" i="21"/>
  <c r="O211" i="21"/>
  <c r="E192" i="21"/>
  <c r="J192" i="21"/>
  <c r="P192" i="21"/>
  <c r="L192" i="21"/>
  <c r="M192" i="21"/>
  <c r="K192" i="21"/>
  <c r="O192" i="21"/>
  <c r="M211" i="21"/>
  <c r="E211" i="21"/>
  <c r="J211" i="21"/>
  <c r="N211" i="21"/>
  <c r="L211" i="21"/>
  <c r="P211" i="21"/>
  <c r="K211" i="21"/>
  <c r="N38" i="84" l="1"/>
  <c r="H168" i="21"/>
  <c r="G169" i="21"/>
  <c r="F288" i="21"/>
  <c r="F171" i="21"/>
  <c r="F172" i="21" s="1"/>
  <c r="G166" i="21"/>
  <c r="H165" i="21"/>
  <c r="E286" i="21"/>
  <c r="F160" i="21"/>
  <c r="F286" i="21" s="1"/>
  <c r="G159" i="21"/>
  <c r="H211" i="21"/>
  <c r="F211" i="21"/>
  <c r="D211" i="21"/>
  <c r="I168" i="21" l="1"/>
  <c r="H169" i="21"/>
  <c r="G288" i="21"/>
  <c r="G171" i="21"/>
  <c r="G172" i="21" s="1"/>
  <c r="G160" i="21"/>
  <c r="H159" i="21"/>
  <c r="H166" i="21"/>
  <c r="I165" i="21"/>
  <c r="J168" i="21" l="1"/>
  <c r="I169" i="21"/>
  <c r="H160" i="21"/>
  <c r="H286" i="21" s="1"/>
  <c r="I159" i="21"/>
  <c r="H288" i="21"/>
  <c r="H171" i="21"/>
  <c r="H172" i="21" s="1"/>
  <c r="I166" i="21"/>
  <c r="J165" i="21"/>
  <c r="G286" i="21"/>
  <c r="K185" i="21"/>
  <c r="E185" i="21"/>
  <c r="K168" i="21" l="1"/>
  <c r="J169" i="21"/>
  <c r="I288" i="21"/>
  <c r="I171" i="21"/>
  <c r="I172" i="21" s="1"/>
  <c r="I160" i="21"/>
  <c r="J159" i="21"/>
  <c r="J166" i="21"/>
  <c r="K165" i="21"/>
  <c r="L168" i="21" l="1"/>
  <c r="K169" i="21"/>
  <c r="J288" i="21"/>
  <c r="J171" i="21"/>
  <c r="J172" i="21" s="1"/>
  <c r="K166" i="21"/>
  <c r="L165" i="21"/>
  <c r="I286" i="21"/>
  <c r="J160" i="21"/>
  <c r="J286" i="21" s="1"/>
  <c r="K159" i="21"/>
  <c r="M168" i="21" l="1"/>
  <c r="L169" i="21"/>
  <c r="L166" i="21"/>
  <c r="M165" i="21"/>
  <c r="K160" i="21"/>
  <c r="L159" i="21"/>
  <c r="K288" i="21"/>
  <c r="K171" i="21"/>
  <c r="K172" i="21" s="1"/>
  <c r="N168" i="21" l="1"/>
  <c r="M169" i="21"/>
  <c r="L160" i="21"/>
  <c r="L286" i="21" s="1"/>
  <c r="M159" i="21"/>
  <c r="L288" i="21"/>
  <c r="L171" i="21"/>
  <c r="L172" i="21" s="1"/>
  <c r="M166" i="21"/>
  <c r="N165" i="21"/>
  <c r="K286" i="21"/>
  <c r="O168" i="21" l="1"/>
  <c r="N169" i="21"/>
  <c r="M160" i="21"/>
  <c r="N159" i="21"/>
  <c r="M288" i="21"/>
  <c r="M171" i="21"/>
  <c r="M172" i="21" s="1"/>
  <c r="N166" i="21"/>
  <c r="O165" i="21"/>
  <c r="P168" i="21" l="1"/>
  <c r="P169" i="21" s="1"/>
  <c r="D169" i="21" s="1"/>
  <c r="O169" i="21"/>
  <c r="N288" i="21"/>
  <c r="N171" i="21"/>
  <c r="N172" i="21" s="1"/>
  <c r="N160" i="21"/>
  <c r="N286" i="21" s="1"/>
  <c r="O159" i="21"/>
  <c r="M286" i="21"/>
  <c r="O166" i="21"/>
  <c r="P165" i="21"/>
  <c r="P166" i="21" s="1"/>
  <c r="O288" i="21" l="1"/>
  <c r="O171" i="21"/>
  <c r="O172" i="21" s="1"/>
  <c r="P288" i="21"/>
  <c r="P171" i="21"/>
  <c r="P172" i="21" s="1"/>
  <c r="D166" i="21"/>
  <c r="O160" i="21"/>
  <c r="O286" i="21" s="1"/>
  <c r="P159" i="21"/>
  <c r="P160" i="21" s="1"/>
  <c r="D288" i="21" l="1"/>
  <c r="D171" i="21"/>
  <c r="D172" i="21" s="1"/>
  <c r="P286" i="21"/>
  <c r="D160" i="21"/>
  <c r="D286" i="21" s="1"/>
  <c r="J3" i="84" l="1"/>
  <c r="L2" i="21"/>
  <c r="G2" i="20"/>
  <c r="E3" i="58"/>
  <c r="S2" i="55"/>
  <c r="C48" i="69" l="1"/>
  <c r="C47" i="69"/>
  <c r="C43" i="69"/>
  <c r="D43" i="69" s="1"/>
  <c r="F43" i="69" s="1"/>
  <c r="C42" i="69"/>
  <c r="C38" i="69"/>
  <c r="C37" i="69"/>
  <c r="C33" i="69"/>
  <c r="D33" i="69" s="1"/>
  <c r="F33" i="69" s="1"/>
  <c r="C32" i="69"/>
  <c r="C28" i="69"/>
  <c r="C27" i="69"/>
  <c r="C23" i="69"/>
  <c r="D23" i="69" s="1"/>
  <c r="F23" i="69" s="1"/>
  <c r="C22" i="69"/>
  <c r="C18" i="69"/>
  <c r="D18" i="69" s="1"/>
  <c r="F18" i="69" s="1"/>
  <c r="C17" i="69"/>
  <c r="C13" i="69"/>
  <c r="C12" i="69"/>
  <c r="F29" i="84" l="1"/>
  <c r="D17" i="69"/>
  <c r="D22" i="69"/>
  <c r="D32" i="69"/>
  <c r="D42" i="69"/>
  <c r="D13" i="69"/>
  <c r="F13" i="69" s="1"/>
  <c r="D28" i="69"/>
  <c r="F28" i="69" s="1"/>
  <c r="D38" i="69"/>
  <c r="F38" i="69" s="1"/>
  <c r="D48" i="69"/>
  <c r="F48" i="69" s="1"/>
  <c r="D12" i="69"/>
  <c r="F12" i="69" s="1"/>
  <c r="D27" i="69"/>
  <c r="F27" i="69" s="1"/>
  <c r="F26" i="69" s="1"/>
  <c r="D37" i="69"/>
  <c r="F37" i="69" s="1"/>
  <c r="D47" i="69"/>
  <c r="F47" i="69" s="1"/>
  <c r="F46" i="69" s="1"/>
  <c r="F23" i="187" s="1"/>
  <c r="F20" i="187" l="1"/>
  <c r="F8" i="187" s="1"/>
  <c r="J29" i="84"/>
  <c r="X24" i="55" s="1"/>
  <c r="I29" i="84"/>
  <c r="T24" i="55" s="1"/>
  <c r="P50" i="99" s="1"/>
  <c r="K29" i="84"/>
  <c r="AB24" i="55" s="1"/>
  <c r="G29" i="84"/>
  <c r="L24" i="55" s="1"/>
  <c r="H29" i="84"/>
  <c r="P24" i="55" s="1"/>
  <c r="M50" i="99" s="1"/>
  <c r="F36" i="69"/>
  <c r="D16" i="69"/>
  <c r="F17" i="69"/>
  <c r="F16" i="69" s="1"/>
  <c r="D21" i="69"/>
  <c r="F22" i="69"/>
  <c r="F21" i="69" s="1"/>
  <c r="F24" i="83" s="1"/>
  <c r="D31" i="69"/>
  <c r="F32" i="69"/>
  <c r="F31" i="69" s="1"/>
  <c r="D41" i="69"/>
  <c r="F42" i="69"/>
  <c r="F41" i="69" s="1"/>
  <c r="F23" i="186" s="1"/>
  <c r="C15" i="132"/>
  <c r="D46" i="69"/>
  <c r="D36" i="69"/>
  <c r="D26" i="69"/>
  <c r="D11" i="69"/>
  <c r="B54" i="20"/>
  <c r="B130" i="22"/>
  <c r="B45" i="29"/>
  <c r="G16" i="165" l="1"/>
  <c r="S50" i="99"/>
  <c r="AF54" i="20"/>
  <c r="L54" i="20"/>
  <c r="AP54" i="20"/>
  <c r="V54" i="20"/>
  <c r="H16" i="165"/>
  <c r="V50" i="99"/>
  <c r="D19" i="90"/>
  <c r="D20" i="90" s="1"/>
  <c r="F20" i="186"/>
  <c r="J50" i="99"/>
  <c r="H24" i="55"/>
  <c r="C16" i="165" s="1"/>
  <c r="T16" i="165" s="1"/>
  <c r="N29" i="84"/>
  <c r="D51" i="69"/>
  <c r="G50" i="99" l="1"/>
  <c r="Q50" i="99"/>
  <c r="G34" i="167"/>
  <c r="W50" i="99"/>
  <c r="AC24" i="55"/>
  <c r="F8" i="186"/>
  <c r="D74" i="21"/>
  <c r="D12" i="90" l="1"/>
  <c r="A178" i="26"/>
  <c r="A135" i="26"/>
  <c r="A94" i="26"/>
  <c r="A53" i="26"/>
  <c r="C111" i="26"/>
  <c r="C70" i="26"/>
  <c r="A12" i="32" l="1"/>
  <c r="E66" i="98"/>
  <c r="F221" i="99" l="1"/>
  <c r="G221" i="99"/>
  <c r="I221" i="99"/>
  <c r="J221" i="99"/>
  <c r="L221" i="99"/>
  <c r="M221" i="99"/>
  <c r="O221" i="99"/>
  <c r="P221" i="99"/>
  <c r="U221" i="99"/>
  <c r="V221" i="99"/>
  <c r="F222" i="99"/>
  <c r="G222" i="99"/>
  <c r="I222" i="99"/>
  <c r="J222" i="99"/>
  <c r="L222" i="99"/>
  <c r="M222" i="99"/>
  <c r="O222" i="99"/>
  <c r="P222" i="99"/>
  <c r="U222" i="99"/>
  <c r="V222" i="99"/>
  <c r="F223" i="99"/>
  <c r="G223" i="99"/>
  <c r="H223" i="99"/>
  <c r="I223" i="99"/>
  <c r="J223" i="99"/>
  <c r="K223" i="99"/>
  <c r="L223" i="99"/>
  <c r="M223" i="99"/>
  <c r="N223" i="99"/>
  <c r="O223" i="99"/>
  <c r="P223" i="99"/>
  <c r="T223" i="99"/>
  <c r="U223" i="99"/>
  <c r="V223" i="99"/>
  <c r="G224" i="99"/>
  <c r="J224" i="99"/>
  <c r="M224" i="99"/>
  <c r="P224" i="99"/>
  <c r="V224" i="99"/>
  <c r="F225" i="99"/>
  <c r="I225" i="99"/>
  <c r="L225" i="99"/>
  <c r="O225" i="99"/>
  <c r="U225" i="99"/>
  <c r="F226" i="99"/>
  <c r="G226" i="99"/>
  <c r="H226" i="99"/>
  <c r="I226" i="99"/>
  <c r="J226" i="99"/>
  <c r="K226" i="99"/>
  <c r="L226" i="99"/>
  <c r="M226" i="99"/>
  <c r="N226" i="99"/>
  <c r="O226" i="99"/>
  <c r="P226" i="99"/>
  <c r="T226" i="99"/>
  <c r="U226" i="99"/>
  <c r="V226" i="99"/>
  <c r="G227" i="99"/>
  <c r="J227" i="99"/>
  <c r="M227" i="99"/>
  <c r="P227" i="99"/>
  <c r="V227" i="99"/>
  <c r="F228" i="99"/>
  <c r="I228" i="99"/>
  <c r="L228" i="99"/>
  <c r="O228" i="99"/>
  <c r="U228" i="99"/>
  <c r="E223" i="99"/>
  <c r="E226" i="99"/>
  <c r="F182" i="99"/>
  <c r="I182" i="99"/>
  <c r="L182" i="99"/>
  <c r="O182" i="99"/>
  <c r="U182" i="99"/>
  <c r="G176" i="99"/>
  <c r="F206" i="99"/>
  <c r="I206" i="99"/>
  <c r="L206" i="99"/>
  <c r="O206" i="99"/>
  <c r="U206" i="99"/>
  <c r="F207" i="99"/>
  <c r="I207" i="99"/>
  <c r="L207" i="99"/>
  <c r="O207" i="99"/>
  <c r="U207" i="99"/>
  <c r="F208" i="99"/>
  <c r="I208" i="99"/>
  <c r="L208" i="99"/>
  <c r="O208" i="99"/>
  <c r="U208" i="99"/>
  <c r="F209" i="99"/>
  <c r="I209" i="99"/>
  <c r="L209" i="99"/>
  <c r="O209" i="99"/>
  <c r="U209" i="99"/>
  <c r="F210" i="99"/>
  <c r="I210" i="99"/>
  <c r="L210" i="99"/>
  <c r="O210" i="99"/>
  <c r="U210" i="99"/>
  <c r="I204" i="99"/>
  <c r="U204" i="99"/>
  <c r="F186" i="99"/>
  <c r="I186" i="99"/>
  <c r="L186" i="99"/>
  <c r="O186" i="99"/>
  <c r="U186" i="99"/>
  <c r="F187" i="99"/>
  <c r="I187" i="99"/>
  <c r="L187" i="99"/>
  <c r="O187" i="99"/>
  <c r="U187" i="99"/>
  <c r="F188" i="99"/>
  <c r="I188" i="99"/>
  <c r="L188" i="99"/>
  <c r="O188" i="99"/>
  <c r="U188" i="99"/>
  <c r="F190" i="99"/>
  <c r="I190" i="99"/>
  <c r="L190" i="99"/>
  <c r="O190" i="99"/>
  <c r="U190" i="99"/>
  <c r="F191" i="99"/>
  <c r="I191" i="99"/>
  <c r="L191" i="99"/>
  <c r="O191" i="99"/>
  <c r="U191" i="99"/>
  <c r="F192" i="99"/>
  <c r="I192" i="99"/>
  <c r="L192" i="99"/>
  <c r="O192" i="99"/>
  <c r="U192" i="99"/>
  <c r="F194" i="99"/>
  <c r="I194" i="99"/>
  <c r="L194" i="99"/>
  <c r="O194" i="99"/>
  <c r="U194" i="99"/>
  <c r="F195" i="99"/>
  <c r="I195" i="99"/>
  <c r="L195" i="99"/>
  <c r="O195" i="99"/>
  <c r="U195" i="99"/>
  <c r="F196" i="99"/>
  <c r="I196" i="99"/>
  <c r="L196" i="99"/>
  <c r="O196" i="99"/>
  <c r="U196" i="99"/>
  <c r="F198" i="99"/>
  <c r="I198" i="99"/>
  <c r="L198" i="99"/>
  <c r="O198" i="99"/>
  <c r="U198" i="99"/>
  <c r="F199" i="99"/>
  <c r="I199" i="99"/>
  <c r="L199" i="99"/>
  <c r="O199" i="99"/>
  <c r="U199" i="99"/>
  <c r="F200" i="99"/>
  <c r="F201" i="99"/>
  <c r="I201" i="99"/>
  <c r="L201" i="99"/>
  <c r="O201" i="99"/>
  <c r="U201" i="99"/>
  <c r="F202" i="99"/>
  <c r="I202" i="99"/>
  <c r="L202" i="99"/>
  <c r="O202" i="99"/>
  <c r="U202" i="99"/>
  <c r="F184" i="99"/>
  <c r="I184" i="99"/>
  <c r="L184" i="99"/>
  <c r="O184" i="99"/>
  <c r="U184" i="99"/>
  <c r="F183" i="99"/>
  <c r="I183" i="99"/>
  <c r="L183" i="99"/>
  <c r="O183" i="99"/>
  <c r="U183" i="99"/>
  <c r="F181" i="99"/>
  <c r="I181" i="99"/>
  <c r="L181" i="99"/>
  <c r="O181" i="99"/>
  <c r="U181" i="99"/>
  <c r="F180" i="99"/>
  <c r="G180" i="99"/>
  <c r="H180" i="99"/>
  <c r="I180" i="99"/>
  <c r="K180" i="99"/>
  <c r="L180" i="99"/>
  <c r="M180" i="99"/>
  <c r="N180" i="99"/>
  <c r="O180" i="99"/>
  <c r="T180" i="99"/>
  <c r="U180" i="99"/>
  <c r="V180" i="99"/>
  <c r="E180" i="99"/>
  <c r="F177" i="99"/>
  <c r="G177" i="99"/>
  <c r="I177" i="99"/>
  <c r="J177" i="99"/>
  <c r="L177" i="99"/>
  <c r="M177" i="99"/>
  <c r="O177" i="99"/>
  <c r="P177" i="99"/>
  <c r="U177" i="99"/>
  <c r="V177" i="99"/>
  <c r="F178" i="99"/>
  <c r="G178" i="99"/>
  <c r="H178" i="99"/>
  <c r="I178" i="99"/>
  <c r="J178" i="99"/>
  <c r="K178" i="99"/>
  <c r="L178" i="99"/>
  <c r="M178" i="99"/>
  <c r="N178" i="99"/>
  <c r="O178" i="99"/>
  <c r="P178" i="99"/>
  <c r="T178" i="99"/>
  <c r="U178" i="99"/>
  <c r="V178" i="99"/>
  <c r="F179" i="99"/>
  <c r="G179" i="99"/>
  <c r="H179" i="99"/>
  <c r="I179" i="99"/>
  <c r="J179" i="99"/>
  <c r="K179" i="99"/>
  <c r="L179" i="99"/>
  <c r="M179" i="99"/>
  <c r="N179" i="99"/>
  <c r="O179" i="99"/>
  <c r="P179" i="99"/>
  <c r="T179" i="99"/>
  <c r="U179" i="99"/>
  <c r="V179" i="99"/>
  <c r="E178" i="99"/>
  <c r="E179" i="99"/>
  <c r="G173" i="99"/>
  <c r="J173" i="99"/>
  <c r="M173" i="99"/>
  <c r="P173" i="99"/>
  <c r="V173" i="99"/>
  <c r="G174" i="99"/>
  <c r="J174" i="99"/>
  <c r="M174" i="99"/>
  <c r="P174" i="99"/>
  <c r="V174" i="99"/>
  <c r="F175" i="99"/>
  <c r="I175" i="99"/>
  <c r="L175" i="99"/>
  <c r="O175" i="99"/>
  <c r="U175" i="99"/>
  <c r="L71" i="99" l="1"/>
  <c r="O71" i="99"/>
  <c r="U71" i="99"/>
  <c r="I71" i="99"/>
  <c r="F71" i="99"/>
  <c r="T45" i="99"/>
  <c r="N45" i="99"/>
  <c r="K45" i="99"/>
  <c r="H45" i="99"/>
  <c r="E45" i="99"/>
  <c r="U66" i="99"/>
  <c r="U200" i="99" s="1"/>
  <c r="O66" i="99"/>
  <c r="O200" i="99" s="1"/>
  <c r="L66" i="99"/>
  <c r="L200" i="99" s="1"/>
  <c r="I66" i="99"/>
  <c r="I200" i="99" s="1"/>
  <c r="M129" i="99"/>
  <c r="K129" i="99"/>
  <c r="L128" i="99"/>
  <c r="K128" i="99"/>
  <c r="F197" i="99"/>
  <c r="L185" i="99"/>
  <c r="L193" i="99"/>
  <c r="O185" i="99"/>
  <c r="O193" i="99"/>
  <c r="U185" i="99"/>
  <c r="U193" i="99"/>
  <c r="F193" i="99"/>
  <c r="I193" i="99"/>
  <c r="F189" i="99"/>
  <c r="F185" i="99"/>
  <c r="I185" i="99"/>
  <c r="D3" i="173"/>
  <c r="C235" i="99"/>
  <c r="E43" i="98"/>
  <c r="F41" i="98"/>
  <c r="G41" i="98" s="1"/>
  <c r="H41" i="98" s="1"/>
  <c r="E15" i="20"/>
  <c r="BL15" i="20" s="1"/>
  <c r="F15" i="20"/>
  <c r="J41" i="98" l="1"/>
  <c r="I41" i="98"/>
  <c r="Q65" i="99"/>
  <c r="Q67" i="99"/>
  <c r="Q64" i="99"/>
  <c r="K177" i="99"/>
  <c r="T177" i="99"/>
  <c r="N177" i="99"/>
  <c r="G158" i="99"/>
  <c r="H177" i="99"/>
  <c r="G157" i="99"/>
  <c r="E177" i="99"/>
  <c r="B58" i="21" l="1"/>
  <c r="F30" i="84" l="1"/>
  <c r="G30" i="84" l="1"/>
  <c r="J30" i="84"/>
  <c r="H30" i="84"/>
  <c r="I30" i="84"/>
  <c r="K30" i="84"/>
  <c r="D58" i="21"/>
  <c r="N30" i="84" l="1"/>
  <c r="D89" i="159"/>
  <c r="H89" i="159" s="1"/>
  <c r="D90" i="159"/>
  <c r="H90" i="159" s="1"/>
  <c r="H74" i="98"/>
  <c r="G74" i="98"/>
  <c r="J74" i="98" l="1"/>
  <c r="G66" i="83" l="1"/>
  <c r="B66" i="83"/>
  <c r="G85" i="84" l="1"/>
  <c r="F4" i="69"/>
  <c r="G33" i="55" l="1"/>
  <c r="E33" i="55"/>
  <c r="F33" i="55"/>
  <c r="F29" i="55"/>
  <c r="G29" i="55"/>
  <c r="E29" i="55"/>
  <c r="X10" i="55" l="1"/>
  <c r="W10" i="55"/>
  <c r="V10" i="55"/>
  <c r="T10" i="55"/>
  <c r="S10" i="55"/>
  <c r="R10" i="55"/>
  <c r="P10" i="55"/>
  <c r="O10" i="55"/>
  <c r="N10" i="55"/>
  <c r="L10" i="55"/>
  <c r="K10" i="55"/>
  <c r="J10" i="55"/>
  <c r="H10" i="55"/>
  <c r="G10" i="55"/>
  <c r="F10" i="55"/>
  <c r="B24" i="90" l="1"/>
  <c r="H8" i="90"/>
  <c r="H10" i="90" s="1"/>
  <c r="G8" i="90"/>
  <c r="J21" i="83"/>
  <c r="J18" i="83"/>
  <c r="C11" i="135" l="1"/>
  <c r="G14" i="57"/>
  <c r="C80" i="165" s="1"/>
  <c r="K14" i="57" l="1"/>
  <c r="Q133" i="99" s="1"/>
  <c r="G101" i="167" s="1"/>
  <c r="W133" i="99"/>
  <c r="E133" i="99"/>
  <c r="X133" i="99" s="1"/>
  <c r="F26" i="84" l="1"/>
  <c r="J13" i="83"/>
  <c r="K26" i="84" l="1"/>
  <c r="G26" i="84"/>
  <c r="H26" i="84"/>
  <c r="I26" i="84"/>
  <c r="J26" i="84"/>
  <c r="N26" i="84" l="1"/>
  <c r="F22" i="84"/>
  <c r="K22" i="84" l="1"/>
  <c r="G22" i="84"/>
  <c r="H22" i="84"/>
  <c r="I22" i="84"/>
  <c r="J22" i="84"/>
  <c r="E11" i="84"/>
  <c r="N22" i="84" l="1"/>
  <c r="F21" i="84" l="1"/>
  <c r="F20" i="84"/>
  <c r="H21" i="84" l="1"/>
  <c r="I21" i="84"/>
  <c r="J21" i="84"/>
  <c r="K21" i="84"/>
  <c r="G21" i="84"/>
  <c r="I20" i="84"/>
  <c r="G20" i="84"/>
  <c r="J20" i="84"/>
  <c r="K20" i="84"/>
  <c r="H20" i="84"/>
  <c r="B85" i="84"/>
  <c r="F8" i="84"/>
  <c r="E8" i="84"/>
  <c r="D8" i="84"/>
  <c r="H4" i="84"/>
  <c r="D4" i="84"/>
  <c r="N21" i="84" l="1"/>
  <c r="N20" i="84"/>
  <c r="E10" i="84"/>
  <c r="B117" i="21" l="1"/>
  <c r="B110" i="21"/>
  <c r="B111" i="21"/>
  <c r="B105" i="21"/>
  <c r="B114" i="21" s="1"/>
  <c r="B106" i="21"/>
  <c r="B115" i="21" s="1"/>
  <c r="E98" i="21"/>
  <c r="F98" i="21"/>
  <c r="G98" i="21"/>
  <c r="H98" i="21"/>
  <c r="I98" i="21"/>
  <c r="J98" i="21"/>
  <c r="K98" i="21"/>
  <c r="L98" i="21"/>
  <c r="M98" i="21"/>
  <c r="N98" i="21"/>
  <c r="O98" i="21"/>
  <c r="P98" i="21"/>
  <c r="D100" i="21"/>
  <c r="E130" i="21" s="1"/>
  <c r="E131" i="21" s="1"/>
  <c r="F8" i="83"/>
  <c r="E8" i="83"/>
  <c r="D8" i="83"/>
  <c r="G4" i="83"/>
  <c r="C4" i="83"/>
  <c r="D23" i="83"/>
  <c r="F130" i="21" l="1"/>
  <c r="F131" i="21" s="1"/>
  <c r="E276" i="21"/>
  <c r="D195" i="21"/>
  <c r="G130" i="21" l="1"/>
  <c r="G131" i="21" s="1"/>
  <c r="F276" i="21"/>
  <c r="E23" i="83"/>
  <c r="J24" i="83"/>
  <c r="G276" i="21" l="1"/>
  <c r="H130" i="21"/>
  <c r="H131" i="21" s="1"/>
  <c r="C13" i="135"/>
  <c r="G16" i="57"/>
  <c r="C82" i="165" s="1"/>
  <c r="E10" i="83"/>
  <c r="K16" i="57" l="1"/>
  <c r="Q135" i="99" s="1"/>
  <c r="G103" i="167" s="1"/>
  <c r="W135" i="99"/>
  <c r="I130" i="21"/>
  <c r="I131" i="21" s="1"/>
  <c r="H276" i="21"/>
  <c r="E135" i="99"/>
  <c r="E9" i="83"/>
  <c r="X135" i="99" l="1"/>
  <c r="J130" i="21"/>
  <c r="J131" i="21" s="1"/>
  <c r="I276" i="21"/>
  <c r="J276" i="21" l="1"/>
  <c r="K130" i="21"/>
  <c r="K131" i="21" s="1"/>
  <c r="K276" i="21" l="1"/>
  <c r="L130" i="21"/>
  <c r="L131" i="21" s="1"/>
  <c r="M130" i="21" l="1"/>
  <c r="M131" i="21" s="1"/>
  <c r="L276" i="21"/>
  <c r="M276" i="21" l="1"/>
  <c r="N130" i="21"/>
  <c r="N131" i="21" s="1"/>
  <c r="O130" i="21" l="1"/>
  <c r="O131" i="21" s="1"/>
  <c r="N276" i="21"/>
  <c r="O276" i="21" l="1"/>
  <c r="P130" i="21"/>
  <c r="P131" i="21" s="1"/>
  <c r="C25" i="26"/>
  <c r="C24" i="27"/>
  <c r="C24" i="30"/>
  <c r="C24" i="31"/>
  <c r="P276" i="21" l="1"/>
  <c r="D131" i="21" l="1"/>
  <c r="E161" i="21" l="1"/>
  <c r="E162" i="21" s="1"/>
  <c r="E287" i="21" s="1"/>
  <c r="E285" i="21" s="1"/>
  <c r="D276" i="21"/>
  <c r="F161" i="21" l="1"/>
  <c r="F162" i="21" s="1"/>
  <c r="F287" i="21" s="1"/>
  <c r="F285" i="21" s="1"/>
  <c r="E163" i="21" l="1"/>
  <c r="F163" i="21"/>
  <c r="F174" i="21" s="1"/>
  <c r="G161" i="21"/>
  <c r="G162" i="21" s="1"/>
  <c r="G287" i="21" s="1"/>
  <c r="G285" i="21" s="1"/>
  <c r="H161" i="21" l="1"/>
  <c r="H162" i="21" s="1"/>
  <c r="H287" i="21" s="1"/>
  <c r="H285" i="21" s="1"/>
  <c r="E174" i="21"/>
  <c r="G163" i="21" l="1"/>
  <c r="H163" i="21"/>
  <c r="H174" i="21" s="1"/>
  <c r="I161" i="21"/>
  <c r="I162" i="21" s="1"/>
  <c r="I287" i="21" s="1"/>
  <c r="I285" i="21" s="1"/>
  <c r="J161" i="21" l="1"/>
  <c r="J162" i="21" s="1"/>
  <c r="J287" i="21" s="1"/>
  <c r="J285" i="21" s="1"/>
  <c r="G174" i="21"/>
  <c r="I163" i="21" l="1"/>
  <c r="J163" i="21"/>
  <c r="J174" i="21" s="1"/>
  <c r="K161" i="21"/>
  <c r="K162" i="21" s="1"/>
  <c r="K287" i="21" s="1"/>
  <c r="K285" i="21" s="1"/>
  <c r="L161" i="21" l="1"/>
  <c r="L162" i="21" s="1"/>
  <c r="L287" i="21" s="1"/>
  <c r="L285" i="21" s="1"/>
  <c r="I174" i="21"/>
  <c r="L163" i="21" l="1"/>
  <c r="L174" i="21" s="1"/>
  <c r="M161" i="21"/>
  <c r="M162" i="21" s="1"/>
  <c r="M287" i="21" s="1"/>
  <c r="M285" i="21" s="1"/>
  <c r="K163" i="21"/>
  <c r="O28" i="70"/>
  <c r="B54" i="69"/>
  <c r="N161" i="21" l="1"/>
  <c r="N162" i="21" s="1"/>
  <c r="N287" i="21" s="1"/>
  <c r="N285" i="21" s="1"/>
  <c r="K174" i="21"/>
  <c r="M163" i="21" l="1"/>
  <c r="N163" i="21"/>
  <c r="N174" i="21" s="1"/>
  <c r="O161" i="21"/>
  <c r="O162" i="21" s="1"/>
  <c r="O287" i="21" s="1"/>
  <c r="O285" i="21" s="1"/>
  <c r="F8" i="90"/>
  <c r="E8" i="90" s="1"/>
  <c r="O163" i="21" l="1"/>
  <c r="O174" i="21" s="1"/>
  <c r="P161" i="21"/>
  <c r="P162" i="21" s="1"/>
  <c r="P287" i="21" s="1"/>
  <c r="P285" i="21" s="1"/>
  <c r="M174" i="21"/>
  <c r="P163" i="21" l="1"/>
  <c r="D162" i="21"/>
  <c r="D287" i="21" s="1"/>
  <c r="D285" i="21" s="1"/>
  <c r="C14" i="135"/>
  <c r="G17" i="57"/>
  <c r="C83" i="165" l="1"/>
  <c r="W136" i="99"/>
  <c r="K17" i="57"/>
  <c r="Q136" i="99" s="1"/>
  <c r="G104" i="167" s="1"/>
  <c r="P174" i="21"/>
  <c r="D163" i="21"/>
  <c r="D174" i="21" s="1"/>
  <c r="E136" i="99"/>
  <c r="X136" i="99" s="1"/>
  <c r="C18" i="132"/>
  <c r="C40" i="29" l="1"/>
  <c r="F40" i="29" s="1"/>
  <c r="F34" i="29"/>
  <c r="F35" i="29"/>
  <c r="F36" i="29"/>
  <c r="F37" i="29"/>
  <c r="F38" i="29"/>
  <c r="F39" i="29"/>
  <c r="F41" i="29"/>
  <c r="F30" i="29"/>
  <c r="I38" i="29" l="1"/>
  <c r="O38" i="29" s="1"/>
  <c r="L38" i="29"/>
  <c r="I39" i="29"/>
  <c r="O39" i="29" s="1"/>
  <c r="L39" i="29"/>
  <c r="I34" i="29"/>
  <c r="O34" i="29" s="1"/>
  <c r="L34" i="29"/>
  <c r="I30" i="29"/>
  <c r="O30" i="29" s="1"/>
  <c r="L30" i="29"/>
  <c r="I37" i="29"/>
  <c r="O37" i="29" s="1"/>
  <c r="L37" i="29"/>
  <c r="I41" i="29"/>
  <c r="O41" i="29" s="1"/>
  <c r="L41" i="29"/>
  <c r="I36" i="29"/>
  <c r="O36" i="29" s="1"/>
  <c r="L36" i="29"/>
  <c r="I35" i="29"/>
  <c r="O35" i="29" s="1"/>
  <c r="L35" i="29"/>
  <c r="I40" i="29"/>
  <c r="O40" i="29" s="1"/>
  <c r="L40" i="29"/>
  <c r="B109" i="21"/>
  <c r="B104" i="21"/>
  <c r="B113" i="21" s="1"/>
  <c r="D96" i="21"/>
  <c r="D7" i="21"/>
  <c r="B107" i="21"/>
  <c r="E132" i="21"/>
  <c r="E133" i="21" s="1"/>
  <c r="B102" i="21"/>
  <c r="D99" i="21"/>
  <c r="D193" i="21" s="1"/>
  <c r="B81" i="21"/>
  <c r="B78" i="21"/>
  <c r="B74" i="21"/>
  <c r="D72" i="21"/>
  <c r="B72" i="21"/>
  <c r="D71" i="21"/>
  <c r="M87" i="21"/>
  <c r="C87" i="21"/>
  <c r="B23" i="21"/>
  <c r="F132" i="21" l="1"/>
  <c r="F133" i="21" s="1"/>
  <c r="E277" i="21"/>
  <c r="E275" i="21" s="1"/>
  <c r="Q71" i="21"/>
  <c r="D192" i="21"/>
  <c r="D75" i="21"/>
  <c r="D257" i="21" s="1"/>
  <c r="D110" i="21"/>
  <c r="D272" i="21" s="1"/>
  <c r="D109" i="21"/>
  <c r="E107" i="21"/>
  <c r="E111" i="21" s="1"/>
  <c r="E102" i="21"/>
  <c r="E106" i="21" s="1"/>
  <c r="E266" i="21" s="1"/>
  <c r="D105" i="21"/>
  <c r="D271" i="21" s="1"/>
  <c r="D104" i="21"/>
  <c r="D261" i="21" s="1"/>
  <c r="D101" i="21"/>
  <c r="D73" i="21"/>
  <c r="D256" i="21" s="1"/>
  <c r="E74" i="21"/>
  <c r="E72" i="21"/>
  <c r="D194" i="21" l="1"/>
  <c r="G132" i="21"/>
  <c r="G133" i="21" s="1"/>
  <c r="E134" i="21"/>
  <c r="D262" i="21"/>
  <c r="E139" i="21"/>
  <c r="E140" i="21" s="1"/>
  <c r="E267" i="21"/>
  <c r="E265" i="21" s="1"/>
  <c r="D270" i="21"/>
  <c r="D113" i="21"/>
  <c r="D98" i="21"/>
  <c r="D108" i="21" s="1"/>
  <c r="D111" i="21"/>
  <c r="E104" i="21"/>
  <c r="E261" i="21" s="1"/>
  <c r="D114" i="21"/>
  <c r="E109" i="21"/>
  <c r="E262" i="21" s="1"/>
  <c r="F107" i="21"/>
  <c r="E110" i="21"/>
  <c r="E272" i="21" s="1"/>
  <c r="F102" i="21"/>
  <c r="E105" i="21"/>
  <c r="E271" i="21" s="1"/>
  <c r="E103" i="21"/>
  <c r="E108" i="21"/>
  <c r="D106" i="21"/>
  <c r="E115" i="21"/>
  <c r="D76" i="21"/>
  <c r="E75" i="21"/>
  <c r="E257" i="21" s="1"/>
  <c r="F74" i="21"/>
  <c r="E73" i="21"/>
  <c r="E256" i="21" s="1"/>
  <c r="F72" i="21"/>
  <c r="F134" i="21" l="1"/>
  <c r="F277" i="21"/>
  <c r="F275" i="21" s="1"/>
  <c r="D266" i="21"/>
  <c r="E136" i="21"/>
  <c r="E137" i="21" s="1"/>
  <c r="F139" i="21"/>
  <c r="F140" i="21" s="1"/>
  <c r="H132" i="21"/>
  <c r="H133" i="21" s="1"/>
  <c r="E260" i="21"/>
  <c r="D267" i="21"/>
  <c r="E270" i="21"/>
  <c r="D103" i="21"/>
  <c r="D112" i="21" s="1"/>
  <c r="E114" i="21"/>
  <c r="E113" i="21"/>
  <c r="F108" i="21"/>
  <c r="F111" i="21"/>
  <c r="F109" i="21"/>
  <c r="F262" i="21" s="1"/>
  <c r="G107" i="21"/>
  <c r="F110" i="21"/>
  <c r="F272" i="21" s="1"/>
  <c r="G102" i="21"/>
  <c r="F105" i="21"/>
  <c r="F271" i="21" s="1"/>
  <c r="F106" i="21"/>
  <c r="F266" i="21" s="1"/>
  <c r="F104" i="21"/>
  <c r="F261" i="21" s="1"/>
  <c r="F103" i="21"/>
  <c r="D115" i="21"/>
  <c r="E112" i="21"/>
  <c r="E76" i="21"/>
  <c r="F73" i="21"/>
  <c r="F256" i="21" s="1"/>
  <c r="G72" i="21"/>
  <c r="F75" i="21"/>
  <c r="F257" i="21" s="1"/>
  <c r="G74" i="21"/>
  <c r="G134" i="21" l="1"/>
  <c r="G277" i="21"/>
  <c r="G275" i="21" s="1"/>
  <c r="D265" i="21"/>
  <c r="I132" i="21"/>
  <c r="I133" i="21" s="1"/>
  <c r="H277" i="21"/>
  <c r="H275" i="21" s="1"/>
  <c r="E143" i="21"/>
  <c r="F136" i="21"/>
  <c r="F137" i="21" s="1"/>
  <c r="G139" i="21"/>
  <c r="G140" i="21" s="1"/>
  <c r="F267" i="21"/>
  <c r="F265" i="21" s="1"/>
  <c r="F270" i="21"/>
  <c r="F260" i="21"/>
  <c r="F113" i="21"/>
  <c r="F112" i="21"/>
  <c r="F114" i="21"/>
  <c r="G109" i="21"/>
  <c r="G262" i="21" s="1"/>
  <c r="G111" i="21"/>
  <c r="G108" i="21"/>
  <c r="F115" i="21"/>
  <c r="H107" i="21"/>
  <c r="G110" i="21"/>
  <c r="G272" i="21" s="1"/>
  <c r="H102" i="21"/>
  <c r="G105" i="21"/>
  <c r="G271" i="21" s="1"/>
  <c r="G103" i="21"/>
  <c r="G104" i="21"/>
  <c r="G261" i="21" s="1"/>
  <c r="G106" i="21"/>
  <c r="G266" i="21" s="1"/>
  <c r="G75" i="21"/>
  <c r="G257" i="21" s="1"/>
  <c r="H74" i="21"/>
  <c r="F76" i="21"/>
  <c r="G73" i="21"/>
  <c r="G256" i="21" s="1"/>
  <c r="H72" i="21"/>
  <c r="F143" i="21" l="1"/>
  <c r="G136" i="21"/>
  <c r="G137" i="21" s="1"/>
  <c r="H139" i="21"/>
  <c r="H140" i="21" s="1"/>
  <c r="J132" i="21"/>
  <c r="J133" i="21" s="1"/>
  <c r="H134" i="21"/>
  <c r="E145" i="21"/>
  <c r="G267" i="21"/>
  <c r="G265" i="21" s="1"/>
  <c r="G270" i="21"/>
  <c r="G260" i="21"/>
  <c r="G114" i="21"/>
  <c r="G112" i="21"/>
  <c r="G113" i="21"/>
  <c r="H111" i="21"/>
  <c r="H109" i="21"/>
  <c r="H262" i="21" s="1"/>
  <c r="H108" i="21"/>
  <c r="G115" i="21"/>
  <c r="I107" i="21"/>
  <c r="H110" i="21"/>
  <c r="H272" i="21" s="1"/>
  <c r="I102" i="21"/>
  <c r="H105" i="21"/>
  <c r="H271" i="21" s="1"/>
  <c r="H106" i="21"/>
  <c r="H266" i="21" s="1"/>
  <c r="H103" i="21"/>
  <c r="H104" i="21"/>
  <c r="H261" i="21" s="1"/>
  <c r="G76" i="21"/>
  <c r="H75" i="21"/>
  <c r="H257" i="21" s="1"/>
  <c r="I74" i="21"/>
  <c r="H73" i="21"/>
  <c r="H256" i="21" s="1"/>
  <c r="I72" i="21"/>
  <c r="I134" i="21" l="1"/>
  <c r="I277" i="21"/>
  <c r="I275" i="21" s="1"/>
  <c r="F145" i="21"/>
  <c r="K132" i="21"/>
  <c r="K133" i="21" s="1"/>
  <c r="H136" i="21"/>
  <c r="H137" i="21" s="1"/>
  <c r="G143" i="21"/>
  <c r="I139" i="21"/>
  <c r="I140" i="21" s="1"/>
  <c r="H267" i="21"/>
  <c r="H265" i="21" s="1"/>
  <c r="H270" i="21"/>
  <c r="H260" i="21"/>
  <c r="H115" i="21"/>
  <c r="H112" i="21"/>
  <c r="H114" i="21"/>
  <c r="I109" i="21"/>
  <c r="I262" i="21" s="1"/>
  <c r="I108" i="21"/>
  <c r="I111" i="21"/>
  <c r="H113" i="21"/>
  <c r="J107" i="21"/>
  <c r="I110" i="21"/>
  <c r="I272" i="21" s="1"/>
  <c r="J102" i="21"/>
  <c r="I105" i="21"/>
  <c r="I271" i="21" s="1"/>
  <c r="I103" i="21"/>
  <c r="I106" i="21"/>
  <c r="I266" i="21" s="1"/>
  <c r="I104" i="21"/>
  <c r="I261" i="21" s="1"/>
  <c r="H76" i="21"/>
  <c r="I73" i="21"/>
  <c r="I256" i="21" s="1"/>
  <c r="J72" i="21"/>
  <c r="I75" i="21"/>
  <c r="I257" i="21" s="1"/>
  <c r="J74" i="21"/>
  <c r="J134" i="21" l="1"/>
  <c r="J277" i="21"/>
  <c r="J275" i="21" s="1"/>
  <c r="G145" i="21"/>
  <c r="K277" i="21"/>
  <c r="K275" i="21" s="1"/>
  <c r="L132" i="21"/>
  <c r="L133" i="21" s="1"/>
  <c r="I136" i="21"/>
  <c r="I137" i="21" s="1"/>
  <c r="H143" i="21"/>
  <c r="J139" i="21"/>
  <c r="J140" i="21" s="1"/>
  <c r="I260" i="21"/>
  <c r="I267" i="21"/>
  <c r="I265" i="21" s="1"/>
  <c r="I270" i="21"/>
  <c r="I112" i="21"/>
  <c r="I115" i="21"/>
  <c r="I114" i="21"/>
  <c r="J111" i="21"/>
  <c r="J109" i="21"/>
  <c r="J262" i="21" s="1"/>
  <c r="J108" i="21"/>
  <c r="I113" i="21"/>
  <c r="K107" i="21"/>
  <c r="J110" i="21"/>
  <c r="J272" i="21" s="1"/>
  <c r="K102" i="21"/>
  <c r="J105" i="21"/>
  <c r="J271" i="21" s="1"/>
  <c r="J106" i="21"/>
  <c r="J266" i="21" s="1"/>
  <c r="J104" i="21"/>
  <c r="J261" i="21" s="1"/>
  <c r="J103" i="21"/>
  <c r="I76" i="21"/>
  <c r="J73" i="21"/>
  <c r="J256" i="21" s="1"/>
  <c r="K72" i="21"/>
  <c r="J75" i="21"/>
  <c r="J257" i="21" s="1"/>
  <c r="K74" i="21"/>
  <c r="J260" i="21" l="1"/>
  <c r="H145" i="21"/>
  <c r="K139" i="21"/>
  <c r="K140" i="21" s="1"/>
  <c r="I143" i="21"/>
  <c r="J136" i="21"/>
  <c r="J137" i="21" s="1"/>
  <c r="K134" i="21"/>
  <c r="M132" i="21"/>
  <c r="M133" i="21" s="1"/>
  <c r="J267" i="21"/>
  <c r="J265" i="21" s="1"/>
  <c r="J270" i="21"/>
  <c r="J115" i="21"/>
  <c r="J113" i="21"/>
  <c r="J112" i="21"/>
  <c r="J114" i="21"/>
  <c r="K108" i="21"/>
  <c r="K109" i="21"/>
  <c r="K262" i="21" s="1"/>
  <c r="K111" i="21"/>
  <c r="L107" i="21"/>
  <c r="K110" i="21"/>
  <c r="K272" i="21" s="1"/>
  <c r="L102" i="21"/>
  <c r="K105" i="21"/>
  <c r="K271" i="21" s="1"/>
  <c r="K104" i="21"/>
  <c r="K261" i="21" s="1"/>
  <c r="K106" i="21"/>
  <c r="K266" i="21" s="1"/>
  <c r="K103" i="21"/>
  <c r="J76" i="21"/>
  <c r="K73" i="21"/>
  <c r="K256" i="21" s="1"/>
  <c r="L72" i="21"/>
  <c r="K75" i="21"/>
  <c r="K257" i="21" s="1"/>
  <c r="L74" i="21"/>
  <c r="L134" i="21" l="1"/>
  <c r="L277" i="21"/>
  <c r="L275" i="21" s="1"/>
  <c r="I145" i="21"/>
  <c r="N132" i="21"/>
  <c r="N133" i="21" s="1"/>
  <c r="L139" i="21"/>
  <c r="L140" i="21" s="1"/>
  <c r="J143" i="21"/>
  <c r="K136" i="21"/>
  <c r="K137" i="21" s="1"/>
  <c r="K267" i="21"/>
  <c r="K265" i="21" s="1"/>
  <c r="K270" i="21"/>
  <c r="K260" i="21"/>
  <c r="K115" i="21"/>
  <c r="K114" i="21"/>
  <c r="L111" i="21"/>
  <c r="L109" i="21"/>
  <c r="L262" i="21" s="1"/>
  <c r="L108" i="21"/>
  <c r="K112" i="21"/>
  <c r="K113" i="21"/>
  <c r="M107" i="21"/>
  <c r="L110" i="21"/>
  <c r="L272" i="21" s="1"/>
  <c r="M102" i="21"/>
  <c r="L105" i="21"/>
  <c r="L271" i="21" s="1"/>
  <c r="L103" i="21"/>
  <c r="L104" i="21"/>
  <c r="L261" i="21" s="1"/>
  <c r="L106" i="21"/>
  <c r="L266" i="21" s="1"/>
  <c r="K76" i="21"/>
  <c r="L73" i="21"/>
  <c r="L256" i="21" s="1"/>
  <c r="M72" i="21"/>
  <c r="L75" i="21"/>
  <c r="L257" i="21" s="1"/>
  <c r="M74" i="21"/>
  <c r="M134" i="21" l="1"/>
  <c r="M277" i="21"/>
  <c r="M275" i="21" s="1"/>
  <c r="J145" i="21"/>
  <c r="M139" i="21"/>
  <c r="M140" i="21" s="1"/>
  <c r="O132" i="21"/>
  <c r="O133" i="21" s="1"/>
  <c r="L136" i="21"/>
  <c r="L137" i="21" s="1"/>
  <c r="K143" i="21"/>
  <c r="L267" i="21"/>
  <c r="L265" i="21" s="1"/>
  <c r="L270" i="21"/>
  <c r="L260" i="21"/>
  <c r="L112" i="21"/>
  <c r="L114" i="21"/>
  <c r="L113" i="21"/>
  <c r="M108" i="21"/>
  <c r="M111" i="21"/>
  <c r="M109" i="21"/>
  <c r="M262" i="21" s="1"/>
  <c r="L115" i="21"/>
  <c r="N107" i="21"/>
  <c r="M110" i="21"/>
  <c r="M272" i="21" s="1"/>
  <c r="N102" i="21"/>
  <c r="M105" i="21"/>
  <c r="M271" i="21" s="1"/>
  <c r="M106" i="21"/>
  <c r="M266" i="21" s="1"/>
  <c r="M104" i="21"/>
  <c r="M261" i="21" s="1"/>
  <c r="M103" i="21"/>
  <c r="M75" i="21"/>
  <c r="M257" i="21" s="1"/>
  <c r="N74" i="21"/>
  <c r="M73" i="21"/>
  <c r="M256" i="21" s="1"/>
  <c r="N72" i="21"/>
  <c r="L76" i="21"/>
  <c r="N134" i="21" l="1"/>
  <c r="N277" i="21"/>
  <c r="N275" i="21" s="1"/>
  <c r="K145" i="21"/>
  <c r="M136" i="21"/>
  <c r="M137" i="21" s="1"/>
  <c r="L143" i="21"/>
  <c r="N139" i="21"/>
  <c r="N140" i="21" s="1"/>
  <c r="P132" i="21"/>
  <c r="P133" i="21" s="1"/>
  <c r="M267" i="21"/>
  <c r="M265" i="21" s="1"/>
  <c r="M270" i="21"/>
  <c r="M260" i="21"/>
  <c r="M113" i="21"/>
  <c r="M114" i="21"/>
  <c r="M115" i="21"/>
  <c r="N111" i="21"/>
  <c r="N109" i="21"/>
  <c r="N262" i="21" s="1"/>
  <c r="N108" i="21"/>
  <c r="M112" i="21"/>
  <c r="O107" i="21"/>
  <c r="N110" i="21"/>
  <c r="N272" i="21" s="1"/>
  <c r="O102" i="21"/>
  <c r="N105" i="21"/>
  <c r="N271" i="21" s="1"/>
  <c r="N106" i="21"/>
  <c r="N266" i="21" s="1"/>
  <c r="N103" i="21"/>
  <c r="N104" i="21"/>
  <c r="N261" i="21" s="1"/>
  <c r="N75" i="21"/>
  <c r="N257" i="21" s="1"/>
  <c r="O74" i="21"/>
  <c r="N73" i="21"/>
  <c r="N256" i="21" s="1"/>
  <c r="O72" i="21"/>
  <c r="M76" i="21"/>
  <c r="O134" i="21" l="1"/>
  <c r="O277" i="21"/>
  <c r="O275" i="21" s="1"/>
  <c r="L145" i="21"/>
  <c r="O139" i="21"/>
  <c r="O140" i="21" s="1"/>
  <c r="M143" i="21"/>
  <c r="N136" i="21"/>
  <c r="N137" i="21" s="1"/>
  <c r="N267" i="21"/>
  <c r="N265" i="21" s="1"/>
  <c r="N260" i="21"/>
  <c r="N270" i="21"/>
  <c r="N115" i="21"/>
  <c r="N112" i="21"/>
  <c r="N114" i="21"/>
  <c r="O108" i="21"/>
  <c r="O111" i="21"/>
  <c r="O109" i="21"/>
  <c r="O262" i="21" s="1"/>
  <c r="N113" i="21"/>
  <c r="P107" i="21"/>
  <c r="O110" i="21"/>
  <c r="O272" i="21" s="1"/>
  <c r="P102" i="21"/>
  <c r="O105" i="21"/>
  <c r="O271" i="21" s="1"/>
  <c r="O106" i="21"/>
  <c r="O266" i="21" s="1"/>
  <c r="O103" i="21"/>
  <c r="O104" i="21"/>
  <c r="O261" i="21" s="1"/>
  <c r="O73" i="21"/>
  <c r="O256" i="21" s="1"/>
  <c r="P72" i="21"/>
  <c r="P73" i="21" s="1"/>
  <c r="P256" i="21" s="1"/>
  <c r="O75" i="21"/>
  <c r="O257" i="21" s="1"/>
  <c r="P74" i="21"/>
  <c r="N76" i="21"/>
  <c r="O260" i="21" l="1"/>
  <c r="P134" i="21"/>
  <c r="P277" i="21"/>
  <c r="P275" i="21" s="1"/>
  <c r="M145" i="21"/>
  <c r="P139" i="21"/>
  <c r="P140" i="21" s="1"/>
  <c r="N143" i="21"/>
  <c r="O136" i="21"/>
  <c r="O137" i="21" s="1"/>
  <c r="O270" i="21"/>
  <c r="O267" i="21"/>
  <c r="O265" i="21" s="1"/>
  <c r="Q228" i="21"/>
  <c r="O113" i="21"/>
  <c r="O114" i="21"/>
  <c r="O115" i="21"/>
  <c r="P110" i="21"/>
  <c r="P272" i="21" s="1"/>
  <c r="Q244" i="21" s="1"/>
  <c r="P111" i="21"/>
  <c r="P109" i="21"/>
  <c r="P262" i="21" s="1"/>
  <c r="Q234" i="21" s="1"/>
  <c r="P108" i="21"/>
  <c r="O112" i="21"/>
  <c r="P105" i="21"/>
  <c r="P271" i="21" s="1"/>
  <c r="P104" i="21"/>
  <c r="P261" i="21" s="1"/>
  <c r="P103" i="21"/>
  <c r="P106" i="21"/>
  <c r="P266" i="21" s="1"/>
  <c r="O76" i="21"/>
  <c r="P75" i="21"/>
  <c r="P136" i="21" l="1"/>
  <c r="P137" i="21" s="1"/>
  <c r="O143" i="21"/>
  <c r="D134" i="21"/>
  <c r="D133" i="21"/>
  <c r="D277" i="21" s="1"/>
  <c r="D275" i="21" s="1"/>
  <c r="N145" i="21"/>
  <c r="P267" i="21"/>
  <c r="Q239" i="21" s="1"/>
  <c r="P270" i="21"/>
  <c r="Q242" i="21" s="1"/>
  <c r="Q238" i="21"/>
  <c r="Q243" i="21"/>
  <c r="P260" i="21"/>
  <c r="Q233" i="21"/>
  <c r="P76" i="21"/>
  <c r="P257" i="21"/>
  <c r="Q229" i="21" s="1"/>
  <c r="P112" i="21"/>
  <c r="P115" i="21"/>
  <c r="P114" i="21"/>
  <c r="P113" i="21"/>
  <c r="F27" i="20"/>
  <c r="E55" i="98" s="1"/>
  <c r="E27" i="20"/>
  <c r="E47" i="20" s="1"/>
  <c r="H23" i="20"/>
  <c r="H24" i="20"/>
  <c r="H25" i="20"/>
  <c r="H21" i="20"/>
  <c r="H22" i="20"/>
  <c r="E61" i="98"/>
  <c r="F61" i="98" s="1"/>
  <c r="G61" i="98" s="1"/>
  <c r="H61" i="98" s="1"/>
  <c r="J61" i="98" l="1"/>
  <c r="I61" i="98"/>
  <c r="P143" i="21"/>
  <c r="O145" i="21"/>
  <c r="P265" i="21"/>
  <c r="Q237" i="21" s="1"/>
  <c r="E62" i="98"/>
  <c r="F62" i="98" s="1"/>
  <c r="G62" i="98" s="1"/>
  <c r="H62" i="98" s="1"/>
  <c r="J62" i="98" l="1"/>
  <c r="I62" i="98"/>
  <c r="D140" i="21"/>
  <c r="D137" i="21"/>
  <c r="P145" i="21"/>
  <c r="D41" i="21"/>
  <c r="E41" i="21" s="1"/>
  <c r="D37" i="21"/>
  <c r="E37" i="21" s="1"/>
  <c r="D16" i="21"/>
  <c r="D14" i="21"/>
  <c r="B51" i="21"/>
  <c r="B41" i="21"/>
  <c r="B37" i="21"/>
  <c r="B20" i="21"/>
  <c r="B16" i="21"/>
  <c r="B14" i="21"/>
  <c r="E43" i="21" l="1"/>
  <c r="E44" i="21"/>
  <c r="E42" i="21"/>
  <c r="D142" i="21"/>
  <c r="D143" i="21" s="1"/>
  <c r="F11" i="20"/>
  <c r="F16" i="20"/>
  <c r="F28" i="20"/>
  <c r="G15" i="20"/>
  <c r="BN15" i="20" s="1"/>
  <c r="F37" i="21"/>
  <c r="F41" i="21"/>
  <c r="F44" i="21" l="1"/>
  <c r="F42" i="21"/>
  <c r="F43" i="21"/>
  <c r="D145" i="21"/>
  <c r="I15" i="20"/>
  <c r="BP15" i="20" s="1"/>
  <c r="F12" i="20"/>
  <c r="F17" i="20"/>
  <c r="F29" i="20"/>
  <c r="E117" i="21"/>
  <c r="D118" i="21"/>
  <c r="D119" i="21" s="1"/>
  <c r="D23" i="21"/>
  <c r="E23" i="21" s="1"/>
  <c r="F23" i="21" s="1"/>
  <c r="G23" i="21" s="1"/>
  <c r="H23" i="21" s="1"/>
  <c r="I23" i="21" s="1"/>
  <c r="J23" i="21" s="1"/>
  <c r="K23" i="21" s="1"/>
  <c r="L23" i="21" s="1"/>
  <c r="D78" i="21"/>
  <c r="E78" i="21" s="1"/>
  <c r="F78" i="21" s="1"/>
  <c r="G78" i="21" s="1"/>
  <c r="H78" i="21" s="1"/>
  <c r="I78" i="21" s="1"/>
  <c r="J78" i="21" s="1"/>
  <c r="K78" i="21" s="1"/>
  <c r="L78" i="21" s="1"/>
  <c r="M78" i="21" s="1"/>
  <c r="N78" i="21" s="1"/>
  <c r="O78" i="21" s="1"/>
  <c r="P78" i="21" s="1"/>
  <c r="P79" i="21" s="1"/>
  <c r="E58" i="21"/>
  <c r="F58" i="21" s="1"/>
  <c r="G58" i="21" s="1"/>
  <c r="H58" i="21" s="1"/>
  <c r="I58" i="21" s="1"/>
  <c r="J58" i="21" s="1"/>
  <c r="K58" i="21" s="1"/>
  <c r="L58" i="21" s="1"/>
  <c r="M58" i="21" s="1"/>
  <c r="N58" i="21" s="1"/>
  <c r="O58" i="21" s="1"/>
  <c r="P58" i="21" s="1"/>
  <c r="D51" i="21"/>
  <c r="E51" i="21" s="1"/>
  <c r="F51" i="21" s="1"/>
  <c r="G51" i="21" s="1"/>
  <c r="H51" i="21" s="1"/>
  <c r="I51" i="21" s="1"/>
  <c r="J51" i="21" s="1"/>
  <c r="K51" i="21" s="1"/>
  <c r="L51" i="21" s="1"/>
  <c r="M51" i="21" s="1"/>
  <c r="D20" i="21"/>
  <c r="E20" i="21" s="1"/>
  <c r="F20" i="21" s="1"/>
  <c r="G20" i="21" s="1"/>
  <c r="H20" i="21" s="1"/>
  <c r="I20" i="21" s="1"/>
  <c r="J20" i="21" s="1"/>
  <c r="K20" i="21" s="1"/>
  <c r="L20" i="21" s="1"/>
  <c r="M20" i="21" s="1"/>
  <c r="N20" i="21" s="1"/>
  <c r="O20" i="21" s="1"/>
  <c r="P20" i="21" s="1"/>
  <c r="G37" i="21"/>
  <c r="G41" i="21"/>
  <c r="E16" i="21"/>
  <c r="E14" i="21"/>
  <c r="E15" i="21" s="1"/>
  <c r="E236" i="21" s="1"/>
  <c r="G43" i="21" l="1"/>
  <c r="G44" i="21"/>
  <c r="G42" i="21"/>
  <c r="J15" i="20"/>
  <c r="D24" i="21"/>
  <c r="D239" i="21" s="1"/>
  <c r="D17" i="21"/>
  <c r="D237" i="21" s="1"/>
  <c r="D185" i="21"/>
  <c r="E35" i="98" s="1"/>
  <c r="F13" i="20"/>
  <c r="F18" i="20"/>
  <c r="F30" i="20"/>
  <c r="F117" i="21"/>
  <c r="E118" i="21"/>
  <c r="E119" i="21" s="1"/>
  <c r="E81" i="21"/>
  <c r="F81" i="21" s="1"/>
  <c r="G81" i="21" s="1"/>
  <c r="H81" i="21" s="1"/>
  <c r="I81" i="21" s="1"/>
  <c r="J81" i="21" s="1"/>
  <c r="K81" i="21" s="1"/>
  <c r="L81" i="21" s="1"/>
  <c r="M81" i="21" s="1"/>
  <c r="N81" i="21" s="1"/>
  <c r="O81" i="21" s="1"/>
  <c r="P81" i="21" s="1"/>
  <c r="P82" i="21" s="1"/>
  <c r="D82" i="21"/>
  <c r="K21" i="21"/>
  <c r="K238" i="21" s="1"/>
  <c r="M21" i="21"/>
  <c r="M238" i="21" s="1"/>
  <c r="F21" i="21"/>
  <c r="F238" i="21" s="1"/>
  <c r="G21" i="21"/>
  <c r="G238" i="21" s="1"/>
  <c r="I21" i="21"/>
  <c r="I238" i="21" s="1"/>
  <c r="P21" i="21"/>
  <c r="P238" i="21" s="1"/>
  <c r="E21" i="21"/>
  <c r="E238" i="21" s="1"/>
  <c r="H21" i="21"/>
  <c r="H238" i="21" s="1"/>
  <c r="O21" i="21"/>
  <c r="O238" i="21" s="1"/>
  <c r="J21" i="21"/>
  <c r="J238" i="21" s="1"/>
  <c r="N21" i="21"/>
  <c r="N238" i="21" s="1"/>
  <c r="L21" i="21"/>
  <c r="L238" i="21" s="1"/>
  <c r="L79" i="21"/>
  <c r="D79" i="21"/>
  <c r="G79" i="21"/>
  <c r="K79" i="21"/>
  <c r="E79" i="21"/>
  <c r="H79" i="21"/>
  <c r="F79" i="21"/>
  <c r="J79" i="21"/>
  <c r="N79" i="21"/>
  <c r="I79" i="21"/>
  <c r="M79" i="21"/>
  <c r="O79" i="21"/>
  <c r="H37" i="21"/>
  <c r="H41" i="21"/>
  <c r="N51" i="21"/>
  <c r="F14" i="21"/>
  <c r="G14" i="21" s="1"/>
  <c r="H14" i="21" s="1"/>
  <c r="I14" i="21" s="1"/>
  <c r="J14" i="21" s="1"/>
  <c r="K14" i="21" s="1"/>
  <c r="L14" i="21" s="1"/>
  <c r="M14" i="21" s="1"/>
  <c r="N14" i="21" s="1"/>
  <c r="O14" i="21" s="1"/>
  <c r="P14" i="21" s="1"/>
  <c r="P15" i="21" s="1"/>
  <c r="P236" i="21" s="1"/>
  <c r="E17" i="21"/>
  <c r="E24" i="21"/>
  <c r="E239" i="21" s="1"/>
  <c r="M23" i="21"/>
  <c r="N23" i="21" s="1"/>
  <c r="F16" i="21"/>
  <c r="D15" i="21"/>
  <c r="D236" i="21" s="1"/>
  <c r="H44" i="21" l="1"/>
  <c r="H43" i="21"/>
  <c r="H42" i="21"/>
  <c r="D255" i="21"/>
  <c r="F11" i="83" s="1"/>
  <c r="J11" i="83" s="1"/>
  <c r="Q230" i="21"/>
  <c r="P83" i="21"/>
  <c r="P255" i="21"/>
  <c r="E18" i="21"/>
  <c r="E237" i="21"/>
  <c r="D21" i="21"/>
  <c r="F19" i="20"/>
  <c r="F31" i="20"/>
  <c r="F82" i="21"/>
  <c r="I82" i="21"/>
  <c r="D83" i="21"/>
  <c r="G117" i="21"/>
  <c r="F118" i="21"/>
  <c r="F119" i="21" s="1"/>
  <c r="L82" i="21"/>
  <c r="M82" i="21"/>
  <c r="K82" i="21"/>
  <c r="N82" i="21"/>
  <c r="O82" i="21"/>
  <c r="G82" i="21"/>
  <c r="E82" i="21"/>
  <c r="J82" i="21"/>
  <c r="H82" i="21"/>
  <c r="E25" i="21"/>
  <c r="O51" i="21"/>
  <c r="I37" i="21"/>
  <c r="I41" i="21"/>
  <c r="G15" i="21"/>
  <c r="G236" i="21" s="1"/>
  <c r="M15" i="21"/>
  <c r="M236" i="21" s="1"/>
  <c r="I15" i="21"/>
  <c r="I236" i="21" s="1"/>
  <c r="F15" i="21"/>
  <c r="F236" i="21" s="1"/>
  <c r="H15" i="21"/>
  <c r="H236" i="21" s="1"/>
  <c r="K15" i="21"/>
  <c r="K236" i="21" s="1"/>
  <c r="N15" i="21"/>
  <c r="N236" i="21" s="1"/>
  <c r="L15" i="21"/>
  <c r="L236" i="21" s="1"/>
  <c r="O15" i="21"/>
  <c r="O236" i="21" s="1"/>
  <c r="J15" i="21"/>
  <c r="J236" i="21" s="1"/>
  <c r="D18" i="21"/>
  <c r="G16" i="21"/>
  <c r="F24" i="21"/>
  <c r="F17" i="21"/>
  <c r="F237" i="21" s="1"/>
  <c r="O23" i="21"/>
  <c r="I44" i="21" l="1"/>
  <c r="I43" i="21"/>
  <c r="I42" i="21"/>
  <c r="E26" i="21"/>
  <c r="D84" i="21"/>
  <c r="D199" i="21"/>
  <c r="P84" i="21"/>
  <c r="P199" i="21"/>
  <c r="E235" i="21"/>
  <c r="Q208" i="21"/>
  <c r="O83" i="21"/>
  <c r="O255" i="21"/>
  <c r="G83" i="21"/>
  <c r="G255" i="21"/>
  <c r="M83" i="21"/>
  <c r="M255" i="21"/>
  <c r="J83" i="21"/>
  <c r="J255" i="21"/>
  <c r="N83" i="21"/>
  <c r="N255" i="21"/>
  <c r="F83" i="21"/>
  <c r="F255" i="21"/>
  <c r="H83" i="21"/>
  <c r="H255" i="21"/>
  <c r="L83" i="21"/>
  <c r="L255" i="21"/>
  <c r="I83" i="21"/>
  <c r="I255" i="21"/>
  <c r="F25" i="21"/>
  <c r="F239" i="21"/>
  <c r="E83" i="21"/>
  <c r="K83" i="21"/>
  <c r="K255" i="21"/>
  <c r="D25" i="21"/>
  <c r="D238" i="21"/>
  <c r="H117" i="21"/>
  <c r="G118" i="21"/>
  <c r="G119" i="21" s="1"/>
  <c r="P51" i="21"/>
  <c r="J41" i="21"/>
  <c r="J37" i="21"/>
  <c r="F18" i="21"/>
  <c r="H16" i="21"/>
  <c r="G24" i="21"/>
  <c r="G17" i="21"/>
  <c r="P23" i="21"/>
  <c r="R84" i="21" l="1"/>
  <c r="F26" i="21"/>
  <c r="J44" i="21"/>
  <c r="J43" i="21"/>
  <c r="J42" i="21"/>
  <c r="D26" i="21"/>
  <c r="E84" i="21"/>
  <c r="E199" i="21"/>
  <c r="I84" i="21"/>
  <c r="I199" i="21"/>
  <c r="H84" i="21"/>
  <c r="H199" i="21"/>
  <c r="N84" i="21"/>
  <c r="N199" i="21"/>
  <c r="M84" i="21"/>
  <c r="M199" i="21"/>
  <c r="O84" i="21"/>
  <c r="O199" i="21"/>
  <c r="K84" i="21"/>
  <c r="K199" i="21"/>
  <c r="L84" i="21"/>
  <c r="L199" i="21"/>
  <c r="F84" i="21"/>
  <c r="F199" i="21"/>
  <c r="J84" i="21"/>
  <c r="J199" i="21"/>
  <c r="G84" i="21"/>
  <c r="G199" i="21"/>
  <c r="F235" i="21"/>
  <c r="D235" i="21"/>
  <c r="F16" i="84" s="1"/>
  <c r="Q210" i="21"/>
  <c r="E255" i="21"/>
  <c r="Q227" i="21" s="1"/>
  <c r="Q231" i="21"/>
  <c r="G25" i="21"/>
  <c r="G239" i="21"/>
  <c r="G18" i="21"/>
  <c r="G237" i="21"/>
  <c r="I117" i="21"/>
  <c r="H118" i="21"/>
  <c r="H119" i="21" s="1"/>
  <c r="F23" i="83"/>
  <c r="J23" i="83" s="1"/>
  <c r="K37" i="21"/>
  <c r="K41" i="21"/>
  <c r="I16" i="21"/>
  <c r="H24" i="21"/>
  <c r="H17" i="21"/>
  <c r="G16" i="84" l="1"/>
  <c r="L18" i="55" s="1"/>
  <c r="K16" i="84"/>
  <c r="AB18" i="55" s="1"/>
  <c r="J16" i="84"/>
  <c r="X18" i="55" s="1"/>
  <c r="I16" i="84"/>
  <c r="T18" i="55" s="1"/>
  <c r="H16" i="84"/>
  <c r="P18" i="55" s="1"/>
  <c r="K44" i="21"/>
  <c r="K43" i="21"/>
  <c r="K42" i="21"/>
  <c r="G26" i="21"/>
  <c r="H25" i="21"/>
  <c r="H239" i="21"/>
  <c r="H18" i="21"/>
  <c r="H237" i="21"/>
  <c r="G235" i="21"/>
  <c r="C15" i="135"/>
  <c r="J117" i="21"/>
  <c r="I118" i="21"/>
  <c r="I119" i="21" s="1"/>
  <c r="L37" i="21"/>
  <c r="L41" i="21"/>
  <c r="J16" i="21"/>
  <c r="I24" i="21"/>
  <c r="I17" i="21"/>
  <c r="R44" i="99" l="1"/>
  <c r="G25" i="167" s="1"/>
  <c r="G13" i="165"/>
  <c r="U44" i="99"/>
  <c r="H13" i="165"/>
  <c r="N16" i="84"/>
  <c r="H18" i="55"/>
  <c r="C13" i="165" s="1"/>
  <c r="Q44" i="99"/>
  <c r="R39" i="99"/>
  <c r="L44" i="21"/>
  <c r="L43" i="21"/>
  <c r="L42" i="21"/>
  <c r="C12" i="132"/>
  <c r="H26" i="21"/>
  <c r="I25" i="21"/>
  <c r="I239" i="21"/>
  <c r="I18" i="21"/>
  <c r="I237" i="21"/>
  <c r="H235" i="21"/>
  <c r="C12" i="135"/>
  <c r="K117" i="21"/>
  <c r="J118" i="21"/>
  <c r="J119" i="21" s="1"/>
  <c r="M37" i="21"/>
  <c r="M41" i="21"/>
  <c r="K16" i="21"/>
  <c r="J24" i="21"/>
  <c r="J17" i="21"/>
  <c r="R38" i="99" l="1"/>
  <c r="R69" i="99" s="1"/>
  <c r="R77" i="99" s="1"/>
  <c r="G21" i="167"/>
  <c r="W44" i="99"/>
  <c r="AC18" i="55"/>
  <c r="M42" i="21"/>
  <c r="M43" i="21"/>
  <c r="M44" i="21"/>
  <c r="I26" i="21"/>
  <c r="J25" i="21"/>
  <c r="J239" i="21"/>
  <c r="J18" i="21"/>
  <c r="J237" i="21"/>
  <c r="I235" i="21"/>
  <c r="L117" i="21"/>
  <c r="K118" i="21"/>
  <c r="K119" i="21" s="1"/>
  <c r="N41" i="21"/>
  <c r="N37" i="21"/>
  <c r="L16" i="21"/>
  <c r="K24" i="21"/>
  <c r="K17" i="21"/>
  <c r="R81" i="99" l="1"/>
  <c r="G20" i="167"/>
  <c r="G135" i="167" s="1"/>
  <c r="N43" i="21"/>
  <c r="N44" i="21"/>
  <c r="N42" i="21"/>
  <c r="J26" i="21"/>
  <c r="K25" i="21"/>
  <c r="K239" i="21"/>
  <c r="K18" i="21"/>
  <c r="K237" i="21"/>
  <c r="J235" i="21"/>
  <c r="M117" i="21"/>
  <c r="L118" i="21"/>
  <c r="L119" i="21" s="1"/>
  <c r="O37" i="21"/>
  <c r="O41" i="21"/>
  <c r="M16" i="21"/>
  <c r="L24" i="21"/>
  <c r="L17" i="21"/>
  <c r="R84" i="99" l="1"/>
  <c r="Q81" i="99"/>
  <c r="Q84" i="99" s="1"/>
  <c r="O44" i="21"/>
  <c r="O43" i="21"/>
  <c r="O42" i="21"/>
  <c r="K26" i="21"/>
  <c r="L25" i="21"/>
  <c r="L239" i="21"/>
  <c r="L18" i="21"/>
  <c r="L237" i="21"/>
  <c r="K235" i="21"/>
  <c r="N117" i="21"/>
  <c r="M118" i="21"/>
  <c r="M119" i="21" s="1"/>
  <c r="P37" i="21"/>
  <c r="P41" i="21"/>
  <c r="N16" i="21"/>
  <c r="M24" i="21"/>
  <c r="M17" i="21"/>
  <c r="P44" i="21" l="1"/>
  <c r="P43" i="21"/>
  <c r="P42" i="21"/>
  <c r="L26" i="21"/>
  <c r="M18" i="21"/>
  <c r="M237" i="21"/>
  <c r="M25" i="21"/>
  <c r="M239" i="21"/>
  <c r="L235" i="21"/>
  <c r="O117" i="21"/>
  <c r="N118" i="21"/>
  <c r="N119" i="21" s="1"/>
  <c r="O16" i="21"/>
  <c r="N24" i="21"/>
  <c r="N17" i="21"/>
  <c r="M26" i="21" l="1"/>
  <c r="M235" i="21"/>
  <c r="N25" i="21"/>
  <c r="N239" i="21"/>
  <c r="N18" i="21"/>
  <c r="N237" i="21"/>
  <c r="P117" i="21"/>
  <c r="P118" i="21" s="1"/>
  <c r="P119" i="21" s="1"/>
  <c r="O118" i="21"/>
  <c r="O119" i="21" s="1"/>
  <c r="P16" i="21"/>
  <c r="O24" i="21"/>
  <c r="O17" i="21"/>
  <c r="N26" i="21" l="1"/>
  <c r="O25" i="21"/>
  <c r="O239" i="21"/>
  <c r="O18" i="21"/>
  <c r="O237" i="21"/>
  <c r="N235" i="21"/>
  <c r="P17" i="21"/>
  <c r="P24" i="21"/>
  <c r="O26" i="21" l="1"/>
  <c r="P18" i="21"/>
  <c r="P237" i="21"/>
  <c r="Q209" i="21" s="1"/>
  <c r="P25" i="21"/>
  <c r="P239" i="21"/>
  <c r="O235" i="21"/>
  <c r="P26" i="21" l="1"/>
  <c r="Q211" i="21"/>
  <c r="P235" i="21"/>
  <c r="Q207" i="21" l="1"/>
  <c r="A8" i="26" l="1"/>
  <c r="B3" i="26" l="1"/>
  <c r="F18" i="167" l="1"/>
  <c r="H18" i="167"/>
  <c r="F21" i="136" l="1"/>
  <c r="F17" i="167"/>
  <c r="F21" i="137"/>
  <c r="G22" i="136"/>
  <c r="F22" i="136"/>
  <c r="G22" i="137"/>
  <c r="G94" i="137" s="1"/>
  <c r="F22" i="137"/>
  <c r="T20" i="99"/>
  <c r="N20" i="99"/>
  <c r="N19" i="99"/>
  <c r="F95" i="167" l="1"/>
  <c r="F94" i="167"/>
  <c r="F90" i="167"/>
  <c r="G21" i="137"/>
  <c r="F16" i="167"/>
  <c r="AA10" i="159"/>
  <c r="AG10" i="159"/>
  <c r="AF10" i="159"/>
  <c r="D22" i="137"/>
  <c r="D94" i="137" s="1"/>
  <c r="F49" i="167" l="1"/>
  <c r="F37" i="167"/>
  <c r="F33" i="167"/>
  <c r="F31" i="167"/>
  <c r="F34" i="167"/>
  <c r="H16" i="167"/>
  <c r="AD10" i="159"/>
  <c r="F20" i="137"/>
  <c r="F20" i="136"/>
  <c r="N18" i="99"/>
  <c r="H37" i="167" l="1"/>
  <c r="H33" i="167"/>
  <c r="H49" i="167"/>
  <c r="H31" i="167"/>
  <c r="H34" i="167"/>
  <c r="G20" i="136"/>
  <c r="G20" i="137"/>
  <c r="T18" i="99"/>
  <c r="E17" i="167" l="1"/>
  <c r="E21" i="137"/>
  <c r="E21" i="136"/>
  <c r="E94" i="136" s="1"/>
  <c r="K19" i="99"/>
  <c r="E94" i="167" l="1"/>
  <c r="E90" i="167"/>
  <c r="E66" i="167"/>
  <c r="E95" i="167"/>
  <c r="E18" i="167"/>
  <c r="E70" i="136"/>
  <c r="Z10" i="159"/>
  <c r="E42" i="98"/>
  <c r="E22" i="137"/>
  <c r="E22" i="136"/>
  <c r="K20" i="99"/>
  <c r="AE10" i="159" l="1"/>
  <c r="G98" i="137"/>
  <c r="F98" i="137"/>
  <c r="G99" i="137"/>
  <c r="F99" i="137"/>
  <c r="D99" i="137"/>
  <c r="D98" i="137"/>
  <c r="E98" i="137"/>
  <c r="E99" i="137"/>
  <c r="G39" i="98" l="1"/>
  <c r="G40" i="98" s="1"/>
  <c r="E40" i="98"/>
  <c r="H39" i="98"/>
  <c r="H40" i="98" s="1"/>
  <c r="F39" i="98"/>
  <c r="J39" i="98"/>
  <c r="J40" i="98" s="1"/>
  <c r="D70" i="137"/>
  <c r="D69" i="137"/>
  <c r="E92" i="137"/>
  <c r="F90" i="137"/>
  <c r="G89" i="137"/>
  <c r="G92" i="137"/>
  <c r="E20" i="137"/>
  <c r="D90" i="137"/>
  <c r="F89" i="137"/>
  <c r="D89" i="137"/>
  <c r="D91" i="137"/>
  <c r="D92" i="137"/>
  <c r="D88" i="137"/>
  <c r="F40" i="98" l="1"/>
  <c r="I39" i="98"/>
  <c r="I40" i="98" s="1"/>
  <c r="M4" i="83"/>
  <c r="G91" i="137"/>
  <c r="E89" i="137"/>
  <c r="F91" i="137"/>
  <c r="G69" i="137"/>
  <c r="E69" i="137"/>
  <c r="F92" i="137"/>
  <c r="F88" i="137"/>
  <c r="E88" i="137"/>
  <c r="E91" i="137"/>
  <c r="E70" i="137"/>
  <c r="F70" i="137"/>
  <c r="G70" i="137"/>
  <c r="F69" i="137"/>
  <c r="G88" i="137"/>
  <c r="G90" i="137"/>
  <c r="E90" i="137"/>
  <c r="D87" i="137"/>
  <c r="G87" i="137" l="1"/>
  <c r="F87" i="137"/>
  <c r="E87" i="137"/>
  <c r="G10" i="57" l="1"/>
  <c r="F10" i="57"/>
  <c r="E10" i="57"/>
  <c r="F52" i="57" l="1"/>
  <c r="B52" i="57"/>
  <c r="F48" i="58" l="1"/>
  <c r="B48" i="58"/>
  <c r="D47" i="26"/>
  <c r="B47" i="26"/>
  <c r="A23" i="32" l="1"/>
  <c r="Q64" i="55" l="1"/>
  <c r="C64" i="55"/>
  <c r="E43" i="57"/>
  <c r="D43" i="57"/>
  <c r="F35" i="57"/>
  <c r="E35" i="57"/>
  <c r="D35" i="57"/>
  <c r="G27" i="57"/>
  <c r="F27" i="57"/>
  <c r="E27" i="57"/>
  <c r="D27" i="57"/>
  <c r="F23" i="57"/>
  <c r="E23" i="57"/>
  <c r="D23" i="57"/>
  <c r="F12" i="57"/>
  <c r="D12" i="57"/>
  <c r="Y41" i="55"/>
  <c r="Y43" i="55" s="1"/>
  <c r="W45" i="55"/>
  <c r="X37" i="55"/>
  <c r="S63" i="99" s="1"/>
  <c r="Q63" i="99" s="1"/>
  <c r="Q66" i="99" s="1"/>
  <c r="X47" i="99"/>
  <c r="X46" i="99"/>
  <c r="W146" i="99" l="1"/>
  <c r="K27" i="57"/>
  <c r="Z42" i="55"/>
  <c r="Z41" i="55"/>
  <c r="Y51" i="55"/>
  <c r="Y54" i="55" s="1"/>
  <c r="Y59" i="55"/>
  <c r="V42" i="55"/>
  <c r="V41" i="55"/>
  <c r="W41" i="55"/>
  <c r="U41" i="55"/>
  <c r="R41" i="55"/>
  <c r="R42" i="55"/>
  <c r="Q41" i="55"/>
  <c r="S41" i="55"/>
  <c r="G13" i="55"/>
  <c r="G12" i="55" s="1"/>
  <c r="G43" i="55" s="1"/>
  <c r="G51" i="55" s="1"/>
  <c r="X45" i="99"/>
  <c r="E13" i="55"/>
  <c r="E12" i="55" s="1"/>
  <c r="E43" i="55" s="1"/>
  <c r="D33" i="57"/>
  <c r="D41" i="57" s="1"/>
  <c r="D42" i="57" s="1"/>
  <c r="F33" i="57"/>
  <c r="G54" i="55" l="1"/>
  <c r="G52" i="55"/>
  <c r="Z33" i="55"/>
  <c r="Y52" i="55"/>
  <c r="Y53" i="55"/>
  <c r="Z29" i="55"/>
  <c r="K29" i="55"/>
  <c r="F41" i="57"/>
  <c r="F42" i="57" s="1"/>
  <c r="V29" i="55"/>
  <c r="W13" i="55"/>
  <c r="Q37" i="55"/>
  <c r="U33" i="55"/>
  <c r="W33" i="55"/>
  <c r="U13" i="55"/>
  <c r="V37" i="55"/>
  <c r="W37" i="55"/>
  <c r="U37" i="55"/>
  <c r="W29" i="55"/>
  <c r="V33" i="55"/>
  <c r="U29" i="55"/>
  <c r="Q33" i="55"/>
  <c r="Q29" i="55"/>
  <c r="S13" i="55"/>
  <c r="Q13" i="55"/>
  <c r="R37" i="55"/>
  <c r="S33" i="55"/>
  <c r="R33" i="55"/>
  <c r="R29" i="55"/>
  <c r="S37" i="55"/>
  <c r="S29" i="55"/>
  <c r="M13" i="55"/>
  <c r="J33" i="55"/>
  <c r="J29" i="55"/>
  <c r="I33" i="55"/>
  <c r="M33" i="55"/>
  <c r="N33" i="55"/>
  <c r="N29" i="55"/>
  <c r="I13" i="55"/>
  <c r="I29" i="55"/>
  <c r="M29" i="55"/>
  <c r="G59" i="55"/>
  <c r="F10" i="22"/>
  <c r="E59" i="55" l="1"/>
  <c r="K12" i="55"/>
  <c r="K43" i="55" s="1"/>
  <c r="K51" i="55" s="1"/>
  <c r="K52" i="55" s="1"/>
  <c r="Q12" i="55"/>
  <c r="Q43" i="55" s="1"/>
  <c r="W12" i="55"/>
  <c r="W43" i="55" s="1"/>
  <c r="U12" i="55"/>
  <c r="U43" i="55" s="1"/>
  <c r="S12" i="55"/>
  <c r="S43" i="55" s="1"/>
  <c r="M12" i="55"/>
  <c r="M43" i="55" s="1"/>
  <c r="M59" i="55" s="1"/>
  <c r="I12" i="55"/>
  <c r="I43" i="55" s="1"/>
  <c r="I59" i="55" s="1"/>
  <c r="F74" i="98"/>
  <c r="E74" i="98" s="1"/>
  <c r="C32" i="29"/>
  <c r="F32" i="29" s="1"/>
  <c r="D48" i="27"/>
  <c r="B48" i="27"/>
  <c r="A5" i="27"/>
  <c r="I32" i="29" l="1"/>
  <c r="O32" i="29" s="1"/>
  <c r="L32" i="29"/>
  <c r="K59" i="55"/>
  <c r="K54" i="55"/>
  <c r="K53" i="55"/>
  <c r="W51" i="55"/>
  <c r="W54" i="55" s="1"/>
  <c r="W59" i="55"/>
  <c r="S51" i="55"/>
  <c r="S54" i="55" s="1"/>
  <c r="S59" i="55"/>
  <c r="Q59" i="55"/>
  <c r="Q51" i="55"/>
  <c r="Q53" i="55" s="1"/>
  <c r="U59" i="55"/>
  <c r="U51" i="55"/>
  <c r="U54" i="55" s="1"/>
  <c r="M51" i="55"/>
  <c r="I51" i="55"/>
  <c r="I73" i="55" s="1"/>
  <c r="C31" i="29"/>
  <c r="F31" i="29" s="1"/>
  <c r="D34" i="30"/>
  <c r="I31" i="29" l="1"/>
  <c r="O31" i="29" s="1"/>
  <c r="L31" i="29"/>
  <c r="W52" i="55"/>
  <c r="S53" i="55"/>
  <c r="S52" i="55"/>
  <c r="W53" i="55"/>
  <c r="Q54" i="55"/>
  <c r="Q52" i="55"/>
  <c r="M54" i="55"/>
  <c r="U52" i="55"/>
  <c r="U53" i="55"/>
  <c r="I52" i="55"/>
  <c r="I53" i="55"/>
  <c r="M52" i="55"/>
  <c r="M53" i="55"/>
  <c r="I54" i="55"/>
  <c r="G54" i="22"/>
  <c r="G81" i="22" s="1"/>
  <c r="C33" i="29"/>
  <c r="F33" i="29" s="1"/>
  <c r="A7" i="30"/>
  <c r="I33" i="29" l="1"/>
  <c r="O33" i="29" s="1"/>
  <c r="L33" i="29"/>
  <c r="H54" i="20"/>
  <c r="R54" i="20" s="1"/>
  <c r="AB54" i="20" s="1"/>
  <c r="AL54" i="20" s="1"/>
  <c r="AV54" i="20" s="1"/>
  <c r="BF54" i="20" s="1"/>
  <c r="E130" i="22"/>
  <c r="G10" i="22"/>
  <c r="E10" i="22"/>
  <c r="F45" i="29" l="1"/>
  <c r="E33" i="21" l="1"/>
  <c r="A8" i="29"/>
  <c r="B7" i="31"/>
  <c r="H19" i="29" l="1"/>
  <c r="F22" i="29"/>
  <c r="F26" i="29" s="1"/>
  <c r="G95" i="22"/>
  <c r="H28" i="29" l="1"/>
  <c r="F19" i="29"/>
  <c r="F15" i="167"/>
  <c r="U10" i="55"/>
  <c r="Q10" i="55"/>
  <c r="M10" i="55"/>
  <c r="I10" i="55"/>
  <c r="E10" i="55"/>
  <c r="E15" i="167"/>
  <c r="H13" i="167"/>
  <c r="G96" i="22"/>
  <c r="E75" i="165"/>
  <c r="C8" i="84"/>
  <c r="C8" i="83"/>
  <c r="D10" i="57"/>
  <c r="D10" i="22"/>
  <c r="G65" i="22" l="1"/>
  <c r="F23" i="29"/>
  <c r="G94" i="22"/>
  <c r="F13" i="167"/>
  <c r="H15" i="98"/>
  <c r="H25" i="98" s="1"/>
  <c r="J15" i="98"/>
  <c r="J25" i="98" s="1"/>
  <c r="E14" i="167"/>
  <c r="E18" i="137"/>
  <c r="E19" i="137"/>
  <c r="F17" i="137"/>
  <c r="G17" i="137"/>
  <c r="E17" i="137"/>
  <c r="F19" i="137"/>
  <c r="F28" i="29"/>
  <c r="AF9" i="159"/>
  <c r="D19" i="137"/>
  <c r="E18" i="136"/>
  <c r="E19" i="136"/>
  <c r="F19" i="136"/>
  <c r="G17" i="136"/>
  <c r="K16" i="99"/>
  <c r="K32" i="99" s="1"/>
  <c r="K17" i="99"/>
  <c r="N17" i="99"/>
  <c r="T15" i="99"/>
  <c r="N15" i="99"/>
  <c r="F40" i="133"/>
  <c r="E40" i="134"/>
  <c r="E40" i="133"/>
  <c r="D40" i="133"/>
  <c r="H15" i="167"/>
  <c r="H14" i="167"/>
  <c r="F14" i="167"/>
  <c r="G98" i="22"/>
  <c r="H75" i="165"/>
  <c r="F75" i="165"/>
  <c r="F17" i="136" l="1"/>
  <c r="E34" i="134"/>
  <c r="E69" i="165"/>
  <c r="E38" i="134"/>
  <c r="E73" i="165"/>
  <c r="F18" i="137"/>
  <c r="G19" i="137"/>
  <c r="D18" i="137"/>
  <c r="G18" i="137"/>
  <c r="E38" i="133"/>
  <c r="F38" i="133"/>
  <c r="E27" i="134"/>
  <c r="E62" i="165"/>
  <c r="E11" i="134"/>
  <c r="E46" i="165"/>
  <c r="E15" i="134"/>
  <c r="E50" i="165"/>
  <c r="E35" i="134"/>
  <c r="E70" i="165"/>
  <c r="E20" i="134"/>
  <c r="E55" i="165"/>
  <c r="E7" i="134"/>
  <c r="E42" i="165"/>
  <c r="E48" i="165"/>
  <c r="H104" i="165"/>
  <c r="E14" i="134"/>
  <c r="E49" i="165"/>
  <c r="E17" i="134"/>
  <c r="E52" i="165"/>
  <c r="E19" i="134"/>
  <c r="E54" i="165"/>
  <c r="E25" i="134"/>
  <c r="E60" i="165"/>
  <c r="E26" i="134"/>
  <c r="E61" i="165"/>
  <c r="D38" i="133"/>
  <c r="E21" i="134"/>
  <c r="E56" i="165"/>
  <c r="E18" i="134"/>
  <c r="E53" i="165"/>
  <c r="E24" i="134"/>
  <c r="E59" i="165"/>
  <c r="E36" i="134"/>
  <c r="E71" i="165"/>
  <c r="E30" i="134"/>
  <c r="E65" i="165"/>
  <c r="E12" i="134"/>
  <c r="E47" i="165"/>
  <c r="E37" i="134"/>
  <c r="E72" i="165"/>
  <c r="E22" i="134"/>
  <c r="E57" i="165"/>
  <c r="E39" i="134"/>
  <c r="E74" i="165"/>
  <c r="E29" i="134"/>
  <c r="E64" i="165"/>
  <c r="E16" i="134"/>
  <c r="E51" i="165"/>
  <c r="E13" i="134"/>
  <c r="Z9" i="159"/>
  <c r="AD9" i="159"/>
  <c r="AE9" i="159"/>
  <c r="I61" i="21"/>
  <c r="I254" i="21" s="1"/>
  <c r="I252" i="21"/>
  <c r="I33" i="21"/>
  <c r="I54" i="21"/>
  <c r="I253" i="21" s="1"/>
  <c r="I40" i="21"/>
  <c r="I251" i="21" s="1"/>
  <c r="I32" i="21"/>
  <c r="I187" i="21"/>
  <c r="I184" i="21" s="1"/>
  <c r="I53" i="21"/>
  <c r="I248" i="21" s="1"/>
  <c r="I60" i="21"/>
  <c r="I249" i="21" s="1"/>
  <c r="I247" i="21"/>
  <c r="I39" i="21"/>
  <c r="I246" i="21" s="1"/>
  <c r="G35" i="135"/>
  <c r="O7" i="135"/>
  <c r="O29" i="135" s="1"/>
  <c r="P7" i="135"/>
  <c r="P29" i="135" s="1"/>
  <c r="Q7" i="135"/>
  <c r="F46" i="131" s="1"/>
  <c r="K7" i="135"/>
  <c r="K28" i="135" s="1"/>
  <c r="G18" i="136"/>
  <c r="F18" i="136"/>
  <c r="G19" i="136"/>
  <c r="N16" i="99"/>
  <c r="N32" i="99" s="1"/>
  <c r="T17" i="99"/>
  <c r="F35" i="135"/>
  <c r="T16" i="99"/>
  <c r="T32" i="99" s="1"/>
  <c r="T31" i="99" s="1"/>
  <c r="G40" i="134"/>
  <c r="F40" i="134"/>
  <c r="G40" i="133"/>
  <c r="F15" i="98"/>
  <c r="G72" i="22"/>
  <c r="G97" i="22" s="1"/>
  <c r="G74" i="22"/>
  <c r="G99" i="22" s="1"/>
  <c r="D17" i="167"/>
  <c r="D46" i="131" l="1"/>
  <c r="I250" i="21"/>
  <c r="I245" i="21"/>
  <c r="L97" i="165"/>
  <c r="L96" i="165"/>
  <c r="L95" i="165"/>
  <c r="L98" i="165"/>
  <c r="E10" i="130"/>
  <c r="E18" i="130" s="1"/>
  <c r="D17" i="137"/>
  <c r="D90" i="167"/>
  <c r="D88" i="167"/>
  <c r="D87" i="167"/>
  <c r="D95" i="167"/>
  <c r="D94" i="167"/>
  <c r="G38" i="133"/>
  <c r="H69" i="165"/>
  <c r="G34" i="134"/>
  <c r="E10" i="134"/>
  <c r="E9" i="134" s="1"/>
  <c r="E32" i="134" s="1"/>
  <c r="F38" i="134"/>
  <c r="F73" i="165"/>
  <c r="R95" i="165"/>
  <c r="R98" i="165"/>
  <c r="R97" i="165"/>
  <c r="R96" i="165"/>
  <c r="E45" i="165"/>
  <c r="E44" i="165" s="1"/>
  <c r="E67" i="165" s="1"/>
  <c r="R8" i="165"/>
  <c r="Q8" i="165"/>
  <c r="C34" i="134"/>
  <c r="C69" i="165"/>
  <c r="P95" i="165"/>
  <c r="P98" i="165"/>
  <c r="P97" i="165"/>
  <c r="P96" i="165"/>
  <c r="Q95" i="165"/>
  <c r="Q98" i="165"/>
  <c r="Q97" i="165"/>
  <c r="Q96" i="165"/>
  <c r="Q29" i="135"/>
  <c r="G38" i="134"/>
  <c r="H73" i="165"/>
  <c r="F69" i="165"/>
  <c r="F34" i="134"/>
  <c r="F94" i="136"/>
  <c r="F94" i="137"/>
  <c r="E94" i="137"/>
  <c r="P7" i="132"/>
  <c r="Q7" i="132"/>
  <c r="F45" i="131" s="1"/>
  <c r="AB9" i="159"/>
  <c r="AA9" i="159"/>
  <c r="AG9" i="159"/>
  <c r="F32" i="21"/>
  <c r="I47" i="21"/>
  <c r="I64" i="21"/>
  <c r="N54" i="21"/>
  <c r="N253" i="21" s="1"/>
  <c r="N252" i="21"/>
  <c r="N190" i="21"/>
  <c r="N40" i="21"/>
  <c r="N251" i="21" s="1"/>
  <c r="N61" i="21"/>
  <c r="N254" i="21" s="1"/>
  <c r="J61" i="21"/>
  <c r="J254" i="21" s="1"/>
  <c r="J252" i="21"/>
  <c r="J54" i="21"/>
  <c r="J253" i="21" s="1"/>
  <c r="J33" i="21"/>
  <c r="J40" i="21"/>
  <c r="J251" i="21" s="1"/>
  <c r="J190" i="21"/>
  <c r="I46" i="21"/>
  <c r="J32" i="21"/>
  <c r="J60" i="21"/>
  <c r="J249" i="21" s="1"/>
  <c r="J188" i="21"/>
  <c r="J247" i="21"/>
  <c r="J53" i="21"/>
  <c r="J248" i="21" s="1"/>
  <c r="J39" i="21"/>
  <c r="J246" i="21" s="1"/>
  <c r="I63" i="21"/>
  <c r="I59" i="21"/>
  <c r="I244" i="21" s="1"/>
  <c r="I234" i="21" s="1"/>
  <c r="I38" i="21"/>
  <c r="I241" i="21" s="1"/>
  <c r="I52" i="21"/>
  <c r="I243" i="21" s="1"/>
  <c r="I233" i="21" s="1"/>
  <c r="I242" i="21"/>
  <c r="I232" i="21" s="1"/>
  <c r="O26" i="135"/>
  <c r="F25" i="98"/>
  <c r="E46" i="131"/>
  <c r="O27" i="135"/>
  <c r="E46" i="130"/>
  <c r="O28" i="135"/>
  <c r="Q27" i="135"/>
  <c r="P28" i="135"/>
  <c r="Q26" i="135"/>
  <c r="Q28" i="135"/>
  <c r="P27" i="135"/>
  <c r="R7" i="135"/>
  <c r="P26" i="135"/>
  <c r="K26" i="135"/>
  <c r="K29" i="135"/>
  <c r="D21" i="136"/>
  <c r="D21" i="137"/>
  <c r="K27" i="135"/>
  <c r="L7" i="135"/>
  <c r="L29" i="135" s="1"/>
  <c r="M7" i="135"/>
  <c r="M28" i="135" s="1"/>
  <c r="C40" i="133"/>
  <c r="N188" i="21"/>
  <c r="N60" i="21"/>
  <c r="N249" i="21" s="1"/>
  <c r="N53" i="21"/>
  <c r="N248" i="21" s="1"/>
  <c r="H19" i="99"/>
  <c r="G90" i="22"/>
  <c r="G91" i="22"/>
  <c r="N247" i="21"/>
  <c r="N39" i="21"/>
  <c r="N246" i="21" s="1"/>
  <c r="I66" i="21" l="1"/>
  <c r="J245" i="21"/>
  <c r="N245" i="21"/>
  <c r="N64" i="21"/>
  <c r="I240" i="21"/>
  <c r="I230" i="21" s="1"/>
  <c r="I231" i="21"/>
  <c r="N250" i="21"/>
  <c r="J250" i="21"/>
  <c r="N47" i="21"/>
  <c r="P30" i="132"/>
  <c r="E45" i="131"/>
  <c r="E23" i="130"/>
  <c r="E36" i="130"/>
  <c r="E30" i="130"/>
  <c r="E19" i="130"/>
  <c r="E26" i="130"/>
  <c r="E11" i="130"/>
  <c r="E27" i="130"/>
  <c r="E33" i="130"/>
  <c r="E21" i="130"/>
  <c r="E9" i="130"/>
  <c r="E15" i="130"/>
  <c r="E38" i="130"/>
  <c r="E28" i="130"/>
  <c r="E41" i="130"/>
  <c r="E31" i="130"/>
  <c r="E22" i="130"/>
  <c r="E43" i="130"/>
  <c r="E32" i="130"/>
  <c r="E25" i="130"/>
  <c r="E40" i="130"/>
  <c r="E17" i="130"/>
  <c r="E42" i="130"/>
  <c r="E16" i="130"/>
  <c r="E35" i="130"/>
  <c r="D13" i="167"/>
  <c r="R31" i="165"/>
  <c r="M95" i="165"/>
  <c r="M98" i="165"/>
  <c r="M97" i="165"/>
  <c r="M96" i="165"/>
  <c r="Q31" i="165"/>
  <c r="N95" i="165"/>
  <c r="N98" i="165"/>
  <c r="N97" i="165"/>
  <c r="N96" i="165"/>
  <c r="S95" i="165"/>
  <c r="O95" i="165" s="1"/>
  <c r="S98" i="165"/>
  <c r="O98" i="165" s="1"/>
  <c r="S97" i="165"/>
  <c r="O97" i="165" s="1"/>
  <c r="S96" i="165"/>
  <c r="O96" i="165" s="1"/>
  <c r="E45" i="134"/>
  <c r="N7" i="135"/>
  <c r="C46" i="131" s="1"/>
  <c r="O7" i="132"/>
  <c r="P8" i="165"/>
  <c r="Q30" i="132"/>
  <c r="Y10" i="159"/>
  <c r="I67" i="21"/>
  <c r="J64" i="21"/>
  <c r="J47" i="21"/>
  <c r="O54" i="21"/>
  <c r="O253" i="21" s="1"/>
  <c r="O61" i="21"/>
  <c r="O254" i="21" s="1"/>
  <c r="O40" i="21"/>
  <c r="O251" i="21" s="1"/>
  <c r="O190" i="21"/>
  <c r="O252" i="21"/>
  <c r="I62" i="21"/>
  <c r="J63" i="21"/>
  <c r="J46" i="21"/>
  <c r="J59" i="21"/>
  <c r="J244" i="21" s="1"/>
  <c r="J234" i="21" s="1"/>
  <c r="J52" i="21"/>
  <c r="J243" i="21" s="1"/>
  <c r="J233" i="21" s="1"/>
  <c r="J187" i="21"/>
  <c r="J184" i="21" s="1"/>
  <c r="J242" i="21"/>
  <c r="J232" i="21" s="1"/>
  <c r="J38" i="21"/>
  <c r="J241" i="21" s="1"/>
  <c r="I45" i="21"/>
  <c r="G46" i="131"/>
  <c r="R29" i="135"/>
  <c r="N29" i="135" s="1"/>
  <c r="D17" i="136"/>
  <c r="M29" i="135"/>
  <c r="H15" i="99"/>
  <c r="R26" i="135"/>
  <c r="N26" i="135" s="1"/>
  <c r="R27" i="135"/>
  <c r="N27" i="135" s="1"/>
  <c r="R28" i="135"/>
  <c r="N28" i="135" s="1"/>
  <c r="M26" i="135"/>
  <c r="L27" i="135"/>
  <c r="F46" i="130"/>
  <c r="L26" i="135"/>
  <c r="E34" i="133"/>
  <c r="D34" i="133"/>
  <c r="D33" i="133"/>
  <c r="F33" i="133"/>
  <c r="F32" i="133"/>
  <c r="G46" i="130"/>
  <c r="D92" i="136"/>
  <c r="D91" i="136"/>
  <c r="D94" i="136"/>
  <c r="M27" i="135"/>
  <c r="L28" i="135"/>
  <c r="E33" i="133"/>
  <c r="G32" i="133"/>
  <c r="G34" i="133"/>
  <c r="G33" i="133"/>
  <c r="D32" i="133"/>
  <c r="E32" i="133"/>
  <c r="F34" i="133"/>
  <c r="N187" i="21"/>
  <c r="N184" i="21" s="1"/>
  <c r="N52" i="21"/>
  <c r="N243" i="21" s="1"/>
  <c r="N233" i="21" s="1"/>
  <c r="N59" i="21"/>
  <c r="N244" i="21" s="1"/>
  <c r="N234" i="21" s="1"/>
  <c r="F53" i="21"/>
  <c r="F248" i="21" s="1"/>
  <c r="F60" i="21"/>
  <c r="F249" i="21" s="1"/>
  <c r="O188" i="21"/>
  <c r="O60" i="21"/>
  <c r="O249" i="21" s="1"/>
  <c r="O53" i="21"/>
  <c r="O248" i="21" s="1"/>
  <c r="N63" i="21"/>
  <c r="O247" i="21"/>
  <c r="O39" i="21"/>
  <c r="O246" i="21" s="1"/>
  <c r="F247" i="21"/>
  <c r="F39" i="21"/>
  <c r="F246" i="21" s="1"/>
  <c r="N242" i="21"/>
  <c r="N232" i="21" s="1"/>
  <c r="N38" i="21"/>
  <c r="N241" i="21" s="1"/>
  <c r="N46" i="21"/>
  <c r="E8" i="130" l="1"/>
  <c r="N67" i="21"/>
  <c r="O245" i="21"/>
  <c r="F245" i="21"/>
  <c r="J240" i="21"/>
  <c r="J230" i="21" s="1"/>
  <c r="J231" i="21"/>
  <c r="N240" i="21"/>
  <c r="N230" i="21" s="1"/>
  <c r="N231" i="21"/>
  <c r="O250" i="21"/>
  <c r="O64" i="21"/>
  <c r="O47" i="21"/>
  <c r="E29" i="130"/>
  <c r="E20" i="130"/>
  <c r="E24" i="130"/>
  <c r="E39" i="130"/>
  <c r="E14" i="130"/>
  <c r="D45" i="131"/>
  <c r="O30" i="132"/>
  <c r="S8" i="165"/>
  <c r="P31" i="165"/>
  <c r="N7" i="132"/>
  <c r="C45" i="131" s="1"/>
  <c r="R7" i="132"/>
  <c r="D16" i="167"/>
  <c r="H62" i="83"/>
  <c r="I62" i="83"/>
  <c r="K62" i="83"/>
  <c r="J67" i="21"/>
  <c r="F33" i="21"/>
  <c r="F40" i="21"/>
  <c r="F251" i="21" s="1"/>
  <c r="F61" i="21"/>
  <c r="F254" i="21" s="1"/>
  <c r="F187" i="21"/>
  <c r="F184" i="21" s="1"/>
  <c r="F54" i="21"/>
  <c r="F253" i="21" s="1"/>
  <c r="F252" i="21"/>
  <c r="J66" i="21"/>
  <c r="I65" i="21"/>
  <c r="J45" i="21"/>
  <c r="J62" i="21"/>
  <c r="D35" i="135"/>
  <c r="O187" i="21"/>
  <c r="O184" i="21" s="1"/>
  <c r="O59" i="21"/>
  <c r="O244" i="21" s="1"/>
  <c r="O234" i="21" s="1"/>
  <c r="P188" i="21"/>
  <c r="P53" i="21"/>
  <c r="P248" i="21" s="1"/>
  <c r="P60" i="21"/>
  <c r="P249" i="21" s="1"/>
  <c r="N62" i="21"/>
  <c r="I18" i="83"/>
  <c r="I31" i="83"/>
  <c r="I26" i="83"/>
  <c r="I40" i="83"/>
  <c r="I35" i="83"/>
  <c r="I51" i="83"/>
  <c r="I47" i="83"/>
  <c r="I43" i="83"/>
  <c r="I59" i="83"/>
  <c r="I21" i="83"/>
  <c r="I13" i="83"/>
  <c r="I38" i="83"/>
  <c r="I53" i="83"/>
  <c r="I61" i="83"/>
  <c r="I56" i="83"/>
  <c r="I20" i="83"/>
  <c r="I22" i="83"/>
  <c r="I54" i="83"/>
  <c r="I63" i="83"/>
  <c r="I14" i="83"/>
  <c r="I11" i="83"/>
  <c r="I19" i="83"/>
  <c r="I12" i="83"/>
  <c r="I27" i="83"/>
  <c r="I41" i="83"/>
  <c r="I37" i="83"/>
  <c r="I32" i="83"/>
  <c r="I52" i="83"/>
  <c r="I48" i="83"/>
  <c r="I44" i="83"/>
  <c r="I60" i="83"/>
  <c r="I28" i="83"/>
  <c r="I49" i="83"/>
  <c r="I15" i="83"/>
  <c r="I34" i="83"/>
  <c r="I46" i="83"/>
  <c r="I17" i="83"/>
  <c r="I42" i="83"/>
  <c r="I33" i="83"/>
  <c r="I45" i="83"/>
  <c r="I57" i="83"/>
  <c r="I29" i="83"/>
  <c r="I39" i="83"/>
  <c r="I50" i="83"/>
  <c r="I58" i="83"/>
  <c r="I24" i="83"/>
  <c r="I36" i="83"/>
  <c r="I30" i="83"/>
  <c r="H29" i="83"/>
  <c r="H15" i="83"/>
  <c r="H18" i="83"/>
  <c r="H19" i="83"/>
  <c r="H37" i="83"/>
  <c r="H32" i="83"/>
  <c r="H52" i="83"/>
  <c r="H48" i="83"/>
  <c r="H44" i="83"/>
  <c r="H60" i="83"/>
  <c r="H56" i="83"/>
  <c r="H20" i="83"/>
  <c r="H14" i="83"/>
  <c r="H39" i="83"/>
  <c r="H54" i="83"/>
  <c r="H63" i="83"/>
  <c r="H12" i="83"/>
  <c r="H47" i="83"/>
  <c r="H22" i="83"/>
  <c r="H41" i="83"/>
  <c r="H42" i="83"/>
  <c r="H38" i="83"/>
  <c r="H33" i="83"/>
  <c r="H53" i="83"/>
  <c r="H49" i="83"/>
  <c r="H45" i="83"/>
  <c r="H61" i="83"/>
  <c r="H57" i="83"/>
  <c r="H21" i="83"/>
  <c r="H31" i="83"/>
  <c r="H35" i="83"/>
  <c r="H43" i="83"/>
  <c r="H11" i="83"/>
  <c r="H13" i="83"/>
  <c r="H40" i="83"/>
  <c r="H27" i="83"/>
  <c r="H28" i="83"/>
  <c r="H34" i="83"/>
  <c r="H50" i="83"/>
  <c r="H46" i="83"/>
  <c r="H58" i="83"/>
  <c r="H26" i="83"/>
  <c r="H51" i="83"/>
  <c r="H59" i="83"/>
  <c r="H17" i="83"/>
  <c r="H24" i="83"/>
  <c r="H36" i="83"/>
  <c r="H30" i="83"/>
  <c r="K18" i="83"/>
  <c r="K31" i="83"/>
  <c r="K26" i="83"/>
  <c r="K40" i="83"/>
  <c r="K35" i="83"/>
  <c r="K51" i="83"/>
  <c r="K47" i="83"/>
  <c r="K43" i="83"/>
  <c r="K59" i="83"/>
  <c r="K20" i="83"/>
  <c r="K14" i="83"/>
  <c r="K15" i="83"/>
  <c r="K39" i="83"/>
  <c r="K54" i="83"/>
  <c r="K63" i="83"/>
  <c r="K11" i="83"/>
  <c r="K19" i="83"/>
  <c r="K12" i="83"/>
  <c r="K27" i="83"/>
  <c r="K41" i="83"/>
  <c r="K37" i="83"/>
  <c r="K32" i="83"/>
  <c r="K52" i="83"/>
  <c r="K48" i="83"/>
  <c r="K44" i="83"/>
  <c r="K60" i="83"/>
  <c r="K56" i="83"/>
  <c r="K46" i="83"/>
  <c r="K17" i="83"/>
  <c r="K21" i="83"/>
  <c r="K13" i="83"/>
  <c r="K28" i="83"/>
  <c r="K42" i="83"/>
  <c r="K38" i="83"/>
  <c r="K33" i="83"/>
  <c r="K53" i="83"/>
  <c r="K49" i="83"/>
  <c r="K45" i="83"/>
  <c r="K61" i="83"/>
  <c r="K57" i="83"/>
  <c r="K22" i="83"/>
  <c r="K29" i="83"/>
  <c r="K34" i="83"/>
  <c r="K50" i="83"/>
  <c r="K58" i="83"/>
  <c r="K24" i="83"/>
  <c r="K36" i="83"/>
  <c r="K30" i="83"/>
  <c r="F63" i="21"/>
  <c r="N66" i="21"/>
  <c r="O63" i="21"/>
  <c r="O46" i="21"/>
  <c r="O52" i="21"/>
  <c r="O243" i="21" s="1"/>
  <c r="O233" i="21" s="1"/>
  <c r="O38" i="21"/>
  <c r="O241" i="21" s="1"/>
  <c r="O231" i="21" s="1"/>
  <c r="O242" i="21"/>
  <c r="O232" i="21" s="1"/>
  <c r="N45" i="21"/>
  <c r="P247" i="21"/>
  <c r="P39" i="21"/>
  <c r="P246" i="21" s="1"/>
  <c r="F46" i="21"/>
  <c r="D37" i="167" l="1"/>
  <c r="D33" i="167"/>
  <c r="D49" i="167"/>
  <c r="D31" i="167"/>
  <c r="D32" i="167"/>
  <c r="D34" i="167"/>
  <c r="G45" i="131"/>
  <c r="P245" i="21"/>
  <c r="O240" i="21"/>
  <c r="O230" i="21" s="1"/>
  <c r="F250" i="21"/>
  <c r="O67" i="21"/>
  <c r="O8" i="165"/>
  <c r="E13" i="130"/>
  <c r="D20" i="137"/>
  <c r="S31" i="165"/>
  <c r="O31" i="165" s="1"/>
  <c r="R30" i="132"/>
  <c r="N30" i="132" s="1"/>
  <c r="L16" i="57"/>
  <c r="T135" i="99" s="1"/>
  <c r="L28" i="57"/>
  <c r="L32" i="57"/>
  <c r="L31" i="57"/>
  <c r="L39" i="57"/>
  <c r="L14" i="57"/>
  <c r="T133" i="99" s="1"/>
  <c r="L30" i="57"/>
  <c r="L34" i="57"/>
  <c r="L38" i="57"/>
  <c r="L17" i="57"/>
  <c r="T136" i="99" s="1"/>
  <c r="L29" i="57"/>
  <c r="L27" i="57"/>
  <c r="J16" i="57"/>
  <c r="N135" i="99" s="1"/>
  <c r="J28" i="57"/>
  <c r="J32" i="57"/>
  <c r="J27" i="57"/>
  <c r="J14" i="57"/>
  <c r="N133" i="99" s="1"/>
  <c r="J30" i="57"/>
  <c r="J34" i="57"/>
  <c r="J38" i="57"/>
  <c r="J17" i="57"/>
  <c r="N136" i="99" s="1"/>
  <c r="J29" i="57"/>
  <c r="J31" i="57"/>
  <c r="J39" i="57"/>
  <c r="I16" i="57"/>
  <c r="K135" i="99" s="1"/>
  <c r="I28" i="57"/>
  <c r="I32" i="57"/>
  <c r="I31" i="57"/>
  <c r="I39" i="57"/>
  <c r="I14" i="57"/>
  <c r="K133" i="99" s="1"/>
  <c r="I30" i="57"/>
  <c r="I34" i="57"/>
  <c r="I38" i="57"/>
  <c r="I17" i="57"/>
  <c r="K136" i="99" s="1"/>
  <c r="I29" i="57"/>
  <c r="I27" i="57"/>
  <c r="F38" i="21"/>
  <c r="F241" i="21" s="1"/>
  <c r="F231" i="21" s="1"/>
  <c r="F47" i="21"/>
  <c r="F64" i="21"/>
  <c r="F52" i="21"/>
  <c r="F243" i="21" s="1"/>
  <c r="F233" i="21" s="1"/>
  <c r="F242" i="21"/>
  <c r="F232" i="21" s="1"/>
  <c r="F59" i="21"/>
  <c r="F244" i="21" s="1"/>
  <c r="F234" i="21" s="1"/>
  <c r="P252" i="21"/>
  <c r="P40" i="21"/>
  <c r="P251" i="21" s="1"/>
  <c r="P54" i="21"/>
  <c r="P253" i="21" s="1"/>
  <c r="P187" i="21"/>
  <c r="P184" i="21" s="1"/>
  <c r="P190" i="21"/>
  <c r="P61" i="21"/>
  <c r="P254" i="21" s="1"/>
  <c r="G33" i="21"/>
  <c r="G40" i="21"/>
  <c r="G251" i="21" s="1"/>
  <c r="G61" i="21"/>
  <c r="G254" i="21" s="1"/>
  <c r="G54" i="21"/>
  <c r="G253" i="21" s="1"/>
  <c r="G252" i="21"/>
  <c r="G32" i="21"/>
  <c r="G53" i="21"/>
  <c r="G248" i="21" s="1"/>
  <c r="G60" i="21"/>
  <c r="G249" i="21" s="1"/>
  <c r="G187" i="21"/>
  <c r="G184" i="21" s="1"/>
  <c r="G247" i="21"/>
  <c r="G39" i="21"/>
  <c r="G246" i="21" s="1"/>
  <c r="J65" i="21"/>
  <c r="D20" i="136"/>
  <c r="H18" i="99"/>
  <c r="P52" i="21"/>
  <c r="P243" i="21" s="1"/>
  <c r="P233" i="21" s="1"/>
  <c r="N65" i="21"/>
  <c r="F66" i="21"/>
  <c r="K23" i="83"/>
  <c r="I23" i="83"/>
  <c r="H23" i="83"/>
  <c r="O62" i="21"/>
  <c r="P63" i="21"/>
  <c r="O66" i="21"/>
  <c r="O45" i="21"/>
  <c r="P46" i="21"/>
  <c r="P38" i="21"/>
  <c r="P241" i="21" s="1"/>
  <c r="P231" i="21" s="1"/>
  <c r="F21" i="58" l="1"/>
  <c r="F25" i="58" s="1"/>
  <c r="F29" i="58"/>
  <c r="G21" i="58"/>
  <c r="G25" i="58" s="1"/>
  <c r="G29" i="58"/>
  <c r="I21" i="58"/>
  <c r="I25" i="58" s="1"/>
  <c r="I29" i="58"/>
  <c r="F240" i="21"/>
  <c r="F230" i="21" s="1"/>
  <c r="G245" i="21"/>
  <c r="G250" i="21"/>
  <c r="P250" i="21"/>
  <c r="P59" i="21"/>
  <c r="P244" i="21" s="1"/>
  <c r="P234" i="21" s="1"/>
  <c r="P242" i="21"/>
  <c r="P232" i="21" s="1"/>
  <c r="E44" i="130"/>
  <c r="P47" i="21"/>
  <c r="P64" i="21"/>
  <c r="G63" i="21"/>
  <c r="F45" i="21"/>
  <c r="F62" i="21"/>
  <c r="F67" i="21"/>
  <c r="G38" i="21"/>
  <c r="G241" i="21" s="1"/>
  <c r="G231" i="21" s="1"/>
  <c r="G46" i="21"/>
  <c r="G242" i="21"/>
  <c r="G232" i="21" s="1"/>
  <c r="G59" i="21"/>
  <c r="G244" i="21" s="1"/>
  <c r="G234" i="21" s="1"/>
  <c r="G52" i="21"/>
  <c r="G243" i="21" s="1"/>
  <c r="G233" i="21" s="1"/>
  <c r="G64" i="21"/>
  <c r="G47" i="21"/>
  <c r="M157" i="99"/>
  <c r="P158" i="99"/>
  <c r="F126" i="167" s="1"/>
  <c r="M158" i="99"/>
  <c r="V158" i="99"/>
  <c r="H126" i="167" s="1"/>
  <c r="J158" i="99"/>
  <c r="J157" i="99"/>
  <c r="P157" i="99"/>
  <c r="F125" i="167" s="1"/>
  <c r="V157" i="99"/>
  <c r="H125" i="167" s="1"/>
  <c r="O65" i="21"/>
  <c r="P66" i="21"/>
  <c r="P45" i="21" l="1"/>
  <c r="P240" i="21"/>
  <c r="P230" i="21" s="1"/>
  <c r="P62" i="21"/>
  <c r="G240" i="21"/>
  <c r="G230" i="21" s="1"/>
  <c r="D126" i="167"/>
  <c r="D125" i="167"/>
  <c r="D129" i="136"/>
  <c r="G129" i="136"/>
  <c r="F129" i="136"/>
  <c r="G130" i="136"/>
  <c r="F130" i="136"/>
  <c r="D130" i="136"/>
  <c r="P67" i="21"/>
  <c r="G62" i="21"/>
  <c r="G66" i="21"/>
  <c r="F65" i="21"/>
  <c r="G45" i="21"/>
  <c r="G67" i="21"/>
  <c r="E53" i="99"/>
  <c r="E50" i="99"/>
  <c r="E121" i="137"/>
  <c r="G123" i="137"/>
  <c r="G122" i="137"/>
  <c r="G121" i="137"/>
  <c r="F123" i="137"/>
  <c r="F120" i="137"/>
  <c r="E122" i="137"/>
  <c r="G120" i="137"/>
  <c r="F121" i="137"/>
  <c r="D121" i="137"/>
  <c r="D123" i="137"/>
  <c r="D108" i="137"/>
  <c r="D119" i="137"/>
  <c r="E123" i="137"/>
  <c r="E120" i="137"/>
  <c r="G105" i="137"/>
  <c r="F105" i="137"/>
  <c r="D107" i="137"/>
  <c r="D105" i="137"/>
  <c r="E108" i="137"/>
  <c r="E105" i="137"/>
  <c r="G108" i="137"/>
  <c r="F108" i="137"/>
  <c r="F122" i="137"/>
  <c r="D120" i="137"/>
  <c r="D122" i="137"/>
  <c r="G109" i="137"/>
  <c r="E109" i="137"/>
  <c r="F109" i="137"/>
  <c r="D109" i="137"/>
  <c r="E107" i="137"/>
  <c r="P65" i="21" l="1"/>
  <c r="G107" i="137"/>
  <c r="F107" i="137"/>
  <c r="G74" i="99"/>
  <c r="E208" i="99"/>
  <c r="G75" i="99"/>
  <c r="C37" i="132"/>
  <c r="G65" i="21"/>
  <c r="G153" i="99"/>
  <c r="G135" i="99"/>
  <c r="G148" i="99"/>
  <c r="G151" i="99"/>
  <c r="G149" i="99"/>
  <c r="G147" i="99"/>
  <c r="E146" i="99"/>
  <c r="X146" i="99" s="1"/>
  <c r="G133" i="99"/>
  <c r="G136" i="99"/>
  <c r="G150" i="99"/>
  <c r="E125" i="137"/>
  <c r="F129" i="137"/>
  <c r="D130" i="137"/>
  <c r="D125" i="137"/>
  <c r="G125" i="137"/>
  <c r="E119" i="137"/>
  <c r="F130" i="137"/>
  <c r="G130" i="137"/>
  <c r="F119" i="137"/>
  <c r="G129" i="137"/>
  <c r="D118" i="137"/>
  <c r="D129" i="137"/>
  <c r="F125" i="137"/>
  <c r="E129" i="137"/>
  <c r="G119" i="137"/>
  <c r="E130" i="137"/>
  <c r="D106" i="137"/>
  <c r="T65" i="99"/>
  <c r="G51" i="136"/>
  <c r="N64" i="99"/>
  <c r="F25" i="84"/>
  <c r="F24" i="84"/>
  <c r="T37" i="55"/>
  <c r="P63" i="99" s="1"/>
  <c r="N63" i="99" s="1"/>
  <c r="I24" i="84" l="1"/>
  <c r="J24" i="84"/>
  <c r="K24" i="84"/>
  <c r="G24" i="84"/>
  <c r="H24" i="84"/>
  <c r="H25" i="84"/>
  <c r="I25" i="84"/>
  <c r="J25" i="84"/>
  <c r="K25" i="84"/>
  <c r="G25" i="84"/>
  <c r="G146" i="99"/>
  <c r="G36" i="136"/>
  <c r="N50" i="99"/>
  <c r="T63" i="99"/>
  <c r="T64" i="99"/>
  <c r="F40" i="136"/>
  <c r="F38" i="137"/>
  <c r="K53" i="99"/>
  <c r="G40" i="137"/>
  <c r="G118" i="137"/>
  <c r="F118" i="137"/>
  <c r="E118" i="137"/>
  <c r="F40" i="137"/>
  <c r="G51" i="137"/>
  <c r="E106" i="137"/>
  <c r="F106" i="137"/>
  <c r="G106" i="137"/>
  <c r="T67" i="99"/>
  <c r="N65" i="99"/>
  <c r="F36" i="136"/>
  <c r="H64" i="99"/>
  <c r="N24" i="84" l="1"/>
  <c r="N25" i="84"/>
  <c r="T66" i="99"/>
  <c r="G36" i="137"/>
  <c r="F38" i="136"/>
  <c r="D40" i="136"/>
  <c r="N66" i="99"/>
  <c r="E36" i="137"/>
  <c r="F51" i="136"/>
  <c r="G40" i="136"/>
  <c r="E41" i="137"/>
  <c r="E51" i="137"/>
  <c r="F36" i="137"/>
  <c r="E40" i="137"/>
  <c r="F51" i="137"/>
  <c r="D38" i="136"/>
  <c r="G41" i="136"/>
  <c r="T53" i="99"/>
  <c r="H48" i="99"/>
  <c r="D36" i="136"/>
  <c r="H50" i="99"/>
  <c r="H65" i="99"/>
  <c r="G38" i="136"/>
  <c r="T50" i="99"/>
  <c r="K50" i="99"/>
  <c r="N53" i="99"/>
  <c r="F41" i="136"/>
  <c r="D11" i="84"/>
  <c r="D40" i="137" l="1"/>
  <c r="E38" i="137"/>
  <c r="G41" i="137"/>
  <c r="G38" i="137"/>
  <c r="F41" i="137"/>
  <c r="D36" i="137"/>
  <c r="D38" i="137"/>
  <c r="H53" i="99"/>
  <c r="D41" i="136"/>
  <c r="E49" i="99"/>
  <c r="D10" i="84"/>
  <c r="J31" i="21" l="1"/>
  <c r="I31" i="21"/>
  <c r="F31" i="21"/>
  <c r="G31" i="21"/>
  <c r="D41" i="137"/>
  <c r="F37" i="136"/>
  <c r="G37" i="136"/>
  <c r="D37" i="136"/>
  <c r="T49" i="99"/>
  <c r="F37" i="137" l="1"/>
  <c r="E37" i="137"/>
  <c r="G37" i="137"/>
  <c r="D37" i="137"/>
  <c r="H49" i="99"/>
  <c r="K49" i="99"/>
  <c r="N49" i="99"/>
  <c r="I70" i="21"/>
  <c r="J70" i="21"/>
  <c r="F70" i="21"/>
  <c r="G70" i="21"/>
  <c r="H70" i="99" l="1"/>
  <c r="T70" i="99"/>
  <c r="L37" i="55" l="1"/>
  <c r="J63" i="99" l="1"/>
  <c r="O197" i="99"/>
  <c r="I197" i="99"/>
  <c r="L197" i="99"/>
  <c r="U197" i="99"/>
  <c r="H63" i="99" l="1"/>
  <c r="H66" i="99" s="1"/>
  <c r="O189" i="99"/>
  <c r="L189" i="99"/>
  <c r="U189" i="99"/>
  <c r="I189" i="99"/>
  <c r="F205" i="99" l="1"/>
  <c r="G208" i="99"/>
  <c r="I205" i="99" l="1"/>
  <c r="O205" i="99"/>
  <c r="U205" i="99"/>
  <c r="E99" i="136"/>
  <c r="E98" i="136"/>
  <c r="F99" i="136" l="1"/>
  <c r="D99" i="136"/>
  <c r="D98" i="136"/>
  <c r="F98" i="136"/>
  <c r="D42" i="136" l="1"/>
  <c r="G42" i="136"/>
  <c r="F42" i="137"/>
  <c r="F42" i="136"/>
  <c r="D39" i="136"/>
  <c r="F39" i="136" l="1"/>
  <c r="G42" i="137"/>
  <c r="D42" i="137"/>
  <c r="E42" i="137"/>
  <c r="G39" i="136"/>
  <c r="D39" i="137"/>
  <c r="F39" i="137" l="1"/>
  <c r="E39" i="137"/>
  <c r="G39" i="137"/>
  <c r="K73" i="55" l="1"/>
  <c r="E209" i="99" l="1"/>
  <c r="G209" i="99" l="1"/>
  <c r="G54" i="136" l="1"/>
  <c r="D54" i="136"/>
  <c r="G54" i="137" l="1"/>
  <c r="D54" i="137"/>
  <c r="L205" i="99" l="1"/>
  <c r="L8" i="165" l="1"/>
  <c r="L31" i="165" s="1"/>
  <c r="K7" i="132"/>
  <c r="L32" i="99"/>
  <c r="H70" i="21" l="1"/>
  <c r="N8" i="165"/>
  <c r="M8" i="165"/>
  <c r="H12" i="167"/>
  <c r="U32" i="99"/>
  <c r="U31" i="99" s="1"/>
  <c r="O32" i="99"/>
  <c r="L7" i="132"/>
  <c r="M7" i="132"/>
  <c r="F33" i="58"/>
  <c r="E45" i="130"/>
  <c r="K30" i="132"/>
  <c r="L31" i="99" l="1"/>
  <c r="E12" i="167" s="1"/>
  <c r="L70" i="99"/>
  <c r="L204" i="99" s="1"/>
  <c r="N31" i="165"/>
  <c r="M31" i="165"/>
  <c r="O31" i="99"/>
  <c r="F12" i="167" s="1"/>
  <c r="O70" i="99"/>
  <c r="O204" i="99" s="1"/>
  <c r="K70" i="99"/>
  <c r="G70" i="99"/>
  <c r="E54" i="137"/>
  <c r="H44" i="55"/>
  <c r="H33" i="21"/>
  <c r="H252" i="21"/>
  <c r="H54" i="21"/>
  <c r="H253" i="21" s="1"/>
  <c r="H40" i="21"/>
  <c r="H251" i="21" s="1"/>
  <c r="H61" i="21"/>
  <c r="H254" i="21" s="1"/>
  <c r="H32" i="21"/>
  <c r="H53" i="21"/>
  <c r="H248" i="21" s="1"/>
  <c r="H60" i="21"/>
  <c r="H249" i="21" s="1"/>
  <c r="H247" i="21"/>
  <c r="H39" i="21"/>
  <c r="H246" i="21" s="1"/>
  <c r="F5" i="159"/>
  <c r="G45" i="130"/>
  <c r="M30" i="132"/>
  <c r="F45" i="130"/>
  <c r="L30" i="132"/>
  <c r="AC44" i="55" l="1"/>
  <c r="W70" i="99"/>
  <c r="D13" i="58"/>
  <c r="H245" i="21"/>
  <c r="H250" i="21"/>
  <c r="H31" i="21"/>
  <c r="H187" i="21"/>
  <c r="H184" i="21" s="1"/>
  <c r="F70" i="99"/>
  <c r="G204" i="99"/>
  <c r="N70" i="99"/>
  <c r="E70" i="99" s="1"/>
  <c r="F54" i="136"/>
  <c r="F54" i="137"/>
  <c r="H46" i="21"/>
  <c r="H47" i="21"/>
  <c r="H64" i="21"/>
  <c r="H242" i="21"/>
  <c r="H232" i="21" s="1"/>
  <c r="H38" i="21"/>
  <c r="H241" i="21" s="1"/>
  <c r="H231" i="21" s="1"/>
  <c r="H52" i="21"/>
  <c r="H243" i="21" s="1"/>
  <c r="H233" i="21" s="1"/>
  <c r="H59" i="21"/>
  <c r="H244" i="21" s="1"/>
  <c r="H234" i="21" s="1"/>
  <c r="H63" i="21"/>
  <c r="E252" i="21"/>
  <c r="E61" i="21"/>
  <c r="E254" i="21" s="1"/>
  <c r="E54" i="21"/>
  <c r="E253" i="21" s="1"/>
  <c r="E190" i="21"/>
  <c r="E40" i="21"/>
  <c r="G5" i="159"/>
  <c r="E188" i="21"/>
  <c r="E60" i="21"/>
  <c r="E249" i="21" s="1"/>
  <c r="E53" i="21"/>
  <c r="E248" i="21" s="1"/>
  <c r="E247" i="21"/>
  <c r="E39" i="21"/>
  <c r="E246" i="21" s="1"/>
  <c r="L39" i="21"/>
  <c r="L246" i="21" s="1"/>
  <c r="L188" i="21"/>
  <c r="L247" i="21"/>
  <c r="L60" i="21"/>
  <c r="L249" i="21" s="1"/>
  <c r="L53" i="21"/>
  <c r="L248" i="21" s="1"/>
  <c r="I33" i="58"/>
  <c r="M247" i="21"/>
  <c r="M39" i="21"/>
  <c r="M246" i="21" s="1"/>
  <c r="M188" i="21"/>
  <c r="M60" i="21"/>
  <c r="M249" i="21" s="1"/>
  <c r="M53" i="21"/>
  <c r="M248" i="21" s="1"/>
  <c r="X70" i="99" l="1"/>
  <c r="E245" i="21"/>
  <c r="M245" i="21"/>
  <c r="H240" i="21"/>
  <c r="H230" i="21" s="1"/>
  <c r="E47" i="21"/>
  <c r="E251" i="21"/>
  <c r="E250" i="21" s="1"/>
  <c r="L245" i="21"/>
  <c r="AG36" i="159"/>
  <c r="AF65" i="159"/>
  <c r="AE61" i="159"/>
  <c r="AG68" i="159"/>
  <c r="AG46" i="159"/>
  <c r="AE68" i="159"/>
  <c r="AF66" i="159"/>
  <c r="AD46" i="159"/>
  <c r="AD19" i="159"/>
  <c r="AD55" i="159"/>
  <c r="AF72" i="159"/>
  <c r="AD40" i="159"/>
  <c r="AG21" i="159"/>
  <c r="AD60" i="159"/>
  <c r="AF47" i="159"/>
  <c r="AG55" i="159"/>
  <c r="AD56" i="159"/>
  <c r="AG40" i="159"/>
  <c r="AG47" i="159"/>
  <c r="AF60" i="159"/>
  <c r="AE66" i="159"/>
  <c r="AF56" i="159"/>
  <c r="AD72" i="159"/>
  <c r="AE40" i="159"/>
  <c r="AG39" i="159"/>
  <c r="AE47" i="159"/>
  <c r="AE21" i="159"/>
  <c r="AF46" i="159"/>
  <c r="AE70" i="159"/>
  <c r="AD70" i="159"/>
  <c r="AF19" i="159"/>
  <c r="AG60" i="159"/>
  <c r="AG66" i="159"/>
  <c r="AG72" i="159"/>
  <c r="AF39" i="159"/>
  <c r="AD21" i="159"/>
  <c r="AE19" i="159"/>
  <c r="AE56" i="159"/>
  <c r="AF38" i="159"/>
  <c r="AG64" i="159"/>
  <c r="AE22" i="159"/>
  <c r="AE54" i="159"/>
  <c r="AF63" i="159"/>
  <c r="AD59" i="159"/>
  <c r="AD36" i="159"/>
  <c r="AD18" i="159"/>
  <c r="AF67" i="159"/>
  <c r="AD37" i="159"/>
  <c r="AG62" i="159"/>
  <c r="C35" i="165"/>
  <c r="F204" i="99"/>
  <c r="AE38" i="159"/>
  <c r="AG38" i="159"/>
  <c r="AD61" i="159"/>
  <c r="AG22" i="159"/>
  <c r="AF54" i="159"/>
  <c r="AE63" i="159"/>
  <c r="AG43" i="159"/>
  <c r="AE36" i="159"/>
  <c r="AG15" i="159"/>
  <c r="E204" i="99"/>
  <c r="C33" i="132"/>
  <c r="AF42" i="159"/>
  <c r="AD24" i="159"/>
  <c r="AD47" i="159"/>
  <c r="AF70" i="159"/>
  <c r="AG20" i="159"/>
  <c r="AD67" i="159"/>
  <c r="AF18" i="159"/>
  <c r="AD62" i="159"/>
  <c r="AG42" i="159"/>
  <c r="AF57" i="159"/>
  <c r="AE35" i="159"/>
  <c r="AF24" i="159"/>
  <c r="AF32" i="159"/>
  <c r="AE60" i="159"/>
  <c r="AD68" i="159"/>
  <c r="AE37" i="159"/>
  <c r="AD66" i="159"/>
  <c r="AG56" i="159"/>
  <c r="AE72" i="159"/>
  <c r="AE73" i="159"/>
  <c r="AE39" i="159"/>
  <c r="AD25" i="159"/>
  <c r="AF21" i="159"/>
  <c r="AE46" i="159"/>
  <c r="AG19" i="159"/>
  <c r="AF69" i="159"/>
  <c r="AF22" i="159"/>
  <c r="AG63" i="159"/>
  <c r="AG54" i="159"/>
  <c r="AG65" i="159"/>
  <c r="AF49" i="159"/>
  <c r="AF59" i="159"/>
  <c r="AG61" i="159"/>
  <c r="AE43" i="159"/>
  <c r="AE64" i="159"/>
  <c r="AD32" i="159"/>
  <c r="AD39" i="159"/>
  <c r="AG32" i="159"/>
  <c r="AE55" i="159"/>
  <c r="AE17" i="159"/>
  <c r="AF52" i="159"/>
  <c r="AE58" i="159"/>
  <c r="AE23" i="159"/>
  <c r="AF16" i="159"/>
  <c r="AG74" i="159"/>
  <c r="AD45" i="159"/>
  <c r="AE32" i="159"/>
  <c r="H67" i="21"/>
  <c r="E64" i="21"/>
  <c r="H66" i="21"/>
  <c r="AD15" i="159"/>
  <c r="H45" i="21"/>
  <c r="H62" i="21"/>
  <c r="AF15" i="159"/>
  <c r="M252" i="21"/>
  <c r="M40" i="21"/>
  <c r="M251" i="21" s="1"/>
  <c r="M61" i="21"/>
  <c r="M254" i="21" s="1"/>
  <c r="M190" i="21"/>
  <c r="M54" i="21"/>
  <c r="M253" i="21" s="1"/>
  <c r="M187" i="21"/>
  <c r="M184" i="21" s="1"/>
  <c r="L61" i="21"/>
  <c r="L254" i="21" s="1"/>
  <c r="L190" i="21"/>
  <c r="L59" i="21"/>
  <c r="L244" i="21" s="1"/>
  <c r="L234" i="21" s="1"/>
  <c r="L252" i="21"/>
  <c r="L54" i="21"/>
  <c r="L253" i="21" s="1"/>
  <c r="L40" i="21"/>
  <c r="L251" i="21" s="1"/>
  <c r="C12" i="133"/>
  <c r="E46" i="21"/>
  <c r="E38" i="21"/>
  <c r="E241" i="21" s="1"/>
  <c r="E231" i="21" s="1"/>
  <c r="E59" i="21"/>
  <c r="E244" i="21" s="1"/>
  <c r="E234" i="21" s="1"/>
  <c r="E242" i="21"/>
  <c r="E232" i="21" s="1"/>
  <c r="E52" i="21"/>
  <c r="E243" i="21" s="1"/>
  <c r="E233" i="21" s="1"/>
  <c r="E187" i="21"/>
  <c r="E184" i="21" s="1"/>
  <c r="E63" i="21"/>
  <c r="M63" i="21"/>
  <c r="M46" i="21"/>
  <c r="L63" i="21"/>
  <c r="L46" i="21"/>
  <c r="G33" i="58"/>
  <c r="L64" i="21" l="1"/>
  <c r="AF73" i="159"/>
  <c r="E67" i="21"/>
  <c r="L250" i="21"/>
  <c r="E240" i="21"/>
  <c r="E230" i="21" s="1"/>
  <c r="M250" i="21"/>
  <c r="AG70" i="159"/>
  <c r="AD51" i="159"/>
  <c r="AF40" i="159"/>
  <c r="AF55" i="159"/>
  <c r="AE49" i="159"/>
  <c r="AF68" i="159"/>
  <c r="AE51" i="159"/>
  <c r="AG57" i="159"/>
  <c r="M64" i="21"/>
  <c r="AG24" i="159"/>
  <c r="AD34" i="159"/>
  <c r="AD64" i="159"/>
  <c r="AG49" i="159"/>
  <c r="AG45" i="159"/>
  <c r="AF64" i="159"/>
  <c r="AE48" i="159"/>
  <c r="AG73" i="159"/>
  <c r="AD49" i="159"/>
  <c r="AG41" i="159"/>
  <c r="AG23" i="159"/>
  <c r="AD38" i="159"/>
  <c r="AG48" i="159"/>
  <c r="AG25" i="159"/>
  <c r="AD41" i="159"/>
  <c r="AE57" i="159"/>
  <c r="AF53" i="159"/>
  <c r="AG17" i="159"/>
  <c r="AE24" i="159"/>
  <c r="AG16" i="159"/>
  <c r="AE41" i="159"/>
  <c r="AG67" i="159"/>
  <c r="AD48" i="159"/>
  <c r="AD20" i="159"/>
  <c r="AE42" i="159"/>
  <c r="AG37" i="159"/>
  <c r="AG34" i="159"/>
  <c r="AG59" i="159"/>
  <c r="AE15" i="159"/>
  <c r="AF61" i="159"/>
  <c r="AD16" i="159"/>
  <c r="AD43" i="159"/>
  <c r="AD73" i="159"/>
  <c r="AF74" i="159"/>
  <c r="AD57" i="159"/>
  <c r="AD52" i="159"/>
  <c r="AD23" i="159"/>
  <c r="AG35" i="159"/>
  <c r="AF25" i="159"/>
  <c r="AF51" i="159"/>
  <c r="AF41" i="159"/>
  <c r="AF45" i="159"/>
  <c r="AE74" i="159"/>
  <c r="AG52" i="159"/>
  <c r="AE53" i="159"/>
  <c r="AF37" i="159"/>
  <c r="AE34" i="159"/>
  <c r="AD69" i="159"/>
  <c r="AD65" i="159"/>
  <c r="AE69" i="159"/>
  <c r="AF43" i="159"/>
  <c r="AD63" i="159"/>
  <c r="AD54" i="159"/>
  <c r="AF44" i="159"/>
  <c r="AE65" i="159"/>
  <c r="AD35" i="159"/>
  <c r="AD17" i="159"/>
  <c r="AG44" i="159"/>
  <c r="AG51" i="159"/>
  <c r="AE44" i="159"/>
  <c r="AF23" i="159"/>
  <c r="AE62" i="159"/>
  <c r="AE20" i="159"/>
  <c r="AE16" i="159"/>
  <c r="AE25" i="159"/>
  <c r="AD44" i="159"/>
  <c r="AF62" i="159"/>
  <c r="AF34" i="159"/>
  <c r="AG69" i="159"/>
  <c r="AD58" i="159"/>
  <c r="AD74" i="159"/>
  <c r="AE59" i="159"/>
  <c r="AF36" i="159"/>
  <c r="AG58" i="159"/>
  <c r="AE52" i="159"/>
  <c r="AF17" i="159"/>
  <c r="AD22" i="159"/>
  <c r="AF58" i="159"/>
  <c r="AD53" i="159"/>
  <c r="AG50" i="159"/>
  <c r="AE67" i="159"/>
  <c r="AF20" i="159"/>
  <c r="AE18" i="159"/>
  <c r="AD42" i="159"/>
  <c r="AD50" i="159"/>
  <c r="AF48" i="159"/>
  <c r="AE45" i="159"/>
  <c r="AG53" i="159"/>
  <c r="AE50" i="159"/>
  <c r="AF35" i="159"/>
  <c r="AG18" i="159"/>
  <c r="AF50" i="159"/>
  <c r="M59" i="21"/>
  <c r="M244" i="21" s="1"/>
  <c r="M234" i="21" s="1"/>
  <c r="M52" i="21"/>
  <c r="M243" i="21" s="1"/>
  <c r="M233" i="21" s="1"/>
  <c r="M38" i="21"/>
  <c r="M241" i="21" s="1"/>
  <c r="M231" i="21" s="1"/>
  <c r="M47" i="21"/>
  <c r="L187" i="21"/>
  <c r="L184" i="21" s="1"/>
  <c r="L52" i="21"/>
  <c r="L38" i="21"/>
  <c r="L241" i="21" s="1"/>
  <c r="L231" i="21" s="1"/>
  <c r="L242" i="21"/>
  <c r="L232" i="21" s="1"/>
  <c r="L47" i="21"/>
  <c r="M242" i="21"/>
  <c r="M232" i="21" s="1"/>
  <c r="H65" i="21"/>
  <c r="AB34" i="159"/>
  <c r="E66" i="21"/>
  <c r="E12" i="133"/>
  <c r="D12" i="133"/>
  <c r="G12" i="133"/>
  <c r="F12" i="133"/>
  <c r="AA73" i="159"/>
  <c r="AB73" i="159"/>
  <c r="AB45" i="159"/>
  <c r="AA45" i="159"/>
  <c r="AB59" i="159"/>
  <c r="AA59" i="159"/>
  <c r="AA48" i="159"/>
  <c r="AB48" i="159"/>
  <c r="AB56" i="159"/>
  <c r="AA56" i="159"/>
  <c r="AA28" i="159"/>
  <c r="AB28" i="159"/>
  <c r="AB62" i="159"/>
  <c r="AA62" i="159"/>
  <c r="AB67" i="159"/>
  <c r="AA67" i="159"/>
  <c r="AB49" i="159"/>
  <c r="AA49" i="159"/>
  <c r="AB50" i="159"/>
  <c r="AA50" i="159"/>
  <c r="AA58" i="159"/>
  <c r="AB58" i="159"/>
  <c r="AB61" i="159"/>
  <c r="AA61" i="159"/>
  <c r="AF27" i="159"/>
  <c r="AG27" i="159"/>
  <c r="AE27" i="159"/>
  <c r="AD27" i="159"/>
  <c r="AA18" i="159"/>
  <c r="AB18" i="159"/>
  <c r="AB54" i="159"/>
  <c r="AA54" i="159"/>
  <c r="AA36" i="159"/>
  <c r="AB36" i="159"/>
  <c r="AB16" i="159"/>
  <c r="AA16" i="159"/>
  <c r="AB53" i="159"/>
  <c r="AA53" i="159"/>
  <c r="AB35" i="159"/>
  <c r="AA35" i="159"/>
  <c r="AA24" i="159"/>
  <c r="AB24" i="159"/>
  <c r="AA37" i="159"/>
  <c r="AB37" i="159"/>
  <c r="AB39" i="159"/>
  <c r="AA39" i="159"/>
  <c r="AB70" i="159"/>
  <c r="AA70" i="159"/>
  <c r="AA25" i="159"/>
  <c r="AB25" i="159"/>
  <c r="AA74" i="159"/>
  <c r="AB74" i="159"/>
  <c r="AA51" i="159"/>
  <c r="AB51" i="159"/>
  <c r="AA72" i="159"/>
  <c r="AB72" i="159"/>
  <c r="AA27" i="159"/>
  <c r="AB27" i="159"/>
  <c r="AB52" i="159"/>
  <c r="AA52" i="159"/>
  <c r="AB19" i="159"/>
  <c r="AA19" i="159"/>
  <c r="AA65" i="159"/>
  <c r="AB65" i="159"/>
  <c r="AA23" i="159"/>
  <c r="AB23" i="159"/>
  <c r="AB15" i="159"/>
  <c r="AA15" i="159"/>
  <c r="AA68" i="159"/>
  <c r="AB68" i="159"/>
  <c r="AA20" i="159"/>
  <c r="AB20" i="159"/>
  <c r="AA66" i="159"/>
  <c r="AB66" i="159"/>
  <c r="AA64" i="159"/>
  <c r="AB64" i="159"/>
  <c r="AB30" i="159"/>
  <c r="AA30" i="159"/>
  <c r="AA42" i="159"/>
  <c r="AB42" i="159"/>
  <c r="AB55" i="159"/>
  <c r="AA55" i="159"/>
  <c r="AB47" i="159"/>
  <c r="AA47" i="159"/>
  <c r="AA46" i="159"/>
  <c r="AB46" i="159"/>
  <c r="AB63" i="159"/>
  <c r="AA63" i="159"/>
  <c r="AB21" i="159"/>
  <c r="AA21" i="159"/>
  <c r="AB69" i="159"/>
  <c r="AA69" i="159"/>
  <c r="AB41" i="159"/>
  <c r="AA41" i="159"/>
  <c r="AA17" i="159"/>
  <c r="AB17" i="159"/>
  <c r="AG30" i="159"/>
  <c r="AD30" i="159"/>
  <c r="AF30" i="159"/>
  <c r="AE30" i="159"/>
  <c r="AB44" i="159"/>
  <c r="AA44" i="159"/>
  <c r="AA22" i="159"/>
  <c r="AB22" i="159"/>
  <c r="AA43" i="159"/>
  <c r="AB43" i="159"/>
  <c r="AB57" i="159"/>
  <c r="AA57" i="159"/>
  <c r="AA40" i="159"/>
  <c r="AB40" i="159"/>
  <c r="AB38" i="159"/>
  <c r="AA38" i="159"/>
  <c r="AA60" i="159"/>
  <c r="AB60" i="159"/>
  <c r="E45" i="21"/>
  <c r="E62" i="21"/>
  <c r="M66" i="21"/>
  <c r="L66" i="21"/>
  <c r="L67" i="21" l="1"/>
  <c r="M240" i="21"/>
  <c r="M230" i="21" s="1"/>
  <c r="L62" i="21"/>
  <c r="L243" i="21"/>
  <c r="L233" i="21" s="1"/>
  <c r="D96" i="159"/>
  <c r="H96" i="159" s="1"/>
  <c r="M62" i="21"/>
  <c r="M67" i="21"/>
  <c r="F71" i="137"/>
  <c r="D71" i="137"/>
  <c r="C52" i="165"/>
  <c r="C47" i="165"/>
  <c r="C50" i="165"/>
  <c r="C17" i="134"/>
  <c r="C15" i="134"/>
  <c r="C12" i="134"/>
  <c r="E71" i="137"/>
  <c r="AD28" i="159"/>
  <c r="AA32" i="159"/>
  <c r="AA34" i="159"/>
  <c r="AE28" i="159"/>
  <c r="D8" i="90"/>
  <c r="E9" i="90" s="1"/>
  <c r="G4" i="186" s="1"/>
  <c r="AF28" i="159"/>
  <c r="AG28" i="159"/>
  <c r="AB32" i="159"/>
  <c r="M45" i="21"/>
  <c r="L45" i="21"/>
  <c r="C14" i="133"/>
  <c r="E72" i="167"/>
  <c r="C16" i="133"/>
  <c r="E70" i="167"/>
  <c r="E65" i="21"/>
  <c r="E16" i="136"/>
  <c r="K31" i="99"/>
  <c r="M65" i="21" l="1"/>
  <c r="G71" i="137"/>
  <c r="L65" i="21"/>
  <c r="L240" i="21"/>
  <c r="L230" i="21" s="1"/>
  <c r="T50" i="165"/>
  <c r="G15" i="134"/>
  <c r="H50" i="165"/>
  <c r="F15" i="134"/>
  <c r="F50" i="165"/>
  <c r="G17" i="134"/>
  <c r="H52" i="165"/>
  <c r="F12" i="134"/>
  <c r="F47" i="165"/>
  <c r="G12" i="134"/>
  <c r="H47" i="165"/>
  <c r="F17" i="134"/>
  <c r="F52" i="165"/>
  <c r="E76" i="136"/>
  <c r="E74" i="136"/>
  <c r="G184" i="99"/>
  <c r="F16" i="133"/>
  <c r="D16" i="133"/>
  <c r="E16" i="133"/>
  <c r="G16" i="133"/>
  <c r="J9" i="90"/>
  <c r="D9" i="90"/>
  <c r="I9" i="90"/>
  <c r="H9" i="90"/>
  <c r="E14" i="133"/>
  <c r="D14" i="133"/>
  <c r="F14" i="133"/>
  <c r="G14" i="133"/>
  <c r="E16" i="137"/>
  <c r="E40" i="132"/>
  <c r="G16" i="136"/>
  <c r="F16" i="136"/>
  <c r="N31" i="99"/>
  <c r="D74" i="137" l="1"/>
  <c r="E74" i="137"/>
  <c r="E76" i="137"/>
  <c r="F76" i="137"/>
  <c r="F74" i="137"/>
  <c r="E35" i="165"/>
  <c r="D76" i="137"/>
  <c r="G76" i="137"/>
  <c r="G74" i="137"/>
  <c r="E184" i="99"/>
  <c r="F40" i="132"/>
  <c r="G40" i="132"/>
  <c r="F16" i="137"/>
  <c r="G16" i="137"/>
  <c r="F35" i="165" l="1"/>
  <c r="L35" i="165"/>
  <c r="Q35" i="165"/>
  <c r="R35" i="165" l="1"/>
  <c r="M35" i="165"/>
  <c r="S35" i="165"/>
  <c r="N35" i="165"/>
  <c r="L42" i="55" l="1"/>
  <c r="P38" i="55"/>
  <c r="P37" i="55"/>
  <c r="P39" i="55"/>
  <c r="P41" i="55"/>
  <c r="M67" i="99" s="1"/>
  <c r="K67" i="99" s="1"/>
  <c r="P40" i="55"/>
  <c r="P42" i="55"/>
  <c r="M68" i="99" s="1"/>
  <c r="M63" i="99" l="1"/>
  <c r="AC37" i="55"/>
  <c r="AC39" i="55"/>
  <c r="M65" i="99"/>
  <c r="K68" i="99"/>
  <c r="AC40" i="55"/>
  <c r="M66" i="99"/>
  <c r="G66" i="99" s="1"/>
  <c r="G200" i="99" s="1"/>
  <c r="AC38" i="55"/>
  <c r="M64" i="99"/>
  <c r="J68" i="99"/>
  <c r="D47" i="167" s="1"/>
  <c r="G65" i="99" l="1"/>
  <c r="K65" i="99"/>
  <c r="G64" i="99"/>
  <c r="K64" i="99"/>
  <c r="H68" i="99"/>
  <c r="K63" i="99"/>
  <c r="G63" i="99"/>
  <c r="D51" i="136"/>
  <c r="D51" i="137"/>
  <c r="E64" i="99" l="1"/>
  <c r="G198" i="99"/>
  <c r="E63" i="99"/>
  <c r="G197" i="99"/>
  <c r="K66" i="99"/>
  <c r="E65" i="99"/>
  <c r="G199" i="99"/>
  <c r="E69" i="167"/>
  <c r="E68" i="167"/>
  <c r="X63" i="99" l="1"/>
  <c r="E66" i="99"/>
  <c r="E197" i="99"/>
  <c r="X65" i="99"/>
  <c r="E199" i="99"/>
  <c r="X64" i="99"/>
  <c r="E198" i="99"/>
  <c r="E73" i="136"/>
  <c r="M183" i="99"/>
  <c r="X66" i="99" l="1"/>
  <c r="E200" i="99"/>
  <c r="K183" i="99"/>
  <c r="E72" i="136" l="1"/>
  <c r="K70" i="21" l="1"/>
  <c r="K8" i="165" l="1"/>
  <c r="J7" i="132"/>
  <c r="I24" i="20" l="1"/>
  <c r="BP24" i="20" s="1"/>
  <c r="I23" i="20"/>
  <c r="BP23" i="20" s="1"/>
  <c r="I17" i="20"/>
  <c r="BP17" i="20" s="1"/>
  <c r="I25" i="20"/>
  <c r="BP25" i="20" s="1"/>
  <c r="I19" i="20"/>
  <c r="BP19" i="20" s="1"/>
  <c r="I18" i="20"/>
  <c r="BP18" i="20" s="1"/>
  <c r="I7" i="132"/>
  <c r="C45" i="130" s="1"/>
  <c r="AB42" i="55"/>
  <c r="V68" i="99" s="1"/>
  <c r="K31" i="165"/>
  <c r="J31" i="165" s="1"/>
  <c r="I31" i="165" s="1"/>
  <c r="J8" i="165"/>
  <c r="I8" i="165" s="1"/>
  <c r="I31" i="99"/>
  <c r="D12" i="167" s="1"/>
  <c r="D45" i="130"/>
  <c r="J30" i="132"/>
  <c r="I30" i="132" s="1"/>
  <c r="H30" i="132" s="1"/>
  <c r="T68" i="99" l="1"/>
  <c r="H47" i="167"/>
  <c r="E28" i="98"/>
  <c r="D15" i="20"/>
  <c r="L41" i="55"/>
  <c r="L49" i="55"/>
  <c r="T49" i="55"/>
  <c r="N75" i="99" s="1"/>
  <c r="T42" i="55"/>
  <c r="P49" i="55"/>
  <c r="T48" i="55"/>
  <c r="F39" i="165" s="1"/>
  <c r="P48" i="55"/>
  <c r="X42" i="55"/>
  <c r="S68" i="99" s="1"/>
  <c r="X48" i="55"/>
  <c r="G39" i="165" s="1"/>
  <c r="L48" i="55"/>
  <c r="X49" i="55"/>
  <c r="T41" i="55"/>
  <c r="P67" i="99" s="1"/>
  <c r="N67" i="99" s="1"/>
  <c r="H7" i="132"/>
  <c r="H31" i="99"/>
  <c r="D16" i="136"/>
  <c r="F24" i="167"/>
  <c r="E24" i="167"/>
  <c r="C18" i="134"/>
  <c r="C53" i="165"/>
  <c r="E73" i="167"/>
  <c r="G187" i="99"/>
  <c r="AE31" i="159"/>
  <c r="C17" i="133"/>
  <c r="AG31" i="159"/>
  <c r="AB31" i="159"/>
  <c r="AF31" i="159"/>
  <c r="AD31" i="159"/>
  <c r="AA31" i="159"/>
  <c r="F28" i="137"/>
  <c r="E28" i="136"/>
  <c r="L174" i="99"/>
  <c r="K42" i="99"/>
  <c r="G28" i="137"/>
  <c r="E28" i="137"/>
  <c r="E33" i="98"/>
  <c r="D16" i="137"/>
  <c r="D28" i="137" s="1"/>
  <c r="N42" i="99"/>
  <c r="O174" i="99"/>
  <c r="F28" i="136"/>
  <c r="K61" i="21"/>
  <c r="K254" i="21" s="1"/>
  <c r="K190" i="21"/>
  <c r="K54" i="21"/>
  <c r="K33" i="21"/>
  <c r="K40" i="21"/>
  <c r="K251" i="21" s="1"/>
  <c r="K252" i="21"/>
  <c r="D36" i="21"/>
  <c r="K32" i="21"/>
  <c r="K188" i="21"/>
  <c r="K53" i="21"/>
  <c r="K247" i="21"/>
  <c r="K39" i="21"/>
  <c r="K246" i="21" s="1"/>
  <c r="K60" i="21"/>
  <c r="K249" i="21" s="1"/>
  <c r="D35" i="21"/>
  <c r="Q68" i="99" l="1"/>
  <c r="G47" i="167"/>
  <c r="P68" i="99"/>
  <c r="F47" i="167" s="1"/>
  <c r="AC42" i="55"/>
  <c r="J67" i="99"/>
  <c r="AC41" i="55"/>
  <c r="F37" i="132"/>
  <c r="G68" i="99"/>
  <c r="G67" i="99"/>
  <c r="H67" i="99"/>
  <c r="E31" i="99"/>
  <c r="G28" i="136"/>
  <c r="T42" i="99"/>
  <c r="T174" i="99" s="1"/>
  <c r="AB48" i="55"/>
  <c r="AB49" i="55"/>
  <c r="E49" i="55" s="1"/>
  <c r="H42" i="99"/>
  <c r="D24" i="167"/>
  <c r="I174" i="99"/>
  <c r="D28" i="136"/>
  <c r="U174" i="99"/>
  <c r="A43" i="99"/>
  <c r="H24" i="167"/>
  <c r="H23" i="167"/>
  <c r="H75" i="99"/>
  <c r="D53" i="21"/>
  <c r="D248" i="21" s="1"/>
  <c r="K248" i="21"/>
  <c r="K245" i="21" s="1"/>
  <c r="D54" i="21"/>
  <c r="D253" i="21" s="1"/>
  <c r="K253" i="21"/>
  <c r="K250" i="21" s="1"/>
  <c r="F14" i="84"/>
  <c r="N14" i="84" s="1"/>
  <c r="D12" i="21"/>
  <c r="D39" i="165"/>
  <c r="K39" i="165" s="1"/>
  <c r="D37" i="132"/>
  <c r="O37" i="132" s="1"/>
  <c r="G37" i="132"/>
  <c r="R37" i="132" s="1"/>
  <c r="I31" i="20"/>
  <c r="I51" i="20" s="1"/>
  <c r="T75" i="99"/>
  <c r="T209" i="99" s="1"/>
  <c r="D27" i="20"/>
  <c r="K75" i="99"/>
  <c r="H74" i="99"/>
  <c r="J74" i="99" s="1"/>
  <c r="D54" i="167" s="1"/>
  <c r="T74" i="99"/>
  <c r="N74" i="99"/>
  <c r="D12" i="132"/>
  <c r="E37" i="132"/>
  <c r="E39" i="165"/>
  <c r="L39" i="165" s="1"/>
  <c r="K74" i="99"/>
  <c r="K208" i="99" s="1"/>
  <c r="J12" i="167"/>
  <c r="D40" i="132"/>
  <c r="G18" i="134"/>
  <c r="H53" i="165"/>
  <c r="D35" i="165"/>
  <c r="F18" i="134"/>
  <c r="F53" i="165"/>
  <c r="R39" i="165"/>
  <c r="M39" i="165"/>
  <c r="D17" i="133"/>
  <c r="G17" i="133"/>
  <c r="E17" i="133"/>
  <c r="F17" i="133"/>
  <c r="E77" i="136"/>
  <c r="E187" i="99"/>
  <c r="R83" i="21"/>
  <c r="D70" i="21"/>
  <c r="K46" i="21"/>
  <c r="K63" i="21"/>
  <c r="K64" i="21"/>
  <c r="D44" i="21"/>
  <c r="D252" i="21" s="1"/>
  <c r="Q224" i="21" s="1"/>
  <c r="D61" i="21"/>
  <c r="D254" i="21" s="1"/>
  <c r="Q226" i="21" s="1"/>
  <c r="D190" i="21"/>
  <c r="S36" i="21"/>
  <c r="D40" i="21"/>
  <c r="D251" i="21" s="1"/>
  <c r="Q223" i="21" s="1"/>
  <c r="K43" i="99"/>
  <c r="M40" i="99"/>
  <c r="M175" i="99"/>
  <c r="M172" i="99" s="1"/>
  <c r="G35" i="137"/>
  <c r="G35" i="136"/>
  <c r="F35" i="136"/>
  <c r="F35" i="137"/>
  <c r="T41" i="99"/>
  <c r="D60" i="21"/>
  <c r="D249" i="21" s="1"/>
  <c r="Q221" i="21" s="1"/>
  <c r="D188" i="21"/>
  <c r="S35" i="21"/>
  <c r="D43" i="21"/>
  <c r="D247" i="21" s="1"/>
  <c r="Q219" i="21" s="1"/>
  <c r="D39" i="21"/>
  <c r="D246" i="21" s="1"/>
  <c r="Q218" i="21" s="1"/>
  <c r="D34" i="21"/>
  <c r="E35" i="137"/>
  <c r="L37" i="132"/>
  <c r="Q37" i="132"/>
  <c r="T43" i="99"/>
  <c r="V40" i="99"/>
  <c r="H30" i="167" s="1"/>
  <c r="V175" i="99"/>
  <c r="V172" i="99" s="1"/>
  <c r="P75" i="99"/>
  <c r="F55" i="167" s="1"/>
  <c r="N209" i="99"/>
  <c r="G27" i="137"/>
  <c r="N174" i="99"/>
  <c r="K174" i="99"/>
  <c r="K47" i="21"/>
  <c r="K242" i="21"/>
  <c r="K232" i="21" s="1"/>
  <c r="K59" i="21"/>
  <c r="K244" i="21" s="1"/>
  <c r="K234" i="21" s="1"/>
  <c r="K52" i="21"/>
  <c r="K187" i="21"/>
  <c r="K38" i="21"/>
  <c r="K31" i="21"/>
  <c r="M74" i="99"/>
  <c r="N43" i="99"/>
  <c r="P40" i="99"/>
  <c r="F30" i="167" s="1"/>
  <c r="P175" i="99"/>
  <c r="P172" i="99" s="1"/>
  <c r="E48" i="55" l="1"/>
  <c r="H39" i="165"/>
  <c r="AC48" i="55"/>
  <c r="N68" i="99"/>
  <c r="E68" i="99"/>
  <c r="G202" i="99"/>
  <c r="AC49" i="55"/>
  <c r="E67" i="99"/>
  <c r="G201" i="99"/>
  <c r="E42" i="99"/>
  <c r="E174" i="99" s="1"/>
  <c r="G27" i="136"/>
  <c r="J75" i="99"/>
  <c r="D55" i="167" s="1"/>
  <c r="H209" i="99"/>
  <c r="H174" i="99"/>
  <c r="F174" i="99"/>
  <c r="U173" i="99"/>
  <c r="U172" i="99" s="1"/>
  <c r="U40" i="99"/>
  <c r="H22" i="167" s="1"/>
  <c r="H208" i="99"/>
  <c r="I16" i="136"/>
  <c r="P39" i="165"/>
  <c r="P37" i="132"/>
  <c r="K37" i="132"/>
  <c r="V74" i="99"/>
  <c r="D13" i="132"/>
  <c r="O13" i="132" s="1"/>
  <c r="T208" i="99"/>
  <c r="M75" i="99"/>
  <c r="K209" i="99"/>
  <c r="Q220" i="21"/>
  <c r="Q225" i="21"/>
  <c r="D250" i="21"/>
  <c r="D245" i="21"/>
  <c r="K45" i="21"/>
  <c r="K241" i="21"/>
  <c r="K231" i="21" s="1"/>
  <c r="D52" i="21"/>
  <c r="D243" i="21" s="1"/>
  <c r="K243" i="21"/>
  <c r="K233" i="21" s="1"/>
  <c r="V75" i="99"/>
  <c r="H55" i="167" s="1"/>
  <c r="J37" i="132"/>
  <c r="M37" i="132"/>
  <c r="Q39" i="165"/>
  <c r="N208" i="99"/>
  <c r="D18" i="132"/>
  <c r="P74" i="99"/>
  <c r="F54" i="167" s="1"/>
  <c r="X39" i="165"/>
  <c r="C41" i="165"/>
  <c r="C40" i="132"/>
  <c r="E32" i="132" s="1"/>
  <c r="N37" i="132"/>
  <c r="X35" i="165"/>
  <c r="V34" i="165"/>
  <c r="D13" i="165"/>
  <c r="P35" i="165"/>
  <c r="O35" i="165" s="1"/>
  <c r="K35" i="165"/>
  <c r="J35" i="165" s="1"/>
  <c r="J39" i="165"/>
  <c r="X14" i="55"/>
  <c r="D77" i="137"/>
  <c r="F77" i="137"/>
  <c r="E77" i="137"/>
  <c r="G77" i="137"/>
  <c r="I44" i="99"/>
  <c r="D29" i="137"/>
  <c r="K67" i="21"/>
  <c r="G18" i="132"/>
  <c r="K66" i="21"/>
  <c r="D63" i="21"/>
  <c r="D46" i="21"/>
  <c r="N175" i="99"/>
  <c r="M208" i="99"/>
  <c r="G59" i="136"/>
  <c r="G59" i="137"/>
  <c r="H43" i="99"/>
  <c r="J40" i="99"/>
  <c r="J175" i="99"/>
  <c r="J172" i="99" s="1"/>
  <c r="I16" i="137"/>
  <c r="T40" i="99"/>
  <c r="T173" i="99"/>
  <c r="F34" i="136"/>
  <c r="F34" i="137"/>
  <c r="K175" i="99"/>
  <c r="G58" i="137"/>
  <c r="G58" i="136"/>
  <c r="K62" i="21"/>
  <c r="E58" i="137"/>
  <c r="K184" i="21"/>
  <c r="F58" i="137"/>
  <c r="F58" i="136"/>
  <c r="D35" i="136"/>
  <c r="D35" i="137"/>
  <c r="P209" i="99"/>
  <c r="G26" i="136"/>
  <c r="F59" i="136"/>
  <c r="F59" i="137"/>
  <c r="D59" i="136"/>
  <c r="D59" i="137"/>
  <c r="J208" i="99"/>
  <c r="T175" i="99"/>
  <c r="E34" i="137"/>
  <c r="J12" i="132"/>
  <c r="O12" i="132"/>
  <c r="D59" i="21"/>
  <c r="D244" i="21" s="1"/>
  <c r="D38" i="21"/>
  <c r="D241" i="21" s="1"/>
  <c r="D187" i="21"/>
  <c r="D42" i="21"/>
  <c r="D242" i="21" s="1"/>
  <c r="S34" i="21"/>
  <c r="G34" i="137"/>
  <c r="G34" i="136"/>
  <c r="E59" i="137"/>
  <c r="D15" i="132"/>
  <c r="D47" i="21"/>
  <c r="G26" i="137"/>
  <c r="D58" i="137"/>
  <c r="D58" i="136"/>
  <c r="D64" i="21"/>
  <c r="X53" i="55" l="1"/>
  <c r="G12" i="165"/>
  <c r="G40" i="99"/>
  <c r="D30" i="167"/>
  <c r="D29" i="167" s="1"/>
  <c r="G34" i="165"/>
  <c r="C104" i="165"/>
  <c r="S39" i="165"/>
  <c r="N39" i="165"/>
  <c r="V208" i="99"/>
  <c r="H54" i="167"/>
  <c r="X68" i="99"/>
  <c r="E202" i="99"/>
  <c r="C31" i="132"/>
  <c r="C32" i="165"/>
  <c r="X67" i="99"/>
  <c r="E201" i="99"/>
  <c r="D17" i="131"/>
  <c r="J209" i="99"/>
  <c r="J13" i="132"/>
  <c r="V209" i="99"/>
  <c r="D34" i="165"/>
  <c r="P34" i="165" s="1"/>
  <c r="O39" i="165"/>
  <c r="I39" i="165" s="1"/>
  <c r="D33" i="132"/>
  <c r="D38" i="131" s="1"/>
  <c r="F34" i="165"/>
  <c r="M34" i="165" s="1"/>
  <c r="H34" i="165"/>
  <c r="S34" i="165" s="1"/>
  <c r="E34" i="165"/>
  <c r="L34" i="165" s="1"/>
  <c r="Q222" i="21"/>
  <c r="Q217" i="21"/>
  <c r="D14" i="165"/>
  <c r="K14" i="165" s="1"/>
  <c r="Q213" i="21"/>
  <c r="K65" i="21"/>
  <c r="E19" i="165"/>
  <c r="Q19" i="165" s="1"/>
  <c r="V35" i="165"/>
  <c r="W35" i="165" s="1"/>
  <c r="M209" i="99"/>
  <c r="I37" i="132"/>
  <c r="D16" i="165"/>
  <c r="D19" i="165"/>
  <c r="P19" i="165" s="1"/>
  <c r="Q216" i="21"/>
  <c r="D234" i="21"/>
  <c r="Q206" i="21" s="1"/>
  <c r="Q215" i="21"/>
  <c r="D233" i="21"/>
  <c r="Q205" i="21" s="1"/>
  <c r="Q214" i="21"/>
  <c r="D232" i="21"/>
  <c r="Q204" i="21" s="1"/>
  <c r="K240" i="21"/>
  <c r="K230" i="21" s="1"/>
  <c r="D240" i="21"/>
  <c r="F12" i="132"/>
  <c r="L12" i="132" s="1"/>
  <c r="V39" i="165"/>
  <c r="W39" i="165" s="1"/>
  <c r="G32" i="132"/>
  <c r="R32" i="132" s="1"/>
  <c r="E12" i="132"/>
  <c r="F32" i="132"/>
  <c r="Q32" i="132" s="1"/>
  <c r="P208" i="99"/>
  <c r="F33" i="132"/>
  <c r="Q33" i="132" s="1"/>
  <c r="X42" i="99"/>
  <c r="V31" i="165"/>
  <c r="W31" i="165" s="1"/>
  <c r="V19" i="165"/>
  <c r="V13" i="165"/>
  <c r="W13" i="165" s="1"/>
  <c r="V16" i="165"/>
  <c r="O18" i="132"/>
  <c r="J18" i="132"/>
  <c r="G11" i="132"/>
  <c r="G15" i="130" s="1"/>
  <c r="G33" i="132"/>
  <c r="R33" i="132" s="1"/>
  <c r="E33" i="132"/>
  <c r="E38" i="131" s="1"/>
  <c r="E31" i="132"/>
  <c r="D32" i="132"/>
  <c r="O32" i="132" s="1"/>
  <c r="G31" i="132"/>
  <c r="R31" i="132" s="1"/>
  <c r="D31" i="132"/>
  <c r="J31" i="132" s="1"/>
  <c r="F31" i="132"/>
  <c r="F36" i="131" s="1"/>
  <c r="I35" i="165"/>
  <c r="D25" i="167"/>
  <c r="E16" i="165"/>
  <c r="F13" i="165"/>
  <c r="F16" i="165"/>
  <c r="P13" i="165"/>
  <c r="K13" i="165"/>
  <c r="D29" i="136"/>
  <c r="O44" i="99"/>
  <c r="G29" i="136"/>
  <c r="H44" i="99"/>
  <c r="G12" i="132"/>
  <c r="R12" i="132" s="1"/>
  <c r="D67" i="21"/>
  <c r="D66" i="21"/>
  <c r="G33" i="137"/>
  <c r="G33" i="136"/>
  <c r="D62" i="21"/>
  <c r="E33" i="137"/>
  <c r="O15" i="132"/>
  <c r="J15" i="132"/>
  <c r="F15" i="132"/>
  <c r="H175" i="99"/>
  <c r="T172" i="99"/>
  <c r="E15" i="132"/>
  <c r="P32" i="132"/>
  <c r="K32" i="132"/>
  <c r="R18" i="132"/>
  <c r="M18" i="132"/>
  <c r="D34" i="136"/>
  <c r="D34" i="137"/>
  <c r="F33" i="136"/>
  <c r="F33" i="137"/>
  <c r="I32" i="98"/>
  <c r="G15" i="132"/>
  <c r="D45" i="21"/>
  <c r="D184" i="21"/>
  <c r="J39" i="99"/>
  <c r="F32" i="165" l="1"/>
  <c r="R32" i="165" s="1"/>
  <c r="G32" i="165"/>
  <c r="K16" i="165"/>
  <c r="U16" i="165"/>
  <c r="V32" i="165"/>
  <c r="G102" i="165"/>
  <c r="V104" i="165"/>
  <c r="G96" i="165"/>
  <c r="G98" i="165"/>
  <c r="G95" i="165"/>
  <c r="G97" i="165"/>
  <c r="G80" i="165"/>
  <c r="G82" i="165"/>
  <c r="G83" i="165"/>
  <c r="D32" i="165"/>
  <c r="W32" i="165" s="1"/>
  <c r="H32" i="165"/>
  <c r="N32" i="165" s="1"/>
  <c r="E32" i="165"/>
  <c r="Q32" i="165" s="1"/>
  <c r="R34" i="165"/>
  <c r="P14" i="165"/>
  <c r="L32" i="132"/>
  <c r="D38" i="130"/>
  <c r="P32" i="165"/>
  <c r="O32" i="165" s="1"/>
  <c r="O33" i="132"/>
  <c r="K32" i="165"/>
  <c r="J33" i="132"/>
  <c r="K34" i="165"/>
  <c r="J34" i="165" s="1"/>
  <c r="W34" i="165"/>
  <c r="Q34" i="165"/>
  <c r="S32" i="165"/>
  <c r="X34" i="165"/>
  <c r="N34" i="165"/>
  <c r="X32" i="165"/>
  <c r="P16" i="165"/>
  <c r="M32" i="165"/>
  <c r="W16" i="165"/>
  <c r="L19" i="165"/>
  <c r="E18" i="132"/>
  <c r="L33" i="132"/>
  <c r="K19" i="165"/>
  <c r="Q31" i="132"/>
  <c r="W19" i="165"/>
  <c r="F38" i="131"/>
  <c r="O31" i="132"/>
  <c r="H37" i="132"/>
  <c r="F38" i="130"/>
  <c r="D36" i="131"/>
  <c r="Q212" i="21"/>
  <c r="Q12" i="132"/>
  <c r="E13" i="165"/>
  <c r="L13" i="165" s="1"/>
  <c r="M31" i="132"/>
  <c r="L44" i="99"/>
  <c r="F19" i="165"/>
  <c r="M19" i="165" s="1"/>
  <c r="G36" i="131"/>
  <c r="G15" i="131"/>
  <c r="E29" i="137"/>
  <c r="M11" i="132"/>
  <c r="J32" i="132"/>
  <c r="M33" i="132"/>
  <c r="M32" i="132"/>
  <c r="K31" i="132"/>
  <c r="R11" i="132"/>
  <c r="K12" i="132"/>
  <c r="L31" i="132"/>
  <c r="F18" i="132"/>
  <c r="P12" i="132"/>
  <c r="P33" i="132"/>
  <c r="K33" i="132"/>
  <c r="E36" i="131"/>
  <c r="G38" i="130"/>
  <c r="P31" i="132"/>
  <c r="G38" i="131"/>
  <c r="X16" i="165"/>
  <c r="O34" i="165"/>
  <c r="U39" i="99"/>
  <c r="U38" i="99" s="1"/>
  <c r="G24" i="136" s="1"/>
  <c r="H25" i="167"/>
  <c r="X50" i="99"/>
  <c r="F25" i="167"/>
  <c r="G29" i="137"/>
  <c r="F29" i="137"/>
  <c r="S19" i="165"/>
  <c r="N19" i="165"/>
  <c r="S12" i="165"/>
  <c r="N12" i="165"/>
  <c r="L16" i="165"/>
  <c r="Q16" i="165"/>
  <c r="R13" i="165"/>
  <c r="M13" i="165"/>
  <c r="J32" i="165"/>
  <c r="R16" i="165"/>
  <c r="M16" i="165"/>
  <c r="S16" i="165"/>
  <c r="N16" i="165"/>
  <c r="S13" i="165"/>
  <c r="N13" i="165"/>
  <c r="N32" i="132"/>
  <c r="M12" i="132"/>
  <c r="N44" i="99"/>
  <c r="F29" i="136"/>
  <c r="T44" i="99"/>
  <c r="R66" i="21"/>
  <c r="R67" i="21"/>
  <c r="L15" i="132"/>
  <c r="Q15" i="132"/>
  <c r="D65" i="21"/>
  <c r="E63" i="98"/>
  <c r="S45" i="21"/>
  <c r="R15" i="132"/>
  <c r="M15" i="132"/>
  <c r="P15" i="132"/>
  <c r="K15" i="132"/>
  <c r="AD14" i="159"/>
  <c r="AG14" i="159"/>
  <c r="AE14" i="159"/>
  <c r="AF14" i="159"/>
  <c r="D33" i="137"/>
  <c r="D33" i="136"/>
  <c r="L32" i="165" l="1"/>
  <c r="F44" i="99"/>
  <c r="E44" i="99" s="1"/>
  <c r="X44" i="99" s="1"/>
  <c r="N33" i="132"/>
  <c r="X19" i="165"/>
  <c r="K18" i="132"/>
  <c r="P18" i="132"/>
  <c r="X53" i="99"/>
  <c r="R19" i="165"/>
  <c r="N31" i="132"/>
  <c r="J19" i="165"/>
  <c r="E29" i="136"/>
  <c r="K44" i="99"/>
  <c r="Q13" i="165"/>
  <c r="O13" i="165" s="1"/>
  <c r="N12" i="132"/>
  <c r="X13" i="165"/>
  <c r="E25" i="167"/>
  <c r="O19" i="165"/>
  <c r="I32" i="132"/>
  <c r="H32" i="132" s="1"/>
  <c r="I31" i="132"/>
  <c r="I33" i="132"/>
  <c r="H33" i="132" s="1"/>
  <c r="G25" i="136"/>
  <c r="Q18" i="132"/>
  <c r="N18" i="132" s="1"/>
  <c r="L18" i="132"/>
  <c r="I18" i="132" s="1"/>
  <c r="I32" i="165"/>
  <c r="D92" i="159"/>
  <c r="H92" i="159" s="1"/>
  <c r="I34" i="165"/>
  <c r="O16" i="165"/>
  <c r="J16" i="165"/>
  <c r="J13" i="165"/>
  <c r="H21" i="167"/>
  <c r="O14" i="165"/>
  <c r="J14" i="165"/>
  <c r="C38" i="131"/>
  <c r="G14" i="132"/>
  <c r="N15" i="132"/>
  <c r="I12" i="132"/>
  <c r="I15" i="132"/>
  <c r="U69" i="99"/>
  <c r="U77" i="99" s="1"/>
  <c r="H20" i="167" s="1"/>
  <c r="G25" i="137"/>
  <c r="AB14" i="159"/>
  <c r="AA14" i="159"/>
  <c r="C11" i="133"/>
  <c r="R65" i="21"/>
  <c r="S65" i="21"/>
  <c r="I19" i="165" l="1"/>
  <c r="H31" i="132"/>
  <c r="C36" i="131"/>
  <c r="C38" i="130"/>
  <c r="I13" i="132"/>
  <c r="C17" i="130" s="1"/>
  <c r="R14" i="132"/>
  <c r="R10" i="132" s="1"/>
  <c r="M14" i="132"/>
  <c r="M10" i="132" s="1"/>
  <c r="H18" i="132"/>
  <c r="I16" i="165"/>
  <c r="I13" i="165"/>
  <c r="C11" i="134"/>
  <c r="C16" i="130" s="1"/>
  <c r="C46" i="165"/>
  <c r="S15" i="165"/>
  <c r="S11" i="165" s="1"/>
  <c r="N15" i="165"/>
  <c r="N11" i="165" s="1"/>
  <c r="H15" i="132"/>
  <c r="H12" i="132"/>
  <c r="U81" i="99"/>
  <c r="U84" i="99" s="1"/>
  <c r="G24" i="137"/>
  <c r="E64" i="137"/>
  <c r="F11" i="133"/>
  <c r="G11" i="133"/>
  <c r="E11" i="133"/>
  <c r="D11" i="133"/>
  <c r="C16" i="131"/>
  <c r="G64" i="137"/>
  <c r="D64" i="137"/>
  <c r="F64" i="137"/>
  <c r="M14" i="167" l="1"/>
  <c r="T81" i="99"/>
  <c r="E28" i="153" s="1"/>
  <c r="F176" i="99"/>
  <c r="D16" i="131"/>
  <c r="F16" i="131"/>
  <c r="D63" i="137"/>
  <c r="G63" i="137"/>
  <c r="G16" i="131"/>
  <c r="F63" i="137"/>
  <c r="E16" i="131"/>
  <c r="E63" i="137"/>
  <c r="T84" i="99" l="1"/>
  <c r="F28" i="153" s="1"/>
  <c r="F11" i="134"/>
  <c r="F46" i="165"/>
  <c r="G11" i="134"/>
  <c r="H46" i="165"/>
  <c r="E176" i="99"/>
  <c r="C6" i="173" s="1"/>
  <c r="G62" i="137"/>
  <c r="G139" i="137" s="1"/>
  <c r="F62" i="137"/>
  <c r="D62" i="137"/>
  <c r="E62" i="137"/>
  <c r="F16" i="130" l="1"/>
  <c r="G16" i="130"/>
  <c r="E35" i="154"/>
  <c r="H28" i="153"/>
  <c r="F35" i="154" l="1"/>
  <c r="H35" i="154" s="1"/>
  <c r="V183" i="99"/>
  <c r="T183" i="99" l="1"/>
  <c r="E37" i="154"/>
  <c r="E10" i="154"/>
  <c r="E28" i="154"/>
  <c r="G13" i="137" l="1"/>
  <c r="L13" i="137" s="1"/>
  <c r="E19" i="154"/>
  <c r="F19" i="154"/>
  <c r="G73" i="137"/>
  <c r="G72" i="137"/>
  <c r="E33" i="154"/>
  <c r="F28" i="154"/>
  <c r="F37" i="154"/>
  <c r="F33" i="154" s="1"/>
  <c r="F10" i="154"/>
  <c r="G142" i="137" l="1"/>
  <c r="G68" i="137"/>
  <c r="G31" i="133"/>
  <c r="H19" i="154"/>
  <c r="H28" i="154"/>
  <c r="H37" i="154"/>
  <c r="H10" i="154"/>
  <c r="H33" i="154"/>
  <c r="G35" i="131" l="1"/>
  <c r="K26" i="153" l="1"/>
  <c r="J26" i="153" l="1"/>
  <c r="D35" i="130" l="1"/>
  <c r="G35" i="130"/>
  <c r="F35" i="130" l="1"/>
  <c r="C35" i="130" l="1"/>
  <c r="C52" i="131" l="1"/>
  <c r="I29" i="20" l="1"/>
  <c r="I30" i="20" l="1"/>
  <c r="I50" i="20" s="1"/>
  <c r="E23" i="167"/>
  <c r="E27" i="136"/>
  <c r="K41" i="99"/>
  <c r="L40" i="99"/>
  <c r="L173" i="99"/>
  <c r="L172" i="99" s="1"/>
  <c r="F27" i="137"/>
  <c r="I49" i="20"/>
  <c r="E27" i="137"/>
  <c r="F23" i="167" l="1"/>
  <c r="O173" i="99"/>
  <c r="O172" i="99" s="1"/>
  <c r="F27" i="136"/>
  <c r="N41" i="99"/>
  <c r="O40" i="99"/>
  <c r="O39" i="99" s="1"/>
  <c r="T14" i="55"/>
  <c r="E22" i="167"/>
  <c r="E26" i="136"/>
  <c r="L39" i="99"/>
  <c r="K173" i="99"/>
  <c r="K172" i="99" s="1"/>
  <c r="K40" i="99"/>
  <c r="E26" i="137"/>
  <c r="F26" i="137"/>
  <c r="P14" i="55"/>
  <c r="H14" i="55" l="1"/>
  <c r="C12" i="165" s="1"/>
  <c r="F26" i="136"/>
  <c r="F22" i="167"/>
  <c r="N173" i="99"/>
  <c r="N172" i="99" s="1"/>
  <c r="N40" i="99"/>
  <c r="F11" i="132"/>
  <c r="F12" i="165"/>
  <c r="T53" i="55"/>
  <c r="F25" i="137"/>
  <c r="F21" i="167"/>
  <c r="O38" i="99"/>
  <c r="F25" i="136"/>
  <c r="E25" i="136"/>
  <c r="L38" i="99"/>
  <c r="E21" i="167"/>
  <c r="E12" i="165"/>
  <c r="E11" i="132"/>
  <c r="P53" i="55"/>
  <c r="E25" i="137"/>
  <c r="W40" i="99" l="1"/>
  <c r="AC14" i="55"/>
  <c r="E24" i="137"/>
  <c r="E139" i="137" s="1"/>
  <c r="F24" i="137"/>
  <c r="F139" i="137" s="1"/>
  <c r="R12" i="165"/>
  <c r="M12" i="165"/>
  <c r="Q12" i="165"/>
  <c r="L12" i="165"/>
  <c r="O69" i="99"/>
  <c r="F24" i="136"/>
  <c r="K11" i="132"/>
  <c r="E15" i="131"/>
  <c r="P11" i="132"/>
  <c r="L69" i="99"/>
  <c r="L77" i="99" s="1"/>
  <c r="E24" i="136"/>
  <c r="F15" i="131"/>
  <c r="Q11" i="132"/>
  <c r="L11" i="132"/>
  <c r="F15" i="130"/>
  <c r="L81" i="99" l="1"/>
  <c r="L215" i="99" s="1"/>
  <c r="E20" i="167"/>
  <c r="K215" i="99"/>
  <c r="E9" i="167"/>
  <c r="E13" i="136"/>
  <c r="J13" i="136" s="1"/>
  <c r="L224" i="99"/>
  <c r="L218" i="99"/>
  <c r="L227" i="99" s="1"/>
  <c r="K81" i="99"/>
  <c r="L84" i="99"/>
  <c r="F14" i="132"/>
  <c r="F15" i="165"/>
  <c r="O77" i="99"/>
  <c r="F20" i="167" s="1"/>
  <c r="E14" i="132"/>
  <c r="E15" i="165"/>
  <c r="E16" i="172" l="1"/>
  <c r="F16" i="172" s="1"/>
  <c r="E16" i="169"/>
  <c r="F16" i="169" s="1"/>
  <c r="K218" i="99"/>
  <c r="K227" i="99" s="1"/>
  <c r="K224" i="99"/>
  <c r="K16" i="167"/>
  <c r="K9" i="167"/>
  <c r="K84" i="99"/>
  <c r="O81" i="99"/>
  <c r="Q14" i="132"/>
  <c r="Q10" i="132" s="1"/>
  <c r="L14" i="132"/>
  <c r="L10" i="132" s="1"/>
  <c r="Q15" i="165"/>
  <c r="L15" i="165"/>
  <c r="K14" i="132"/>
  <c r="P14" i="132"/>
  <c r="R15" i="165"/>
  <c r="R11" i="165" s="1"/>
  <c r="M15" i="165"/>
  <c r="M11" i="165" s="1"/>
  <c r="K14" i="167" l="1"/>
  <c r="K10" i="132"/>
  <c r="Q11" i="165"/>
  <c r="P10" i="132"/>
  <c r="L11" i="165"/>
  <c r="O84" i="99"/>
  <c r="N81" i="99"/>
  <c r="L14" i="167" l="1"/>
  <c r="E17" i="154"/>
  <c r="N84" i="99"/>
  <c r="E19" i="153"/>
  <c r="E13" i="137"/>
  <c r="J13" i="137" l="1"/>
  <c r="E142" i="137"/>
  <c r="F19" i="153"/>
  <c r="F13" i="137"/>
  <c r="F17" i="154"/>
  <c r="F15" i="154" s="1"/>
  <c r="E26" i="154"/>
  <c r="E15" i="154"/>
  <c r="H15" i="154" l="1"/>
  <c r="H17" i="154"/>
  <c r="E24" i="154"/>
  <c r="H19" i="153"/>
  <c r="F26" i="154"/>
  <c r="F24" i="154" s="1"/>
  <c r="K13" i="137"/>
  <c r="F142" i="137"/>
  <c r="E72" i="137" l="1"/>
  <c r="N183" i="99"/>
  <c r="P183" i="99"/>
  <c r="F69" i="167"/>
  <c r="F73" i="136"/>
  <c r="H26" i="154"/>
  <c r="H24" i="154"/>
  <c r="E73" i="137"/>
  <c r="F68" i="167"/>
  <c r="F72" i="136"/>
  <c r="F72" i="137" l="1"/>
  <c r="F73" i="137"/>
  <c r="E31" i="133"/>
  <c r="E68" i="137"/>
  <c r="E35" i="131" l="1"/>
  <c r="F31" i="133"/>
  <c r="F68" i="137"/>
  <c r="F35" i="131" l="1"/>
  <c r="O51" i="55" l="1"/>
  <c r="O52" i="55" s="1"/>
  <c r="G73" i="55" l="1"/>
  <c r="D10" i="83"/>
  <c r="D9" i="83" s="1"/>
  <c r="I16" i="83" l="1"/>
  <c r="I10" i="83" s="1"/>
  <c r="J16" i="83"/>
  <c r="J10" i="83" s="1"/>
  <c r="J9" i="83" s="1"/>
  <c r="F10" i="83"/>
  <c r="G13" i="57" s="1"/>
  <c r="C79" i="165" s="1"/>
  <c r="H16" i="83"/>
  <c r="K16" i="83"/>
  <c r="E12" i="57"/>
  <c r="E33" i="57" s="1"/>
  <c r="E41" i="57" s="1"/>
  <c r="E42" i="57" s="1"/>
  <c r="G79" i="165" l="1"/>
  <c r="F79" i="165"/>
  <c r="W132" i="99"/>
  <c r="K13" i="57"/>
  <c r="Q132" i="99" s="1"/>
  <c r="G100" i="167" s="1"/>
  <c r="I13" i="57"/>
  <c r="K132" i="99" s="1"/>
  <c r="F9" i="83"/>
  <c r="N11" i="57" s="1"/>
  <c r="C10" i="135"/>
  <c r="K10" i="83"/>
  <c r="I9" i="83"/>
  <c r="H10" i="83"/>
  <c r="G10" i="90" l="1"/>
  <c r="G18" i="57"/>
  <c r="C84" i="165" s="1"/>
  <c r="G84" i="165" s="1"/>
  <c r="J13" i="57"/>
  <c r="N132" i="99" s="1"/>
  <c r="L13" i="57"/>
  <c r="T132" i="99" s="1"/>
  <c r="E132" i="99"/>
  <c r="H9" i="83"/>
  <c r="K9" i="83"/>
  <c r="G132" i="99" l="1"/>
  <c r="X132" i="99"/>
  <c r="K18" i="57"/>
  <c r="Q137" i="99" s="1"/>
  <c r="G105" i="167" s="1"/>
  <c r="W137" i="99"/>
  <c r="F104" i="137" l="1"/>
  <c r="D104" i="137"/>
  <c r="E104" i="137"/>
  <c r="G104" i="137"/>
  <c r="D23" i="167" l="1"/>
  <c r="F13" i="84"/>
  <c r="N13" i="84" s="1"/>
  <c r="E60" i="98"/>
  <c r="D27" i="137"/>
  <c r="I60" i="98" l="1"/>
  <c r="H60" i="98"/>
  <c r="G60" i="98"/>
  <c r="H41" i="99"/>
  <c r="I40" i="99"/>
  <c r="I173" i="99"/>
  <c r="I172" i="99" s="1"/>
  <c r="D27" i="136"/>
  <c r="D26" i="137"/>
  <c r="D22" i="167" l="1"/>
  <c r="F40" i="99"/>
  <c r="D26" i="136"/>
  <c r="I39" i="99"/>
  <c r="E41" i="99"/>
  <c r="H173" i="99"/>
  <c r="H172" i="99" s="1"/>
  <c r="F173" i="99"/>
  <c r="F172" i="99" s="1"/>
  <c r="F171" i="99" s="1"/>
  <c r="F170" i="99" s="1"/>
  <c r="F203" i="99" s="1"/>
  <c r="F211" i="99" s="1"/>
  <c r="H40" i="99"/>
  <c r="D25" i="137"/>
  <c r="L53" i="55"/>
  <c r="D11" i="132"/>
  <c r="D12" i="165"/>
  <c r="D25" i="136" l="1"/>
  <c r="F39" i="99"/>
  <c r="D21" i="167"/>
  <c r="E173" i="99"/>
  <c r="X41" i="99"/>
  <c r="I38" i="99"/>
  <c r="H39" i="99"/>
  <c r="X12" i="165"/>
  <c r="P12" i="165"/>
  <c r="K12" i="165"/>
  <c r="D15" i="131"/>
  <c r="D15" i="130"/>
  <c r="J11" i="132"/>
  <c r="O11" i="132"/>
  <c r="D24" i="137"/>
  <c r="D139" i="137" s="1"/>
  <c r="H53" i="55"/>
  <c r="I69" i="99" l="1"/>
  <c r="F38" i="99"/>
  <c r="F69" i="99" s="1"/>
  <c r="D24" i="136"/>
  <c r="I77" i="99"/>
  <c r="D20" i="167" s="1"/>
  <c r="I11" i="132"/>
  <c r="N11" i="132"/>
  <c r="O12" i="165"/>
  <c r="D14" i="132"/>
  <c r="D15" i="165"/>
  <c r="U11" i="165" s="1"/>
  <c r="L13" i="55"/>
  <c r="J12" i="165"/>
  <c r="X15" i="165" l="1"/>
  <c r="P15" i="165"/>
  <c r="K15" i="165"/>
  <c r="D11" i="165"/>
  <c r="C15" i="130"/>
  <c r="C15" i="131"/>
  <c r="O14" i="132"/>
  <c r="J14" i="132"/>
  <c r="D10" i="132"/>
  <c r="F77" i="99"/>
  <c r="X49" i="99"/>
  <c r="I81" i="99"/>
  <c r="N14" i="132" l="1"/>
  <c r="O10" i="132"/>
  <c r="I14" i="132"/>
  <c r="J10" i="132"/>
  <c r="J15" i="165"/>
  <c r="K11" i="165"/>
  <c r="H81" i="99"/>
  <c r="I84" i="99"/>
  <c r="O15" i="165"/>
  <c r="O11" i="165" s="1"/>
  <c r="P11" i="165"/>
  <c r="B5" i="173" l="1"/>
  <c r="J14" i="167"/>
  <c r="N10" i="132"/>
  <c r="I10" i="132"/>
  <c r="H84" i="99"/>
  <c r="E10" i="153"/>
  <c r="J11" i="165"/>
  <c r="F10" i="153" l="1"/>
  <c r="D13" i="137"/>
  <c r="E8" i="154"/>
  <c r="H10" i="153" l="1"/>
  <c r="I13" i="137"/>
  <c r="D142" i="137"/>
  <c r="E6" i="154"/>
  <c r="F8" i="154"/>
  <c r="F6" i="154" s="1"/>
  <c r="H6" i="154" l="1"/>
  <c r="H8" i="154"/>
  <c r="D68" i="167"/>
  <c r="D72" i="136"/>
  <c r="D69" i="167"/>
  <c r="D73" i="136"/>
  <c r="J183" i="99"/>
  <c r="D73" i="137" l="1"/>
  <c r="G182" i="99"/>
  <c r="D72" i="137"/>
  <c r="H183" i="99"/>
  <c r="G183" i="99"/>
  <c r="D68" i="137" l="1"/>
  <c r="E182" i="99"/>
  <c r="D31" i="133"/>
  <c r="E183" i="99"/>
  <c r="D35" i="131" l="1"/>
  <c r="I31" i="133"/>
  <c r="D13" i="173" l="1"/>
  <c r="D5" i="173" l="1"/>
  <c r="D9" i="173"/>
  <c r="D7" i="173"/>
  <c r="D10" i="173"/>
  <c r="D8" i="173"/>
  <c r="D12" i="173"/>
  <c r="D6" i="173"/>
  <c r="D11" i="173"/>
  <c r="D29" i="20" l="1"/>
  <c r="D17" i="20"/>
  <c r="D31" i="20"/>
  <c r="D19" i="20"/>
  <c r="D16" i="20"/>
  <c r="D28" i="20"/>
  <c r="E19" i="20"/>
  <c r="D18" i="20"/>
  <c r="D30" i="20"/>
  <c r="E28" i="20"/>
  <c r="J12" i="20"/>
  <c r="J11" i="20"/>
  <c r="J19" i="20" l="1"/>
  <c r="BL19" i="20"/>
  <c r="E48" i="20"/>
  <c r="E31" i="20"/>
  <c r="E18" i="20"/>
  <c r="E17" i="20"/>
  <c r="E30" i="20"/>
  <c r="E16" i="20"/>
  <c r="E29" i="20"/>
  <c r="J13" i="20"/>
  <c r="J10" i="20"/>
  <c r="J16" i="20" l="1"/>
  <c r="BL16" i="20"/>
  <c r="J18" i="20"/>
  <c r="BL18" i="20"/>
  <c r="J17" i="20"/>
  <c r="BL17" i="20"/>
  <c r="J9" i="20"/>
  <c r="J31" i="20"/>
  <c r="E51" i="20"/>
  <c r="E49" i="20"/>
  <c r="J29" i="20"/>
  <c r="E50" i="20"/>
  <c r="J30" i="20"/>
  <c r="J51" i="20" l="1"/>
  <c r="J50" i="20"/>
  <c r="J49" i="20"/>
  <c r="D231" i="21"/>
  <c r="Q203" i="21" s="1"/>
  <c r="D260" i="21"/>
  <c r="Q232" i="21" l="1"/>
  <c r="D230" i="21"/>
  <c r="Q202" i="21" s="1"/>
  <c r="AE71" i="159" l="1"/>
  <c r="AB71" i="159"/>
  <c r="AD71" i="159"/>
  <c r="AA71" i="159"/>
  <c r="AG71" i="159"/>
  <c r="AF71" i="159"/>
  <c r="AG29" i="159" l="1"/>
  <c r="C18" i="133"/>
  <c r="AB29" i="159"/>
  <c r="AE29" i="159"/>
  <c r="AF29" i="159"/>
  <c r="AA29" i="159"/>
  <c r="D14" i="90"/>
  <c r="D15" i="90" s="1"/>
  <c r="J12" i="90"/>
  <c r="J14" i="90" s="1"/>
  <c r="J17" i="90" s="1"/>
  <c r="I12" i="90"/>
  <c r="I14" i="90" s="1"/>
  <c r="I17" i="90" s="1"/>
  <c r="H12" i="90"/>
  <c r="H14" i="90" s="1"/>
  <c r="H17" i="90" s="1"/>
  <c r="E12" i="90"/>
  <c r="AD29" i="159"/>
  <c r="C54" i="165"/>
  <c r="C19" i="134"/>
  <c r="D21" i="90" l="1"/>
  <c r="I15" i="90"/>
  <c r="J5" i="186" s="1"/>
  <c r="J15" i="90"/>
  <c r="K5" i="186" s="1"/>
  <c r="H15" i="90"/>
  <c r="I5" i="186" s="1"/>
  <c r="C51" i="165"/>
  <c r="C16" i="134"/>
  <c r="E14" i="90"/>
  <c r="E15" i="90" s="1"/>
  <c r="E13" i="90"/>
  <c r="D18" i="133"/>
  <c r="G18" i="133"/>
  <c r="F18" i="133"/>
  <c r="E18" i="133"/>
  <c r="T51" i="165"/>
  <c r="C15" i="133"/>
  <c r="I46" i="186" l="1"/>
  <c r="I42" i="186"/>
  <c r="I32" i="186"/>
  <c r="I28" i="186"/>
  <c r="I25" i="186"/>
  <c r="I47" i="186"/>
  <c r="I43" i="186"/>
  <c r="I33" i="186"/>
  <c r="I29" i="186"/>
  <c r="I48" i="186"/>
  <c r="I44" i="186"/>
  <c r="I34" i="186"/>
  <c r="I30" i="186"/>
  <c r="I41" i="186"/>
  <c r="I49" i="186"/>
  <c r="I45" i="186"/>
  <c r="I31" i="186"/>
  <c r="I27" i="186"/>
  <c r="I26" i="186"/>
  <c r="I22" i="186"/>
  <c r="I21" i="186"/>
  <c r="I37" i="186"/>
  <c r="I23" i="186"/>
  <c r="K48" i="186"/>
  <c r="K44" i="186"/>
  <c r="K34" i="186"/>
  <c r="K30" i="186"/>
  <c r="K27" i="186"/>
  <c r="K49" i="186"/>
  <c r="K45" i="186"/>
  <c r="K41" i="186"/>
  <c r="K31" i="186"/>
  <c r="K46" i="186"/>
  <c r="K42" i="186"/>
  <c r="K32" i="186"/>
  <c r="K28" i="186"/>
  <c r="K43" i="186"/>
  <c r="K25" i="186"/>
  <c r="K47" i="186"/>
  <c r="K33" i="186"/>
  <c r="K29" i="186"/>
  <c r="K26" i="186"/>
  <c r="K22" i="186"/>
  <c r="K21" i="186"/>
  <c r="K37" i="186"/>
  <c r="K23" i="186"/>
  <c r="J47" i="186"/>
  <c r="J43" i="186"/>
  <c r="J33" i="186"/>
  <c r="J29" i="186"/>
  <c r="J25" i="186"/>
  <c r="J34" i="186"/>
  <c r="J30" i="186"/>
  <c r="J48" i="186"/>
  <c r="J44" i="186"/>
  <c r="J49" i="186"/>
  <c r="J45" i="186"/>
  <c r="J41" i="186"/>
  <c r="J31" i="186"/>
  <c r="J27" i="186"/>
  <c r="J46" i="186"/>
  <c r="J32" i="186"/>
  <c r="J28" i="186"/>
  <c r="J42" i="186"/>
  <c r="J26" i="186"/>
  <c r="J22" i="186"/>
  <c r="J21" i="186"/>
  <c r="J37" i="186"/>
  <c r="J23" i="186"/>
  <c r="K58" i="186"/>
  <c r="K53" i="186"/>
  <c r="K13" i="186"/>
  <c r="K55" i="186"/>
  <c r="K59" i="186"/>
  <c r="K17" i="186"/>
  <c r="K12" i="186"/>
  <c r="K54" i="186"/>
  <c r="K51" i="186"/>
  <c r="K18" i="186"/>
  <c r="K11" i="186"/>
  <c r="K61" i="186"/>
  <c r="K52" i="186"/>
  <c r="K62" i="186"/>
  <c r="K16" i="186"/>
  <c r="K14" i="186"/>
  <c r="K60" i="186"/>
  <c r="K15" i="186"/>
  <c r="K57" i="186"/>
  <c r="K19" i="186"/>
  <c r="K63" i="186"/>
  <c r="I4" i="186"/>
  <c r="I56" i="186"/>
  <c r="I63" i="186"/>
  <c r="I12" i="186"/>
  <c r="I18" i="186"/>
  <c r="I53" i="186"/>
  <c r="I58" i="186"/>
  <c r="I14" i="186"/>
  <c r="I57" i="186"/>
  <c r="I52" i="186"/>
  <c r="I13" i="186"/>
  <c r="I54" i="186"/>
  <c r="I60" i="186"/>
  <c r="I17" i="186"/>
  <c r="I55" i="186"/>
  <c r="I59" i="186"/>
  <c r="I51" i="186"/>
  <c r="I61" i="186"/>
  <c r="I15" i="186"/>
  <c r="I62" i="186"/>
  <c r="I11" i="186"/>
  <c r="I19" i="186"/>
  <c r="I16" i="186"/>
  <c r="J54" i="186"/>
  <c r="J51" i="186"/>
  <c r="J61" i="186"/>
  <c r="J14" i="186"/>
  <c r="J60" i="186"/>
  <c r="J12" i="186"/>
  <c r="J55" i="186"/>
  <c r="J63" i="186"/>
  <c r="J18" i="186"/>
  <c r="J62" i="186"/>
  <c r="J16" i="186"/>
  <c r="J11" i="186"/>
  <c r="J59" i="186"/>
  <c r="J15" i="186"/>
  <c r="J57" i="186"/>
  <c r="J17" i="186"/>
  <c r="J52" i="186"/>
  <c r="J58" i="186"/>
  <c r="J53" i="186"/>
  <c r="J13" i="186"/>
  <c r="J19" i="186"/>
  <c r="F54" i="165"/>
  <c r="F19" i="134"/>
  <c r="E78" i="137"/>
  <c r="G15" i="133"/>
  <c r="E15" i="133"/>
  <c r="F15" i="133"/>
  <c r="D15" i="133"/>
  <c r="D78" i="137"/>
  <c r="H51" i="165"/>
  <c r="G16" i="134"/>
  <c r="G78" i="137"/>
  <c r="F16" i="134"/>
  <c r="F51" i="165"/>
  <c r="H54" i="165"/>
  <c r="G19" i="134"/>
  <c r="F78" i="137"/>
  <c r="J50" i="186" l="1"/>
  <c r="I39" i="186"/>
  <c r="J36" i="186"/>
  <c r="I35" i="186"/>
  <c r="F4" i="186"/>
  <c r="I36" i="186"/>
  <c r="K50" i="186"/>
  <c r="J39" i="186"/>
  <c r="I38" i="186"/>
  <c r="K36" i="186"/>
  <c r="J35" i="186"/>
  <c r="I10" i="186"/>
  <c r="I9" i="186" s="1"/>
  <c r="J10" i="186"/>
  <c r="J9" i="186" s="1"/>
  <c r="K39" i="186"/>
  <c r="J38" i="186"/>
  <c r="K35" i="186"/>
  <c r="K10" i="186"/>
  <c r="K9" i="186" s="1"/>
  <c r="I50" i="186"/>
  <c r="K38" i="186"/>
  <c r="I20" i="186"/>
  <c r="F75" i="137"/>
  <c r="E75" i="137"/>
  <c r="D75" i="137"/>
  <c r="G75" i="137"/>
  <c r="J20" i="186" l="1"/>
  <c r="K24" i="186"/>
  <c r="K20" i="186"/>
  <c r="J24" i="186"/>
  <c r="I40" i="186"/>
  <c r="I24" i="186"/>
  <c r="J40" i="186"/>
  <c r="K40" i="186"/>
  <c r="I8" i="186" l="1"/>
  <c r="J8" i="186"/>
  <c r="K8" i="186"/>
  <c r="N8" i="186" l="1"/>
  <c r="C24" i="135"/>
  <c r="C26" i="132"/>
  <c r="C28" i="132"/>
  <c r="C27" i="132"/>
  <c r="C23" i="132"/>
  <c r="C23" i="135"/>
  <c r="C22" i="133"/>
  <c r="C22" i="135"/>
  <c r="C17" i="135"/>
  <c r="C19" i="135"/>
  <c r="C21" i="132"/>
  <c r="C22" i="132"/>
  <c r="C27" i="133"/>
  <c r="C18" i="135"/>
  <c r="C24" i="132" l="1"/>
  <c r="C20" i="132" s="1"/>
  <c r="C58" i="165"/>
  <c r="C23" i="134"/>
  <c r="C20" i="133"/>
  <c r="C22" i="134"/>
  <c r="C57" i="165"/>
  <c r="C25" i="133"/>
  <c r="C56" i="165"/>
  <c r="C21" i="134"/>
  <c r="C62" i="165"/>
  <c r="C27" i="134"/>
  <c r="C25" i="135"/>
  <c r="C21" i="135" s="1"/>
  <c r="C29" i="132"/>
  <c r="C25" i="132" s="1"/>
  <c r="F23" i="132"/>
  <c r="E23" i="132"/>
  <c r="G23" i="132"/>
  <c r="D23" i="132"/>
  <c r="E28" i="132"/>
  <c r="G28" i="132"/>
  <c r="F28" i="132"/>
  <c r="D28" i="132"/>
  <c r="G27" i="133"/>
  <c r="F27" i="133"/>
  <c r="D27" i="133"/>
  <c r="E27" i="133"/>
  <c r="C61" i="165"/>
  <c r="C26" i="134"/>
  <c r="D22" i="133"/>
  <c r="E22" i="133"/>
  <c r="G22" i="133"/>
  <c r="F22" i="133"/>
  <c r="C26" i="133"/>
  <c r="C21" i="133"/>
  <c r="C28" i="134"/>
  <c r="C63" i="165"/>
  <c r="C20" i="135"/>
  <c r="C60" i="165" l="1"/>
  <c r="E21" i="133"/>
  <c r="D21" i="133"/>
  <c r="G21" i="133"/>
  <c r="F21" i="133"/>
  <c r="R28" i="132"/>
  <c r="M28" i="132"/>
  <c r="P23" i="132"/>
  <c r="K23" i="132"/>
  <c r="F24" i="132"/>
  <c r="G24" i="132"/>
  <c r="E24" i="132"/>
  <c r="D24" i="132"/>
  <c r="L28" i="132"/>
  <c r="Q28" i="132"/>
  <c r="R23" i="132"/>
  <c r="M23" i="132"/>
  <c r="F29" i="132"/>
  <c r="G29" i="132"/>
  <c r="E29" i="132"/>
  <c r="D29" i="132"/>
  <c r="C16" i="135"/>
  <c r="C9" i="135" s="1"/>
  <c r="G26" i="133"/>
  <c r="F26" i="133"/>
  <c r="D26" i="133"/>
  <c r="E26" i="133"/>
  <c r="O28" i="132"/>
  <c r="J28" i="132"/>
  <c r="K28" i="132"/>
  <c r="P28" i="132"/>
  <c r="J23" i="132"/>
  <c r="O23" i="132"/>
  <c r="Q23" i="132"/>
  <c r="L23" i="132"/>
  <c r="F20" i="133"/>
  <c r="D20" i="133"/>
  <c r="E20" i="133"/>
  <c r="G20" i="133"/>
  <c r="F25" i="133"/>
  <c r="G25" i="133"/>
  <c r="D25" i="133"/>
  <c r="E25" i="133"/>
  <c r="B7" i="173" l="1"/>
  <c r="N23" i="132"/>
  <c r="N28" i="132"/>
  <c r="I23" i="132"/>
  <c r="B9" i="173"/>
  <c r="B10" i="173"/>
  <c r="F81" i="137"/>
  <c r="F84" i="137"/>
  <c r="F116" i="137"/>
  <c r="D85" i="137"/>
  <c r="E81" i="137"/>
  <c r="O29" i="132"/>
  <c r="J29" i="132"/>
  <c r="Q29" i="132"/>
  <c r="L29" i="132"/>
  <c r="P24" i="132"/>
  <c r="K24" i="132"/>
  <c r="D80" i="137"/>
  <c r="F80" i="137"/>
  <c r="C59" i="165"/>
  <c r="C24" i="134"/>
  <c r="D112" i="137"/>
  <c r="I28" i="132"/>
  <c r="D116" i="137"/>
  <c r="E85" i="137"/>
  <c r="R24" i="132"/>
  <c r="M24" i="132"/>
  <c r="G84" i="137"/>
  <c r="G116" i="137"/>
  <c r="G85" i="137"/>
  <c r="F85" i="137"/>
  <c r="G81" i="137"/>
  <c r="D81" i="137"/>
  <c r="R29" i="132"/>
  <c r="M29" i="132"/>
  <c r="G80" i="137"/>
  <c r="F112" i="137"/>
  <c r="E84" i="137"/>
  <c r="D84" i="137"/>
  <c r="E116" i="137"/>
  <c r="P29" i="132"/>
  <c r="K29" i="132"/>
  <c r="J24" i="132"/>
  <c r="O24" i="132"/>
  <c r="Q24" i="132"/>
  <c r="L24" i="132"/>
  <c r="E80" i="137"/>
  <c r="C29" i="134"/>
  <c r="C64" i="165"/>
  <c r="E112" i="137"/>
  <c r="C23" i="133"/>
  <c r="G112" i="137"/>
  <c r="B12" i="173"/>
  <c r="H23" i="132" l="1"/>
  <c r="E83" i="137"/>
  <c r="B6" i="173"/>
  <c r="T60" i="165"/>
  <c r="G86" i="137"/>
  <c r="D49" i="136"/>
  <c r="D49" i="137"/>
  <c r="E44" i="137"/>
  <c r="F111" i="137"/>
  <c r="F45" i="136"/>
  <c r="F45" i="137"/>
  <c r="D48" i="137"/>
  <c r="D48" i="136"/>
  <c r="C28" i="133"/>
  <c r="E111" i="137"/>
  <c r="D111" i="137"/>
  <c r="I29" i="132"/>
  <c r="B11" i="173"/>
  <c r="C25" i="134"/>
  <c r="G115" i="137"/>
  <c r="G49" i="137"/>
  <c r="G49" i="136"/>
  <c r="F44" i="137"/>
  <c r="F44" i="136"/>
  <c r="E45" i="137"/>
  <c r="D115" i="137"/>
  <c r="H28" i="132"/>
  <c r="F48" i="137"/>
  <c r="F48" i="136"/>
  <c r="B13" i="173"/>
  <c r="E115" i="137"/>
  <c r="D23" i="133"/>
  <c r="F23" i="133"/>
  <c r="G23" i="133"/>
  <c r="E23" i="133"/>
  <c r="C19" i="133"/>
  <c r="D86" i="137"/>
  <c r="F86" i="137"/>
  <c r="E49" i="137"/>
  <c r="G44" i="137"/>
  <c r="G44" i="136"/>
  <c r="G45" i="136"/>
  <c r="G45" i="137"/>
  <c r="C20" i="134"/>
  <c r="G48" i="136"/>
  <c r="G48" i="137"/>
  <c r="I24" i="132"/>
  <c r="E86" i="137"/>
  <c r="F49" i="136"/>
  <c r="F49" i="137"/>
  <c r="D44" i="137"/>
  <c r="D44" i="136"/>
  <c r="D45" i="136"/>
  <c r="D45" i="137"/>
  <c r="G111" i="137"/>
  <c r="C55" i="165"/>
  <c r="T55" i="165"/>
  <c r="E48" i="137"/>
  <c r="F115" i="137"/>
  <c r="N24" i="132"/>
  <c r="N29" i="132"/>
  <c r="G83" i="137" l="1"/>
  <c r="D19" i="133"/>
  <c r="D82" i="137"/>
  <c r="F19" i="133"/>
  <c r="D83" i="137"/>
  <c r="F83" i="137"/>
  <c r="E82" i="137"/>
  <c r="G19" i="133"/>
  <c r="B8" i="173"/>
  <c r="B4" i="173" s="1"/>
  <c r="H29" i="132"/>
  <c r="F82" i="137"/>
  <c r="G82" i="137"/>
  <c r="H24" i="132"/>
  <c r="E19" i="133"/>
  <c r="G28" i="133"/>
  <c r="E28" i="133"/>
  <c r="D28" i="133"/>
  <c r="F28" i="133"/>
  <c r="C24" i="133"/>
  <c r="D24" i="133" l="1"/>
  <c r="F79" i="137"/>
  <c r="G79" i="137"/>
  <c r="D79" i="137"/>
  <c r="G24" i="133"/>
  <c r="E79" i="137"/>
  <c r="G117" i="137"/>
  <c r="E117" i="137"/>
  <c r="F117" i="137"/>
  <c r="F24" i="133"/>
  <c r="E24" i="133"/>
  <c r="D117" i="137"/>
  <c r="E67" i="137" l="1"/>
  <c r="G67" i="137"/>
  <c r="F67" i="137"/>
  <c r="G46" i="136"/>
  <c r="G46" i="137"/>
  <c r="E114" i="137"/>
  <c r="F50" i="136"/>
  <c r="F50" i="137"/>
  <c r="D113" i="137"/>
  <c r="D46" i="136"/>
  <c r="D46" i="137"/>
  <c r="E46" i="137"/>
  <c r="G113" i="137"/>
  <c r="G50" i="137"/>
  <c r="G50" i="136"/>
  <c r="D114" i="137"/>
  <c r="D67" i="137"/>
  <c r="F113" i="137"/>
  <c r="F46" i="137"/>
  <c r="F46" i="136"/>
  <c r="F114" i="137"/>
  <c r="G114" i="137"/>
  <c r="E113" i="137"/>
  <c r="E50" i="137"/>
  <c r="D50" i="136"/>
  <c r="D50" i="137"/>
  <c r="F110" i="137" l="1"/>
  <c r="D110" i="137"/>
  <c r="G43" i="137"/>
  <c r="G43" i="136"/>
  <c r="G131" i="137"/>
  <c r="D131" i="137"/>
  <c r="D93" i="137"/>
  <c r="D47" i="137"/>
  <c r="D47" i="136"/>
  <c r="E131" i="137"/>
  <c r="G47" i="136"/>
  <c r="G47" i="137"/>
  <c r="G110" i="137"/>
  <c r="E43" i="137"/>
  <c r="D43" i="137"/>
  <c r="D43" i="136"/>
  <c r="F131" i="137"/>
  <c r="F47" i="136"/>
  <c r="F47" i="137"/>
  <c r="F93" i="137"/>
  <c r="G93" i="137"/>
  <c r="D124" i="137"/>
  <c r="E47" i="137"/>
  <c r="E110" i="137"/>
  <c r="F43" i="137"/>
  <c r="F43" i="136"/>
  <c r="E124" i="137"/>
  <c r="F124" i="137"/>
  <c r="G124" i="137"/>
  <c r="E93" i="137"/>
  <c r="E103" i="137" l="1"/>
  <c r="D32" i="136"/>
  <c r="D32" i="137"/>
  <c r="D103" i="137"/>
  <c r="G52" i="137"/>
  <c r="G52" i="136"/>
  <c r="G32" i="136"/>
  <c r="G32" i="137"/>
  <c r="F32" i="137"/>
  <c r="F32" i="136"/>
  <c r="E32" i="137"/>
  <c r="G103" i="137"/>
  <c r="F103" i="137"/>
  <c r="D52" i="137" l="1"/>
  <c r="D52" i="136"/>
  <c r="C39" i="133"/>
  <c r="F52" i="137"/>
  <c r="F52" i="136"/>
  <c r="G100" i="137"/>
  <c r="L100" i="137" s="1"/>
  <c r="D100" i="137"/>
  <c r="I100" i="137" s="1"/>
  <c r="F100" i="137"/>
  <c r="K100" i="137" s="1"/>
  <c r="E52" i="137"/>
  <c r="E100" i="137"/>
  <c r="J100" i="137" s="1"/>
  <c r="F57" i="136" l="1"/>
  <c r="F57" i="137"/>
  <c r="D60" i="137"/>
  <c r="D60" i="136"/>
  <c r="G128" i="137"/>
  <c r="G60" i="137"/>
  <c r="G60" i="136"/>
  <c r="E128" i="137"/>
  <c r="E60" i="137"/>
  <c r="F128" i="137"/>
  <c r="G57" i="137"/>
  <c r="G57" i="136"/>
  <c r="D57" i="136"/>
  <c r="D57" i="137"/>
  <c r="D128" i="137"/>
  <c r="F60" i="136"/>
  <c r="F60" i="137"/>
  <c r="D56" i="136" l="1"/>
  <c r="D56" i="137"/>
  <c r="F127" i="137"/>
  <c r="E57" i="137"/>
  <c r="E127" i="137"/>
  <c r="G127" i="137"/>
  <c r="F56" i="136"/>
  <c r="F56" i="137"/>
  <c r="D127" i="137"/>
  <c r="F39" i="133"/>
  <c r="G39" i="133"/>
  <c r="G56" i="136"/>
  <c r="G56" i="137"/>
  <c r="E39" i="133"/>
  <c r="D39" i="133"/>
  <c r="D37" i="133" l="1"/>
  <c r="E37" i="133"/>
  <c r="F37" i="133"/>
  <c r="F55" i="137"/>
  <c r="F55" i="136"/>
  <c r="E126" i="137"/>
  <c r="F126" i="137"/>
  <c r="D55" i="137"/>
  <c r="D55" i="136"/>
  <c r="G37" i="133"/>
  <c r="E56" i="137"/>
  <c r="G55" i="137"/>
  <c r="G55" i="136"/>
  <c r="D126" i="137"/>
  <c r="G126" i="137"/>
  <c r="G102" i="137" l="1"/>
  <c r="E13" i="154"/>
  <c r="E31" i="154"/>
  <c r="E40" i="154"/>
  <c r="F36" i="133"/>
  <c r="D102" i="137"/>
  <c r="E97" i="137"/>
  <c r="D97" i="137"/>
  <c r="G97" i="137"/>
  <c r="E102" i="137"/>
  <c r="E55" i="137"/>
  <c r="G36" i="133"/>
  <c r="F102" i="137"/>
  <c r="F97" i="137"/>
  <c r="E36" i="133"/>
  <c r="D36" i="133"/>
  <c r="E22" i="154"/>
  <c r="C37" i="133" l="1"/>
  <c r="G96" i="137"/>
  <c r="E96" i="137"/>
  <c r="D31" i="137"/>
  <c r="D31" i="136"/>
  <c r="F35" i="133"/>
  <c r="F40" i="154"/>
  <c r="H40" i="154" s="1"/>
  <c r="G31" i="137"/>
  <c r="G31" i="136"/>
  <c r="F31" i="136"/>
  <c r="F31" i="137"/>
  <c r="F31" i="154"/>
  <c r="H31" i="154" s="1"/>
  <c r="F13" i="154"/>
  <c r="H13" i="154" s="1"/>
  <c r="F22" i="154"/>
  <c r="H22" i="154" s="1"/>
  <c r="D35" i="133"/>
  <c r="E35" i="133"/>
  <c r="F96" i="137"/>
  <c r="G35" i="133"/>
  <c r="D96" i="137"/>
  <c r="AG26" i="159" l="1"/>
  <c r="F95" i="137"/>
  <c r="E95" i="137"/>
  <c r="AF26" i="159"/>
  <c r="E31" i="137"/>
  <c r="C36" i="133"/>
  <c r="D95" i="137"/>
  <c r="AD26" i="159"/>
  <c r="G95" i="137"/>
  <c r="G66" i="137" l="1"/>
  <c r="G140" i="137" s="1"/>
  <c r="AB12" i="159"/>
  <c r="AB13" i="159"/>
  <c r="D66" i="137"/>
  <c r="D140" i="137" s="1"/>
  <c r="C35" i="133"/>
  <c r="AG12" i="159"/>
  <c r="AG13" i="159"/>
  <c r="AF13" i="159"/>
  <c r="AF12" i="159"/>
  <c r="E36" i="154"/>
  <c r="E27" i="154"/>
  <c r="AA13" i="159"/>
  <c r="AA12" i="159"/>
  <c r="AD13" i="159"/>
  <c r="AD12" i="159"/>
  <c r="E9" i="154"/>
  <c r="E66" i="137"/>
  <c r="E140" i="137" s="1"/>
  <c r="F66" i="137"/>
  <c r="F140" i="137" s="1"/>
  <c r="F9" i="154" l="1"/>
  <c r="F36" i="154"/>
  <c r="E18" i="154"/>
  <c r="F27" i="154"/>
  <c r="H27" i="154" s="1"/>
  <c r="AE13" i="159"/>
  <c r="AE12" i="159"/>
  <c r="H9" i="154"/>
  <c r="C43" i="133"/>
  <c r="C31" i="133"/>
  <c r="J27" i="153" l="1"/>
  <c r="C35" i="131"/>
  <c r="E29" i="154"/>
  <c r="E38" i="154"/>
  <c r="E11" i="154"/>
  <c r="E20" i="154"/>
  <c r="C13" i="133"/>
  <c r="F18" i="154"/>
  <c r="E14" i="137"/>
  <c r="H36" i="154"/>
  <c r="F11" i="154" l="1"/>
  <c r="F7" i="154" s="1"/>
  <c r="E25" i="154"/>
  <c r="H18" i="154"/>
  <c r="J14" i="137"/>
  <c r="E143" i="137"/>
  <c r="G14" i="137"/>
  <c r="F20" i="154"/>
  <c r="F16" i="154" s="1"/>
  <c r="F38" i="154"/>
  <c r="F34" i="154" s="1"/>
  <c r="D14" i="137"/>
  <c r="F10" i="134"/>
  <c r="K27" i="153"/>
  <c r="H20" i="154"/>
  <c r="E16" i="154"/>
  <c r="E7" i="154"/>
  <c r="E34" i="154"/>
  <c r="D99" i="159"/>
  <c r="C10" i="133"/>
  <c r="C9" i="133" s="1"/>
  <c r="G13" i="133"/>
  <c r="F13" i="133"/>
  <c r="D13" i="133"/>
  <c r="E13" i="133"/>
  <c r="G10" i="134"/>
  <c r="F29" i="154"/>
  <c r="F25" i="154" s="1"/>
  <c r="F14" i="137"/>
  <c r="H34" i="154" l="1"/>
  <c r="H11" i="154"/>
  <c r="H7" i="154"/>
  <c r="H38" i="154"/>
  <c r="F10" i="133"/>
  <c r="F9" i="133" s="1"/>
  <c r="F30" i="133" s="1"/>
  <c r="F7" i="133" s="1"/>
  <c r="C96" i="159"/>
  <c r="G96" i="159" s="1"/>
  <c r="C95" i="159"/>
  <c r="G95" i="159" s="1"/>
  <c r="C90" i="159"/>
  <c r="G90" i="159" s="1"/>
  <c r="C98" i="159"/>
  <c r="G98" i="159" s="1"/>
  <c r="H99" i="159"/>
  <c r="C89" i="159"/>
  <c r="C92" i="159"/>
  <c r="G92" i="159" s="1"/>
  <c r="C94" i="159"/>
  <c r="G94" i="159" s="1"/>
  <c r="C93" i="159"/>
  <c r="G93" i="159" s="1"/>
  <c r="H16" i="154"/>
  <c r="H25" i="154"/>
  <c r="D10" i="133"/>
  <c r="D9" i="133" s="1"/>
  <c r="D30" i="133" s="1"/>
  <c r="D7" i="133" s="1"/>
  <c r="I14" i="137"/>
  <c r="D143" i="137"/>
  <c r="L14" i="137"/>
  <c r="G143" i="137"/>
  <c r="C42" i="133"/>
  <c r="C30" i="133"/>
  <c r="K14" i="137"/>
  <c r="F143" i="137"/>
  <c r="E10" i="133"/>
  <c r="E9" i="133" s="1"/>
  <c r="E30" i="133" s="1"/>
  <c r="E7" i="133" s="1"/>
  <c r="G10" i="133"/>
  <c r="G9" i="133" s="1"/>
  <c r="G30" i="133" s="1"/>
  <c r="G7" i="133" s="1"/>
  <c r="H29" i="154"/>
  <c r="F10" i="131" l="1"/>
  <c r="G10" i="131"/>
  <c r="I35" i="133"/>
  <c r="C7" i="133"/>
  <c r="D10" i="131"/>
  <c r="C99" i="159"/>
  <c r="G99" i="159" s="1"/>
  <c r="G89" i="159"/>
  <c r="E10" i="131"/>
  <c r="C53" i="131" l="1"/>
  <c r="F11" i="69" l="1"/>
  <c r="F51" i="69" l="1"/>
  <c r="F32" i="84"/>
  <c r="J13" i="55"/>
  <c r="J12" i="55" s="1"/>
  <c r="J43" i="55" s="1"/>
  <c r="J32" i="84" l="1"/>
  <c r="I32" i="84"/>
  <c r="K32" i="84"/>
  <c r="G32" i="84"/>
  <c r="L26" i="55" s="1"/>
  <c r="H32" i="84"/>
  <c r="C17" i="132"/>
  <c r="F31" i="84"/>
  <c r="Z13" i="55"/>
  <c r="Z12" i="55" s="1"/>
  <c r="Z43" i="55" s="1"/>
  <c r="Z51" i="55" s="1"/>
  <c r="J59" i="55"/>
  <c r="J51" i="55"/>
  <c r="C19" i="132" l="1"/>
  <c r="C16" i="132" s="1"/>
  <c r="P26" i="55"/>
  <c r="H31" i="84"/>
  <c r="P28" i="55" s="1"/>
  <c r="X26" i="55"/>
  <c r="G18" i="165" s="1"/>
  <c r="J31" i="84"/>
  <c r="X28" i="55" s="1"/>
  <c r="G20" i="165" s="1"/>
  <c r="T26" i="55"/>
  <c r="I31" i="84"/>
  <c r="T28" i="55" s="1"/>
  <c r="J52" i="99"/>
  <c r="D36" i="167" s="1"/>
  <c r="D18" i="165"/>
  <c r="D17" i="132"/>
  <c r="AB26" i="55"/>
  <c r="H18" i="165" s="1"/>
  <c r="K31" i="84"/>
  <c r="AB28" i="55" s="1"/>
  <c r="N32" i="84"/>
  <c r="Z59" i="55"/>
  <c r="Z52" i="55"/>
  <c r="Z53" i="55"/>
  <c r="J53" i="55"/>
  <c r="J73" i="55"/>
  <c r="J52" i="55"/>
  <c r="J54" i="55"/>
  <c r="Z54" i="55"/>
  <c r="N13" i="55"/>
  <c r="N12" i="55" s="1"/>
  <c r="N43" i="55" s="1"/>
  <c r="N59" i="55" s="1"/>
  <c r="V54" i="99" l="1"/>
  <c r="H38" i="167" s="1"/>
  <c r="H20" i="165"/>
  <c r="H26" i="55"/>
  <c r="M52" i="99"/>
  <c r="P25" i="55"/>
  <c r="E17" i="132"/>
  <c r="E18" i="165"/>
  <c r="P54" i="99"/>
  <c r="F38" i="167" s="1"/>
  <c r="F19" i="132"/>
  <c r="F20" i="165"/>
  <c r="M54" i="99"/>
  <c r="E20" i="165"/>
  <c r="E19" i="132"/>
  <c r="P18" i="165"/>
  <c r="K18" i="165"/>
  <c r="J18" i="165" s="1"/>
  <c r="X25" i="55"/>
  <c r="G17" i="165" s="1"/>
  <c r="S52" i="99"/>
  <c r="G17" i="132"/>
  <c r="P52" i="99"/>
  <c r="T25" i="55"/>
  <c r="F18" i="165"/>
  <c r="F17" i="132"/>
  <c r="V52" i="99"/>
  <c r="AB25" i="55"/>
  <c r="J17" i="132"/>
  <c r="I17" i="132" s="1"/>
  <c r="O17" i="132"/>
  <c r="N17" i="132" s="1"/>
  <c r="H52" i="99"/>
  <c r="S54" i="99"/>
  <c r="G38" i="167" s="1"/>
  <c r="G19" i="132"/>
  <c r="N51" i="55"/>
  <c r="V51" i="99" l="1"/>
  <c r="H35" i="167" s="1"/>
  <c r="H17" i="165"/>
  <c r="T52" i="99"/>
  <c r="H36" i="167"/>
  <c r="N52" i="99"/>
  <c r="F36" i="167"/>
  <c r="K52" i="99"/>
  <c r="W52" i="99"/>
  <c r="C18" i="165"/>
  <c r="AC26" i="55"/>
  <c r="Q52" i="99"/>
  <c r="G36" i="167"/>
  <c r="G52" i="99"/>
  <c r="L17" i="132"/>
  <c r="Q17" i="132"/>
  <c r="M51" i="99"/>
  <c r="E16" i="132"/>
  <c r="E17" i="165"/>
  <c r="H17" i="132"/>
  <c r="N18" i="165"/>
  <c r="S18" i="165"/>
  <c r="Q20" i="165"/>
  <c r="L20" i="165"/>
  <c r="Q19" i="132"/>
  <c r="L19" i="132"/>
  <c r="M19" i="132"/>
  <c r="R19" i="132"/>
  <c r="M18" i="165"/>
  <c r="R18" i="165"/>
  <c r="S51" i="99"/>
  <c r="G35" i="167" s="1"/>
  <c r="G16" i="132"/>
  <c r="P19" i="132"/>
  <c r="K19" i="132"/>
  <c r="L18" i="165"/>
  <c r="Q18" i="165"/>
  <c r="O18" i="165" s="1"/>
  <c r="I18" i="165" s="1"/>
  <c r="N20" i="165"/>
  <c r="S20" i="165"/>
  <c r="P51" i="99"/>
  <c r="F35" i="167" s="1"/>
  <c r="F16" i="132"/>
  <c r="F17" i="165"/>
  <c r="M17" i="132"/>
  <c r="R17" i="132"/>
  <c r="M20" i="165"/>
  <c r="R20" i="165"/>
  <c r="P17" i="132"/>
  <c r="K17" i="132"/>
  <c r="X18" i="165"/>
  <c r="N53" i="55"/>
  <c r="N52" i="55"/>
  <c r="N54" i="55"/>
  <c r="R13" i="55"/>
  <c r="R12" i="55" s="1"/>
  <c r="R43" i="55" s="1"/>
  <c r="V18" i="165" l="1"/>
  <c r="W18" i="165" s="1"/>
  <c r="M16" i="132"/>
  <c r="R16" i="132"/>
  <c r="P16" i="132"/>
  <c r="K16" i="132"/>
  <c r="M17" i="165"/>
  <c r="R17" i="165"/>
  <c r="Q17" i="165"/>
  <c r="L17" i="165"/>
  <c r="Q16" i="132"/>
  <c r="L16" i="132"/>
  <c r="E52" i="99"/>
  <c r="G186" i="99"/>
  <c r="N17" i="165"/>
  <c r="S17" i="165"/>
  <c r="R59" i="55"/>
  <c r="R51" i="55"/>
  <c r="R54" i="55" s="1"/>
  <c r="E186" i="99" l="1"/>
  <c r="X52" i="99"/>
  <c r="R52" i="55"/>
  <c r="R53" i="55"/>
  <c r="V13" i="55"/>
  <c r="V12" i="55" s="1"/>
  <c r="V43" i="55" s="1"/>
  <c r="F13" i="55"/>
  <c r="F12" i="55" s="1"/>
  <c r="F43" i="55" s="1"/>
  <c r="F51" i="55" s="1"/>
  <c r="V59" i="55" l="1"/>
  <c r="V51" i="55"/>
  <c r="V54" i="55" s="1"/>
  <c r="F59" i="55"/>
  <c r="F73" i="55" l="1"/>
  <c r="F52" i="55"/>
  <c r="V53" i="55"/>
  <c r="V52" i="55"/>
  <c r="F54" i="55"/>
  <c r="C14" i="130"/>
  <c r="H45" i="165"/>
  <c r="G14" i="130"/>
  <c r="D14" i="131" l="1"/>
  <c r="F14" i="131"/>
  <c r="G14" i="131"/>
  <c r="E14" i="131"/>
  <c r="F14" i="130"/>
  <c r="C14" i="131"/>
  <c r="F45" i="165"/>
  <c r="S66" i="21" l="1"/>
  <c r="D33" i="21"/>
  <c r="E32" i="21"/>
  <c r="G92" i="22"/>
  <c r="H17" i="99"/>
  <c r="E17" i="99" s="1"/>
  <c r="E15" i="98"/>
  <c r="G21" i="22"/>
  <c r="C29" i="20"/>
  <c r="C49" i="20" s="1"/>
  <c r="D49" i="20" s="1"/>
  <c r="C28" i="20"/>
  <c r="C48" i="20" s="1"/>
  <c r="D48" i="20" s="1"/>
  <c r="C31" i="20"/>
  <c r="C51" i="20" s="1"/>
  <c r="D51" i="20" s="1"/>
  <c r="G24" i="83"/>
  <c r="C15" i="20"/>
  <c r="BJ15" i="20" s="1"/>
  <c r="E11" i="98"/>
  <c r="G19" i="99"/>
  <c r="G126" i="99" s="1"/>
  <c r="G68" i="22" l="1"/>
  <c r="G93" i="22" s="1"/>
  <c r="E31" i="21"/>
  <c r="D40" i="134"/>
  <c r="J7" i="135" s="1"/>
  <c r="J27" i="135" s="1"/>
  <c r="I27" i="135" s="1"/>
  <c r="E17" i="136"/>
  <c r="E13" i="167"/>
  <c r="K15" i="99"/>
  <c r="E20" i="136"/>
  <c r="E16" i="167"/>
  <c r="G18" i="99"/>
  <c r="K18" i="99"/>
  <c r="E18" i="99" s="1"/>
  <c r="D52" i="165"/>
  <c r="D17" i="134"/>
  <c r="C75" i="165"/>
  <c r="C40" i="134"/>
  <c r="D33" i="58"/>
  <c r="D22" i="136"/>
  <c r="D18" i="167"/>
  <c r="T19" i="99"/>
  <c r="E19" i="99" s="1"/>
  <c r="G17" i="83"/>
  <c r="G12" i="83"/>
  <c r="G44" i="83"/>
  <c r="G57" i="83"/>
  <c r="G22" i="83"/>
  <c r="G30" i="83"/>
  <c r="G18" i="83"/>
  <c r="G42" i="83"/>
  <c r="D75" i="165"/>
  <c r="H20" i="99"/>
  <c r="E20" i="99" s="1"/>
  <c r="G33" i="83"/>
  <c r="G43" i="83"/>
  <c r="D14" i="167"/>
  <c r="D18" i="136"/>
  <c r="C16" i="20"/>
  <c r="BJ16" i="20" s="1"/>
  <c r="G31" i="83"/>
  <c r="G54" i="83"/>
  <c r="G46" i="83"/>
  <c r="G35" i="83"/>
  <c r="G20" i="83"/>
  <c r="G28" i="83"/>
  <c r="G37" i="83"/>
  <c r="G27" i="83"/>
  <c r="G15" i="98"/>
  <c r="G25" i="98" s="1"/>
  <c r="G13" i="83"/>
  <c r="G63" i="83"/>
  <c r="G21" i="136"/>
  <c r="H17" i="167"/>
  <c r="C19" i="20"/>
  <c r="BJ19" i="20" s="1"/>
  <c r="C17" i="20"/>
  <c r="BJ17" i="20" s="1"/>
  <c r="D15" i="167"/>
  <c r="D19" i="136"/>
  <c r="C27" i="20"/>
  <c r="C47" i="20" s="1"/>
  <c r="D47" i="20" s="1"/>
  <c r="G21" i="83"/>
  <c r="G50" i="83"/>
  <c r="G51" i="83"/>
  <c r="G45" i="83"/>
  <c r="G14" i="83"/>
  <c r="G11" i="83"/>
  <c r="G47" i="83"/>
  <c r="G34" i="83"/>
  <c r="G62" i="83"/>
  <c r="G59" i="83"/>
  <c r="G39" i="83"/>
  <c r="G53" i="83"/>
  <c r="G38" i="83"/>
  <c r="G52" i="83"/>
  <c r="G56" i="83"/>
  <c r="G16" i="83"/>
  <c r="G26" i="83"/>
  <c r="G40" i="83"/>
  <c r="F6" i="83"/>
  <c r="G41" i="83"/>
  <c r="G15" i="83"/>
  <c r="G60" i="83"/>
  <c r="G29" i="83"/>
  <c r="G58" i="83"/>
  <c r="G32" i="83"/>
  <c r="G19" i="83"/>
  <c r="G49" i="83"/>
  <c r="G48" i="83"/>
  <c r="G61" i="83"/>
  <c r="E25" i="98"/>
  <c r="E36" i="98" s="1"/>
  <c r="C18" i="20"/>
  <c r="BJ18" i="20" s="1"/>
  <c r="H16" i="99"/>
  <c r="E70" i="21"/>
  <c r="G36" i="83"/>
  <c r="C30" i="20"/>
  <c r="C50" i="20" s="1"/>
  <c r="D50" i="20" s="1"/>
  <c r="S67" i="21"/>
  <c r="D32" i="21"/>
  <c r="G62" i="22"/>
  <c r="E49" i="167" l="1"/>
  <c r="E37" i="167"/>
  <c r="E33" i="167"/>
  <c r="E31" i="167"/>
  <c r="E34" i="167"/>
  <c r="E47" i="167"/>
  <c r="E54" i="167"/>
  <c r="E30" i="167"/>
  <c r="E55" i="167"/>
  <c r="E38" i="167"/>
  <c r="E36" i="167"/>
  <c r="E35" i="167"/>
  <c r="E15" i="99"/>
  <c r="K242" i="99"/>
  <c r="J26" i="135"/>
  <c r="I26" i="135" s="1"/>
  <c r="H26" i="135" s="1"/>
  <c r="K97" i="165"/>
  <c r="J97" i="165" s="1"/>
  <c r="I97" i="165" s="1"/>
  <c r="J29" i="135"/>
  <c r="I29" i="135" s="1"/>
  <c r="H29" i="135" s="1"/>
  <c r="D46" i="130"/>
  <c r="I35" i="130" s="1"/>
  <c r="J28" i="135"/>
  <c r="I28" i="135" s="1"/>
  <c r="H28" i="135" s="1"/>
  <c r="E16" i="99"/>
  <c r="H32" i="99"/>
  <c r="G23" i="83"/>
  <c r="D47" i="165"/>
  <c r="D12" i="134"/>
  <c r="D17" i="130" s="1"/>
  <c r="D69" i="136"/>
  <c r="D65" i="167"/>
  <c r="J176" i="99"/>
  <c r="D74" i="136"/>
  <c r="D70" i="167"/>
  <c r="D77" i="167"/>
  <c r="D81" i="136"/>
  <c r="D72" i="167"/>
  <c r="D76" i="136"/>
  <c r="D71" i="167"/>
  <c r="D75" i="136"/>
  <c r="G10" i="83"/>
  <c r="G26" i="98"/>
  <c r="G32" i="98"/>
  <c r="D34" i="134"/>
  <c r="D69" i="165"/>
  <c r="K95" i="165"/>
  <c r="J95" i="165" s="1"/>
  <c r="I95" i="165" s="1"/>
  <c r="K98" i="165"/>
  <c r="J98" i="165" s="1"/>
  <c r="I98" i="165" s="1"/>
  <c r="D16" i="134"/>
  <c r="D51" i="165"/>
  <c r="D80" i="167"/>
  <c r="D84" i="136"/>
  <c r="D14" i="134"/>
  <c r="D49" i="165"/>
  <c r="G26" i="134"/>
  <c r="H61" i="165"/>
  <c r="D61" i="165"/>
  <c r="D26" i="134"/>
  <c r="F65" i="165"/>
  <c r="F30" i="134"/>
  <c r="D57" i="165"/>
  <c r="D22" i="134"/>
  <c r="V63" i="165"/>
  <c r="X75" i="165"/>
  <c r="V59" i="165"/>
  <c r="V73" i="165"/>
  <c r="V50" i="165"/>
  <c r="V62" i="165"/>
  <c r="V69" i="165"/>
  <c r="V46" i="165"/>
  <c r="V61" i="165"/>
  <c r="V65" i="165"/>
  <c r="V60" i="165"/>
  <c r="V57" i="165"/>
  <c r="V58" i="165"/>
  <c r="V52" i="165"/>
  <c r="V56" i="165"/>
  <c r="V55" i="165"/>
  <c r="V51" i="165"/>
  <c r="V64" i="165"/>
  <c r="V54" i="165"/>
  <c r="V53" i="165"/>
  <c r="V47" i="165"/>
  <c r="V75" i="165"/>
  <c r="V66" i="165"/>
  <c r="W66" i="165" s="1"/>
  <c r="V68" i="165"/>
  <c r="W68" i="165" s="1"/>
  <c r="V43" i="165"/>
  <c r="W43" i="165" s="1"/>
  <c r="W52" i="165"/>
  <c r="X52" i="165"/>
  <c r="Y9" i="159"/>
  <c r="AD1" i="159"/>
  <c r="D73" i="167"/>
  <c r="D77" i="136"/>
  <c r="D86" i="167"/>
  <c r="D90" i="136"/>
  <c r="D80" i="136"/>
  <c r="D76" i="167"/>
  <c r="D84" i="167"/>
  <c r="D88" i="136"/>
  <c r="D19" i="134"/>
  <c r="D54" i="165"/>
  <c r="J32" i="98"/>
  <c r="J26" i="98"/>
  <c r="AE26" i="159"/>
  <c r="D50" i="165"/>
  <c r="D15" i="134"/>
  <c r="F26" i="98"/>
  <c r="F32" i="98"/>
  <c r="AB10" i="159"/>
  <c r="H27" i="135"/>
  <c r="F64" i="165"/>
  <c r="F29" i="134"/>
  <c r="F57" i="165"/>
  <c r="F22" i="134"/>
  <c r="D29" i="134"/>
  <c r="D64" i="165"/>
  <c r="H64" i="165"/>
  <c r="G29" i="134"/>
  <c r="I7" i="135"/>
  <c r="F60" i="165"/>
  <c r="F25" i="134"/>
  <c r="K153" i="99"/>
  <c r="E37" i="136"/>
  <c r="E40" i="136"/>
  <c r="E59" i="136"/>
  <c r="E34" i="136"/>
  <c r="E43" i="136"/>
  <c r="E47" i="136"/>
  <c r="E55" i="136"/>
  <c r="E32" i="136"/>
  <c r="E51" i="136"/>
  <c r="E35" i="136"/>
  <c r="E41" i="136"/>
  <c r="E57" i="136"/>
  <c r="E58" i="136"/>
  <c r="E36" i="136"/>
  <c r="E46" i="136"/>
  <c r="E50" i="136"/>
  <c r="E52" i="136"/>
  <c r="E48" i="136"/>
  <c r="E129" i="136"/>
  <c r="E38" i="136"/>
  <c r="E39" i="136"/>
  <c r="E42" i="136"/>
  <c r="E31" i="136"/>
  <c r="E44" i="136"/>
  <c r="E60" i="136"/>
  <c r="E33" i="136"/>
  <c r="E56" i="136"/>
  <c r="E130" i="136"/>
  <c r="E54" i="136"/>
  <c r="E45" i="136"/>
  <c r="E49" i="136"/>
  <c r="G89" i="22"/>
  <c r="H32" i="98"/>
  <c r="H26" i="98"/>
  <c r="E26" i="98"/>
  <c r="H34" i="57"/>
  <c r="H31" i="57"/>
  <c r="H150" i="99" s="1"/>
  <c r="H29" i="57"/>
  <c r="H148" i="99" s="1"/>
  <c r="H17" i="57"/>
  <c r="H136" i="99" s="1"/>
  <c r="H39" i="57"/>
  <c r="H30" i="57"/>
  <c r="H149" i="99" s="1"/>
  <c r="H38" i="57"/>
  <c r="H16" i="57"/>
  <c r="H135" i="99" s="1"/>
  <c r="H32" i="57"/>
  <c r="H151" i="99" s="1"/>
  <c r="H27" i="57"/>
  <c r="H14" i="57"/>
  <c r="H133" i="99" s="1"/>
  <c r="H28" i="57"/>
  <c r="H147" i="99" s="1"/>
  <c r="H13" i="57"/>
  <c r="H132" i="99" s="1"/>
  <c r="D46" i="165"/>
  <c r="D11" i="134"/>
  <c r="D74" i="167"/>
  <c r="D78" i="136"/>
  <c r="D66" i="167"/>
  <c r="J180" i="99"/>
  <c r="D70" i="136"/>
  <c r="D82" i="136"/>
  <c r="D78" i="167"/>
  <c r="G70" i="136"/>
  <c r="G99" i="136"/>
  <c r="G98" i="136"/>
  <c r="G72" i="136"/>
  <c r="G73" i="136"/>
  <c r="G94" i="136"/>
  <c r="D13" i="134"/>
  <c r="D48" i="165"/>
  <c r="H58" i="165"/>
  <c r="G23" i="134"/>
  <c r="D27" i="134"/>
  <c r="D62" i="165"/>
  <c r="H59" i="165"/>
  <c r="G24" i="134"/>
  <c r="F61" i="165"/>
  <c r="F26" i="134"/>
  <c r="F21" i="134"/>
  <c r="F56" i="165"/>
  <c r="F62" i="165"/>
  <c r="F27" i="134"/>
  <c r="G22" i="134"/>
  <c r="H57" i="165"/>
  <c r="G28" i="134"/>
  <c r="H63" i="165"/>
  <c r="F63" i="165"/>
  <c r="F28" i="134"/>
  <c r="F125" i="99"/>
  <c r="D85" i="136"/>
  <c r="D81" i="167"/>
  <c r="D89" i="136"/>
  <c r="D85" i="167"/>
  <c r="D82" i="167"/>
  <c r="D86" i="136"/>
  <c r="D38" i="134"/>
  <c r="D73" i="165"/>
  <c r="H95" i="167"/>
  <c r="H66" i="167"/>
  <c r="H90" i="167"/>
  <c r="H94" i="167"/>
  <c r="H68" i="167"/>
  <c r="H69" i="167"/>
  <c r="D53" i="165"/>
  <c r="D18" i="134"/>
  <c r="D71" i="136"/>
  <c r="D67" i="167"/>
  <c r="J181" i="99"/>
  <c r="H56" i="165"/>
  <c r="G21" i="134"/>
  <c r="D56" i="165"/>
  <c r="D21" i="134"/>
  <c r="D60" i="165"/>
  <c r="D25" i="134"/>
  <c r="D30" i="134"/>
  <c r="D65" i="165"/>
  <c r="G27" i="134"/>
  <c r="H62" i="165"/>
  <c r="H65" i="165"/>
  <c r="G30" i="134"/>
  <c r="G25" i="134"/>
  <c r="H60" i="165"/>
  <c r="F58" i="165"/>
  <c r="F59" i="165" s="1"/>
  <c r="F23" i="134"/>
  <c r="F24" i="134" s="1"/>
  <c r="E126" i="167"/>
  <c r="E125" i="167"/>
  <c r="E35" i="135"/>
  <c r="E32" i="98" l="1"/>
  <c r="E21" i="58"/>
  <c r="E25" i="58" s="1"/>
  <c r="E29" i="58"/>
  <c r="K96" i="165"/>
  <c r="J96" i="165" s="1"/>
  <c r="I96" i="165" s="1"/>
  <c r="E32" i="99"/>
  <c r="F32" i="99" s="1"/>
  <c r="F31" i="99" s="1"/>
  <c r="F81" i="99" s="1"/>
  <c r="I32" i="99"/>
  <c r="S180" i="99"/>
  <c r="K204" i="99"/>
  <c r="M153" i="99"/>
  <c r="D20" i="134"/>
  <c r="D55" i="165"/>
  <c r="W60" i="165"/>
  <c r="X60" i="165"/>
  <c r="W53" i="165"/>
  <c r="X53" i="165"/>
  <c r="F128" i="99"/>
  <c r="E125" i="99"/>
  <c r="D16" i="130"/>
  <c r="D14" i="130" s="1"/>
  <c r="D10" i="134"/>
  <c r="Y37" i="159"/>
  <c r="Y52" i="159"/>
  <c r="Y46" i="159"/>
  <c r="Y55" i="159"/>
  <c r="Y54" i="159"/>
  <c r="Y50" i="159"/>
  <c r="Y35" i="159"/>
  <c r="Y30" i="159"/>
  <c r="Y13" i="159"/>
  <c r="Y71" i="159"/>
  <c r="Y72" i="159"/>
  <c r="Y56" i="159"/>
  <c r="Y17" i="159"/>
  <c r="Y43" i="159"/>
  <c r="Y47" i="159"/>
  <c r="Y14" i="159"/>
  <c r="Y34" i="159"/>
  <c r="Y48" i="159"/>
  <c r="Y16" i="159"/>
  <c r="Y51" i="159"/>
  <c r="Y61" i="159"/>
  <c r="Y69" i="159"/>
  <c r="Y68" i="159"/>
  <c r="Y74" i="159"/>
  <c r="Y59" i="159"/>
  <c r="Y42" i="159"/>
  <c r="Y63" i="159"/>
  <c r="Y24" i="159"/>
  <c r="Y22" i="159"/>
  <c r="Y44" i="159"/>
  <c r="Y66" i="159"/>
  <c r="Y25" i="159"/>
  <c r="Y62" i="159"/>
  <c r="Y58" i="159"/>
  <c r="Y15" i="159"/>
  <c r="Y41" i="159"/>
  <c r="Y28" i="159"/>
  <c r="Y12" i="159"/>
  <c r="Y49" i="159"/>
  <c r="Y39" i="159"/>
  <c r="Y64" i="159"/>
  <c r="Y29" i="159"/>
  <c r="Y45" i="159"/>
  <c r="Y32" i="159"/>
  <c r="Y36" i="159"/>
  <c r="Y70" i="159"/>
  <c r="Y27" i="159"/>
  <c r="Y40" i="159"/>
  <c r="Y53" i="159"/>
  <c r="Y57" i="159"/>
  <c r="Y65" i="159"/>
  <c r="Y18" i="159"/>
  <c r="Y21" i="159"/>
  <c r="Y23" i="159"/>
  <c r="Y73" i="159"/>
  <c r="Y67" i="159"/>
  <c r="Y20" i="159"/>
  <c r="Y31" i="159"/>
  <c r="Y19" i="159"/>
  <c r="Y38" i="159"/>
  <c r="Y60" i="159"/>
  <c r="Y26" i="159"/>
  <c r="AA26" i="159"/>
  <c r="W51" i="165"/>
  <c r="X51" i="165"/>
  <c r="K148" i="99"/>
  <c r="K150" i="99"/>
  <c r="W65" i="165"/>
  <c r="X65" i="165"/>
  <c r="AB26" i="159"/>
  <c r="H181" i="99"/>
  <c r="X73" i="165"/>
  <c r="W73" i="165"/>
  <c r="X62" i="165"/>
  <c r="W62" i="165"/>
  <c r="C46" i="130"/>
  <c r="H7" i="135"/>
  <c r="W64" i="165"/>
  <c r="X64" i="165"/>
  <c r="H55" i="165"/>
  <c r="H44" i="165" s="1"/>
  <c r="H67" i="165" s="1"/>
  <c r="G20" i="134"/>
  <c r="G9" i="134" s="1"/>
  <c r="G32" i="134" s="1"/>
  <c r="G36" i="130" s="1"/>
  <c r="X50" i="165"/>
  <c r="W50" i="165"/>
  <c r="W54" i="165"/>
  <c r="X54" i="165"/>
  <c r="D63" i="165"/>
  <c r="D28" i="134"/>
  <c r="X69" i="165"/>
  <c r="W69" i="165"/>
  <c r="K151" i="99"/>
  <c r="K147" i="99"/>
  <c r="F55" i="165"/>
  <c r="F44" i="165" s="1"/>
  <c r="F67" i="165" s="1"/>
  <c r="F20" i="134"/>
  <c r="F9" i="134" s="1"/>
  <c r="F32" i="134" s="1"/>
  <c r="F36" i="130" s="1"/>
  <c r="C35" i="135"/>
  <c r="X56" i="165"/>
  <c r="W56" i="165"/>
  <c r="W61" i="165"/>
  <c r="X61" i="165"/>
  <c r="D79" i="167"/>
  <c r="D83" i="136"/>
  <c r="G9" i="83"/>
  <c r="D68" i="136"/>
  <c r="D64" i="167"/>
  <c r="X47" i="165"/>
  <c r="W47" i="165"/>
  <c r="W46" i="165"/>
  <c r="X46" i="165"/>
  <c r="D45" i="165"/>
  <c r="P136" i="99"/>
  <c r="T149" i="99"/>
  <c r="T150" i="99"/>
  <c r="V133" i="99"/>
  <c r="T153" i="99"/>
  <c r="N150" i="99"/>
  <c r="N149" i="99"/>
  <c r="Q150" i="99"/>
  <c r="G118" i="167" s="1"/>
  <c r="H153" i="99"/>
  <c r="Q153" i="99" s="1"/>
  <c r="G121" i="167" s="1"/>
  <c r="T148" i="99"/>
  <c r="V136" i="99"/>
  <c r="P133" i="99"/>
  <c r="N153" i="99"/>
  <c r="Q148" i="99"/>
  <c r="G116" i="167" s="1"/>
  <c r="Q149" i="99"/>
  <c r="G117" i="167" s="1"/>
  <c r="N147" i="99"/>
  <c r="N151" i="99"/>
  <c r="Q151" i="99"/>
  <c r="G119" i="167" s="1"/>
  <c r="N148" i="99"/>
  <c r="T151" i="99"/>
  <c r="Q147" i="99"/>
  <c r="G115" i="167" s="1"/>
  <c r="T147" i="99"/>
  <c r="D23" i="134"/>
  <c r="D24" i="134" s="1"/>
  <c r="D58" i="165"/>
  <c r="D87" i="136"/>
  <c r="D83" i="167"/>
  <c r="D75" i="167"/>
  <c r="D79" i="136"/>
  <c r="X57" i="165"/>
  <c r="W57" i="165"/>
  <c r="K149" i="99"/>
  <c r="K29" i="58" l="1"/>
  <c r="E33" i="58"/>
  <c r="D9" i="134"/>
  <c r="D32" i="134" s="1"/>
  <c r="D36" i="130" s="1"/>
  <c r="F84" i="99"/>
  <c r="E81" i="99"/>
  <c r="F215" i="99"/>
  <c r="S148" i="99"/>
  <c r="S199" i="99" s="1"/>
  <c r="Q199" i="99"/>
  <c r="R176" i="99"/>
  <c r="R171" i="99" s="1"/>
  <c r="R170" i="99" s="1"/>
  <c r="R203" i="99" s="1"/>
  <c r="R211" i="99" s="1"/>
  <c r="S132" i="99"/>
  <c r="Q182" i="99"/>
  <c r="J136" i="99"/>
  <c r="D104" i="167" s="1"/>
  <c r="S136" i="99"/>
  <c r="S187" i="99" s="1"/>
  <c r="S149" i="99"/>
  <c r="S200" i="99" s="1"/>
  <c r="Q200" i="99"/>
  <c r="S150" i="99"/>
  <c r="Q201" i="99"/>
  <c r="S147" i="99"/>
  <c r="Q146" i="99"/>
  <c r="Q198" i="99"/>
  <c r="S151" i="99"/>
  <c r="S202" i="99" s="1"/>
  <c r="Q202" i="99"/>
  <c r="Q204" i="99"/>
  <c r="S153" i="99"/>
  <c r="S204" i="99" s="1"/>
  <c r="S135" i="99"/>
  <c r="S176" i="99"/>
  <c r="S201" i="99"/>
  <c r="J133" i="99"/>
  <c r="S133" i="99"/>
  <c r="S184" i="99" s="1"/>
  <c r="H187" i="99"/>
  <c r="G64" i="136"/>
  <c r="H60" i="167"/>
  <c r="U176" i="99"/>
  <c r="U171" i="99" s="1"/>
  <c r="U170" i="99" s="1"/>
  <c r="U203" i="99" s="1"/>
  <c r="U211" i="99" s="1"/>
  <c r="F64" i="136"/>
  <c r="F60" i="167"/>
  <c r="O176" i="99"/>
  <c r="O171" i="99" s="1"/>
  <c r="O170" i="99" s="1"/>
  <c r="O203" i="99" s="1"/>
  <c r="O211" i="99" s="1"/>
  <c r="E97" i="136"/>
  <c r="E93" i="167"/>
  <c r="N199" i="99"/>
  <c r="P148" i="99"/>
  <c r="P199" i="99" s="1"/>
  <c r="D108" i="136"/>
  <c r="J187" i="99"/>
  <c r="P151" i="99"/>
  <c r="N202" i="99"/>
  <c r="H104" i="167"/>
  <c r="G108" i="136"/>
  <c r="G105" i="136"/>
  <c r="H101" i="167"/>
  <c r="V149" i="99"/>
  <c r="T200" i="99"/>
  <c r="D67" i="136"/>
  <c r="D63" i="167"/>
  <c r="F20" i="135"/>
  <c r="E25" i="135"/>
  <c r="F23" i="135"/>
  <c r="G12" i="135"/>
  <c r="G25" i="135"/>
  <c r="G20" i="135"/>
  <c r="F33" i="135"/>
  <c r="F18" i="135"/>
  <c r="F24" i="135"/>
  <c r="G18" i="135"/>
  <c r="G14" i="135"/>
  <c r="E15" i="135"/>
  <c r="E24" i="135"/>
  <c r="E23" i="135"/>
  <c r="D12" i="135"/>
  <c r="E33" i="135"/>
  <c r="E19" i="135"/>
  <c r="G24" i="135"/>
  <c r="E18" i="135"/>
  <c r="G23" i="135"/>
  <c r="G19" i="135"/>
  <c r="E14" i="135"/>
  <c r="F15" i="135"/>
  <c r="F14" i="135"/>
  <c r="G33" i="135"/>
  <c r="F19" i="135"/>
  <c r="F25" i="135"/>
  <c r="D25" i="135"/>
  <c r="D23" i="135"/>
  <c r="G15" i="135"/>
  <c r="E20" i="135"/>
  <c r="F12" i="135"/>
  <c r="G17" i="135"/>
  <c r="E17" i="135"/>
  <c r="E12" i="135"/>
  <c r="D33" i="135"/>
  <c r="D14" i="135"/>
  <c r="G22" i="135"/>
  <c r="D20" i="135"/>
  <c r="D13" i="135"/>
  <c r="D11" i="135"/>
  <c r="D24" i="135"/>
  <c r="E10" i="135"/>
  <c r="E13" i="135"/>
  <c r="F22" i="135"/>
  <c r="F13" i="135"/>
  <c r="F17" i="135"/>
  <c r="E11" i="135"/>
  <c r="F10" i="135"/>
  <c r="G11" i="135"/>
  <c r="D18" i="135"/>
  <c r="F11" i="135"/>
  <c r="D10" i="135"/>
  <c r="E22" i="135"/>
  <c r="G13" i="135"/>
  <c r="G10" i="135"/>
  <c r="D19" i="135"/>
  <c r="D15" i="135"/>
  <c r="D22" i="135"/>
  <c r="D17" i="135"/>
  <c r="M135" i="99"/>
  <c r="K186" i="99"/>
  <c r="H85" i="167"/>
  <c r="G89" i="136"/>
  <c r="G88" i="136"/>
  <c r="H84" i="167"/>
  <c r="H73" i="167"/>
  <c r="G77" i="136"/>
  <c r="V187" i="99"/>
  <c r="T187" i="99"/>
  <c r="G81" i="136"/>
  <c r="H77" i="167"/>
  <c r="F69" i="136"/>
  <c r="F65" i="167"/>
  <c r="P176" i="99"/>
  <c r="E69" i="136"/>
  <c r="E65" i="167"/>
  <c r="M176" i="99"/>
  <c r="F88" i="167"/>
  <c r="F92" i="136"/>
  <c r="P202" i="99"/>
  <c r="E82" i="136"/>
  <c r="E78" i="167"/>
  <c r="P187" i="99"/>
  <c r="F77" i="136"/>
  <c r="F73" i="167"/>
  <c r="F75" i="136"/>
  <c r="F71" i="167"/>
  <c r="E85" i="136"/>
  <c r="E81" i="167"/>
  <c r="F89" i="136"/>
  <c r="F85" i="167"/>
  <c r="E85" i="167"/>
  <c r="E89" i="136"/>
  <c r="M149" i="99"/>
  <c r="K200" i="99"/>
  <c r="D89" i="167"/>
  <c r="D93" i="136"/>
  <c r="T198" i="99"/>
  <c r="V147" i="99"/>
  <c r="T146" i="99"/>
  <c r="T197" i="99" s="1"/>
  <c r="V151" i="99"/>
  <c r="T202" i="99"/>
  <c r="H182" i="99"/>
  <c r="J132" i="99"/>
  <c r="P132" i="99"/>
  <c r="N182" i="99"/>
  <c r="J148" i="99"/>
  <c r="H199" i="99"/>
  <c r="F101" i="167"/>
  <c r="F105" i="136"/>
  <c r="H201" i="99"/>
  <c r="J150" i="99"/>
  <c r="V153" i="99"/>
  <c r="T204" i="99"/>
  <c r="T201" i="99"/>
  <c r="V150" i="99"/>
  <c r="V201" i="99" s="1"/>
  <c r="P135" i="99"/>
  <c r="V83" i="165"/>
  <c r="V80" i="165"/>
  <c r="H83" i="165"/>
  <c r="V82" i="165"/>
  <c r="V79" i="165"/>
  <c r="V102" i="165"/>
  <c r="F82" i="165"/>
  <c r="E82" i="165"/>
  <c r="H82" i="165"/>
  <c r="H80" i="165"/>
  <c r="F80" i="165"/>
  <c r="V95" i="165"/>
  <c r="W95" i="165" s="1"/>
  <c r="E80" i="165"/>
  <c r="E102" i="165"/>
  <c r="V97" i="165"/>
  <c r="W97" i="165" s="1"/>
  <c r="F102" i="165"/>
  <c r="F83" i="165"/>
  <c r="H102" i="165"/>
  <c r="E83" i="165"/>
  <c r="D83" i="165"/>
  <c r="V96" i="165"/>
  <c r="W96" i="165" s="1"/>
  <c r="D82" i="165"/>
  <c r="E79" i="165"/>
  <c r="V98" i="165"/>
  <c r="W98" i="165" s="1"/>
  <c r="H79" i="165"/>
  <c r="D102" i="165"/>
  <c r="D79" i="165"/>
  <c r="D80" i="165"/>
  <c r="V77" i="165"/>
  <c r="W77" i="165" s="1"/>
  <c r="K198" i="99"/>
  <c r="M147" i="99"/>
  <c r="K146" i="99"/>
  <c r="K197" i="99" s="1"/>
  <c r="M151" i="99"/>
  <c r="K202" i="99"/>
  <c r="H71" i="167"/>
  <c r="G75" i="136"/>
  <c r="H78" i="167"/>
  <c r="G82" i="136"/>
  <c r="H74" i="167"/>
  <c r="G78" i="136"/>
  <c r="H67" i="167"/>
  <c r="G71" i="136"/>
  <c r="F86" i="136"/>
  <c r="F82" i="167"/>
  <c r="F81" i="167"/>
  <c r="F85" i="136"/>
  <c r="F74" i="167"/>
  <c r="F78" i="136"/>
  <c r="F80" i="167"/>
  <c r="F84" i="136"/>
  <c r="F82" i="136"/>
  <c r="F78" i="167"/>
  <c r="F77" i="167"/>
  <c r="F81" i="136"/>
  <c r="P184" i="99"/>
  <c r="F70" i="167"/>
  <c r="F74" i="136"/>
  <c r="M200" i="99"/>
  <c r="E86" i="167"/>
  <c r="E90" i="136"/>
  <c r="F91" i="136"/>
  <c r="F87" i="167"/>
  <c r="F49" i="165"/>
  <c r="F14" i="134"/>
  <c r="F48" i="165"/>
  <c r="F13" i="134"/>
  <c r="F18" i="130" s="1"/>
  <c r="E128" i="99"/>
  <c r="E121" i="167"/>
  <c r="E125" i="136"/>
  <c r="M204" i="99"/>
  <c r="K187" i="99"/>
  <c r="M136" i="99"/>
  <c r="D91" i="159"/>
  <c r="M133" i="99"/>
  <c r="K184" i="99"/>
  <c r="D64" i="136"/>
  <c r="D60" i="167"/>
  <c r="I176" i="99"/>
  <c r="I171" i="99" s="1"/>
  <c r="I170" i="99" s="1"/>
  <c r="I203" i="99" s="1"/>
  <c r="I211" i="99" s="1"/>
  <c r="E64" i="136"/>
  <c r="E60" i="167"/>
  <c r="L176" i="99"/>
  <c r="L171" i="99" s="1"/>
  <c r="L170" i="99" s="1"/>
  <c r="L203" i="99" s="1"/>
  <c r="L211" i="99" s="1"/>
  <c r="J151" i="99"/>
  <c r="H202" i="99"/>
  <c r="H200" i="99"/>
  <c r="J149" i="99"/>
  <c r="N204" i="99"/>
  <c r="P153" i="99"/>
  <c r="H204" i="99"/>
  <c r="J153" i="99"/>
  <c r="N201" i="99"/>
  <c r="P150" i="99"/>
  <c r="F108" i="136"/>
  <c r="F104" i="167"/>
  <c r="K182" i="99"/>
  <c r="M132" i="99"/>
  <c r="G76" i="136"/>
  <c r="H72" i="167"/>
  <c r="H88" i="167"/>
  <c r="G92" i="136"/>
  <c r="V202" i="99"/>
  <c r="H81" i="167"/>
  <c r="G85" i="136"/>
  <c r="H70" i="167"/>
  <c r="V184" i="99"/>
  <c r="G74" i="136"/>
  <c r="T184" i="99"/>
  <c r="H80" i="167"/>
  <c r="G84" i="136"/>
  <c r="F76" i="136"/>
  <c r="F72" i="167"/>
  <c r="P186" i="99"/>
  <c r="E67" i="167"/>
  <c r="E71" i="136"/>
  <c r="E80" i="136"/>
  <c r="E76" i="167"/>
  <c r="F71" i="136"/>
  <c r="F67" i="167"/>
  <c r="F90" i="136"/>
  <c r="F86" i="167"/>
  <c r="E88" i="136"/>
  <c r="M198" i="99"/>
  <c r="E84" i="167"/>
  <c r="P180" i="99"/>
  <c r="F70" i="136"/>
  <c r="F66" i="167"/>
  <c r="H49" i="165"/>
  <c r="H48" i="165"/>
  <c r="G14" i="134"/>
  <c r="G13" i="134"/>
  <c r="K199" i="99"/>
  <c r="M148" i="99"/>
  <c r="M199" i="99" s="1"/>
  <c r="F218" i="99"/>
  <c r="F227" i="99" s="1"/>
  <c r="F224" i="99"/>
  <c r="E215" i="99"/>
  <c r="D27" i="130"/>
  <c r="W58" i="165"/>
  <c r="X58" i="165"/>
  <c r="D59" i="165"/>
  <c r="J147" i="99"/>
  <c r="H198" i="99"/>
  <c r="H146" i="99"/>
  <c r="T182" i="99"/>
  <c r="V132" i="99"/>
  <c r="P147" i="99"/>
  <c r="P198" i="99" s="1"/>
  <c r="N198" i="99"/>
  <c r="N146" i="99"/>
  <c r="N197" i="99" s="1"/>
  <c r="V135" i="99"/>
  <c r="T199" i="99"/>
  <c r="V148" i="99"/>
  <c r="V199" i="99" s="1"/>
  <c r="N200" i="99"/>
  <c r="P149" i="99"/>
  <c r="P200" i="99" s="1"/>
  <c r="D101" i="167"/>
  <c r="D105" i="136"/>
  <c r="J184" i="99"/>
  <c r="J135" i="99"/>
  <c r="X45" i="165"/>
  <c r="D44" i="165"/>
  <c r="X63" i="165"/>
  <c r="W63" i="165"/>
  <c r="H82" i="167"/>
  <c r="G86" i="136"/>
  <c r="H65" i="167"/>
  <c r="G69" i="136"/>
  <c r="V176" i="99"/>
  <c r="G91" i="136"/>
  <c r="H87" i="167"/>
  <c r="H76" i="167"/>
  <c r="G80" i="136"/>
  <c r="G90" i="136"/>
  <c r="V200" i="99"/>
  <c r="H86" i="167"/>
  <c r="F76" i="167"/>
  <c r="F80" i="136"/>
  <c r="E84" i="136"/>
  <c r="E80" i="167"/>
  <c r="E86" i="136"/>
  <c r="E82" i="167"/>
  <c r="E74" i="167"/>
  <c r="E78" i="136"/>
  <c r="E92" i="136"/>
  <c r="M202" i="99"/>
  <c r="E88" i="167"/>
  <c r="E87" i="167"/>
  <c r="E91" i="136"/>
  <c r="E77" i="167"/>
  <c r="E81" i="136"/>
  <c r="F88" i="136"/>
  <c r="F84" i="167"/>
  <c r="M150" i="99"/>
  <c r="M201" i="99" s="1"/>
  <c r="K201" i="99"/>
  <c r="W55" i="165"/>
  <c r="X55" i="165"/>
  <c r="H184" i="99"/>
  <c r="H186" i="99"/>
  <c r="Q197" i="99" l="1"/>
  <c r="G114" i="167"/>
  <c r="E84" i="99"/>
  <c r="H197" i="99"/>
  <c r="S146" i="99"/>
  <c r="S197" i="99" s="1"/>
  <c r="Q184" i="99"/>
  <c r="S198" i="99"/>
  <c r="Q186" i="99"/>
  <c r="S182" i="99"/>
  <c r="Q187" i="99"/>
  <c r="Q176" i="99"/>
  <c r="S186" i="99"/>
  <c r="G18" i="130"/>
  <c r="D67" i="165"/>
  <c r="X44" i="165"/>
  <c r="H103" i="167"/>
  <c r="G107" i="136"/>
  <c r="E87" i="136"/>
  <c r="E83" i="167"/>
  <c r="E75" i="167"/>
  <c r="E79" i="136"/>
  <c r="N186" i="99"/>
  <c r="F118" i="167"/>
  <c r="F122" i="136"/>
  <c r="P204" i="99"/>
  <c r="F121" i="167"/>
  <c r="F125" i="136"/>
  <c r="K176" i="99"/>
  <c r="D59" i="167"/>
  <c r="D63" i="136"/>
  <c r="C14" i="134"/>
  <c r="C49" i="165"/>
  <c r="V49" i="165" s="1"/>
  <c r="W49" i="165" s="1"/>
  <c r="N184" i="99"/>
  <c r="Q83" i="165"/>
  <c r="L83" i="165"/>
  <c r="L102" i="165"/>
  <c r="Q102" i="165"/>
  <c r="S80" i="165"/>
  <c r="N80" i="165"/>
  <c r="E68" i="136"/>
  <c r="E64" i="167"/>
  <c r="E103" i="167"/>
  <c r="E107" i="136"/>
  <c r="M186" i="99"/>
  <c r="D21" i="135"/>
  <c r="O22" i="135"/>
  <c r="N22" i="135" s="1"/>
  <c r="J22" i="135"/>
  <c r="I22" i="135" s="1"/>
  <c r="M13" i="135"/>
  <c r="R13" i="135"/>
  <c r="G21" i="131"/>
  <c r="G21" i="130"/>
  <c r="Q11" i="135"/>
  <c r="L11" i="135"/>
  <c r="F19" i="131"/>
  <c r="F19" i="130"/>
  <c r="M11" i="135"/>
  <c r="R11" i="135"/>
  <c r="G19" i="130"/>
  <c r="G19" i="131"/>
  <c r="Q13" i="135"/>
  <c r="F21" i="131"/>
  <c r="L13" i="135"/>
  <c r="F21" i="130"/>
  <c r="D32" i="131"/>
  <c r="O24" i="135"/>
  <c r="N24" i="135" s="1"/>
  <c r="C32" i="131" s="1"/>
  <c r="J24" i="135"/>
  <c r="I24" i="135" s="1"/>
  <c r="D32" i="130"/>
  <c r="D22" i="131"/>
  <c r="O14" i="135"/>
  <c r="N14" i="135" s="1"/>
  <c r="C22" i="131" s="1"/>
  <c r="J14" i="135"/>
  <c r="I14" i="135" s="1"/>
  <c r="D22" i="130"/>
  <c r="R17" i="135"/>
  <c r="M17" i="135"/>
  <c r="G16" i="135"/>
  <c r="O23" i="135"/>
  <c r="N23" i="135" s="1"/>
  <c r="J23" i="135"/>
  <c r="I23" i="135" s="1"/>
  <c r="R33" i="135"/>
  <c r="G42" i="130"/>
  <c r="M33" i="135"/>
  <c r="G42" i="131"/>
  <c r="E22" i="131"/>
  <c r="P14" i="135"/>
  <c r="K14" i="135"/>
  <c r="M24" i="135"/>
  <c r="G32" i="131"/>
  <c r="R24" i="135"/>
  <c r="G32" i="130"/>
  <c r="P23" i="135"/>
  <c r="K23" i="135"/>
  <c r="G22" i="131"/>
  <c r="R14" i="135"/>
  <c r="G22" i="130"/>
  <c r="M14" i="135"/>
  <c r="L18" i="135"/>
  <c r="Q18" i="135"/>
  <c r="R12" i="135"/>
  <c r="M12" i="135"/>
  <c r="P201" i="99"/>
  <c r="D103" i="167"/>
  <c r="D107" i="136"/>
  <c r="J186" i="99"/>
  <c r="F117" i="167"/>
  <c r="F121" i="136"/>
  <c r="F119" i="136"/>
  <c r="F115" i="167"/>
  <c r="P146" i="99"/>
  <c r="E120" i="136"/>
  <c r="E116" i="167"/>
  <c r="H79" i="167"/>
  <c r="G83" i="136"/>
  <c r="T186" i="99"/>
  <c r="M182" i="99"/>
  <c r="E100" i="167"/>
  <c r="E104" i="136"/>
  <c r="E59" i="167"/>
  <c r="E63" i="136"/>
  <c r="H91" i="159"/>
  <c r="D97" i="159"/>
  <c r="C91" i="159"/>
  <c r="G91" i="159" s="1"/>
  <c r="F83" i="136"/>
  <c r="F79" i="167"/>
  <c r="E119" i="136"/>
  <c r="E115" i="167"/>
  <c r="M146" i="99"/>
  <c r="W102" i="165"/>
  <c r="X102" i="165"/>
  <c r="P102" i="165"/>
  <c r="K102" i="165"/>
  <c r="N79" i="165"/>
  <c r="S79" i="165"/>
  <c r="L79" i="165"/>
  <c r="Q79" i="165"/>
  <c r="W83" i="165"/>
  <c r="X83" i="165"/>
  <c r="P83" i="165"/>
  <c r="K83" i="165"/>
  <c r="M83" i="165"/>
  <c r="R83" i="165"/>
  <c r="R102" i="165"/>
  <c r="M102" i="165"/>
  <c r="Q82" i="165"/>
  <c r="L82" i="165"/>
  <c r="H118" i="167"/>
  <c r="G122" i="136"/>
  <c r="D120" i="136"/>
  <c r="D116" i="167"/>
  <c r="J199" i="99"/>
  <c r="V146" i="99"/>
  <c r="V197" i="99" s="1"/>
  <c r="G119" i="136"/>
  <c r="H115" i="167"/>
  <c r="E121" i="136"/>
  <c r="E117" i="167"/>
  <c r="N187" i="99"/>
  <c r="G87" i="136"/>
  <c r="H83" i="167"/>
  <c r="D16" i="135"/>
  <c r="O17" i="135"/>
  <c r="N17" i="135" s="1"/>
  <c r="J17" i="135"/>
  <c r="I17" i="135" s="1"/>
  <c r="G18" i="131"/>
  <c r="G9" i="135"/>
  <c r="R10" i="135"/>
  <c r="M10" i="135"/>
  <c r="D18" i="131"/>
  <c r="D9" i="135"/>
  <c r="O10" i="135"/>
  <c r="J10" i="135"/>
  <c r="D18" i="130"/>
  <c r="L17" i="135"/>
  <c r="Q17" i="135"/>
  <c r="F16" i="135"/>
  <c r="K10" i="135"/>
  <c r="E18" i="131"/>
  <c r="P10" i="135"/>
  <c r="D21" i="131"/>
  <c r="O13" i="135"/>
  <c r="N13" i="135" s="1"/>
  <c r="C21" i="131" s="1"/>
  <c r="J13" i="135"/>
  <c r="I13" i="135" s="1"/>
  <c r="D21" i="130"/>
  <c r="K17" i="135"/>
  <c r="P17" i="135"/>
  <c r="E16" i="135"/>
  <c r="G23" i="130"/>
  <c r="G23" i="131"/>
  <c r="M15" i="135"/>
  <c r="R15" i="135"/>
  <c r="Q19" i="135"/>
  <c r="L19" i="135"/>
  <c r="F27" i="131"/>
  <c r="F27" i="130"/>
  <c r="P18" i="135"/>
  <c r="K18" i="135"/>
  <c r="O12" i="135"/>
  <c r="N12" i="135" s="1"/>
  <c r="J12" i="135"/>
  <c r="I12" i="135" s="1"/>
  <c r="K15" i="135"/>
  <c r="P15" i="135"/>
  <c r="E23" i="131"/>
  <c r="F32" i="131"/>
  <c r="L24" i="135"/>
  <c r="Q24" i="135"/>
  <c r="F32" i="130"/>
  <c r="G33" i="130"/>
  <c r="G33" i="131"/>
  <c r="R25" i="135"/>
  <c r="M25" i="135"/>
  <c r="F59" i="167"/>
  <c r="F63" i="136"/>
  <c r="X49" i="165"/>
  <c r="E79" i="167"/>
  <c r="E83" i="136"/>
  <c r="G79" i="136"/>
  <c r="H75" i="167"/>
  <c r="E118" i="167"/>
  <c r="E122" i="136"/>
  <c r="F79" i="136"/>
  <c r="F75" i="167"/>
  <c r="G104" i="136"/>
  <c r="H100" i="167"/>
  <c r="V182" i="99"/>
  <c r="D115" i="167"/>
  <c r="D119" i="136"/>
  <c r="J146" i="99"/>
  <c r="J198" i="99"/>
  <c r="E224" i="99"/>
  <c r="E218" i="99"/>
  <c r="E227" i="99" s="1"/>
  <c r="D125" i="136"/>
  <c r="J204" i="99"/>
  <c r="D121" i="167"/>
  <c r="D117" i="167"/>
  <c r="D121" i="136"/>
  <c r="J200" i="99"/>
  <c r="J202" i="99"/>
  <c r="D119" i="167"/>
  <c r="D123" i="136"/>
  <c r="E101" i="167"/>
  <c r="E105" i="136"/>
  <c r="M184" i="99"/>
  <c r="M187" i="99"/>
  <c r="E108" i="136"/>
  <c r="E104" i="167"/>
  <c r="X80" i="165"/>
  <c r="W80" i="165"/>
  <c r="P80" i="165"/>
  <c r="K80" i="165"/>
  <c r="X79" i="165"/>
  <c r="W79" i="165"/>
  <c r="P79" i="165"/>
  <c r="K79" i="165"/>
  <c r="N82" i="165"/>
  <c r="S82" i="165"/>
  <c r="R82" i="165"/>
  <c r="M82" i="165"/>
  <c r="S83" i="165"/>
  <c r="N83" i="165"/>
  <c r="F103" i="167"/>
  <c r="F107" i="136"/>
  <c r="J201" i="99"/>
  <c r="D122" i="136"/>
  <c r="D118" i="167"/>
  <c r="G123" i="136"/>
  <c r="H119" i="167"/>
  <c r="F68" i="136"/>
  <c r="F64" i="167"/>
  <c r="D27" i="131"/>
  <c r="O19" i="135"/>
  <c r="N19" i="135" s="1"/>
  <c r="C27" i="131" s="1"/>
  <c r="J19" i="135"/>
  <c r="I19" i="135" s="1"/>
  <c r="K11" i="135"/>
  <c r="P11" i="135"/>
  <c r="E19" i="131"/>
  <c r="K13" i="135"/>
  <c r="P13" i="135"/>
  <c r="E21" i="131"/>
  <c r="R22" i="135"/>
  <c r="G21" i="135"/>
  <c r="M22" i="135"/>
  <c r="P12" i="135"/>
  <c r="K12" i="135"/>
  <c r="K20" i="135"/>
  <c r="E28" i="131"/>
  <c r="P20" i="135"/>
  <c r="F33" i="131"/>
  <c r="L25" i="135"/>
  <c r="F33" i="130"/>
  <c r="Q25" i="135"/>
  <c r="F23" i="131"/>
  <c r="L15" i="135"/>
  <c r="Q15" i="135"/>
  <c r="F23" i="130"/>
  <c r="M23" i="135"/>
  <c r="R23" i="135"/>
  <c r="E42" i="131"/>
  <c r="P33" i="135"/>
  <c r="K33" i="135"/>
  <c r="E32" i="131"/>
  <c r="K24" i="135"/>
  <c r="P24" i="135"/>
  <c r="R20" i="135"/>
  <c r="G28" i="130"/>
  <c r="G28" i="131"/>
  <c r="M20" i="135"/>
  <c r="P25" i="135"/>
  <c r="E33" i="131"/>
  <c r="K25" i="135"/>
  <c r="F28" i="130"/>
  <c r="L20" i="135"/>
  <c r="Q20" i="135"/>
  <c r="F28" i="131"/>
  <c r="H117" i="167"/>
  <c r="G121" i="136"/>
  <c r="N176" i="99"/>
  <c r="T176" i="99"/>
  <c r="V186" i="99"/>
  <c r="F83" i="167"/>
  <c r="P197" i="99"/>
  <c r="F87" i="136"/>
  <c r="E75" i="136"/>
  <c r="E71" i="167"/>
  <c r="G68" i="136"/>
  <c r="H64" i="167"/>
  <c r="H116" i="167"/>
  <c r="G120" i="136"/>
  <c r="W59" i="165"/>
  <c r="X59" i="165"/>
  <c r="H176" i="99"/>
  <c r="H171" i="99" s="1"/>
  <c r="E119" i="167"/>
  <c r="E123" i="136"/>
  <c r="R79" i="165"/>
  <c r="M79" i="165"/>
  <c r="W82" i="165"/>
  <c r="X82" i="165"/>
  <c r="P82" i="165"/>
  <c r="K82" i="165"/>
  <c r="S102" i="165"/>
  <c r="N102" i="165"/>
  <c r="L80" i="165"/>
  <c r="Q80" i="165"/>
  <c r="M80" i="165"/>
  <c r="R80" i="165"/>
  <c r="V204" i="99"/>
  <c r="G125" i="136"/>
  <c r="H121" i="167"/>
  <c r="P182" i="99"/>
  <c r="F104" i="136"/>
  <c r="F100" i="167"/>
  <c r="D100" i="167"/>
  <c r="D104" i="136"/>
  <c r="J182" i="99"/>
  <c r="J171" i="99" s="1"/>
  <c r="O15" i="135"/>
  <c r="N15" i="135" s="1"/>
  <c r="J15" i="135"/>
  <c r="I15" i="135" s="1"/>
  <c r="K22" i="135"/>
  <c r="E21" i="135"/>
  <c r="P22" i="135"/>
  <c r="O18" i="135"/>
  <c r="N18" i="135" s="1"/>
  <c r="J18" i="135"/>
  <c r="I18" i="135" s="1"/>
  <c r="F18" i="131"/>
  <c r="F9" i="135"/>
  <c r="L10" i="135"/>
  <c r="Q10" i="135"/>
  <c r="F21" i="135"/>
  <c r="Q22" i="135"/>
  <c r="L22" i="135"/>
  <c r="D19" i="131"/>
  <c r="O11" i="135"/>
  <c r="N11" i="135" s="1"/>
  <c r="C19" i="131" s="1"/>
  <c r="J11" i="135"/>
  <c r="I11" i="135" s="1"/>
  <c r="D19" i="130"/>
  <c r="D28" i="130"/>
  <c r="D28" i="131"/>
  <c r="O20" i="135"/>
  <c r="N20" i="135" s="1"/>
  <c r="C28" i="131" s="1"/>
  <c r="J20" i="135"/>
  <c r="I20" i="135" s="1"/>
  <c r="D42" i="131"/>
  <c r="O33" i="135"/>
  <c r="N33" i="135" s="1"/>
  <c r="C42" i="131" s="1"/>
  <c r="J33" i="135"/>
  <c r="I33" i="135" s="1"/>
  <c r="D42" i="130"/>
  <c r="Q12" i="135"/>
  <c r="L12" i="135"/>
  <c r="O25" i="135"/>
  <c r="N25" i="135" s="1"/>
  <c r="C33" i="131" s="1"/>
  <c r="D33" i="130"/>
  <c r="D33" i="131"/>
  <c r="J25" i="135"/>
  <c r="I25" i="135" s="1"/>
  <c r="L14" i="135"/>
  <c r="F22" i="130"/>
  <c r="F22" i="131"/>
  <c r="Q14" i="135"/>
  <c r="M19" i="135"/>
  <c r="R19" i="135"/>
  <c r="G27" i="131"/>
  <c r="G27" i="130"/>
  <c r="E27" i="131"/>
  <c r="P19" i="135"/>
  <c r="K19" i="135"/>
  <c r="M18" i="135"/>
  <c r="R18" i="135"/>
  <c r="F42" i="130"/>
  <c r="F42" i="131"/>
  <c r="Q33" i="135"/>
  <c r="L33" i="135"/>
  <c r="Q23" i="135"/>
  <c r="L23" i="135"/>
  <c r="F123" i="136"/>
  <c r="F119" i="167"/>
  <c r="F116" i="167"/>
  <c r="F120" i="136"/>
  <c r="H59" i="167"/>
  <c r="G63" i="136"/>
  <c r="X48" i="165"/>
  <c r="V198" i="99"/>
  <c r="O83" i="165" l="1"/>
  <c r="O102" i="165"/>
  <c r="J83" i="165"/>
  <c r="J102" i="165"/>
  <c r="O82" i="165"/>
  <c r="O80" i="165"/>
  <c r="J82" i="165"/>
  <c r="J80" i="165"/>
  <c r="I80" i="165" s="1"/>
  <c r="E20" i="131"/>
  <c r="R125" i="99"/>
  <c r="H12" i="135"/>
  <c r="I102" i="165"/>
  <c r="F93" i="136"/>
  <c r="F89" i="167"/>
  <c r="C19" i="130"/>
  <c r="H11" i="135"/>
  <c r="G67" i="136"/>
  <c r="H63" i="167"/>
  <c r="O79" i="165"/>
  <c r="P16" i="135"/>
  <c r="P9" i="135" s="1"/>
  <c r="K16" i="135"/>
  <c r="K9" i="135" s="1"/>
  <c r="E114" i="167"/>
  <c r="E118" i="136"/>
  <c r="H97" i="159"/>
  <c r="C97" i="159"/>
  <c r="G97" i="159" s="1"/>
  <c r="F114" i="167"/>
  <c r="F118" i="136"/>
  <c r="H23" i="135"/>
  <c r="R16" i="135"/>
  <c r="R9" i="135" s="1"/>
  <c r="M16" i="135"/>
  <c r="C32" i="130"/>
  <c r="H24" i="135"/>
  <c r="H22" i="135"/>
  <c r="X67" i="165"/>
  <c r="E9" i="135"/>
  <c r="G20" i="131"/>
  <c r="H33" i="135"/>
  <c r="C42" i="130"/>
  <c r="H20" i="135"/>
  <c r="C28" i="130"/>
  <c r="L21" i="135"/>
  <c r="Q21" i="135"/>
  <c r="E89" i="167"/>
  <c r="E93" i="136"/>
  <c r="F63" i="167"/>
  <c r="F67" i="136"/>
  <c r="J79" i="165"/>
  <c r="F62" i="136"/>
  <c r="N10" i="135"/>
  <c r="H17" i="135"/>
  <c r="O21" i="135"/>
  <c r="N21" i="135" s="1"/>
  <c r="J21" i="135"/>
  <c r="I21" i="135" s="1"/>
  <c r="F20" i="130"/>
  <c r="G20" i="130"/>
  <c r="P21" i="135"/>
  <c r="K21" i="135"/>
  <c r="C13" i="134"/>
  <c r="C10" i="134" s="1"/>
  <c r="C9" i="134" s="1"/>
  <c r="C32" i="134" s="1"/>
  <c r="C36" i="130" s="1"/>
  <c r="C48" i="165"/>
  <c r="M21" i="135"/>
  <c r="R21" i="135"/>
  <c r="Q16" i="135"/>
  <c r="Q9" i="135" s="1"/>
  <c r="L16" i="135"/>
  <c r="L9" i="135" s="1"/>
  <c r="I10" i="135"/>
  <c r="O16" i="135"/>
  <c r="N16" i="135" s="1"/>
  <c r="J16" i="135"/>
  <c r="I16" i="135" s="1"/>
  <c r="G118" i="136"/>
  <c r="H114" i="167"/>
  <c r="E62" i="136"/>
  <c r="E58" i="167"/>
  <c r="E67" i="136"/>
  <c r="E63" i="167"/>
  <c r="D62" i="136"/>
  <c r="M9" i="135"/>
  <c r="G62" i="136"/>
  <c r="C33" i="130"/>
  <c r="H25" i="135"/>
  <c r="H18" i="135"/>
  <c r="H15" i="135"/>
  <c r="C27" i="130"/>
  <c r="H19" i="135"/>
  <c r="D114" i="167"/>
  <c r="D118" i="136"/>
  <c r="J197" i="99"/>
  <c r="H13" i="135"/>
  <c r="C21" i="130"/>
  <c r="H14" i="135"/>
  <c r="C22" i="130"/>
  <c r="F20" i="131"/>
  <c r="M197" i="99"/>
  <c r="I82" i="165" l="1"/>
  <c r="I83" i="165"/>
  <c r="Q125" i="99"/>
  <c r="Q128" i="99" s="1"/>
  <c r="R128" i="99"/>
  <c r="R215" i="99"/>
  <c r="G9" i="167" s="1"/>
  <c r="V48" i="165"/>
  <c r="W48" i="165" s="1"/>
  <c r="C45" i="165"/>
  <c r="J9" i="135"/>
  <c r="H16" i="135"/>
  <c r="C18" i="131"/>
  <c r="N9" i="135"/>
  <c r="O9" i="135"/>
  <c r="K15" i="167"/>
  <c r="E135" i="167"/>
  <c r="E138" i="167" s="1"/>
  <c r="G93" i="136"/>
  <c r="H89" i="167"/>
  <c r="H10" i="135"/>
  <c r="I9" i="135"/>
  <c r="I79" i="165"/>
  <c r="C18" i="130"/>
  <c r="H21" i="135"/>
  <c r="E20" i="172" l="1"/>
  <c r="F20" i="172" s="1"/>
  <c r="E20" i="169"/>
  <c r="F20" i="169" s="1"/>
  <c r="G138" i="167"/>
  <c r="R218" i="99"/>
  <c r="R227" i="99" s="1"/>
  <c r="Q215" i="99"/>
  <c r="R224" i="99"/>
  <c r="T44" i="165"/>
  <c r="T67" i="165" s="1"/>
  <c r="C44" i="165"/>
  <c r="V45" i="165"/>
  <c r="W45" i="165" s="1"/>
  <c r="F100" i="136"/>
  <c r="F96" i="167"/>
  <c r="H9" i="135"/>
  <c r="H96" i="167"/>
  <c r="G100" i="136"/>
  <c r="E100" i="136"/>
  <c r="E96" i="167"/>
  <c r="D58" i="167"/>
  <c r="I125" i="99"/>
  <c r="H58" i="167"/>
  <c r="U125" i="99"/>
  <c r="F58" i="167"/>
  <c r="O125" i="99"/>
  <c r="Q218" i="99" l="1"/>
  <c r="Q227" i="99" s="1"/>
  <c r="Q224" i="99"/>
  <c r="Q242" i="99" s="1"/>
  <c r="C67" i="165"/>
  <c r="V67" i="165" s="1"/>
  <c r="W67" i="165" s="1"/>
  <c r="V44" i="165"/>
  <c r="W44" i="165" s="1"/>
  <c r="L15" i="167"/>
  <c r="F135" i="167"/>
  <c r="O128" i="99"/>
  <c r="N125" i="99"/>
  <c r="O215" i="99"/>
  <c r="I128" i="99"/>
  <c r="H125" i="99"/>
  <c r="I215" i="99"/>
  <c r="H135" i="167"/>
  <c r="M15" i="167"/>
  <c r="U128" i="99"/>
  <c r="U215" i="99"/>
  <c r="T125" i="99"/>
  <c r="J15" i="167"/>
  <c r="D135" i="167"/>
  <c r="E96" i="136"/>
  <c r="E92" i="167"/>
  <c r="D100" i="136"/>
  <c r="D96" i="167"/>
  <c r="E30" i="153" l="1"/>
  <c r="T128" i="99"/>
  <c r="F30" i="153" s="1"/>
  <c r="F26" i="153" s="1"/>
  <c r="D13" i="136"/>
  <c r="I13" i="136" s="1"/>
  <c r="I218" i="99"/>
  <c r="I227" i="99" s="1"/>
  <c r="D9" i="167"/>
  <c r="H215" i="99"/>
  <c r="I224" i="99"/>
  <c r="E21" i="153"/>
  <c r="N128" i="99"/>
  <c r="F21" i="153" s="1"/>
  <c r="F17" i="153" s="1"/>
  <c r="F9" i="167"/>
  <c r="F13" i="136"/>
  <c r="K13" i="136" s="1"/>
  <c r="N215" i="99"/>
  <c r="O218" i="99"/>
  <c r="O227" i="99" s="1"/>
  <c r="O224" i="99"/>
  <c r="E91" i="167"/>
  <c r="E95" i="136"/>
  <c r="U218" i="99"/>
  <c r="U227" i="99" s="1"/>
  <c r="U224" i="99"/>
  <c r="H9" i="167"/>
  <c r="G13" i="136"/>
  <c r="L13" i="136" s="1"/>
  <c r="T215" i="99"/>
  <c r="E12" i="153"/>
  <c r="H128" i="99"/>
  <c r="F12" i="153" s="1"/>
  <c r="F8" i="153" s="1"/>
  <c r="H138" i="167" l="1"/>
  <c r="E22" i="172"/>
  <c r="F22" i="172" s="1"/>
  <c r="E22" i="169"/>
  <c r="F22" i="169" s="1"/>
  <c r="F138" i="167"/>
  <c r="E18" i="172"/>
  <c r="F18" i="172" s="1"/>
  <c r="E18" i="169"/>
  <c r="F18" i="169" s="1"/>
  <c r="D138" i="167"/>
  <c r="E14" i="172"/>
  <c r="F14" i="172" s="1"/>
  <c r="E14" i="169"/>
  <c r="F14" i="169" s="1"/>
  <c r="S129" i="99"/>
  <c r="Q126" i="99"/>
  <c r="Q129" i="99" s="1"/>
  <c r="F39" i="134"/>
  <c r="F74" i="165"/>
  <c r="E26" i="153"/>
  <c r="H26" i="153" s="1"/>
  <c r="H30" i="153"/>
  <c r="T224" i="99"/>
  <c r="T218" i="99"/>
  <c r="T227" i="99" s="1"/>
  <c r="L16" i="167"/>
  <c r="L9" i="167"/>
  <c r="H21" i="153"/>
  <c r="E17" i="153"/>
  <c r="H17" i="153" s="1"/>
  <c r="J9" i="167"/>
  <c r="J16" i="167"/>
  <c r="H12" i="153"/>
  <c r="E8" i="153"/>
  <c r="H8" i="153" s="1"/>
  <c r="M9" i="167"/>
  <c r="M16" i="167"/>
  <c r="E66" i="136"/>
  <c r="E62" i="167"/>
  <c r="H74" i="165"/>
  <c r="G39" i="134"/>
  <c r="N224" i="99"/>
  <c r="N218" i="99"/>
  <c r="N227" i="99" s="1"/>
  <c r="H218" i="99"/>
  <c r="H227" i="99" s="1"/>
  <c r="H224" i="99"/>
  <c r="N242" i="99" l="1"/>
  <c r="H242" i="99"/>
  <c r="T242" i="99"/>
  <c r="C74" i="165"/>
  <c r="V74" i="165" s="1"/>
  <c r="C39" i="134"/>
  <c r="G37" i="134"/>
  <c r="H72" i="165"/>
  <c r="F72" i="165"/>
  <c r="F37" i="134"/>
  <c r="D74" i="165"/>
  <c r="D39" i="134"/>
  <c r="H93" i="167"/>
  <c r="G97" i="136"/>
  <c r="F93" i="167"/>
  <c r="F97" i="136"/>
  <c r="E242" i="99" l="1"/>
  <c r="F96" i="136"/>
  <c r="F92" i="167"/>
  <c r="H71" i="165"/>
  <c r="G36" i="134"/>
  <c r="C72" i="165"/>
  <c r="V72" i="165" s="1"/>
  <c r="C37" i="134"/>
  <c r="F36" i="134"/>
  <c r="F71" i="165"/>
  <c r="D37" i="134"/>
  <c r="D72" i="165"/>
  <c r="W74" i="165"/>
  <c r="X74" i="165"/>
  <c r="H92" i="167"/>
  <c r="G96" i="136"/>
  <c r="D97" i="136"/>
  <c r="D93" i="167"/>
  <c r="F35" i="134" l="1"/>
  <c r="F70" i="165"/>
  <c r="X72" i="165"/>
  <c r="W72" i="165"/>
  <c r="F95" i="136"/>
  <c r="F91" i="167"/>
  <c r="H70" i="165"/>
  <c r="G35" i="134"/>
  <c r="D96" i="136"/>
  <c r="D92" i="167"/>
  <c r="C36" i="134"/>
  <c r="C71" i="165"/>
  <c r="D71" i="165"/>
  <c r="D36" i="134"/>
  <c r="H91" i="167"/>
  <c r="G95" i="136"/>
  <c r="G66" i="136" l="1"/>
  <c r="H62" i="167"/>
  <c r="F7" i="134"/>
  <c r="F42" i="165"/>
  <c r="X71" i="165"/>
  <c r="E15" i="58"/>
  <c r="D95" i="136"/>
  <c r="D91" i="167"/>
  <c r="F66" i="136"/>
  <c r="F62" i="167"/>
  <c r="C35" i="134"/>
  <c r="D70" i="165"/>
  <c r="D35" i="134"/>
  <c r="H42" i="165"/>
  <c r="G7" i="134"/>
  <c r="V71" i="165"/>
  <c r="W71" i="165" s="1"/>
  <c r="C70" i="165"/>
  <c r="V70" i="165" s="1"/>
  <c r="D15" i="58" l="1"/>
  <c r="N123" i="99"/>
  <c r="D7" i="134"/>
  <c r="D42" i="165"/>
  <c r="X70" i="165"/>
  <c r="W70" i="165"/>
  <c r="C42" i="165"/>
  <c r="C7" i="134"/>
  <c r="C45" i="134" s="1"/>
  <c r="D66" i="136"/>
  <c r="D62" i="167"/>
  <c r="F45" i="134"/>
  <c r="F10" i="130"/>
  <c r="G10" i="130"/>
  <c r="G45" i="134"/>
  <c r="T123" i="99"/>
  <c r="P129" i="99"/>
  <c r="N126" i="99"/>
  <c r="V129" i="99"/>
  <c r="T126" i="99"/>
  <c r="H126" i="99" l="1"/>
  <c r="J129" i="99"/>
  <c r="V42" i="165"/>
  <c r="W42" i="165" s="1"/>
  <c r="D10" i="130"/>
  <c r="D45" i="134"/>
  <c r="C43" i="134"/>
  <c r="X42" i="165"/>
  <c r="E31" i="153"/>
  <c r="T129" i="99"/>
  <c r="F31" i="153" s="1"/>
  <c r="N129" i="99"/>
  <c r="F22" i="153" s="1"/>
  <c r="E22" i="153"/>
  <c r="H123" i="99"/>
  <c r="H31" i="153" l="1"/>
  <c r="H129" i="99"/>
  <c r="F13" i="153" s="1"/>
  <c r="E13" i="153"/>
  <c r="H22" i="153"/>
  <c r="E123" i="99"/>
  <c r="G129" i="99" l="1"/>
  <c r="E126" i="99"/>
  <c r="E129" i="99" s="1"/>
  <c r="H13" i="153"/>
  <c r="G31" i="84" l="1"/>
  <c r="I22" i="20"/>
  <c r="G21" i="20"/>
  <c r="I21" i="20" l="1"/>
  <c r="BP21" i="20" s="1"/>
  <c r="BN21" i="20"/>
  <c r="I28" i="20"/>
  <c r="BP22" i="20"/>
  <c r="L28" i="55"/>
  <c r="N31" i="84"/>
  <c r="F15" i="84"/>
  <c r="N15" i="84" s="1"/>
  <c r="I27" i="20"/>
  <c r="J28" i="20"/>
  <c r="I48" i="20"/>
  <c r="H28" i="55" l="1"/>
  <c r="J54" i="99"/>
  <c r="D19" i="132"/>
  <c r="D20" i="165"/>
  <c r="U17" i="165" s="1"/>
  <c r="L25" i="55"/>
  <c r="J48" i="20"/>
  <c r="J27" i="20"/>
  <c r="I47" i="20"/>
  <c r="J47" i="20" s="1"/>
  <c r="G175" i="99"/>
  <c r="G172" i="99" s="1"/>
  <c r="E43" i="99"/>
  <c r="X43" i="99" s="1"/>
  <c r="G54" i="99" l="1"/>
  <c r="D38" i="167"/>
  <c r="W54" i="99"/>
  <c r="C20" i="165"/>
  <c r="AC28" i="55"/>
  <c r="J51" i="99"/>
  <c r="H25" i="55"/>
  <c r="D16" i="132"/>
  <c r="D17" i="165"/>
  <c r="H54" i="99"/>
  <c r="H51" i="99" s="1"/>
  <c r="K20" i="165"/>
  <c r="J20" i="165" s="1"/>
  <c r="P20" i="165"/>
  <c r="O20" i="165" s="1"/>
  <c r="X20" i="165"/>
  <c r="O19" i="132"/>
  <c r="N19" i="132" s="1"/>
  <c r="C23" i="131" s="1"/>
  <c r="C20" i="131" s="1"/>
  <c r="J19" i="132"/>
  <c r="I19" i="132" s="1"/>
  <c r="D23" i="130"/>
  <c r="D20" i="130" s="1"/>
  <c r="D23" i="131"/>
  <c r="D20" i="131" s="1"/>
  <c r="F12" i="84"/>
  <c r="N12" i="84" s="1"/>
  <c r="G11" i="84"/>
  <c r="G10" i="84" s="1"/>
  <c r="E175" i="99"/>
  <c r="E172" i="99" s="1"/>
  <c r="C5" i="173" s="1"/>
  <c r="E40" i="99"/>
  <c r="X40" i="99" s="1"/>
  <c r="V20" i="165" l="1"/>
  <c r="W20" i="165" s="1"/>
  <c r="T17" i="165"/>
  <c r="W51" i="99"/>
  <c r="C17" i="165"/>
  <c r="V17" i="165" s="1"/>
  <c r="AC25" i="55"/>
  <c r="G51" i="99"/>
  <c r="D35" i="167"/>
  <c r="I20" i="165"/>
  <c r="K17" i="165"/>
  <c r="P17" i="165"/>
  <c r="W17" i="165"/>
  <c r="X17" i="165"/>
  <c r="H19" i="132"/>
  <c r="C23" i="130"/>
  <c r="C20" i="130" s="1"/>
  <c r="O16" i="132"/>
  <c r="J16" i="132"/>
  <c r="C11" i="132"/>
  <c r="O17" i="165" l="1"/>
  <c r="N16" i="132"/>
  <c r="J17" i="165"/>
  <c r="I16" i="132"/>
  <c r="H11" i="132"/>
  <c r="I12" i="165"/>
  <c r="V12" i="165"/>
  <c r="W12" i="165" s="1"/>
  <c r="H16" i="132" l="1"/>
  <c r="I17" i="165"/>
  <c r="H18" i="57"/>
  <c r="H137" i="99" s="1"/>
  <c r="I18" i="57"/>
  <c r="K137" i="99" s="1"/>
  <c r="J18" i="57"/>
  <c r="N137" i="99" s="1"/>
  <c r="L18" i="57"/>
  <c r="T137" i="99" s="1"/>
  <c r="V84" i="165"/>
  <c r="G15" i="57"/>
  <c r="C81" i="165" s="1"/>
  <c r="G81" i="165" s="1"/>
  <c r="E137" i="99"/>
  <c r="G137" i="99" l="1"/>
  <c r="X137" i="99"/>
  <c r="K15" i="57"/>
  <c r="Q134" i="99" s="1"/>
  <c r="G102" i="167" s="1"/>
  <c r="W134" i="99"/>
  <c r="E84" i="165"/>
  <c r="L84" i="165" s="1"/>
  <c r="E134" i="99"/>
  <c r="X134" i="99" s="1"/>
  <c r="H84" i="165"/>
  <c r="S84" i="165" s="1"/>
  <c r="G134" i="99"/>
  <c r="L15" i="57"/>
  <c r="T134" i="99" s="1"/>
  <c r="H15" i="57"/>
  <c r="H134" i="99" s="1"/>
  <c r="I15" i="57"/>
  <c r="K134" i="99" s="1"/>
  <c r="J15" i="57"/>
  <c r="N134" i="99" s="1"/>
  <c r="F84" i="165"/>
  <c r="D84" i="165"/>
  <c r="Q84" i="165" l="1"/>
  <c r="S137" i="99"/>
  <c r="N84" i="165"/>
  <c r="R84" i="165"/>
  <c r="M84" i="165"/>
  <c r="M137" i="99"/>
  <c r="V137" i="99"/>
  <c r="J137" i="99"/>
  <c r="H188" i="99"/>
  <c r="W84" i="165"/>
  <c r="X84" i="165"/>
  <c r="P84" i="165"/>
  <c r="K84" i="165"/>
  <c r="P137" i="99"/>
  <c r="V81" i="165"/>
  <c r="D81" i="165"/>
  <c r="F81" i="165"/>
  <c r="E81" i="165"/>
  <c r="H81" i="165"/>
  <c r="O84" i="165" l="1"/>
  <c r="J84" i="165"/>
  <c r="S134" i="99"/>
  <c r="S81" i="165"/>
  <c r="N81" i="165"/>
  <c r="E105" i="167"/>
  <c r="E109" i="136"/>
  <c r="M134" i="99"/>
  <c r="M81" i="165"/>
  <c r="R81" i="165"/>
  <c r="P81" i="165"/>
  <c r="W81" i="165"/>
  <c r="K81" i="165"/>
  <c r="X81" i="165"/>
  <c r="H185" i="99"/>
  <c r="G109" i="136"/>
  <c r="H105" i="167"/>
  <c r="V134" i="99"/>
  <c r="F105" i="167"/>
  <c r="F109" i="136"/>
  <c r="P134" i="99"/>
  <c r="L81" i="165"/>
  <c r="Q81" i="165"/>
  <c r="D105" i="167"/>
  <c r="J188" i="99"/>
  <c r="J134" i="99"/>
  <c r="D109" i="136"/>
  <c r="I84" i="165" l="1"/>
  <c r="D102" i="167"/>
  <c r="D106" i="136"/>
  <c r="J185" i="99"/>
  <c r="E106" i="136"/>
  <c r="E102" i="167"/>
  <c r="J81" i="165"/>
  <c r="O81" i="165"/>
  <c r="F102" i="167"/>
  <c r="F106" i="136"/>
  <c r="G106" i="136"/>
  <c r="H102" i="167"/>
  <c r="I81" i="165" l="1"/>
  <c r="G46" i="57" l="1"/>
  <c r="G45" i="57"/>
  <c r="G43" i="57" l="1"/>
  <c r="D21" i="58" s="1"/>
  <c r="D25" i="58" s="1"/>
  <c r="G185" i="99" l="1"/>
  <c r="G188" i="99"/>
  <c r="E54" i="99"/>
  <c r="E188" i="99" s="1"/>
  <c r="X54" i="99" l="1"/>
  <c r="E51" i="99"/>
  <c r="V188" i="99" l="1"/>
  <c r="T54" i="99"/>
  <c r="K54" i="99"/>
  <c r="M188" i="99"/>
  <c r="P188" i="99"/>
  <c r="N54" i="99"/>
  <c r="X51" i="99"/>
  <c r="E185" i="99"/>
  <c r="S188" i="99"/>
  <c r="Q54" i="99"/>
  <c r="S185" i="99" l="1"/>
  <c r="P185" i="99"/>
  <c r="T51" i="99"/>
  <c r="T185" i="99" s="1"/>
  <c r="T188" i="99"/>
  <c r="M185" i="99"/>
  <c r="Q188" i="99"/>
  <c r="Q51" i="99"/>
  <c r="Q185" i="99" s="1"/>
  <c r="N51" i="99"/>
  <c r="N185" i="99" s="1"/>
  <c r="N188" i="99"/>
  <c r="K188" i="99"/>
  <c r="K51" i="99"/>
  <c r="K185" i="99" s="1"/>
  <c r="V185" i="99"/>
  <c r="N13" i="132" l="1"/>
  <c r="C17" i="131" s="1"/>
  <c r="J11" i="84"/>
  <c r="J10" i="84" s="1"/>
  <c r="H11" i="84"/>
  <c r="H10" i="84" s="1"/>
  <c r="AB22" i="55"/>
  <c r="T22" i="55"/>
  <c r="P48" i="99" s="1"/>
  <c r="F32" i="167" s="1"/>
  <c r="F29" i="167" s="1"/>
  <c r="I11" i="84"/>
  <c r="I10" i="84" s="1"/>
  <c r="K11" i="84"/>
  <c r="K10" i="84" s="1"/>
  <c r="X22" i="55"/>
  <c r="G14" i="165" s="1"/>
  <c r="G11" i="165" s="1"/>
  <c r="F17" i="84"/>
  <c r="P22" i="55"/>
  <c r="AB13" i="55" l="1"/>
  <c r="H14" i="165"/>
  <c r="N14" i="165" s="1"/>
  <c r="P13" i="55"/>
  <c r="M17" i="84"/>
  <c r="S14" i="165"/>
  <c r="H11" i="165"/>
  <c r="N48" i="99"/>
  <c r="P39" i="99"/>
  <c r="P181" i="99"/>
  <c r="P171" i="99" s="1"/>
  <c r="E14" i="165"/>
  <c r="E13" i="132"/>
  <c r="H22" i="55"/>
  <c r="F14" i="165"/>
  <c r="F11" i="84"/>
  <c r="T13" i="55"/>
  <c r="C13" i="132"/>
  <c r="M48" i="99"/>
  <c r="E32" i="167" s="1"/>
  <c r="E29" i="167" s="1"/>
  <c r="X13" i="55"/>
  <c r="F13" i="132"/>
  <c r="S48" i="99"/>
  <c r="G32" i="167" s="1"/>
  <c r="G29" i="167" s="1"/>
  <c r="V48" i="99"/>
  <c r="H32" i="167" s="1"/>
  <c r="H29" i="167" s="1"/>
  <c r="N17" i="84"/>
  <c r="G13" i="132"/>
  <c r="W48" i="99" l="1"/>
  <c r="C14" i="165"/>
  <c r="AC22" i="55"/>
  <c r="G48" i="99"/>
  <c r="H13" i="55"/>
  <c r="G17" i="131"/>
  <c r="M13" i="132"/>
  <c r="G17" i="130"/>
  <c r="R13" i="132"/>
  <c r="G10" i="132"/>
  <c r="F17" i="131"/>
  <c r="F10" i="132"/>
  <c r="Q13" i="132"/>
  <c r="F17" i="130"/>
  <c r="L13" i="132"/>
  <c r="I14" i="165"/>
  <c r="V14" i="165"/>
  <c r="W14" i="165" s="1"/>
  <c r="S181" i="99"/>
  <c r="S171" i="99" s="1"/>
  <c r="S39" i="99"/>
  <c r="Q48" i="99"/>
  <c r="H13" i="132"/>
  <c r="R14" i="165"/>
  <c r="M14" i="165"/>
  <c r="F11" i="165"/>
  <c r="X14" i="165"/>
  <c r="Q14" i="165"/>
  <c r="E11" i="165"/>
  <c r="L14" i="165"/>
  <c r="V181" i="99"/>
  <c r="V171" i="99" s="1"/>
  <c r="T48" i="99"/>
  <c r="V39" i="99"/>
  <c r="M181" i="99"/>
  <c r="M171" i="99" s="1"/>
  <c r="K48" i="99"/>
  <c r="M39" i="99"/>
  <c r="C14" i="132"/>
  <c r="H14" i="132" s="1"/>
  <c r="C11" i="165"/>
  <c r="F10" i="84"/>
  <c r="AE38" i="55" s="1"/>
  <c r="N11" i="84"/>
  <c r="P13" i="132"/>
  <c r="E17" i="131"/>
  <c r="E10" i="132"/>
  <c r="K13" i="132"/>
  <c r="N39" i="99"/>
  <c r="N181" i="99"/>
  <c r="N171" i="99" s="1"/>
  <c r="W39" i="99" l="1"/>
  <c r="AC13" i="55"/>
  <c r="K39" i="99"/>
  <c r="K181" i="99"/>
  <c r="K171" i="99" s="1"/>
  <c r="X11" i="165"/>
  <c r="Q39" i="99"/>
  <c r="Q181" i="99"/>
  <c r="Q171" i="99" s="1"/>
  <c r="C10" i="132"/>
  <c r="V15" i="165"/>
  <c r="W15" i="165" s="1"/>
  <c r="I15" i="165"/>
  <c r="G39" i="99"/>
  <c r="E48" i="99"/>
  <c r="G181" i="99"/>
  <c r="G171" i="99" s="1"/>
  <c r="T11" i="165"/>
  <c r="N10" i="84"/>
  <c r="F10" i="90"/>
  <c r="T39" i="99"/>
  <c r="T181" i="99"/>
  <c r="T171" i="99" s="1"/>
  <c r="V11" i="165"/>
  <c r="W11" i="165" s="1"/>
  <c r="I11" i="165"/>
  <c r="E10" i="90" l="1"/>
  <c r="C9" i="132"/>
  <c r="H10" i="132"/>
  <c r="E181" i="99"/>
  <c r="E39" i="99"/>
  <c r="X39" i="99" s="1"/>
  <c r="X48" i="99"/>
  <c r="E171" i="99" l="1"/>
  <c r="C7" i="173"/>
  <c r="F11" i="90"/>
  <c r="F13" i="90" s="1"/>
  <c r="F14" i="90" s="1"/>
  <c r="E17" i="90"/>
  <c r="D10" i="90"/>
  <c r="D17" i="90" s="1"/>
  <c r="E11" i="90"/>
  <c r="G11" i="90"/>
  <c r="G13" i="90" s="1"/>
  <c r="E18" i="90" l="1"/>
  <c r="E20" i="90" s="1"/>
  <c r="E21" i="90" s="1"/>
  <c r="F15" i="90"/>
  <c r="F17" i="90"/>
  <c r="I18" i="90"/>
  <c r="I20" i="90" s="1"/>
  <c r="I21" i="90" s="1"/>
  <c r="J5" i="187" s="1"/>
  <c r="J18" i="90"/>
  <c r="J20" i="90" s="1"/>
  <c r="J21" i="90" s="1"/>
  <c r="K5" i="187" s="1"/>
  <c r="H18" i="90"/>
  <c r="H20" i="90" s="1"/>
  <c r="H21" i="90" s="1"/>
  <c r="I5" i="187" s="1"/>
  <c r="G14" i="90"/>
  <c r="G5" i="186" l="1"/>
  <c r="G27" i="22"/>
  <c r="G49" i="186"/>
  <c r="G45" i="186"/>
  <c r="G41" i="186"/>
  <c r="G31" i="186"/>
  <c r="G27" i="186"/>
  <c r="G22" i="186"/>
  <c r="G37" i="186"/>
  <c r="C24" i="165" s="1"/>
  <c r="G46" i="186"/>
  <c r="G42" i="186"/>
  <c r="G32" i="186"/>
  <c r="G28" i="186"/>
  <c r="G23" i="186"/>
  <c r="G47" i="186"/>
  <c r="G43" i="186"/>
  <c r="G33" i="186"/>
  <c r="G29" i="186"/>
  <c r="G25" i="186"/>
  <c r="G48" i="186"/>
  <c r="G44" i="186"/>
  <c r="G34" i="186"/>
  <c r="G30" i="186"/>
  <c r="G26" i="186"/>
  <c r="G21" i="186"/>
  <c r="F18" i="90"/>
  <c r="F20" i="90" s="1"/>
  <c r="F21" i="90" s="1"/>
  <c r="C29" i="165" s="1"/>
  <c r="G39" i="186"/>
  <c r="G15" i="186"/>
  <c r="G50" i="186"/>
  <c r="G60" i="186"/>
  <c r="G51" i="186"/>
  <c r="G53" i="186"/>
  <c r="G11" i="186"/>
  <c r="G13" i="186"/>
  <c r="G14" i="186"/>
  <c r="G15" i="90"/>
  <c r="G17" i="90"/>
  <c r="G18" i="90" s="1"/>
  <c r="G20" i="90" s="1"/>
  <c r="G21" i="90" s="1"/>
  <c r="J53" i="187"/>
  <c r="J29" i="187"/>
  <c r="J55" i="187"/>
  <c r="J42" i="187"/>
  <c r="J35" i="187"/>
  <c r="J26" i="187"/>
  <c r="J30" i="187"/>
  <c r="J23" i="187"/>
  <c r="J14" i="187"/>
  <c r="J21" i="187"/>
  <c r="J19" i="187"/>
  <c r="J22" i="187"/>
  <c r="J34" i="187"/>
  <c r="J38" i="187"/>
  <c r="J33" i="187"/>
  <c r="J54" i="187"/>
  <c r="J15" i="187"/>
  <c r="J41" i="187"/>
  <c r="J50" i="187"/>
  <c r="J13" i="187"/>
  <c r="J17" i="187"/>
  <c r="J32" i="187"/>
  <c r="J10" i="187"/>
  <c r="J43" i="187"/>
  <c r="J46" i="187"/>
  <c r="J58" i="187"/>
  <c r="J25" i="187"/>
  <c r="J44" i="187"/>
  <c r="J52" i="187"/>
  <c r="J36" i="187"/>
  <c r="J51" i="187"/>
  <c r="J40" i="187"/>
  <c r="J16" i="187"/>
  <c r="J31" i="187"/>
  <c r="J45" i="187"/>
  <c r="J27" i="187"/>
  <c r="J28" i="187"/>
  <c r="J11" i="187"/>
  <c r="J47" i="187"/>
  <c r="J18" i="187"/>
  <c r="J48" i="187"/>
  <c r="J57" i="187"/>
  <c r="J12" i="187"/>
  <c r="J49" i="187"/>
  <c r="J56" i="187"/>
  <c r="J39" i="187"/>
  <c r="K58" i="187"/>
  <c r="K47" i="187"/>
  <c r="K41" i="187"/>
  <c r="K30" i="187"/>
  <c r="K12" i="187"/>
  <c r="K56" i="187"/>
  <c r="K38" i="187"/>
  <c r="K53" i="187"/>
  <c r="K49" i="187"/>
  <c r="K31" i="187"/>
  <c r="K29" i="187"/>
  <c r="K46" i="187"/>
  <c r="K16" i="187"/>
  <c r="K55" i="187"/>
  <c r="K50" i="187"/>
  <c r="K45" i="187"/>
  <c r="K35" i="187"/>
  <c r="K32" i="187"/>
  <c r="K26" i="187"/>
  <c r="K13" i="187"/>
  <c r="K17" i="187"/>
  <c r="K10" i="187"/>
  <c r="K43" i="187"/>
  <c r="K25" i="187"/>
  <c r="K34" i="187"/>
  <c r="K52" i="187"/>
  <c r="K14" i="187"/>
  <c r="K19" i="187"/>
  <c r="K23" i="187"/>
  <c r="K42" i="187"/>
  <c r="K27" i="187"/>
  <c r="K40" i="187"/>
  <c r="K21" i="187"/>
  <c r="K20" i="187" s="1"/>
  <c r="K11" i="187"/>
  <c r="K18" i="187"/>
  <c r="K33" i="187"/>
  <c r="K36" i="187"/>
  <c r="K48" i="187"/>
  <c r="K51" i="187"/>
  <c r="K54" i="187"/>
  <c r="K57" i="187"/>
  <c r="K22" i="187"/>
  <c r="K15" i="187"/>
  <c r="K44" i="187"/>
  <c r="K28" i="187"/>
  <c r="K39" i="187"/>
  <c r="G17" i="186"/>
  <c r="G63" i="186"/>
  <c r="G18" i="186"/>
  <c r="G52" i="186"/>
  <c r="G10" i="186"/>
  <c r="G35" i="186"/>
  <c r="G61" i="186"/>
  <c r="G54" i="186"/>
  <c r="G58" i="186"/>
  <c r="I55" i="187"/>
  <c r="I17" i="187"/>
  <c r="I32" i="187"/>
  <c r="I35" i="187"/>
  <c r="I47" i="187"/>
  <c r="I50" i="187"/>
  <c r="I53" i="187"/>
  <c r="I56" i="187"/>
  <c r="I10" i="187"/>
  <c r="I57" i="187"/>
  <c r="I14" i="187"/>
  <c r="I48" i="187"/>
  <c r="I11" i="187"/>
  <c r="I15" i="187"/>
  <c r="I19" i="187"/>
  <c r="I30" i="187"/>
  <c r="I34" i="187"/>
  <c r="I40" i="187"/>
  <c r="I44" i="187"/>
  <c r="I52" i="187"/>
  <c r="I41" i="187"/>
  <c r="I49" i="187"/>
  <c r="I25" i="187"/>
  <c r="I26" i="187"/>
  <c r="I23" i="187"/>
  <c r="I13" i="187"/>
  <c r="I18" i="187"/>
  <c r="I21" i="187"/>
  <c r="I33" i="187"/>
  <c r="I46" i="187"/>
  <c r="I36" i="187"/>
  <c r="I58" i="187"/>
  <c r="I12" i="187"/>
  <c r="I16" i="187"/>
  <c r="I31" i="187"/>
  <c r="I38" i="187"/>
  <c r="I42" i="187"/>
  <c r="I43" i="187"/>
  <c r="I51" i="187"/>
  <c r="I22" i="187"/>
  <c r="I28" i="187"/>
  <c r="I45" i="187"/>
  <c r="I29" i="187"/>
  <c r="I27" i="187"/>
  <c r="I54" i="187"/>
  <c r="I39" i="187"/>
  <c r="G16" i="186"/>
  <c r="G59" i="186"/>
  <c r="G56" i="186"/>
  <c r="G36" i="186"/>
  <c r="G55" i="186"/>
  <c r="G57" i="186"/>
  <c r="G19" i="186"/>
  <c r="G62" i="186"/>
  <c r="G12" i="186"/>
  <c r="G38" i="186"/>
  <c r="G29" i="165" l="1"/>
  <c r="F29" i="165"/>
  <c r="H29" i="165"/>
  <c r="D29" i="165"/>
  <c r="V29" i="165"/>
  <c r="E29" i="165"/>
  <c r="H5" i="187"/>
  <c r="C93" i="165"/>
  <c r="G24" i="165"/>
  <c r="H24" i="165"/>
  <c r="E24" i="165"/>
  <c r="V24" i="165"/>
  <c r="D24" i="165"/>
  <c r="F24" i="165"/>
  <c r="H5" i="186"/>
  <c r="C88" i="165"/>
  <c r="G78" i="22"/>
  <c r="G25" i="22"/>
  <c r="G5" i="187"/>
  <c r="F5" i="187" s="1"/>
  <c r="G22" i="22"/>
  <c r="G24" i="22"/>
  <c r="G23" i="22" s="1"/>
  <c r="G26" i="22"/>
  <c r="H48" i="186"/>
  <c r="H44" i="186"/>
  <c r="H34" i="186"/>
  <c r="L34" i="186" s="1"/>
  <c r="H30" i="186"/>
  <c r="L30" i="186" s="1"/>
  <c r="H26" i="186"/>
  <c r="H49" i="186"/>
  <c r="H45" i="186"/>
  <c r="L45" i="186" s="1"/>
  <c r="H41" i="186"/>
  <c r="L41" i="186" s="1"/>
  <c r="H31" i="186"/>
  <c r="H27" i="186"/>
  <c r="H22" i="186"/>
  <c r="L22" i="186" s="1"/>
  <c r="H37" i="186"/>
  <c r="L37" i="186" s="1"/>
  <c r="H46" i="186"/>
  <c r="H42" i="186"/>
  <c r="H32" i="186"/>
  <c r="L32" i="186" s="1"/>
  <c r="H28" i="186"/>
  <c r="L28" i="186" s="1"/>
  <c r="H23" i="186"/>
  <c r="H47" i="186"/>
  <c r="H43" i="186"/>
  <c r="H33" i="186"/>
  <c r="L33" i="186" s="1"/>
  <c r="H29" i="186"/>
  <c r="H25" i="186"/>
  <c r="H21" i="186"/>
  <c r="L21" i="186" s="1"/>
  <c r="L25" i="186"/>
  <c r="L47" i="186"/>
  <c r="L42" i="186"/>
  <c r="L27" i="186"/>
  <c r="L49" i="186"/>
  <c r="L26" i="186"/>
  <c r="L48" i="186"/>
  <c r="L43" i="186"/>
  <c r="H30" i="55"/>
  <c r="C22" i="165" s="1"/>
  <c r="L44" i="186"/>
  <c r="H31" i="55"/>
  <c r="C23" i="165" s="1"/>
  <c r="V23" i="165" s="1"/>
  <c r="L23" i="186"/>
  <c r="L29" i="186"/>
  <c r="L46" i="186"/>
  <c r="L31" i="186"/>
  <c r="G60" i="22"/>
  <c r="G77" i="22"/>
  <c r="G9" i="186"/>
  <c r="G20" i="186"/>
  <c r="G40" i="186"/>
  <c r="G24" i="186"/>
  <c r="H35" i="187"/>
  <c r="H26" i="187"/>
  <c r="H17" i="187"/>
  <c r="H11" i="187"/>
  <c r="H29" i="187"/>
  <c r="H19" i="187"/>
  <c r="H30" i="187"/>
  <c r="H13" i="187"/>
  <c r="H58" i="187"/>
  <c r="H53" i="187"/>
  <c r="H34" i="187"/>
  <c r="H44" i="187"/>
  <c r="H48" i="187"/>
  <c r="H57" i="187"/>
  <c r="H42" i="187"/>
  <c r="H21" i="187"/>
  <c r="H25" i="187"/>
  <c r="H16" i="187"/>
  <c r="H31" i="187"/>
  <c r="H38" i="187"/>
  <c r="H49" i="187"/>
  <c r="H55" i="187"/>
  <c r="H56" i="187"/>
  <c r="H10" i="187"/>
  <c r="H14" i="187"/>
  <c r="H18" i="187"/>
  <c r="H33" i="187"/>
  <c r="H43" i="187"/>
  <c r="H51" i="187"/>
  <c r="H40" i="187"/>
  <c r="H52" i="187"/>
  <c r="H15" i="187"/>
  <c r="H23" i="187"/>
  <c r="G25" i="57" s="1"/>
  <c r="W144" i="99" s="1"/>
  <c r="H22" i="187"/>
  <c r="H12" i="187"/>
  <c r="H45" i="187"/>
  <c r="H32" i="187"/>
  <c r="H50" i="187"/>
  <c r="H36" i="187"/>
  <c r="H46" i="187"/>
  <c r="H54" i="187"/>
  <c r="H28" i="187"/>
  <c r="H41" i="187"/>
  <c r="H47" i="187"/>
  <c r="H27" i="187"/>
  <c r="H39" i="187"/>
  <c r="G75" i="22"/>
  <c r="I20" i="187"/>
  <c r="I9" i="187"/>
  <c r="K24" i="187"/>
  <c r="J20" i="187"/>
  <c r="I24" i="187"/>
  <c r="K9" i="187"/>
  <c r="J24" i="187"/>
  <c r="J9" i="187"/>
  <c r="H14" i="186"/>
  <c r="H62" i="186"/>
  <c r="H56" i="186"/>
  <c r="H13" i="186"/>
  <c r="H51" i="186"/>
  <c r="H17" i="186"/>
  <c r="H50" i="186"/>
  <c r="H11" i="186"/>
  <c r="H18" i="186"/>
  <c r="H61" i="186"/>
  <c r="H53" i="186"/>
  <c r="H52" i="186"/>
  <c r="H58" i="186"/>
  <c r="H38" i="186"/>
  <c r="L38" i="186" s="1"/>
  <c r="H39" i="186"/>
  <c r="L39" i="186" s="1"/>
  <c r="H55" i="186"/>
  <c r="H54" i="186"/>
  <c r="H16" i="186"/>
  <c r="H19" i="186"/>
  <c r="H35" i="186"/>
  <c r="L35" i="186" s="1"/>
  <c r="H15" i="186"/>
  <c r="H36" i="186"/>
  <c r="L36" i="186" s="1"/>
  <c r="H60" i="186"/>
  <c r="H12" i="186"/>
  <c r="H63" i="186"/>
  <c r="H59" i="186"/>
  <c r="H57" i="186"/>
  <c r="G21" i="57"/>
  <c r="W140" i="99" s="1"/>
  <c r="H10" i="186"/>
  <c r="V22" i="165" l="1"/>
  <c r="R24" i="165"/>
  <c r="M24" i="165"/>
  <c r="N24" i="165"/>
  <c r="S24" i="165"/>
  <c r="X29" i="165"/>
  <c r="W29" i="165"/>
  <c r="K29" i="165"/>
  <c r="J29" i="165" s="1"/>
  <c r="I29" i="165" s="1"/>
  <c r="P29" i="165"/>
  <c r="O29" i="165" s="1"/>
  <c r="X24" i="165"/>
  <c r="W24" i="165"/>
  <c r="P24" i="165"/>
  <c r="O24" i="165" s="1"/>
  <c r="K24" i="165"/>
  <c r="J24" i="165" s="1"/>
  <c r="N29" i="165"/>
  <c r="S29" i="165"/>
  <c r="G88" i="165"/>
  <c r="V88" i="165"/>
  <c r="H88" i="165"/>
  <c r="D88" i="165"/>
  <c r="F88" i="165"/>
  <c r="E88" i="165"/>
  <c r="Q29" i="165"/>
  <c r="L29" i="165"/>
  <c r="R29" i="165"/>
  <c r="M29" i="165"/>
  <c r="Q24" i="165"/>
  <c r="L24" i="165"/>
  <c r="G93" i="165"/>
  <c r="D93" i="165"/>
  <c r="H93" i="165"/>
  <c r="V93" i="165"/>
  <c r="F93" i="165"/>
  <c r="E93" i="165"/>
  <c r="K8" i="187"/>
  <c r="G27" i="187"/>
  <c r="L27" i="187" s="1"/>
  <c r="G40" i="187"/>
  <c r="G54" i="187"/>
  <c r="G10" i="187"/>
  <c r="L10" i="187" s="1"/>
  <c r="G53" i="187"/>
  <c r="G31" i="187"/>
  <c r="G46" i="187"/>
  <c r="G16" i="187"/>
  <c r="L16" i="187" s="1"/>
  <c r="G17" i="187"/>
  <c r="L17" i="187" s="1"/>
  <c r="G18" i="187"/>
  <c r="G21" i="187"/>
  <c r="G39" i="187"/>
  <c r="L39" i="187" s="1"/>
  <c r="G58" i="187"/>
  <c r="G28" i="187"/>
  <c r="G28" i="22" s="1"/>
  <c r="G26" i="187"/>
  <c r="G48" i="187"/>
  <c r="L48" i="187" s="1"/>
  <c r="G49" i="187"/>
  <c r="G52" i="187"/>
  <c r="G43" i="187"/>
  <c r="G30" i="187"/>
  <c r="L30" i="187" s="1"/>
  <c r="G13" i="187"/>
  <c r="G50" i="187"/>
  <c r="G23" i="187"/>
  <c r="H35" i="55" s="1"/>
  <c r="C28" i="165" s="1"/>
  <c r="V28" i="165" s="1"/>
  <c r="G14" i="187"/>
  <c r="L14" i="187" s="1"/>
  <c r="G25" i="187"/>
  <c r="L25" i="187" s="1"/>
  <c r="G45" i="187"/>
  <c r="G56" i="187"/>
  <c r="G44" i="187"/>
  <c r="L44" i="187" s="1"/>
  <c r="G34" i="187"/>
  <c r="L34" i="187" s="1"/>
  <c r="G29" i="187"/>
  <c r="L29" i="187" s="1"/>
  <c r="G22" i="187"/>
  <c r="G55" i="187"/>
  <c r="G42" i="187"/>
  <c r="G57" i="187"/>
  <c r="G35" i="187"/>
  <c r="G33" i="187"/>
  <c r="L33" i="187" s="1"/>
  <c r="G41" i="187"/>
  <c r="G47" i="187"/>
  <c r="G36" i="187"/>
  <c r="G19" i="187"/>
  <c r="L19" i="187" s="1"/>
  <c r="G12" i="187"/>
  <c r="L12" i="187" s="1"/>
  <c r="G15" i="187"/>
  <c r="G38" i="187"/>
  <c r="G32" i="187"/>
  <c r="L32" i="187" s="1"/>
  <c r="G51" i="187"/>
  <c r="G11" i="187"/>
  <c r="L49" i="187"/>
  <c r="L35" i="187"/>
  <c r="L28" i="187"/>
  <c r="L50" i="187"/>
  <c r="L22" i="187"/>
  <c r="L40" i="187"/>
  <c r="L18" i="187"/>
  <c r="L26" i="187"/>
  <c r="W57" i="99"/>
  <c r="AB31" i="55"/>
  <c r="V57" i="99" s="1"/>
  <c r="P31" i="55"/>
  <c r="X31" i="55"/>
  <c r="G23" i="165" s="1"/>
  <c r="T31" i="55"/>
  <c r="L31" i="55"/>
  <c r="L41" i="187"/>
  <c r="L36" i="187"/>
  <c r="L31" i="187"/>
  <c r="L42" i="187"/>
  <c r="W56" i="99"/>
  <c r="T30" i="55"/>
  <c r="AB30" i="55"/>
  <c r="P30" i="55"/>
  <c r="X30" i="55"/>
  <c r="G22" i="165" s="1"/>
  <c r="L30" i="55"/>
  <c r="L47" i="187"/>
  <c r="L46" i="187"/>
  <c r="L45" i="187"/>
  <c r="L15" i="187"/>
  <c r="L43" i="187"/>
  <c r="L38" i="187"/>
  <c r="L21" i="187"/>
  <c r="L13" i="187"/>
  <c r="L11" i="187"/>
  <c r="L23" i="187"/>
  <c r="G8" i="186"/>
  <c r="G61" i="22"/>
  <c r="K25" i="57"/>
  <c r="Q144" i="99" s="1"/>
  <c r="G112" i="167" s="1"/>
  <c r="I25" i="57"/>
  <c r="K144" i="99" s="1"/>
  <c r="E144" i="99"/>
  <c r="X144" i="99" s="1"/>
  <c r="L25" i="57"/>
  <c r="T144" i="99" s="1"/>
  <c r="J25" i="57"/>
  <c r="N144" i="99" s="1"/>
  <c r="C92" i="165"/>
  <c r="G92" i="165" s="1"/>
  <c r="H25" i="57"/>
  <c r="H144" i="99" s="1"/>
  <c r="H24" i="187"/>
  <c r="I8" i="187"/>
  <c r="G24" i="57"/>
  <c r="W143" i="99" s="1"/>
  <c r="H20" i="187"/>
  <c r="J8" i="187"/>
  <c r="H9" i="187"/>
  <c r="H40" i="186"/>
  <c r="L40" i="186" s="1"/>
  <c r="H9" i="186"/>
  <c r="H24" i="186"/>
  <c r="L24" i="186" s="1"/>
  <c r="K21" i="57"/>
  <c r="Q140" i="99" s="1"/>
  <c r="G108" i="167" s="1"/>
  <c r="E140" i="99"/>
  <c r="X140" i="99" s="1"/>
  <c r="J21" i="57"/>
  <c r="N140" i="99" s="1"/>
  <c r="C87" i="165"/>
  <c r="G87" i="165" s="1"/>
  <c r="L21" i="57"/>
  <c r="T140" i="99" s="1"/>
  <c r="I21" i="57"/>
  <c r="K140" i="99" s="1"/>
  <c r="H21" i="57"/>
  <c r="H140" i="99" s="1"/>
  <c r="G20" i="57"/>
  <c r="W139" i="99" s="1"/>
  <c r="H20" i="186"/>
  <c r="N93" i="165" l="1"/>
  <c r="S93" i="165"/>
  <c r="S88" i="165"/>
  <c r="N88" i="165"/>
  <c r="L93" i="165"/>
  <c r="Q93" i="165"/>
  <c r="W93" i="165"/>
  <c r="X93" i="165"/>
  <c r="P93" i="165"/>
  <c r="K93" i="165"/>
  <c r="Q88" i="165"/>
  <c r="L88" i="165"/>
  <c r="I24" i="165"/>
  <c r="R93" i="165"/>
  <c r="M93" i="165"/>
  <c r="M88" i="165"/>
  <c r="R88" i="165"/>
  <c r="T57" i="99"/>
  <c r="H41" i="167"/>
  <c r="P88" i="165"/>
  <c r="O88" i="165" s="1"/>
  <c r="K88" i="165"/>
  <c r="W88" i="165"/>
  <c r="X88" i="165"/>
  <c r="J56" i="99"/>
  <c r="D22" i="165"/>
  <c r="D21" i="132"/>
  <c r="P56" i="99"/>
  <c r="F21" i="132"/>
  <c r="F22" i="165"/>
  <c r="J57" i="99"/>
  <c r="D41" i="167" s="1"/>
  <c r="D23" i="165"/>
  <c r="D22" i="132"/>
  <c r="G24" i="187"/>
  <c r="L24" i="187" s="1"/>
  <c r="V56" i="99"/>
  <c r="H40" i="167" s="1"/>
  <c r="M57" i="99"/>
  <c r="E22" i="132"/>
  <c r="E23" i="165"/>
  <c r="AC30" i="55"/>
  <c r="AC31" i="55"/>
  <c r="M56" i="99"/>
  <c r="E21" i="132"/>
  <c r="E22" i="165"/>
  <c r="S57" i="99"/>
  <c r="H23" i="165"/>
  <c r="G22" i="132"/>
  <c r="W61" i="99"/>
  <c r="X35" i="55"/>
  <c r="G28" i="165" s="1"/>
  <c r="T35" i="55"/>
  <c r="L35" i="55"/>
  <c r="P35" i="55"/>
  <c r="AB35" i="55"/>
  <c r="V61" i="99" s="1"/>
  <c r="H45" i="167" s="1"/>
  <c r="H34" i="55"/>
  <c r="C27" i="165" s="1"/>
  <c r="G20" i="187"/>
  <c r="L20" i="187" s="1"/>
  <c r="AE39" i="55"/>
  <c r="H32" i="55"/>
  <c r="C25" i="165" s="1"/>
  <c r="S56" i="99"/>
  <c r="H22" i="165"/>
  <c r="G21" i="132"/>
  <c r="P57" i="99"/>
  <c r="F23" i="165"/>
  <c r="F22" i="132"/>
  <c r="G9" i="187"/>
  <c r="S144" i="99"/>
  <c r="M144" i="99"/>
  <c r="D92" i="165"/>
  <c r="E92" i="165"/>
  <c r="V92" i="165"/>
  <c r="F92" i="165"/>
  <c r="H92" i="165"/>
  <c r="G144" i="99"/>
  <c r="H8" i="187"/>
  <c r="P144" i="99"/>
  <c r="K24" i="57"/>
  <c r="Q143" i="99" s="1"/>
  <c r="G111" i="167" s="1"/>
  <c r="L24" i="57"/>
  <c r="T143" i="99" s="1"/>
  <c r="C91" i="165"/>
  <c r="G91" i="165" s="1"/>
  <c r="I24" i="57"/>
  <c r="K143" i="99" s="1"/>
  <c r="E143" i="99"/>
  <c r="X143" i="99" s="1"/>
  <c r="J24" i="57"/>
  <c r="N143" i="99" s="1"/>
  <c r="H24" i="57"/>
  <c r="H143" i="99" s="1"/>
  <c r="J144" i="99"/>
  <c r="V144" i="99"/>
  <c r="H8" i="186"/>
  <c r="J20" i="57"/>
  <c r="N139" i="99" s="1"/>
  <c r="K20" i="57"/>
  <c r="Q139" i="99" s="1"/>
  <c r="G107" i="167" s="1"/>
  <c r="L20" i="57"/>
  <c r="T139" i="99" s="1"/>
  <c r="I20" i="57"/>
  <c r="K139" i="99" s="1"/>
  <c r="H20" i="57"/>
  <c r="H139" i="99" s="1"/>
  <c r="E139" i="99"/>
  <c r="X139" i="99" s="1"/>
  <c r="C86" i="165"/>
  <c r="G86" i="165" s="1"/>
  <c r="J140" i="99"/>
  <c r="E87" i="165"/>
  <c r="D87" i="165"/>
  <c r="F87" i="165"/>
  <c r="V87" i="165"/>
  <c r="H87" i="165"/>
  <c r="S140" i="99"/>
  <c r="S191" i="99" s="1"/>
  <c r="T191" i="99"/>
  <c r="V140" i="99"/>
  <c r="G140" i="99"/>
  <c r="M140" i="99"/>
  <c r="P140" i="99"/>
  <c r="Q56" i="99" l="1"/>
  <c r="G40" i="167"/>
  <c r="V27" i="165"/>
  <c r="K56" i="99"/>
  <c r="E40" i="167"/>
  <c r="H56" i="99"/>
  <c r="D40" i="167"/>
  <c r="N57" i="99"/>
  <c r="N191" i="99" s="1"/>
  <c r="F41" i="167"/>
  <c r="G25" i="165"/>
  <c r="H25" i="165"/>
  <c r="V25" i="165"/>
  <c r="E25" i="165"/>
  <c r="F25" i="165"/>
  <c r="D25" i="165"/>
  <c r="C21" i="165"/>
  <c r="T21" i="165"/>
  <c r="Q57" i="99"/>
  <c r="Q191" i="99" s="1"/>
  <c r="G41" i="167"/>
  <c r="K57" i="99"/>
  <c r="K191" i="99" s="1"/>
  <c r="E41" i="167"/>
  <c r="N56" i="99"/>
  <c r="F40" i="167"/>
  <c r="J93" i="165"/>
  <c r="I93" i="165" s="1"/>
  <c r="J88" i="165"/>
  <c r="I88" i="165" s="1"/>
  <c r="O93" i="165"/>
  <c r="G8" i="187"/>
  <c r="H36" i="55" s="1"/>
  <c r="AC35" i="55"/>
  <c r="W58" i="99"/>
  <c r="X32" i="55"/>
  <c r="AB32" i="55"/>
  <c r="P32" i="55"/>
  <c r="L32" i="55"/>
  <c r="T32" i="55"/>
  <c r="H29" i="55"/>
  <c r="P61" i="99"/>
  <c r="F27" i="132"/>
  <c r="F28" i="165"/>
  <c r="M22" i="132"/>
  <c r="R22" i="132"/>
  <c r="G26" i="130"/>
  <c r="G26" i="131"/>
  <c r="Q22" i="165"/>
  <c r="L22" i="165"/>
  <c r="E21" i="165"/>
  <c r="Q23" i="165"/>
  <c r="L23" i="165"/>
  <c r="F21" i="165"/>
  <c r="M22" i="165"/>
  <c r="R22" i="165"/>
  <c r="M8" i="186"/>
  <c r="N12" i="57"/>
  <c r="AE40" i="55"/>
  <c r="AE41" i="55" s="1"/>
  <c r="L22" i="132"/>
  <c r="Q22" i="132"/>
  <c r="F26" i="131"/>
  <c r="F26" i="130"/>
  <c r="P34" i="55"/>
  <c r="L34" i="55"/>
  <c r="X34" i="55"/>
  <c r="G27" i="165" s="1"/>
  <c r="T34" i="55"/>
  <c r="W60" i="99"/>
  <c r="AB34" i="55"/>
  <c r="J61" i="99"/>
  <c r="D27" i="132"/>
  <c r="D28" i="165"/>
  <c r="J22" i="132"/>
  <c r="I22" i="132" s="1"/>
  <c r="O22" i="132"/>
  <c r="N22" i="132" s="1"/>
  <c r="C26" i="131" s="1"/>
  <c r="D26" i="131"/>
  <c r="D26" i="130"/>
  <c r="X22" i="165"/>
  <c r="W22" i="165"/>
  <c r="D21" i="165"/>
  <c r="U21" i="165"/>
  <c r="K22" i="165"/>
  <c r="J22" i="165" s="1"/>
  <c r="P22" i="165"/>
  <c r="O22" i="165" s="1"/>
  <c r="G26" i="57"/>
  <c r="N13" i="57"/>
  <c r="N22" i="165"/>
  <c r="S22" i="165"/>
  <c r="H21" i="165"/>
  <c r="M61" i="99"/>
  <c r="E27" i="132"/>
  <c r="E28" i="165"/>
  <c r="K21" i="132"/>
  <c r="P21" i="132"/>
  <c r="E20" i="132"/>
  <c r="E25" i="131"/>
  <c r="P22" i="132"/>
  <c r="K22" i="132"/>
  <c r="E26" i="131"/>
  <c r="G57" i="99"/>
  <c r="E57" i="99" s="1"/>
  <c r="H57" i="99"/>
  <c r="H191" i="99" s="1"/>
  <c r="D20" i="132"/>
  <c r="J21" i="132"/>
  <c r="I21" i="132" s="1"/>
  <c r="O21" i="132"/>
  <c r="N21" i="132" s="1"/>
  <c r="C25" i="131" s="1"/>
  <c r="C24" i="131" s="1"/>
  <c r="C13" i="131" s="1"/>
  <c r="D25" i="131"/>
  <c r="D24" i="131" s="1"/>
  <c r="D13" i="131" s="1"/>
  <c r="D25" i="130"/>
  <c r="D24" i="130" s="1"/>
  <c r="D13" i="130" s="1"/>
  <c r="L9" i="187"/>
  <c r="R23" i="165"/>
  <c r="M23" i="165"/>
  <c r="R21" i="132"/>
  <c r="M21" i="132"/>
  <c r="G20" i="132"/>
  <c r="G25" i="131"/>
  <c r="G25" i="130"/>
  <c r="T61" i="99"/>
  <c r="T195" i="99" s="1"/>
  <c r="S61" i="99"/>
  <c r="G27" i="132"/>
  <c r="H28" i="165"/>
  <c r="S23" i="165"/>
  <c r="N23" i="165"/>
  <c r="G56" i="99"/>
  <c r="E56" i="99" s="1"/>
  <c r="X56" i="99" s="1"/>
  <c r="T56" i="99"/>
  <c r="K23" i="165"/>
  <c r="J23" i="165" s="1"/>
  <c r="X23" i="165"/>
  <c r="W23" i="165"/>
  <c r="P23" i="165"/>
  <c r="O23" i="165" s="1"/>
  <c r="F20" i="132"/>
  <c r="L21" i="132"/>
  <c r="Q21" i="132"/>
  <c r="F25" i="130"/>
  <c r="F25" i="131"/>
  <c r="G23" i="57"/>
  <c r="W142" i="99" s="1"/>
  <c r="W145" i="99"/>
  <c r="D116" i="136"/>
  <c r="D112" i="167"/>
  <c r="J195" i="99"/>
  <c r="R92" i="165"/>
  <c r="M92" i="165"/>
  <c r="G143" i="99"/>
  <c r="V143" i="99"/>
  <c r="F112" i="167"/>
  <c r="F116" i="136"/>
  <c r="P195" i="99"/>
  <c r="N92" i="165"/>
  <c r="S92" i="165"/>
  <c r="X92" i="165"/>
  <c r="W92" i="165"/>
  <c r="K92" i="165"/>
  <c r="P92" i="165"/>
  <c r="H112" i="167"/>
  <c r="G116" i="136"/>
  <c r="V195" i="99"/>
  <c r="P143" i="99"/>
  <c r="F91" i="165"/>
  <c r="E91" i="165"/>
  <c r="H91" i="165"/>
  <c r="D91" i="165"/>
  <c r="V91" i="165"/>
  <c r="Q92" i="165"/>
  <c r="L92" i="165"/>
  <c r="K26" i="57"/>
  <c r="Q145" i="99" s="1"/>
  <c r="L26" i="57"/>
  <c r="T145" i="99" s="1"/>
  <c r="T142" i="99" s="1"/>
  <c r="I26" i="57"/>
  <c r="K145" i="99" s="1"/>
  <c r="K142" i="99" s="1"/>
  <c r="E145" i="99"/>
  <c r="J26" i="57"/>
  <c r="N145" i="99" s="1"/>
  <c r="N142" i="99" s="1"/>
  <c r="C94" i="165"/>
  <c r="G94" i="165" s="1"/>
  <c r="H26" i="57"/>
  <c r="H145" i="99" s="1"/>
  <c r="H142" i="99" s="1"/>
  <c r="J143" i="99"/>
  <c r="M143" i="99"/>
  <c r="S143" i="99"/>
  <c r="E116" i="136"/>
  <c r="E112" i="167"/>
  <c r="G22" i="57"/>
  <c r="N87" i="165"/>
  <c r="S87" i="165"/>
  <c r="Q87" i="165"/>
  <c r="L87" i="165"/>
  <c r="H190" i="99"/>
  <c r="J139" i="99"/>
  <c r="E112" i="136"/>
  <c r="E108" i="167"/>
  <c r="M191" i="99"/>
  <c r="W87" i="165"/>
  <c r="X87" i="165"/>
  <c r="K87" i="165"/>
  <c r="P87" i="165"/>
  <c r="D108" i="167"/>
  <c r="J191" i="99"/>
  <c r="D112" i="136"/>
  <c r="G139" i="99"/>
  <c r="S139" i="99"/>
  <c r="Q190" i="99"/>
  <c r="G112" i="136"/>
  <c r="H108" i="167"/>
  <c r="V191" i="99"/>
  <c r="M87" i="165"/>
  <c r="R87" i="165"/>
  <c r="E86" i="165"/>
  <c r="H86" i="165"/>
  <c r="F86" i="165"/>
  <c r="V86" i="165"/>
  <c r="D86" i="165"/>
  <c r="T190" i="99"/>
  <c r="V139" i="99"/>
  <c r="F108" i="167"/>
  <c r="P191" i="99"/>
  <c r="F112" i="136"/>
  <c r="K190" i="99"/>
  <c r="M139" i="99"/>
  <c r="P139" i="99"/>
  <c r="N190" i="99"/>
  <c r="E190" i="99" l="1"/>
  <c r="K61" i="99"/>
  <c r="K195" i="99" s="1"/>
  <c r="E45" i="167"/>
  <c r="R25" i="165"/>
  <c r="M25" i="165"/>
  <c r="Q142" i="99"/>
  <c r="G110" i="167" s="1"/>
  <c r="G113" i="167"/>
  <c r="L25" i="165"/>
  <c r="Q25" i="165"/>
  <c r="Q61" i="99"/>
  <c r="Q195" i="99" s="1"/>
  <c r="G45" i="167"/>
  <c r="H61" i="99"/>
  <c r="H195" i="99" s="1"/>
  <c r="D45" i="167"/>
  <c r="N61" i="99"/>
  <c r="N195" i="99" s="1"/>
  <c r="F45" i="167"/>
  <c r="V21" i="165"/>
  <c r="T10" i="165"/>
  <c r="C10" i="165"/>
  <c r="H33" i="55"/>
  <c r="C30" i="165"/>
  <c r="G21" i="165"/>
  <c r="G10" i="165" s="1"/>
  <c r="P25" i="165"/>
  <c r="O25" i="165" s="1"/>
  <c r="W25" i="165"/>
  <c r="X25" i="165"/>
  <c r="K25" i="165"/>
  <c r="J25" i="165" s="1"/>
  <c r="I25" i="165" s="1"/>
  <c r="S25" i="165"/>
  <c r="N25" i="165"/>
  <c r="J87" i="165"/>
  <c r="J92" i="165"/>
  <c r="O87" i="165"/>
  <c r="O92" i="165"/>
  <c r="M195" i="99"/>
  <c r="F24" i="130"/>
  <c r="F13" i="130" s="1"/>
  <c r="G24" i="131"/>
  <c r="G13" i="131" s="1"/>
  <c r="L8" i="187"/>
  <c r="F24" i="131"/>
  <c r="F13" i="131" s="1"/>
  <c r="I23" i="165"/>
  <c r="G24" i="130"/>
  <c r="G13" i="130" s="1"/>
  <c r="G191" i="99"/>
  <c r="AC34" i="55"/>
  <c r="H21" i="132"/>
  <c r="C25" i="130"/>
  <c r="H22" i="132"/>
  <c r="C26" i="130"/>
  <c r="S60" i="99"/>
  <c r="H27" i="165"/>
  <c r="G26" i="132"/>
  <c r="M28" i="165"/>
  <c r="R28" i="165"/>
  <c r="W55" i="99"/>
  <c r="H12" i="55"/>
  <c r="H43" i="55" s="1"/>
  <c r="M58" i="99"/>
  <c r="E42" i="167" s="1"/>
  <c r="P29" i="55"/>
  <c r="I22" i="165"/>
  <c r="L20" i="132"/>
  <c r="L9" i="132" s="1"/>
  <c r="Q20" i="132"/>
  <c r="Q9" i="132" s="1"/>
  <c r="F9" i="132"/>
  <c r="R27" i="132"/>
  <c r="M27" i="132"/>
  <c r="G31" i="131"/>
  <c r="G31" i="130"/>
  <c r="K20" i="132"/>
  <c r="K9" i="132" s="1"/>
  <c r="P20" i="132"/>
  <c r="P9" i="132" s="1"/>
  <c r="E9" i="132"/>
  <c r="P27" i="132"/>
  <c r="K27" i="132"/>
  <c r="E31" i="131"/>
  <c r="X28" i="165"/>
  <c r="W28" i="165"/>
  <c r="K28" i="165"/>
  <c r="J28" i="165" s="1"/>
  <c r="P28" i="165"/>
  <c r="O28" i="165" s="1"/>
  <c r="W59" i="99"/>
  <c r="P60" i="99"/>
  <c r="F26" i="132"/>
  <c r="F27" i="165"/>
  <c r="W62" i="99"/>
  <c r="AB36" i="55"/>
  <c r="V62" i="99" s="1"/>
  <c r="H46" i="167" s="1"/>
  <c r="X36" i="55"/>
  <c r="S62" i="99" s="1"/>
  <c r="G46" i="167" s="1"/>
  <c r="P36" i="55"/>
  <c r="M62" i="99" s="1"/>
  <c r="E46" i="167" s="1"/>
  <c r="T36" i="55"/>
  <c r="P62" i="99" s="1"/>
  <c r="F46" i="167" s="1"/>
  <c r="L36" i="55"/>
  <c r="J62" i="99" s="1"/>
  <c r="D46" i="167" s="1"/>
  <c r="J58" i="99"/>
  <c r="D42" i="167" s="1"/>
  <c r="L29" i="55"/>
  <c r="S195" i="99"/>
  <c r="N28" i="165"/>
  <c r="S28" i="165"/>
  <c r="E191" i="99"/>
  <c r="X57" i="99"/>
  <c r="Q28" i="165"/>
  <c r="L28" i="165"/>
  <c r="N21" i="165"/>
  <c r="N10" i="165" s="1"/>
  <c r="S21" i="165"/>
  <c r="S10" i="165" s="1"/>
  <c r="H10" i="165"/>
  <c r="X21" i="165"/>
  <c r="K21" i="165"/>
  <c r="P21" i="165"/>
  <c r="W21" i="165"/>
  <c r="D10" i="165"/>
  <c r="U10" i="165"/>
  <c r="M60" i="99"/>
  <c r="E26" i="132"/>
  <c r="E27" i="165"/>
  <c r="M21" i="165"/>
  <c r="M10" i="165" s="1"/>
  <c r="R21" i="165"/>
  <c r="R10" i="165" s="1"/>
  <c r="F10" i="165"/>
  <c r="Q27" i="132"/>
  <c r="L27" i="132"/>
  <c r="F31" i="130"/>
  <c r="F31" i="131"/>
  <c r="P58" i="99"/>
  <c r="F42" i="167" s="1"/>
  <c r="T29" i="55"/>
  <c r="S58" i="99"/>
  <c r="G42" i="167" s="1"/>
  <c r="X29" i="55"/>
  <c r="G61" i="99"/>
  <c r="E24" i="131"/>
  <c r="E13" i="131" s="1"/>
  <c r="M20" i="132"/>
  <c r="M9" i="132" s="1"/>
  <c r="R20" i="132"/>
  <c r="R9" i="132" s="1"/>
  <c r="G9" i="132"/>
  <c r="O20" i="132"/>
  <c r="J20" i="132"/>
  <c r="D9" i="132"/>
  <c r="J27" i="132"/>
  <c r="I27" i="132" s="1"/>
  <c r="O27" i="132"/>
  <c r="N27" i="132" s="1"/>
  <c r="C31" i="131" s="1"/>
  <c r="D31" i="130"/>
  <c r="D31" i="131"/>
  <c r="V60" i="99"/>
  <c r="AB33" i="55"/>
  <c r="V59" i="99" s="1"/>
  <c r="H43" i="167" s="1"/>
  <c r="J60" i="99"/>
  <c r="D44" i="167" s="1"/>
  <c r="D26" i="132"/>
  <c r="D27" i="165"/>
  <c r="L33" i="55"/>
  <c r="J59" i="99" s="1"/>
  <c r="D43" i="167" s="1"/>
  <c r="Q21" i="165"/>
  <c r="Q10" i="165" s="1"/>
  <c r="L21" i="165"/>
  <c r="L10" i="165" s="1"/>
  <c r="E10" i="165"/>
  <c r="V58" i="99"/>
  <c r="H42" i="167" s="1"/>
  <c r="AB29" i="55"/>
  <c r="N14" i="57"/>
  <c r="AC32" i="55"/>
  <c r="X145" i="99"/>
  <c r="H23" i="57"/>
  <c r="I23" i="57"/>
  <c r="L23" i="57"/>
  <c r="K23" i="57"/>
  <c r="G19" i="57"/>
  <c r="I19" i="57" s="1"/>
  <c r="I12" i="57" s="1"/>
  <c r="W141" i="99"/>
  <c r="J23" i="57"/>
  <c r="G145" i="99"/>
  <c r="E115" i="136"/>
  <c r="E111" i="167"/>
  <c r="P145" i="99"/>
  <c r="S145" i="99"/>
  <c r="S196" i="99" s="1"/>
  <c r="L91" i="165"/>
  <c r="Q91" i="165"/>
  <c r="F115" i="136"/>
  <c r="F111" i="167"/>
  <c r="P142" i="99"/>
  <c r="P194" i="99"/>
  <c r="D111" i="167"/>
  <c r="D115" i="136"/>
  <c r="J194" i="99"/>
  <c r="V145" i="99"/>
  <c r="V142" i="99" s="1"/>
  <c r="N91" i="165"/>
  <c r="S91" i="165"/>
  <c r="G115" i="136"/>
  <c r="H111" i="167"/>
  <c r="J145" i="99"/>
  <c r="R91" i="165"/>
  <c r="M91" i="165"/>
  <c r="S194" i="99"/>
  <c r="E94" i="165"/>
  <c r="V94" i="165"/>
  <c r="D94" i="165"/>
  <c r="D90" i="165" s="1"/>
  <c r="H94" i="165"/>
  <c r="H90" i="165" s="1"/>
  <c r="F94" i="165"/>
  <c r="M145" i="99"/>
  <c r="M142" i="99" s="1"/>
  <c r="P91" i="165"/>
  <c r="W91" i="165"/>
  <c r="X91" i="165"/>
  <c r="K91" i="165"/>
  <c r="C90" i="165"/>
  <c r="I92" i="165"/>
  <c r="E142" i="99"/>
  <c r="I22" i="57"/>
  <c r="K141" i="99" s="1"/>
  <c r="K138" i="99" s="1"/>
  <c r="J22" i="57"/>
  <c r="N141" i="99" s="1"/>
  <c r="N138" i="99" s="1"/>
  <c r="N131" i="99" s="1"/>
  <c r="N152" i="99" s="1"/>
  <c r="L22" i="57"/>
  <c r="T141" i="99" s="1"/>
  <c r="T138" i="99" s="1"/>
  <c r="T131" i="99" s="1"/>
  <c r="T152" i="99" s="1"/>
  <c r="K22" i="57"/>
  <c r="Q141" i="99" s="1"/>
  <c r="C89" i="165"/>
  <c r="E141" i="99"/>
  <c r="H22" i="57"/>
  <c r="H141" i="99" s="1"/>
  <c r="H138" i="99" s="1"/>
  <c r="H131" i="99" s="1"/>
  <c r="H152" i="99" s="1"/>
  <c r="F111" i="136"/>
  <c r="P190" i="99"/>
  <c r="F107" i="167"/>
  <c r="M86" i="165"/>
  <c r="R86" i="165"/>
  <c r="L86" i="165"/>
  <c r="Q86" i="165"/>
  <c r="G190" i="99"/>
  <c r="D107" i="167"/>
  <c r="J190" i="99"/>
  <c r="D111" i="136"/>
  <c r="M141" i="99"/>
  <c r="M138" i="99" s="1"/>
  <c r="X86" i="165"/>
  <c r="W86" i="165"/>
  <c r="K86" i="165"/>
  <c r="P86" i="165"/>
  <c r="E111" i="136"/>
  <c r="E107" i="167"/>
  <c r="M190" i="99"/>
  <c r="S86" i="165"/>
  <c r="N86" i="165"/>
  <c r="S190" i="99"/>
  <c r="I87" i="165"/>
  <c r="V190" i="99"/>
  <c r="G111" i="136"/>
  <c r="H107" i="167"/>
  <c r="V90" i="165" l="1"/>
  <c r="G90" i="165"/>
  <c r="O91" i="165"/>
  <c r="K60" i="99"/>
  <c r="K194" i="99" s="1"/>
  <c r="E44" i="167"/>
  <c r="G30" i="165"/>
  <c r="H30" i="165"/>
  <c r="D30" i="165"/>
  <c r="E30" i="165"/>
  <c r="F30" i="165"/>
  <c r="V30" i="165"/>
  <c r="C26" i="165"/>
  <c r="V26" i="165" s="1"/>
  <c r="T26" i="165"/>
  <c r="C85" i="165"/>
  <c r="G89" i="165"/>
  <c r="Q138" i="99"/>
  <c r="G106" i="167" s="1"/>
  <c r="G109" i="167"/>
  <c r="T60" i="99"/>
  <c r="T194" i="99" s="1"/>
  <c r="H44" i="167"/>
  <c r="C33" i="165"/>
  <c r="V33" i="165" s="1"/>
  <c r="V10" i="165"/>
  <c r="N60" i="99"/>
  <c r="N194" i="99" s="1"/>
  <c r="F44" i="167"/>
  <c r="Q60" i="99"/>
  <c r="Q194" i="99" s="1"/>
  <c r="G44" i="167"/>
  <c r="T33" i="165"/>
  <c r="J91" i="165"/>
  <c r="O86" i="165"/>
  <c r="J86" i="165"/>
  <c r="V194" i="99"/>
  <c r="M194" i="99"/>
  <c r="T33" i="55"/>
  <c r="P59" i="99" s="1"/>
  <c r="F43" i="167" s="1"/>
  <c r="P33" i="55"/>
  <c r="M59" i="99" s="1"/>
  <c r="E43" i="167" s="1"/>
  <c r="X33" i="55"/>
  <c r="S59" i="99" s="1"/>
  <c r="G62" i="99"/>
  <c r="G196" i="99" s="1"/>
  <c r="H59" i="99"/>
  <c r="G60" i="99"/>
  <c r="H60" i="99"/>
  <c r="H194" i="99" s="1"/>
  <c r="I20" i="132"/>
  <c r="J9" i="132"/>
  <c r="K59" i="99"/>
  <c r="O21" i="165"/>
  <c r="O10" i="165" s="1"/>
  <c r="P10" i="165"/>
  <c r="R27" i="165"/>
  <c r="F26" i="165"/>
  <c r="M27" i="165"/>
  <c r="AE42" i="55"/>
  <c r="H59" i="55"/>
  <c r="W69" i="99"/>
  <c r="D12" i="58"/>
  <c r="H54" i="55"/>
  <c r="W38" i="99"/>
  <c r="H26" i="165"/>
  <c r="H33" i="165" s="1"/>
  <c r="N27" i="165"/>
  <c r="S27" i="165"/>
  <c r="AC36" i="55"/>
  <c r="I28" i="165"/>
  <c r="J26" i="132"/>
  <c r="I26" i="132" s="1"/>
  <c r="D25" i="132"/>
  <c r="O26" i="132"/>
  <c r="N26" i="132" s="1"/>
  <c r="C30" i="131" s="1"/>
  <c r="C29" i="131" s="1"/>
  <c r="D30" i="131"/>
  <c r="D29" i="131" s="1"/>
  <c r="D30" i="130"/>
  <c r="D29" i="130" s="1"/>
  <c r="E61" i="99"/>
  <c r="G195" i="99"/>
  <c r="P55" i="99"/>
  <c r="F39" i="167" s="1"/>
  <c r="F28" i="167" s="1"/>
  <c r="T12" i="55"/>
  <c r="T43" i="55" s="1"/>
  <c r="K26" i="132"/>
  <c r="E25" i="132"/>
  <c r="P26" i="132"/>
  <c r="E30" i="131"/>
  <c r="E29" i="131" s="1"/>
  <c r="N59" i="99"/>
  <c r="G58" i="99"/>
  <c r="X27" i="165"/>
  <c r="P27" i="165"/>
  <c r="O27" i="165" s="1"/>
  <c r="U26" i="165"/>
  <c r="D26" i="165"/>
  <c r="U33" i="165" s="1"/>
  <c r="K27" i="165"/>
  <c r="J27" i="165" s="1"/>
  <c r="W27" i="165"/>
  <c r="H27" i="132"/>
  <c r="C31" i="130"/>
  <c r="L27" i="165"/>
  <c r="E26" i="165"/>
  <c r="E33" i="165" s="1"/>
  <c r="Q27" i="165"/>
  <c r="X10" i="165"/>
  <c r="W10" i="165"/>
  <c r="J55" i="99"/>
  <c r="D39" i="167" s="1"/>
  <c r="D28" i="167" s="1"/>
  <c r="L12" i="55"/>
  <c r="L43" i="55" s="1"/>
  <c r="M55" i="99"/>
  <c r="P12" i="55"/>
  <c r="P43" i="55" s="1"/>
  <c r="G25" i="132"/>
  <c r="M26" i="132"/>
  <c r="R26" i="132"/>
  <c r="G30" i="130"/>
  <c r="G29" i="130" s="1"/>
  <c r="G30" i="131"/>
  <c r="G29" i="131" s="1"/>
  <c r="V55" i="99"/>
  <c r="H39" i="167" s="1"/>
  <c r="H28" i="167" s="1"/>
  <c r="AB12" i="55"/>
  <c r="AB43" i="55" s="1"/>
  <c r="T59" i="99"/>
  <c r="N20" i="132"/>
  <c r="N9" i="132" s="1"/>
  <c r="O9" i="132"/>
  <c r="S55" i="99"/>
  <c r="G39" i="167" s="1"/>
  <c r="G28" i="167" s="1"/>
  <c r="X12" i="55"/>
  <c r="J21" i="165"/>
  <c r="K10" i="165"/>
  <c r="F25" i="132"/>
  <c r="Q26" i="132"/>
  <c r="L26" i="132"/>
  <c r="F30" i="130"/>
  <c r="F29" i="130" s="1"/>
  <c r="F30" i="131"/>
  <c r="F29" i="131" s="1"/>
  <c r="F33" i="165"/>
  <c r="AC29" i="55"/>
  <c r="C24" i="130"/>
  <c r="C13" i="130" s="1"/>
  <c r="H19" i="57"/>
  <c r="H12" i="57" s="1"/>
  <c r="K19" i="57"/>
  <c r="K12" i="57" s="1"/>
  <c r="K131" i="99"/>
  <c r="K152" i="99" s="1"/>
  <c r="M152" i="99" s="1"/>
  <c r="L19" i="57"/>
  <c r="L12" i="57" s="1"/>
  <c r="G12" i="57"/>
  <c r="S142" i="99"/>
  <c r="J19" i="57"/>
  <c r="J12" i="57" s="1"/>
  <c r="W138" i="99"/>
  <c r="E138" i="99"/>
  <c r="X141" i="99"/>
  <c r="X142" i="99"/>
  <c r="J141" i="99"/>
  <c r="J138" i="99" s="1"/>
  <c r="J189" i="99" s="1"/>
  <c r="J170" i="99" s="1"/>
  <c r="E110" i="167"/>
  <c r="E114" i="136"/>
  <c r="M193" i="99"/>
  <c r="D117" i="136"/>
  <c r="D113" i="167"/>
  <c r="J196" i="99"/>
  <c r="S90" i="165"/>
  <c r="N90" i="165"/>
  <c r="W94" i="165"/>
  <c r="K94" i="165"/>
  <c r="P94" i="165"/>
  <c r="X94" i="165"/>
  <c r="G117" i="136"/>
  <c r="H113" i="167"/>
  <c r="V196" i="99"/>
  <c r="F113" i="167"/>
  <c r="F117" i="136"/>
  <c r="P196" i="99"/>
  <c r="I91" i="165"/>
  <c r="W90" i="165"/>
  <c r="K90" i="165"/>
  <c r="P90" i="165"/>
  <c r="N94" i="165"/>
  <c r="S94" i="165"/>
  <c r="G114" i="136"/>
  <c r="H110" i="167"/>
  <c r="V193" i="99"/>
  <c r="F114" i="136"/>
  <c r="F110" i="167"/>
  <c r="P193" i="99"/>
  <c r="J142" i="99"/>
  <c r="V89" i="165"/>
  <c r="G142" i="99"/>
  <c r="E113" i="167"/>
  <c r="E117" i="136"/>
  <c r="M196" i="99"/>
  <c r="R94" i="165"/>
  <c r="M94" i="165"/>
  <c r="L94" i="165"/>
  <c r="Q94" i="165"/>
  <c r="P141" i="99"/>
  <c r="F113" i="136" s="1"/>
  <c r="F89" i="165"/>
  <c r="R89" i="165" s="1"/>
  <c r="F90" i="165"/>
  <c r="E90" i="165"/>
  <c r="D89" i="165"/>
  <c r="D85" i="165" s="1"/>
  <c r="H89" i="165"/>
  <c r="H85" i="165" s="1"/>
  <c r="S85" i="165" s="1"/>
  <c r="S78" i="165" s="1"/>
  <c r="E89" i="165"/>
  <c r="E85" i="165" s="1"/>
  <c r="L85" i="165" s="1"/>
  <c r="L78" i="165" s="1"/>
  <c r="S141" i="99"/>
  <c r="Q131" i="99"/>
  <c r="G141" i="99"/>
  <c r="E131" i="99"/>
  <c r="V141" i="99"/>
  <c r="V138" i="99" s="1"/>
  <c r="V131" i="99" s="1"/>
  <c r="E106" i="167"/>
  <c r="E110" i="136"/>
  <c r="M131" i="99"/>
  <c r="D106" i="167"/>
  <c r="J159" i="99"/>
  <c r="J152" i="99"/>
  <c r="V159" i="99"/>
  <c r="V152" i="99"/>
  <c r="M192" i="99"/>
  <c r="E109" i="167"/>
  <c r="E113" i="136"/>
  <c r="J192" i="99"/>
  <c r="D109" i="167"/>
  <c r="P152" i="99"/>
  <c r="P159" i="99"/>
  <c r="G26" i="165" l="1"/>
  <c r="K30" i="165"/>
  <c r="J30" i="165" s="1"/>
  <c r="W30" i="165"/>
  <c r="X30" i="165"/>
  <c r="P30" i="165"/>
  <c r="O30" i="165" s="1"/>
  <c r="Q59" i="99"/>
  <c r="G43" i="167"/>
  <c r="N30" i="165"/>
  <c r="S30" i="165"/>
  <c r="Q152" i="99"/>
  <c r="G99" i="167"/>
  <c r="W131" i="99"/>
  <c r="C78" i="165"/>
  <c r="V78" i="165" s="1"/>
  <c r="I86" i="165"/>
  <c r="V85" i="165"/>
  <c r="W85" i="165" s="1"/>
  <c r="G85" i="165"/>
  <c r="G78" i="165" s="1"/>
  <c r="R30" i="165"/>
  <c r="M30" i="165"/>
  <c r="M189" i="99"/>
  <c r="M170" i="99" s="1"/>
  <c r="E39" i="167"/>
  <c r="E28" i="167" s="1"/>
  <c r="Q30" i="165"/>
  <c r="L30" i="165"/>
  <c r="D33" i="165"/>
  <c r="W33" i="165" s="1"/>
  <c r="O94" i="165"/>
  <c r="J94" i="165"/>
  <c r="AC33" i="55"/>
  <c r="S193" i="99"/>
  <c r="G192" i="99"/>
  <c r="X43" i="55"/>
  <c r="G59" i="99"/>
  <c r="G193" i="99" s="1"/>
  <c r="I27" i="165"/>
  <c r="I21" i="165"/>
  <c r="J10" i="165"/>
  <c r="I10" i="165" s="1"/>
  <c r="X59" i="55"/>
  <c r="X54" i="55"/>
  <c r="X50" i="55"/>
  <c r="G40" i="165" s="1"/>
  <c r="H12" i="58"/>
  <c r="AB59" i="55"/>
  <c r="AB50" i="55"/>
  <c r="I12" i="58"/>
  <c r="AB54" i="55"/>
  <c r="K55" i="99"/>
  <c r="M38" i="99"/>
  <c r="T54" i="55"/>
  <c r="T50" i="55"/>
  <c r="T59" i="55"/>
  <c r="G12" i="58"/>
  <c r="N26" i="165"/>
  <c r="S26" i="165"/>
  <c r="M26" i="165"/>
  <c r="R26" i="165"/>
  <c r="Q62" i="99"/>
  <c r="Q196" i="99" s="1"/>
  <c r="Q193" i="99"/>
  <c r="P54" i="55"/>
  <c r="P59" i="55"/>
  <c r="P50" i="55"/>
  <c r="F12" i="58"/>
  <c r="G55" i="99"/>
  <c r="J38" i="99"/>
  <c r="H55" i="99"/>
  <c r="N62" i="99"/>
  <c r="N196" i="99" s="1"/>
  <c r="N193" i="99"/>
  <c r="X61" i="99"/>
  <c r="E195" i="99"/>
  <c r="C9" i="173" s="1"/>
  <c r="H20" i="132"/>
  <c r="I9" i="132"/>
  <c r="H9" i="132" s="1"/>
  <c r="H62" i="99"/>
  <c r="H196" i="99" s="1"/>
  <c r="H193" i="99"/>
  <c r="L25" i="132"/>
  <c r="Q25" i="132"/>
  <c r="M25" i="132"/>
  <c r="R25" i="132"/>
  <c r="L54" i="55"/>
  <c r="L50" i="55"/>
  <c r="L59" i="55"/>
  <c r="E12" i="58"/>
  <c r="P25" i="132"/>
  <c r="K25" i="132"/>
  <c r="H26" i="132"/>
  <c r="C30" i="130"/>
  <c r="C29" i="130" s="1"/>
  <c r="AC12" i="55"/>
  <c r="Q55" i="99"/>
  <c r="S38" i="99"/>
  <c r="T62" i="99"/>
  <c r="T196" i="99" s="1"/>
  <c r="T193" i="99"/>
  <c r="T55" i="99"/>
  <c r="V38" i="99"/>
  <c r="Q26" i="165"/>
  <c r="L26" i="165"/>
  <c r="K26" i="165"/>
  <c r="J26" i="165" s="1"/>
  <c r="P26" i="165"/>
  <c r="O26" i="165" s="1"/>
  <c r="W26" i="165"/>
  <c r="X26" i="165"/>
  <c r="N55" i="99"/>
  <c r="P38" i="99"/>
  <c r="J25" i="132"/>
  <c r="I25" i="132" s="1"/>
  <c r="H25" i="132" s="1"/>
  <c r="O25" i="132"/>
  <c r="N25" i="132" s="1"/>
  <c r="K62" i="99"/>
  <c r="K196" i="99" s="1"/>
  <c r="K193" i="99"/>
  <c r="E60" i="99"/>
  <c r="G194" i="99"/>
  <c r="AC43" i="55"/>
  <c r="M159" i="99"/>
  <c r="K159" i="99" s="1"/>
  <c r="G33" i="57"/>
  <c r="W89" i="165"/>
  <c r="M89" i="165"/>
  <c r="Q85" i="165"/>
  <c r="Q78" i="165" s="1"/>
  <c r="M203" i="99"/>
  <c r="K89" i="165"/>
  <c r="D110" i="136"/>
  <c r="K85" i="165"/>
  <c r="K78" i="165" s="1"/>
  <c r="J131" i="99"/>
  <c r="D99" i="167" s="1"/>
  <c r="P85" i="165"/>
  <c r="D113" i="136"/>
  <c r="E152" i="99"/>
  <c r="G159" i="99" s="1"/>
  <c r="X131" i="99"/>
  <c r="X138" i="99"/>
  <c r="D78" i="165"/>
  <c r="P89" i="165"/>
  <c r="S89" i="165"/>
  <c r="F109" i="167"/>
  <c r="P138" i="99"/>
  <c r="P131" i="99" s="1"/>
  <c r="N85" i="165"/>
  <c r="N78" i="165" s="1"/>
  <c r="P192" i="99"/>
  <c r="M90" i="165"/>
  <c r="R90" i="165"/>
  <c r="D110" i="167"/>
  <c r="D114" i="136"/>
  <c r="J193" i="99"/>
  <c r="J203" i="99" s="1"/>
  <c r="I94" i="165"/>
  <c r="L90" i="165"/>
  <c r="Q90" i="165"/>
  <c r="Q89" i="165"/>
  <c r="E78" i="165"/>
  <c r="L89" i="165"/>
  <c r="F85" i="165"/>
  <c r="M85" i="165" s="1"/>
  <c r="M78" i="165" s="1"/>
  <c r="X90" i="165"/>
  <c r="G113" i="136"/>
  <c r="H78" i="165"/>
  <c r="V189" i="99"/>
  <c r="V170" i="99" s="1"/>
  <c r="V203" i="99" s="1"/>
  <c r="X89" i="165"/>
  <c r="N89" i="165"/>
  <c r="S152" i="99"/>
  <c r="H109" i="167"/>
  <c r="G110" i="136"/>
  <c r="V192" i="99"/>
  <c r="H106" i="167"/>
  <c r="S192" i="99"/>
  <c r="S138" i="99"/>
  <c r="G138" i="99"/>
  <c r="G131" i="99" s="1"/>
  <c r="D127" i="167"/>
  <c r="D131" i="136"/>
  <c r="H159" i="99"/>
  <c r="E120" i="167"/>
  <c r="E124" i="136"/>
  <c r="G131" i="136"/>
  <c r="H127" i="167"/>
  <c r="T159" i="99"/>
  <c r="D120" i="167"/>
  <c r="D124" i="136"/>
  <c r="F124" i="136"/>
  <c r="F120" i="167"/>
  <c r="H120" i="167"/>
  <c r="G124" i="136"/>
  <c r="F131" i="136"/>
  <c r="F127" i="167"/>
  <c r="N159" i="99"/>
  <c r="G103" i="136"/>
  <c r="H99" i="167"/>
  <c r="E99" i="167"/>
  <c r="E103" i="136"/>
  <c r="AB47" i="55" l="1"/>
  <c r="H40" i="165"/>
  <c r="W78" i="165"/>
  <c r="I30" i="165"/>
  <c r="G33" i="165"/>
  <c r="S159" i="99"/>
  <c r="Q159" i="99" s="1"/>
  <c r="G127" i="167" s="1"/>
  <c r="G120" i="167"/>
  <c r="O90" i="165"/>
  <c r="X33" i="165"/>
  <c r="J90" i="165"/>
  <c r="I90" i="165" s="1"/>
  <c r="J89" i="165"/>
  <c r="O89" i="165"/>
  <c r="E59" i="99"/>
  <c r="E193" i="99" s="1"/>
  <c r="P78" i="165"/>
  <c r="E55" i="99"/>
  <c r="G38" i="99"/>
  <c r="X59" i="99"/>
  <c r="N58" i="99"/>
  <c r="N192" i="99" s="1"/>
  <c r="N189" i="99"/>
  <c r="N170" i="99" s="1"/>
  <c r="N203" i="99" s="1"/>
  <c r="T58" i="99"/>
  <c r="T192" i="99" s="1"/>
  <c r="T189" i="99"/>
  <c r="T170" i="99" s="1"/>
  <c r="T203" i="99" s="1"/>
  <c r="Q58" i="99"/>
  <c r="Q192" i="99" s="1"/>
  <c r="Q189" i="99"/>
  <c r="Q170" i="99" s="1"/>
  <c r="Q203" i="99" s="1"/>
  <c r="H38" i="99"/>
  <c r="H69" i="99" s="1"/>
  <c r="J69" i="99"/>
  <c r="D48" i="167" s="1"/>
  <c r="I26" i="165"/>
  <c r="N38" i="99"/>
  <c r="N69" i="99" s="1"/>
  <c r="P69" i="99"/>
  <c r="F48" i="167" s="1"/>
  <c r="T38" i="99"/>
  <c r="T69" i="99" s="1"/>
  <c r="V69" i="99"/>
  <c r="H48" i="167" s="1"/>
  <c r="Q38" i="99"/>
  <c r="Q69" i="99" s="1"/>
  <c r="S76" i="99" s="1"/>
  <c r="G56" i="167" s="1"/>
  <c r="S69" i="99"/>
  <c r="G48" i="167" s="1"/>
  <c r="H58" i="99"/>
  <c r="H192" i="99" s="1"/>
  <c r="H189" i="99"/>
  <c r="H170" i="99" s="1"/>
  <c r="H203" i="99" s="1"/>
  <c r="P47" i="55"/>
  <c r="E40" i="165"/>
  <c r="E38" i="132"/>
  <c r="K58" i="99"/>
  <c r="K192" i="99" s="1"/>
  <c r="K189" i="99"/>
  <c r="K170" i="99" s="1"/>
  <c r="K203" i="99" s="1"/>
  <c r="X47" i="55"/>
  <c r="G38" i="165" s="1"/>
  <c r="G38" i="132"/>
  <c r="J33" i="57"/>
  <c r="G28" i="58" s="1"/>
  <c r="N15" i="57"/>
  <c r="X60" i="99"/>
  <c r="E194" i="99"/>
  <c r="C8" i="173" s="1"/>
  <c r="L47" i="55"/>
  <c r="D40" i="165"/>
  <c r="D38" i="132"/>
  <c r="H50" i="55"/>
  <c r="F38" i="132"/>
  <c r="F40" i="165"/>
  <c r="T47" i="55"/>
  <c r="K38" i="99"/>
  <c r="K69" i="99" s="1"/>
  <c r="M69" i="99"/>
  <c r="E48" i="167" s="1"/>
  <c r="E131" i="136"/>
  <c r="E127" i="167"/>
  <c r="D20" i="58"/>
  <c r="D24" i="58" s="1"/>
  <c r="J85" i="165"/>
  <c r="J78" i="165" s="1"/>
  <c r="L33" i="57"/>
  <c r="G40" i="57"/>
  <c r="I33" i="57"/>
  <c r="W152" i="99"/>
  <c r="X152" i="99" s="1"/>
  <c r="D28" i="58"/>
  <c r="D32" i="58" s="1"/>
  <c r="K33" i="57"/>
  <c r="H28" i="58" s="1"/>
  <c r="H32" i="58" s="1"/>
  <c r="H33" i="57"/>
  <c r="D103" i="136"/>
  <c r="G20" i="58"/>
  <c r="G24" i="58" s="1"/>
  <c r="G152" i="99"/>
  <c r="P189" i="99"/>
  <c r="P170" i="99" s="1"/>
  <c r="P203" i="99" s="1"/>
  <c r="F106" i="167"/>
  <c r="F110" i="136"/>
  <c r="R85" i="165"/>
  <c r="R78" i="165" s="1"/>
  <c r="X85" i="165"/>
  <c r="F78" i="165"/>
  <c r="E159" i="99"/>
  <c r="S189" i="99"/>
  <c r="S170" i="99" s="1"/>
  <c r="S203" i="99" s="1"/>
  <c r="S131" i="99"/>
  <c r="G189" i="99"/>
  <c r="G170" i="99" s="1"/>
  <c r="G203" i="99" s="1"/>
  <c r="H156" i="99"/>
  <c r="F103" i="136"/>
  <c r="F99" i="167"/>
  <c r="Q156" i="99"/>
  <c r="G124" i="167" s="1"/>
  <c r="K156" i="99"/>
  <c r="T156" i="99"/>
  <c r="N156" i="99"/>
  <c r="X78" i="165" l="1"/>
  <c r="AB46" i="55"/>
  <c r="H38" i="165"/>
  <c r="I89" i="165"/>
  <c r="O85" i="165"/>
  <c r="O78" i="165" s="1"/>
  <c r="I78" i="165" s="1"/>
  <c r="E62" i="99"/>
  <c r="T46" i="55"/>
  <c r="F36" i="132"/>
  <c r="N73" i="99"/>
  <c r="F38" i="165"/>
  <c r="W76" i="99"/>
  <c r="H47" i="55"/>
  <c r="AC50" i="55"/>
  <c r="D36" i="132"/>
  <c r="D38" i="165"/>
  <c r="L46" i="55"/>
  <c r="H73" i="99"/>
  <c r="E47" i="55"/>
  <c r="E46" i="55" s="1"/>
  <c r="E45" i="55" s="1"/>
  <c r="E51" i="55" s="1"/>
  <c r="P38" i="132"/>
  <c r="K38" i="132"/>
  <c r="J76" i="99"/>
  <c r="D56" i="167" s="1"/>
  <c r="E58" i="99"/>
  <c r="X55" i="99"/>
  <c r="E189" i="99"/>
  <c r="E170" i="99" s="1"/>
  <c r="E203" i="99" s="1"/>
  <c r="C4" i="173" s="1"/>
  <c r="E8" i="173" s="1"/>
  <c r="M76" i="99"/>
  <c r="E56" i="167" s="1"/>
  <c r="G36" i="132"/>
  <c r="X46" i="55"/>
  <c r="G37" i="165" s="1"/>
  <c r="T73" i="99"/>
  <c r="T207" i="99" s="1"/>
  <c r="Q76" i="99"/>
  <c r="S72" i="99"/>
  <c r="S210" i="99"/>
  <c r="P76" i="99"/>
  <c r="F56" i="167" s="1"/>
  <c r="E38" i="99"/>
  <c r="G69" i="99"/>
  <c r="L38" i="132"/>
  <c r="Q38" i="132"/>
  <c r="K40" i="165"/>
  <c r="J40" i="165" s="1"/>
  <c r="P40" i="165"/>
  <c r="O40" i="165" s="1"/>
  <c r="X40" i="165"/>
  <c r="M38" i="132"/>
  <c r="R38" i="132"/>
  <c r="K73" i="99"/>
  <c r="K207" i="99" s="1"/>
  <c r="E36" i="132"/>
  <c r="E38" i="165"/>
  <c r="P46" i="55"/>
  <c r="E196" i="99"/>
  <c r="X62" i="99"/>
  <c r="R40" i="165"/>
  <c r="M40" i="165"/>
  <c r="J38" i="132"/>
  <c r="I38" i="132" s="1"/>
  <c r="O38" i="132"/>
  <c r="N38" i="132" s="1"/>
  <c r="N40" i="165"/>
  <c r="S40" i="165"/>
  <c r="Q40" i="165"/>
  <c r="L40" i="165"/>
  <c r="V76" i="99"/>
  <c r="H56" i="167" s="1"/>
  <c r="H20" i="58"/>
  <c r="H24" i="58" s="1"/>
  <c r="I28" i="58"/>
  <c r="I32" i="58" s="1"/>
  <c r="I20" i="58"/>
  <c r="I24" i="58" s="1"/>
  <c r="I40" i="57"/>
  <c r="W159" i="99"/>
  <c r="X159" i="99" s="1"/>
  <c r="G37" i="57"/>
  <c r="C103" i="165"/>
  <c r="G103" i="165" s="1"/>
  <c r="K40" i="57"/>
  <c r="J40" i="57"/>
  <c r="L40" i="57"/>
  <c r="H40" i="57"/>
  <c r="E28" i="58"/>
  <c r="E32" i="58" s="1"/>
  <c r="E20" i="58"/>
  <c r="E24" i="58" s="1"/>
  <c r="F28" i="58"/>
  <c r="F32" i="58" s="1"/>
  <c r="F20" i="58"/>
  <c r="F24" i="58" s="1"/>
  <c r="E156" i="99"/>
  <c r="E155" i="99" s="1"/>
  <c r="G32" i="58"/>
  <c r="C34" i="135"/>
  <c r="G34" i="135" s="1"/>
  <c r="V156" i="99"/>
  <c r="T155" i="99"/>
  <c r="N207" i="99"/>
  <c r="P156" i="99"/>
  <c r="N155" i="99"/>
  <c r="K155" i="99"/>
  <c r="M156" i="99"/>
  <c r="Q155" i="99"/>
  <c r="G123" i="167" s="1"/>
  <c r="Q207" i="99"/>
  <c r="S156" i="99"/>
  <c r="H207" i="99"/>
  <c r="J156" i="99"/>
  <c r="H155" i="99"/>
  <c r="S71" i="99" l="1"/>
  <c r="G52" i="167"/>
  <c r="AB45" i="55"/>
  <c r="H37" i="165"/>
  <c r="E12" i="173"/>
  <c r="C13" i="173"/>
  <c r="E13" i="173" s="1"/>
  <c r="E10" i="173"/>
  <c r="E11" i="173"/>
  <c r="E6" i="173"/>
  <c r="E5" i="173"/>
  <c r="E7" i="173"/>
  <c r="E9" i="173"/>
  <c r="I85" i="165"/>
  <c r="E37" i="165"/>
  <c r="P45" i="55"/>
  <c r="E35" i="132"/>
  <c r="G35" i="132"/>
  <c r="X45" i="55"/>
  <c r="G36" i="165" s="1"/>
  <c r="K76" i="99"/>
  <c r="K210" i="99" s="1"/>
  <c r="M210" i="99"/>
  <c r="X58" i="99"/>
  <c r="E192" i="99"/>
  <c r="O36" i="132"/>
  <c r="N36" i="132" s="1"/>
  <c r="J36" i="132"/>
  <c r="I36" i="132" s="1"/>
  <c r="M38" i="165"/>
  <c r="R38" i="165"/>
  <c r="F37" i="165"/>
  <c r="F35" i="132"/>
  <c r="T45" i="55"/>
  <c r="M73" i="99"/>
  <c r="K72" i="99"/>
  <c r="K71" i="99" s="1"/>
  <c r="N76" i="99"/>
  <c r="N210" i="99" s="1"/>
  <c r="P210" i="99"/>
  <c r="Q72" i="99"/>
  <c r="Q71" i="99" s="1"/>
  <c r="Q77" i="99" s="1"/>
  <c r="Q78" i="99" s="1"/>
  <c r="Q79" i="99" s="1"/>
  <c r="Q210" i="99"/>
  <c r="E52" i="55"/>
  <c r="E73" i="55"/>
  <c r="E54" i="55"/>
  <c r="P38" i="165"/>
  <c r="O38" i="165" s="1"/>
  <c r="K38" i="165"/>
  <c r="J38" i="165" s="1"/>
  <c r="X38" i="165"/>
  <c r="L36" i="132"/>
  <c r="Q36" i="132"/>
  <c r="K36" i="132"/>
  <c r="P36" i="132"/>
  <c r="E69" i="99"/>
  <c r="X38" i="99"/>
  <c r="V73" i="99"/>
  <c r="M36" i="132"/>
  <c r="R36" i="132"/>
  <c r="L45" i="55"/>
  <c r="D35" i="132"/>
  <c r="D37" i="165"/>
  <c r="W73" i="99"/>
  <c r="E73" i="99"/>
  <c r="E207" i="99" s="1"/>
  <c r="H46" i="55"/>
  <c r="AC47" i="55"/>
  <c r="T76" i="99"/>
  <c r="T210" i="99" s="1"/>
  <c r="V210" i="99"/>
  <c r="Q38" i="165"/>
  <c r="L38" i="165"/>
  <c r="N38" i="165"/>
  <c r="S38" i="165"/>
  <c r="H76" i="99"/>
  <c r="H210" i="99" s="1"/>
  <c r="J210" i="99"/>
  <c r="J73" i="99"/>
  <c r="N72" i="99"/>
  <c r="N71" i="99" s="1"/>
  <c r="P73" i="99"/>
  <c r="C32" i="135"/>
  <c r="G32" i="135" s="1"/>
  <c r="G156" i="99"/>
  <c r="K28" i="58"/>
  <c r="I37" i="57"/>
  <c r="C101" i="165"/>
  <c r="G101" i="165" s="1"/>
  <c r="W156" i="99"/>
  <c r="K37" i="57"/>
  <c r="L37" i="57"/>
  <c r="H37" i="57"/>
  <c r="G36" i="57"/>
  <c r="J37" i="57"/>
  <c r="H103" i="165"/>
  <c r="V103" i="165"/>
  <c r="F103" i="165"/>
  <c r="E103" i="165"/>
  <c r="D103" i="165"/>
  <c r="X156" i="99"/>
  <c r="E34" i="135"/>
  <c r="K34" i="135" s="1"/>
  <c r="F34" i="135"/>
  <c r="F43" i="130" s="1"/>
  <c r="D34" i="135"/>
  <c r="O34" i="135" s="1"/>
  <c r="N34" i="135" s="1"/>
  <c r="C43" i="131" s="1"/>
  <c r="K154" i="99"/>
  <c r="K206" i="99"/>
  <c r="D128" i="136"/>
  <c r="D124" i="167"/>
  <c r="J155" i="99"/>
  <c r="Q154" i="99"/>
  <c r="G122" i="167" s="1"/>
  <c r="Q206" i="99"/>
  <c r="M34" i="135"/>
  <c r="R34" i="135"/>
  <c r="G43" i="130"/>
  <c r="G43" i="131"/>
  <c r="P155" i="99"/>
  <c r="F124" i="167"/>
  <c r="F128" i="136"/>
  <c r="P207" i="99"/>
  <c r="V207" i="99"/>
  <c r="G128" i="136"/>
  <c r="H124" i="167"/>
  <c r="V155" i="99"/>
  <c r="H154" i="99"/>
  <c r="N206" i="99"/>
  <c r="N154" i="99"/>
  <c r="S155" i="99"/>
  <c r="S207" i="99"/>
  <c r="M155" i="99"/>
  <c r="E128" i="136"/>
  <c r="M207" i="99"/>
  <c r="E124" i="167"/>
  <c r="E154" i="99"/>
  <c r="C31" i="135"/>
  <c r="T154" i="99"/>
  <c r="G155" i="99"/>
  <c r="J72" i="99" l="1"/>
  <c r="D53" i="167"/>
  <c r="I14" i="58"/>
  <c r="H36" i="165"/>
  <c r="AB51" i="55"/>
  <c r="AB52" i="55" s="1"/>
  <c r="P72" i="99"/>
  <c r="F53" i="167"/>
  <c r="V72" i="99"/>
  <c r="H53" i="167"/>
  <c r="M72" i="99"/>
  <c r="E53" i="167"/>
  <c r="S77" i="99"/>
  <c r="G51" i="167"/>
  <c r="J207" i="99"/>
  <c r="T72" i="99"/>
  <c r="P37" i="165"/>
  <c r="O37" i="165" s="1"/>
  <c r="K37" i="165"/>
  <c r="J37" i="165" s="1"/>
  <c r="X37" i="165"/>
  <c r="M35" i="132"/>
  <c r="R35" i="132"/>
  <c r="Q37" i="165"/>
  <c r="L37" i="165"/>
  <c r="H72" i="99"/>
  <c r="N77" i="99"/>
  <c r="D36" i="165"/>
  <c r="D34" i="132"/>
  <c r="E14" i="58"/>
  <c r="L51" i="55"/>
  <c r="L52" i="55" s="1"/>
  <c r="G76" i="99"/>
  <c r="X69" i="99"/>
  <c r="M37" i="165"/>
  <c r="R37" i="165"/>
  <c r="H14" i="58"/>
  <c r="G34" i="132"/>
  <c r="X51" i="55"/>
  <c r="X52" i="55" s="1"/>
  <c r="F14" i="58"/>
  <c r="E36" i="165"/>
  <c r="E34" i="132"/>
  <c r="P51" i="55"/>
  <c r="P52" i="55" s="1"/>
  <c r="X73" i="99"/>
  <c r="G73" i="99"/>
  <c r="C36" i="132"/>
  <c r="H36" i="132" s="1"/>
  <c r="C38" i="165"/>
  <c r="V38" i="165" s="1"/>
  <c r="W38" i="165" s="1"/>
  <c r="J35" i="132"/>
  <c r="I35" i="132" s="1"/>
  <c r="O35" i="132"/>
  <c r="N35" i="132" s="1"/>
  <c r="Q35" i="132"/>
  <c r="L35" i="132"/>
  <c r="N37" i="165"/>
  <c r="S37" i="165"/>
  <c r="W72" i="99"/>
  <c r="H45" i="55"/>
  <c r="AC46" i="55"/>
  <c r="K77" i="99"/>
  <c r="G14" i="58"/>
  <c r="F34" i="132"/>
  <c r="F36" i="165"/>
  <c r="T51" i="55"/>
  <c r="T52" i="55" s="1"/>
  <c r="P35" i="132"/>
  <c r="K35" i="132"/>
  <c r="E32" i="135"/>
  <c r="E41" i="131" s="1"/>
  <c r="D32" i="135"/>
  <c r="D41" i="130" s="1"/>
  <c r="F32" i="135"/>
  <c r="F41" i="131" s="1"/>
  <c r="R103" i="165"/>
  <c r="M103" i="165"/>
  <c r="L103" i="165"/>
  <c r="Q103" i="165"/>
  <c r="D43" i="131"/>
  <c r="P103" i="165"/>
  <c r="K103" i="165"/>
  <c r="X103" i="165"/>
  <c r="W103" i="165"/>
  <c r="N103" i="165"/>
  <c r="S103" i="165"/>
  <c r="V101" i="165"/>
  <c r="H101" i="165"/>
  <c r="D101" i="165"/>
  <c r="F101" i="165"/>
  <c r="E101" i="165"/>
  <c r="W155" i="99"/>
  <c r="X155" i="99" s="1"/>
  <c r="J36" i="57"/>
  <c r="C100" i="165"/>
  <c r="G100" i="165" s="1"/>
  <c r="L36" i="57"/>
  <c r="I36" i="57"/>
  <c r="G35" i="57"/>
  <c r="K36" i="57"/>
  <c r="H36" i="57"/>
  <c r="D43" i="130"/>
  <c r="J34" i="135"/>
  <c r="I34" i="135" s="1"/>
  <c r="H34" i="135" s="1"/>
  <c r="E43" i="131"/>
  <c r="Q34" i="135"/>
  <c r="F43" i="131"/>
  <c r="P34" i="135"/>
  <c r="L34" i="135"/>
  <c r="T160" i="99"/>
  <c r="H160" i="99"/>
  <c r="L32" i="135"/>
  <c r="F41" i="130"/>
  <c r="N205" i="99"/>
  <c r="N211" i="99" s="1"/>
  <c r="N241" i="99" s="1"/>
  <c r="N160" i="99"/>
  <c r="M32" i="135"/>
  <c r="R32" i="135"/>
  <c r="G41" i="130"/>
  <c r="G41" i="131"/>
  <c r="D123" i="167"/>
  <c r="D127" i="136"/>
  <c r="J154" i="99"/>
  <c r="J206" i="99"/>
  <c r="K205" i="99"/>
  <c r="K211" i="99" s="1"/>
  <c r="K241" i="99" s="1"/>
  <c r="K160" i="99"/>
  <c r="S154" i="99"/>
  <c r="S206" i="99"/>
  <c r="H123" i="167"/>
  <c r="V206" i="99"/>
  <c r="V154" i="99"/>
  <c r="G127" i="136"/>
  <c r="E160" i="99"/>
  <c r="Q205" i="99"/>
  <c r="Q211" i="99" s="1"/>
  <c r="Q241" i="99" s="1"/>
  <c r="Q160" i="99"/>
  <c r="G154" i="99"/>
  <c r="F31" i="135"/>
  <c r="G31" i="135"/>
  <c r="C30" i="135"/>
  <c r="E31" i="135"/>
  <c r="D31" i="135"/>
  <c r="F127" i="136"/>
  <c r="P154" i="99"/>
  <c r="P206" i="99"/>
  <c r="F123" i="167"/>
  <c r="J32" i="135"/>
  <c r="I32" i="135" s="1"/>
  <c r="M206" i="99"/>
  <c r="E123" i="167"/>
  <c r="E127" i="136"/>
  <c r="M154" i="99"/>
  <c r="V71" i="99" l="1"/>
  <c r="H52" i="167"/>
  <c r="I11" i="58"/>
  <c r="H8" i="165" s="1"/>
  <c r="H109" i="165" s="1"/>
  <c r="I42" i="58"/>
  <c r="Q161" i="99"/>
  <c r="G98" i="167"/>
  <c r="M71" i="99"/>
  <c r="E52" i="167"/>
  <c r="P71" i="99"/>
  <c r="F52" i="167"/>
  <c r="S82" i="99"/>
  <c r="G27" i="167"/>
  <c r="J71" i="99"/>
  <c r="D52" i="167"/>
  <c r="O103" i="165"/>
  <c r="I103" i="165" s="1"/>
  <c r="J103" i="165"/>
  <c r="T71" i="99"/>
  <c r="T206" i="99"/>
  <c r="I38" i="165"/>
  <c r="Q34" i="132"/>
  <c r="L34" i="132"/>
  <c r="F43" i="132"/>
  <c r="F39" i="132"/>
  <c r="K78" i="99"/>
  <c r="E42" i="132"/>
  <c r="F42" i="58"/>
  <c r="F11" i="58"/>
  <c r="E8" i="165" s="1"/>
  <c r="E109" i="165" s="1"/>
  <c r="P36" i="165"/>
  <c r="O36" i="165" s="1"/>
  <c r="K36" i="165"/>
  <c r="J36" i="165" s="1"/>
  <c r="X36" i="165"/>
  <c r="M36" i="165"/>
  <c r="R36" i="165"/>
  <c r="Q36" i="165"/>
  <c r="L36" i="165"/>
  <c r="R34" i="132"/>
  <c r="M34" i="132"/>
  <c r="G39" i="132"/>
  <c r="G43" i="132"/>
  <c r="E76" i="99"/>
  <c r="G210" i="99"/>
  <c r="D42" i="132"/>
  <c r="J34" i="132"/>
  <c r="I34" i="132" s="1"/>
  <c r="O34" i="132"/>
  <c r="N34" i="132" s="1"/>
  <c r="D39" i="132"/>
  <c r="D43" i="132"/>
  <c r="H71" i="99"/>
  <c r="H206" i="99"/>
  <c r="F42" i="132"/>
  <c r="F45" i="132" s="1"/>
  <c r="W71" i="99"/>
  <c r="D14" i="58"/>
  <c r="AC45" i="55"/>
  <c r="H51" i="55"/>
  <c r="C8" i="165" s="1"/>
  <c r="G72" i="99"/>
  <c r="G206" i="99" s="1"/>
  <c r="G207" i="99"/>
  <c r="K34" i="132"/>
  <c r="P34" i="132"/>
  <c r="E43" i="132"/>
  <c r="E39" i="132"/>
  <c r="G42" i="132"/>
  <c r="H42" i="58"/>
  <c r="H11" i="58"/>
  <c r="G8" i="165" s="1"/>
  <c r="G109" i="165" s="1"/>
  <c r="E42" i="58"/>
  <c r="E11" i="58"/>
  <c r="D8" i="165" s="1"/>
  <c r="D109" i="165" s="1"/>
  <c r="G42" i="58"/>
  <c r="G11" i="58"/>
  <c r="F8" i="165" s="1"/>
  <c r="F109" i="165" s="1"/>
  <c r="S36" i="165"/>
  <c r="N36" i="165"/>
  <c r="N78" i="99"/>
  <c r="K32" i="135"/>
  <c r="P32" i="135"/>
  <c r="C43" i="130"/>
  <c r="O32" i="135"/>
  <c r="N32" i="135" s="1"/>
  <c r="C41" i="131" s="1"/>
  <c r="D41" i="131"/>
  <c r="Q32" i="135"/>
  <c r="L101" i="165"/>
  <c r="Q101" i="165"/>
  <c r="W154" i="99"/>
  <c r="X154" i="99" s="1"/>
  <c r="D22" i="58"/>
  <c r="H35" i="57"/>
  <c r="L35" i="57"/>
  <c r="G41" i="57"/>
  <c r="C76" i="165" s="1"/>
  <c r="K35" i="57"/>
  <c r="I35" i="57"/>
  <c r="D30" i="58"/>
  <c r="J35" i="57"/>
  <c r="E100" i="165"/>
  <c r="C99" i="165"/>
  <c r="G99" i="165" s="1"/>
  <c r="V100" i="165"/>
  <c r="D100" i="165"/>
  <c r="H100" i="165"/>
  <c r="F100" i="165"/>
  <c r="N101" i="165"/>
  <c r="S101" i="165"/>
  <c r="W101" i="165"/>
  <c r="K101" i="165"/>
  <c r="X101" i="165"/>
  <c r="P101" i="165"/>
  <c r="M101" i="165"/>
  <c r="R101" i="165"/>
  <c r="O31" i="135"/>
  <c r="N31" i="135" s="1"/>
  <c r="C40" i="131" s="1"/>
  <c r="C39" i="131" s="1"/>
  <c r="D30" i="135"/>
  <c r="D40" i="131"/>
  <c r="D39" i="131" s="1"/>
  <c r="D44" i="131" s="1"/>
  <c r="J31" i="135"/>
  <c r="I31" i="135" s="1"/>
  <c r="D40" i="130"/>
  <c r="D39" i="130" s="1"/>
  <c r="D44" i="130" s="1"/>
  <c r="Q31" i="135"/>
  <c r="F30" i="135"/>
  <c r="L31" i="135"/>
  <c r="F40" i="130"/>
  <c r="F39" i="130" s="1"/>
  <c r="F44" i="130" s="1"/>
  <c r="F40" i="131"/>
  <c r="F39" i="131" s="1"/>
  <c r="F44" i="131" s="1"/>
  <c r="R31" i="135"/>
  <c r="M31" i="135"/>
  <c r="G30" i="135"/>
  <c r="G40" i="130"/>
  <c r="G39" i="130" s="1"/>
  <c r="G44" i="130" s="1"/>
  <c r="G40" i="131"/>
  <c r="G39" i="131" s="1"/>
  <c r="G44" i="131" s="1"/>
  <c r="Q162" i="99"/>
  <c r="Q212" i="99"/>
  <c r="T161" i="99"/>
  <c r="D122" i="167"/>
  <c r="D126" i="136"/>
  <c r="J205" i="99"/>
  <c r="J211" i="99" s="1"/>
  <c r="J160" i="99"/>
  <c r="F122" i="167"/>
  <c r="F126" i="136"/>
  <c r="P205" i="99"/>
  <c r="P211" i="99" s="1"/>
  <c r="P160" i="99"/>
  <c r="C37" i="135"/>
  <c r="C7" i="135"/>
  <c r="C38" i="135"/>
  <c r="E161" i="99"/>
  <c r="E165" i="99"/>
  <c r="E168" i="99" s="1"/>
  <c r="E122" i="167"/>
  <c r="E126" i="136"/>
  <c r="M205" i="99"/>
  <c r="M211" i="99" s="1"/>
  <c r="M160" i="99"/>
  <c r="C41" i="130"/>
  <c r="K31" i="135"/>
  <c r="P31" i="135"/>
  <c r="E30" i="135"/>
  <c r="E40" i="131"/>
  <c r="E39" i="131" s="1"/>
  <c r="E44" i="131" s="1"/>
  <c r="G160" i="99"/>
  <c r="G165" i="99" s="1"/>
  <c r="V205" i="99"/>
  <c r="V211" i="99" s="1"/>
  <c r="G126" i="136"/>
  <c r="H122" i="167"/>
  <c r="V160" i="99"/>
  <c r="S205" i="99"/>
  <c r="S211" i="99" s="1"/>
  <c r="S160" i="99"/>
  <c r="S165" i="99" s="1"/>
  <c r="N161" i="99"/>
  <c r="N212" i="99" s="1"/>
  <c r="K161" i="99"/>
  <c r="H161" i="99"/>
  <c r="G136" i="167" l="1"/>
  <c r="J101" i="165"/>
  <c r="S85" i="99"/>
  <c r="Q82" i="99"/>
  <c r="Q85" i="99" s="1"/>
  <c r="M77" i="99"/>
  <c r="E51" i="167"/>
  <c r="V77" i="99"/>
  <c r="H51" i="167"/>
  <c r="C110" i="165"/>
  <c r="D51" i="167"/>
  <c r="J77" i="99"/>
  <c r="P77" i="99"/>
  <c r="F51" i="167"/>
  <c r="O101" i="165"/>
  <c r="I101" i="165" s="1"/>
  <c r="D45" i="132"/>
  <c r="H32" i="135"/>
  <c r="G45" i="132"/>
  <c r="T205" i="99"/>
  <c r="T211" i="99" s="1"/>
  <c r="T241" i="99" s="1"/>
  <c r="T77" i="99"/>
  <c r="N79" i="99"/>
  <c r="E7" i="132"/>
  <c r="E9" i="131" s="1"/>
  <c r="E8" i="131" s="1"/>
  <c r="K39" i="132"/>
  <c r="P39" i="132"/>
  <c r="D42" i="58"/>
  <c r="D11" i="58"/>
  <c r="H77" i="99"/>
  <c r="H205" i="99"/>
  <c r="H211" i="99" s="1"/>
  <c r="H241" i="99" s="1"/>
  <c r="C40" i="165"/>
  <c r="C38" i="132"/>
  <c r="H38" i="132" s="1"/>
  <c r="E210" i="99"/>
  <c r="X76" i="99"/>
  <c r="E72" i="99"/>
  <c r="M39" i="132"/>
  <c r="G7" i="132"/>
  <c r="R39" i="132"/>
  <c r="K79" i="99"/>
  <c r="W77" i="99"/>
  <c r="H52" i="55"/>
  <c r="O39" i="132"/>
  <c r="N39" i="132" s="1"/>
  <c r="J39" i="132"/>
  <c r="I39" i="132" s="1"/>
  <c r="D7" i="132"/>
  <c r="Q39" i="132"/>
  <c r="L39" i="132"/>
  <c r="F7" i="132"/>
  <c r="E45" i="132"/>
  <c r="D34" i="58"/>
  <c r="D31" i="58" s="1"/>
  <c r="D27" i="58"/>
  <c r="W100" i="165"/>
  <c r="X100" i="165"/>
  <c r="D99" i="165"/>
  <c r="P100" i="165"/>
  <c r="K100" i="165"/>
  <c r="G22" i="58"/>
  <c r="G30" i="58"/>
  <c r="H30" i="58"/>
  <c r="H22" i="58"/>
  <c r="D26" i="58"/>
  <c r="D19" i="58"/>
  <c r="D44" i="58"/>
  <c r="W160" i="99"/>
  <c r="X160" i="99" s="1"/>
  <c r="I41" i="57"/>
  <c r="I42" i="57" s="1"/>
  <c r="E76" i="165" s="1"/>
  <c r="L41" i="57"/>
  <c r="L42" i="57" s="1"/>
  <c r="H76" i="165" s="1"/>
  <c r="G42" i="57"/>
  <c r="J41" i="57"/>
  <c r="J42" i="57" s="1"/>
  <c r="F76" i="165" s="1"/>
  <c r="H41" i="57"/>
  <c r="H42" i="57" s="1"/>
  <c r="D76" i="165" s="1"/>
  <c r="K41" i="57"/>
  <c r="K42" i="57" s="1"/>
  <c r="G76" i="165" s="1"/>
  <c r="G110" i="165" s="1"/>
  <c r="H99" i="165"/>
  <c r="S100" i="165"/>
  <c r="N100" i="165"/>
  <c r="L100" i="165"/>
  <c r="E99" i="165"/>
  <c r="Q100" i="165"/>
  <c r="F30" i="58"/>
  <c r="F22" i="58"/>
  <c r="E22" i="58"/>
  <c r="E30" i="58"/>
  <c r="F99" i="165"/>
  <c r="F110" i="165" s="1"/>
  <c r="R100" i="165"/>
  <c r="M100" i="165"/>
  <c r="V76" i="165"/>
  <c r="V99" i="165"/>
  <c r="I22" i="58"/>
  <c r="I30" i="58"/>
  <c r="K162" i="99"/>
  <c r="K213" i="99" s="1"/>
  <c r="K222" i="99" s="1"/>
  <c r="K212" i="99"/>
  <c r="K221" i="99" s="1"/>
  <c r="G168" i="99"/>
  <c r="E102" i="136"/>
  <c r="E98" i="167"/>
  <c r="M165" i="99"/>
  <c r="F102" i="136"/>
  <c r="P165" i="99"/>
  <c r="F98" i="167"/>
  <c r="H162" i="99"/>
  <c r="Q165" i="99"/>
  <c r="Q168" i="99" s="1"/>
  <c r="S168" i="99"/>
  <c r="S216" i="99"/>
  <c r="P30" i="135"/>
  <c r="E7" i="135"/>
  <c r="E11" i="131" s="1"/>
  <c r="K30" i="135"/>
  <c r="L30" i="135"/>
  <c r="F7" i="135"/>
  <c r="Q30" i="135"/>
  <c r="H31" i="135"/>
  <c r="C40" i="130"/>
  <c r="C39" i="130" s="1"/>
  <c r="C44" i="130" s="1"/>
  <c r="D102" i="136"/>
  <c r="D98" i="167"/>
  <c r="J165" i="99"/>
  <c r="N162" i="99"/>
  <c r="G102" i="136"/>
  <c r="V165" i="99"/>
  <c r="H98" i="167"/>
  <c r="T162" i="99"/>
  <c r="Q221" i="99"/>
  <c r="Q213" i="99"/>
  <c r="Q222" i="99" s="1"/>
  <c r="M30" i="135"/>
  <c r="G7" i="135"/>
  <c r="R30" i="135"/>
  <c r="C44" i="131"/>
  <c r="C48" i="131"/>
  <c r="E162" i="99"/>
  <c r="D7" i="135"/>
  <c r="J30" i="135"/>
  <c r="I30" i="135" s="1"/>
  <c r="O30" i="135"/>
  <c r="N30" i="135" s="1"/>
  <c r="N37" i="135" s="1"/>
  <c r="C49" i="131" s="1"/>
  <c r="C51" i="131" s="1"/>
  <c r="D110" i="165" l="1"/>
  <c r="V82" i="99"/>
  <c r="H27" i="167"/>
  <c r="P82" i="99"/>
  <c r="F27" i="167"/>
  <c r="M82" i="99"/>
  <c r="M216" i="99" s="1"/>
  <c r="E27" i="167"/>
  <c r="E110" i="165"/>
  <c r="H110" i="165"/>
  <c r="J82" i="99"/>
  <c r="D27" i="167"/>
  <c r="J100" i="165"/>
  <c r="O100" i="165"/>
  <c r="T78" i="99"/>
  <c r="F9" i="130"/>
  <c r="F8" i="130" s="1"/>
  <c r="F9" i="131"/>
  <c r="F8" i="131" s="1"/>
  <c r="C37" i="165"/>
  <c r="E71" i="99"/>
  <c r="G71" i="99"/>
  <c r="C35" i="132"/>
  <c r="E206" i="99"/>
  <c r="X72" i="99"/>
  <c r="D9" i="131"/>
  <c r="D8" i="131" s="1"/>
  <c r="D9" i="130"/>
  <c r="D8" i="130" s="1"/>
  <c r="H78" i="99"/>
  <c r="W78" i="99"/>
  <c r="G9" i="131"/>
  <c r="G8" i="131" s="1"/>
  <c r="G9" i="130"/>
  <c r="G8" i="130" s="1"/>
  <c r="V40" i="165"/>
  <c r="W40" i="165" s="1"/>
  <c r="I40" i="165"/>
  <c r="I100" i="165"/>
  <c r="K30" i="58"/>
  <c r="I19" i="58"/>
  <c r="I26" i="58"/>
  <c r="I44" i="58"/>
  <c r="F27" i="58"/>
  <c r="F34" i="58"/>
  <c r="F31" i="58" s="1"/>
  <c r="G27" i="58"/>
  <c r="G34" i="58"/>
  <c r="G31" i="58" s="1"/>
  <c r="W99" i="165"/>
  <c r="K99" i="165"/>
  <c r="P99" i="165"/>
  <c r="X99" i="165"/>
  <c r="I27" i="58"/>
  <c r="I34" i="58"/>
  <c r="I31" i="58" s="1"/>
  <c r="R99" i="165"/>
  <c r="M99" i="165"/>
  <c r="F26" i="58"/>
  <c r="F19" i="58"/>
  <c r="F44" i="58"/>
  <c r="H34" i="58"/>
  <c r="H31" i="58" s="1"/>
  <c r="H27" i="58"/>
  <c r="E44" i="58"/>
  <c r="E26" i="58"/>
  <c r="E19" i="58"/>
  <c r="L99" i="165"/>
  <c r="Q99" i="165"/>
  <c r="N99" i="165"/>
  <c r="S99" i="165"/>
  <c r="H44" i="58"/>
  <c r="H19" i="58"/>
  <c r="H26" i="58"/>
  <c r="E34" i="58"/>
  <c r="E31" i="58" s="1"/>
  <c r="E27" i="58"/>
  <c r="D45" i="58"/>
  <c r="D23" i="58"/>
  <c r="G44" i="58"/>
  <c r="G19" i="58"/>
  <c r="G26" i="58"/>
  <c r="I37" i="135"/>
  <c r="H37" i="135" s="1"/>
  <c r="H30" i="135"/>
  <c r="G11" i="130"/>
  <c r="G11" i="131"/>
  <c r="M13" i="167"/>
  <c r="H136" i="167"/>
  <c r="P168" i="99"/>
  <c r="N165" i="99"/>
  <c r="P216" i="99"/>
  <c r="D11" i="131"/>
  <c r="D11" i="130"/>
  <c r="N213" i="99"/>
  <c r="N222" i="99" s="1"/>
  <c r="N221" i="99"/>
  <c r="L13" i="167"/>
  <c r="F136" i="167"/>
  <c r="E136" i="167"/>
  <c r="K13" i="167"/>
  <c r="M168" i="99"/>
  <c r="K165" i="99"/>
  <c r="K168" i="99" s="1"/>
  <c r="J13" i="167"/>
  <c r="D136" i="167"/>
  <c r="V168" i="99"/>
  <c r="T165" i="99"/>
  <c r="V216" i="99"/>
  <c r="J168" i="99"/>
  <c r="J216" i="99"/>
  <c r="H165" i="99"/>
  <c r="F11" i="131"/>
  <c r="F11" i="130"/>
  <c r="C50" i="131"/>
  <c r="S225" i="99"/>
  <c r="G10" i="167" s="1"/>
  <c r="S219" i="99"/>
  <c r="S228" i="99" s="1"/>
  <c r="Q216" i="99"/>
  <c r="K216" i="99" l="1"/>
  <c r="M225" i="99"/>
  <c r="E10" i="167" s="1"/>
  <c r="M219" i="99"/>
  <c r="M228" i="99" s="1"/>
  <c r="H82" i="99"/>
  <c r="J85" i="99"/>
  <c r="K82" i="99"/>
  <c r="K85" i="99" s="1"/>
  <c r="M85" i="99"/>
  <c r="E21" i="169"/>
  <c r="F21" i="169" s="1"/>
  <c r="E21" i="172"/>
  <c r="F21" i="172" s="1"/>
  <c r="T82" i="99"/>
  <c r="V85" i="99"/>
  <c r="G139" i="167"/>
  <c r="N82" i="99"/>
  <c r="P85" i="99"/>
  <c r="J99" i="165"/>
  <c r="O99" i="165"/>
  <c r="T79" i="99"/>
  <c r="T212" i="99"/>
  <c r="C34" i="132"/>
  <c r="H35" i="132"/>
  <c r="C36" i="165"/>
  <c r="C109" i="165" s="1"/>
  <c r="V37" i="165"/>
  <c r="W37" i="165" s="1"/>
  <c r="I37" i="165"/>
  <c r="E77" i="99"/>
  <c r="E205" i="99"/>
  <c r="E211" i="99" s="1"/>
  <c r="E241" i="99" s="1"/>
  <c r="X71" i="99"/>
  <c r="H79" i="99"/>
  <c r="H212" i="99"/>
  <c r="G77" i="99"/>
  <c r="G82" i="99" s="1"/>
  <c r="G205" i="99"/>
  <c r="G211" i="99" s="1"/>
  <c r="G45" i="58"/>
  <c r="G23" i="58"/>
  <c r="F7" i="165" s="1"/>
  <c r="D52" i="58"/>
  <c r="I23" i="58"/>
  <c r="H7" i="165" s="1"/>
  <c r="I45" i="58"/>
  <c r="E45" i="58"/>
  <c r="E23" i="58"/>
  <c r="D7" i="165" s="1"/>
  <c r="W76" i="165"/>
  <c r="X76" i="165"/>
  <c r="H23" i="58"/>
  <c r="H45" i="58"/>
  <c r="F23" i="58"/>
  <c r="E7" i="165" s="1"/>
  <c r="F45" i="58"/>
  <c r="K225" i="99"/>
  <c r="K219" i="99"/>
  <c r="K228" i="99" s="1"/>
  <c r="K10" i="167"/>
  <c r="E14" i="136"/>
  <c r="J14" i="136" s="1"/>
  <c r="H168" i="99"/>
  <c r="F15" i="153" s="1"/>
  <c r="E15" i="153"/>
  <c r="P225" i="99"/>
  <c r="F10" i="167" s="1"/>
  <c r="P219" i="99"/>
  <c r="P228" i="99" s="1"/>
  <c r="N216" i="99"/>
  <c r="Q225" i="99"/>
  <c r="Q219" i="99"/>
  <c r="Q228" i="99" s="1"/>
  <c r="J219" i="99"/>
  <c r="J228" i="99" s="1"/>
  <c r="J225" i="99"/>
  <c r="D10" i="167" s="1"/>
  <c r="H216" i="99"/>
  <c r="E33" i="153"/>
  <c r="T168" i="99"/>
  <c r="F33" i="153" s="1"/>
  <c r="E24" i="153"/>
  <c r="N168" i="99"/>
  <c r="F24" i="153" s="1"/>
  <c r="V219" i="99"/>
  <c r="V228" i="99" s="1"/>
  <c r="V225" i="99"/>
  <c r="H10" i="167" s="1"/>
  <c r="T216" i="99"/>
  <c r="E15" i="169" l="1"/>
  <c r="F15" i="169" s="1"/>
  <c r="E15" i="172"/>
  <c r="F15" i="172" s="1"/>
  <c r="K243" i="99"/>
  <c r="K244" i="99" s="1"/>
  <c r="E137" i="167"/>
  <c r="H52" i="58"/>
  <c r="G7" i="165"/>
  <c r="E10" i="172"/>
  <c r="F10" i="172" s="1"/>
  <c r="E10" i="169"/>
  <c r="F10" i="169" s="1"/>
  <c r="H85" i="99"/>
  <c r="F11" i="153" s="1"/>
  <c r="F9" i="153" s="1"/>
  <c r="E11" i="153"/>
  <c r="H11" i="153" s="1"/>
  <c r="F27" i="153"/>
  <c r="E23" i="172"/>
  <c r="F23" i="172" s="1"/>
  <c r="E23" i="169"/>
  <c r="F23" i="169" s="1"/>
  <c r="E19" i="169"/>
  <c r="F19" i="169" s="1"/>
  <c r="E19" i="172"/>
  <c r="F19" i="172" s="1"/>
  <c r="E9" i="172"/>
  <c r="F9" i="172" s="1"/>
  <c r="E9" i="169"/>
  <c r="F9" i="169" s="1"/>
  <c r="E12" i="169"/>
  <c r="F12" i="169" s="1"/>
  <c r="E12" i="172"/>
  <c r="F12" i="172" s="1"/>
  <c r="T85" i="99"/>
  <c r="F29" i="153" s="1"/>
  <c r="W82" i="99"/>
  <c r="E29" i="153"/>
  <c r="H29" i="153" s="1"/>
  <c r="E17" i="172"/>
  <c r="F17" i="172" s="1"/>
  <c r="E17" i="169"/>
  <c r="F17" i="169" s="1"/>
  <c r="Q243" i="99"/>
  <c r="Q244" i="99" s="1"/>
  <c r="G137" i="167"/>
  <c r="E8" i="169"/>
  <c r="F8" i="169" s="1"/>
  <c r="E8" i="172"/>
  <c r="F8" i="172" s="1"/>
  <c r="E20" i="153"/>
  <c r="N85" i="99"/>
  <c r="F20" i="153" s="1"/>
  <c r="F18" i="153" s="1"/>
  <c r="I99" i="165"/>
  <c r="T213" i="99"/>
  <c r="T222" i="99" s="1"/>
  <c r="T221" i="99"/>
  <c r="C43" i="132"/>
  <c r="E78" i="99"/>
  <c r="X77" i="99"/>
  <c r="C39" i="132"/>
  <c r="C42" i="132"/>
  <c r="H34" i="132"/>
  <c r="V8" i="165"/>
  <c r="V36" i="165"/>
  <c r="W36" i="165" s="1"/>
  <c r="I36" i="165"/>
  <c r="H213" i="99"/>
  <c r="H222" i="99" s="1"/>
  <c r="H221" i="99"/>
  <c r="G85" i="99"/>
  <c r="E82" i="99"/>
  <c r="G216" i="99"/>
  <c r="I52" i="58"/>
  <c r="G52" i="58"/>
  <c r="F52" i="58"/>
  <c r="E52" i="58"/>
  <c r="E139" i="167"/>
  <c r="T219" i="99"/>
  <c r="T228" i="99" s="1"/>
  <c r="T225" i="99"/>
  <c r="H137" i="167" s="1"/>
  <c r="N225" i="99"/>
  <c r="F137" i="167" s="1"/>
  <c r="N219" i="99"/>
  <c r="N228" i="99" s="1"/>
  <c r="H15" i="153"/>
  <c r="E9" i="153"/>
  <c r="G14" i="136"/>
  <c r="L14" i="136" s="1"/>
  <c r="H24" i="153"/>
  <c r="E18" i="153"/>
  <c r="D14" i="136"/>
  <c r="I14" i="136" s="1"/>
  <c r="H225" i="99"/>
  <c r="D137" i="167" s="1"/>
  <c r="H219" i="99"/>
  <c r="H228" i="99" s="1"/>
  <c r="F14" i="136"/>
  <c r="K14" i="136" s="1"/>
  <c r="H33" i="153"/>
  <c r="E27" i="153"/>
  <c r="H27" i="153" s="1"/>
  <c r="H9" i="153" l="1"/>
  <c r="H18" i="153"/>
  <c r="H20" i="153"/>
  <c r="E11" i="169"/>
  <c r="F11" i="169" s="1"/>
  <c r="E11" i="172"/>
  <c r="F11" i="172" s="1"/>
  <c r="C44" i="132"/>
  <c r="C46" i="132"/>
  <c r="H39" i="132"/>
  <c r="E79" i="99"/>
  <c r="E212" i="99"/>
  <c r="E85" i="99"/>
  <c r="G225" i="99"/>
  <c r="G219" i="99"/>
  <c r="G228" i="99" s="1"/>
  <c r="E216" i="99"/>
  <c r="N243" i="99"/>
  <c r="N244" i="99" s="1"/>
  <c r="T243" i="99"/>
  <c r="T244" i="99" s="1"/>
  <c r="H243" i="99"/>
  <c r="L10" i="167"/>
  <c r="F139" i="167"/>
  <c r="J10" i="167"/>
  <c r="D139" i="167"/>
  <c r="M10" i="167"/>
  <c r="H139" i="167"/>
  <c r="E225" i="99" l="1"/>
  <c r="E219" i="99"/>
  <c r="E228" i="99" s="1"/>
  <c r="E221" i="99"/>
  <c r="E213" i="99"/>
  <c r="E222" i="99" s="1"/>
  <c r="H244" i="99"/>
  <c r="E244" i="99" s="1"/>
  <c r="E243"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9" authorId="0" shapeId="0" xr:uid="{00000000-0006-0000-0000-000001000000}">
      <text>
        <r>
          <rPr>
            <b/>
            <sz val="28"/>
            <color indexed="81"/>
            <rFont val="Times New Roman"/>
            <family val="1"/>
            <charset val="204"/>
          </rPr>
          <t>Автор:</t>
        </r>
        <r>
          <rPr>
            <sz val="28"/>
            <color indexed="81"/>
            <rFont val="Times New Roman"/>
            <family val="1"/>
            <charset val="204"/>
          </rPr>
          <t xml:space="preserve">
без пдв обов'язково!!!!!!!!!!!!!!!</t>
        </r>
      </text>
    </comment>
    <comment ref="D45" authorId="0" shapeId="0" xr:uid="{00000000-0006-0000-0000-000002000000}">
      <text>
        <r>
          <rPr>
            <b/>
            <sz val="9"/>
            <color indexed="81"/>
            <rFont val="Tahoma"/>
            <family val="2"/>
            <charset val="204"/>
          </rPr>
          <t>Автор:</t>
        </r>
        <r>
          <rPr>
            <sz val="9"/>
            <color indexed="81"/>
            <rFont val="Tahoma"/>
            <family val="2"/>
            <charset val="204"/>
          </rPr>
          <t xml:space="preserve">
размер прибутку потрібно ваше  самостіне рішення про його розмір, але не більше 3,99%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D2" authorId="0" shapeId="0" xr:uid="{00000000-0006-0000-1C00-000001000000}">
      <text>
        <r>
          <rPr>
            <b/>
            <sz val="9"/>
            <color rgb="FF000000"/>
            <rFont val="Tahoma"/>
            <family val="2"/>
            <charset val="204"/>
          </rPr>
          <t>Автор:</t>
        </r>
        <r>
          <rPr>
            <sz val="9"/>
            <color rgb="FF000000"/>
            <rFont val="Tahoma"/>
            <family val="2"/>
            <charset val="204"/>
          </rPr>
          <t xml:space="preserve">
сюда все что связано с котлами и насосами непосредственно возле них, покраска труб  возле котлов, затраті на содержание помещений, где котлі, налог єкологический, поверка всяких приборов на котле, електро приборов, поверка измерительніх приборов</t>
        </r>
      </text>
    </comment>
    <comment ref="E2" authorId="0" shapeId="0" xr:uid="{00000000-0006-0000-1C00-000002000000}">
      <text>
        <r>
          <rPr>
            <b/>
            <sz val="9"/>
            <color rgb="FF000000"/>
            <rFont val="Tahoma"/>
            <family val="2"/>
            <charset val="204"/>
          </rPr>
          <t>Автор:</t>
        </r>
        <r>
          <rPr>
            <sz val="9"/>
            <color rgb="FF000000"/>
            <rFont val="Tahoma"/>
            <family val="2"/>
            <charset val="204"/>
          </rPr>
          <t xml:space="preserve">
сюда все что связано с содержанием тепловіх пунктов, которіе в доме: електроенергия, их обслуживание, ремонт, покраска и т.п.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5" authorId="0" shapeId="0" xr:uid="{00000000-0006-0000-2100-000001000000}">
      <text>
        <r>
          <rPr>
            <b/>
            <sz val="9"/>
            <color indexed="81"/>
            <rFont val="Tahoma"/>
            <family val="2"/>
            <charset val="204"/>
          </rPr>
          <t>Автор:</t>
        </r>
        <r>
          <rPr>
            <sz val="9"/>
            <color indexed="81"/>
            <rFont val="Tahoma"/>
            <family val="2"/>
            <charset val="204"/>
          </rPr>
          <t xml:space="preserve">
внести факт</t>
        </r>
      </text>
    </comment>
    <comment ref="C15" authorId="0" shapeId="0" xr:uid="{00000000-0006-0000-2100-000002000000}">
      <text>
        <r>
          <rPr>
            <b/>
            <sz val="9"/>
            <color indexed="81"/>
            <rFont val="Tahoma"/>
            <family val="2"/>
            <charset val="204"/>
          </rPr>
          <t>Автор:</t>
        </r>
        <r>
          <rPr>
            <sz val="9"/>
            <color indexed="81"/>
            <rFont val="Tahoma"/>
            <family val="2"/>
            <charset val="204"/>
          </rPr>
          <t xml:space="preserve">
внести факт</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7" authorId="0" shapeId="0" xr:uid="{00000000-0006-0000-2200-000001000000}">
      <text>
        <r>
          <rPr>
            <b/>
            <sz val="9"/>
            <color indexed="81"/>
            <rFont val="Tahoma"/>
            <family val="2"/>
            <charset val="204"/>
          </rPr>
          <t>Автор:</t>
        </r>
        <r>
          <rPr>
            <sz val="9"/>
            <color indexed="81"/>
            <rFont val="Tahoma"/>
            <family val="2"/>
            <charset val="204"/>
          </rPr>
          <t xml:space="preserve">
ввести данні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8" authorId="0" shapeId="0" xr:uid="{00000000-0006-0000-2300-000001000000}">
      <text>
        <r>
          <rPr>
            <b/>
            <sz val="9"/>
            <color indexed="81"/>
            <rFont val="Tahoma"/>
            <family val="2"/>
            <charset val="204"/>
          </rPr>
          <t>Автор:</t>
        </r>
        <r>
          <rPr>
            <sz val="9"/>
            <color indexed="81"/>
            <rFont val="Tahoma"/>
            <family val="2"/>
            <charset val="204"/>
          </rPr>
          <t xml:space="preserve">
Проставити фактичні данні з рахунків</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A4" authorId="0" shapeId="0" xr:uid="{00000000-0006-0000-3100-000001000000}">
      <text>
        <r>
          <rPr>
            <b/>
            <sz val="9"/>
            <color indexed="81"/>
            <rFont val="Tahoma"/>
            <family val="2"/>
            <charset val="204"/>
          </rPr>
          <t xml:space="preserve">Автор: </t>
        </r>
        <r>
          <rPr>
            <sz val="9"/>
            <color indexed="81"/>
            <rFont val="Tahoma"/>
            <family val="2"/>
            <charset val="204"/>
          </rPr>
          <t>До розрахунку тарифів на теплову енергію, її виробництво, транспортування та постачання, послуги з постачання теплової енергії і постачання гарячої води включаються витрати, які згідно з Податковим кодексом України враховуються під час визначення об'єкта оподаткування податком на прибуток підприємств.</t>
        </r>
      </text>
    </comment>
    <comment ref="A29" authorId="0" shapeId="0" xr:uid="{00000000-0006-0000-3100-000002000000}">
      <text>
        <r>
          <rPr>
            <b/>
            <sz val="9"/>
            <color indexed="81"/>
            <rFont val="Tahoma"/>
            <family val="2"/>
            <charset val="204"/>
          </rPr>
          <t>Автор:</t>
        </r>
        <r>
          <rPr>
            <sz val="9"/>
            <color indexed="81"/>
            <rFont val="Tahoma"/>
            <family val="2"/>
            <charset val="204"/>
          </rPr>
          <t xml:space="preserve">
Перелік і склад змінних і постійних загальновиробничих витрат установлюються підприємством</t>
        </r>
      </text>
    </comment>
  </commentList>
</comments>
</file>

<file path=xl/sharedStrings.xml><?xml version="1.0" encoding="utf-8"?>
<sst xmlns="http://schemas.openxmlformats.org/spreadsheetml/2006/main" count="7903" uniqueCount="2064">
  <si>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</si>
  <si>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</si>
  <si>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</si>
  <si>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</si>
  <si>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</si>
  <si>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</si>
  <si>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</si>
  <si>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</si>
  <si>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</si>
  <si>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</si>
  <si>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</si>
  <si>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</si>
  <si>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</si>
  <si>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</si>
  <si>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</si>
  <si>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</si>
  <si>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</si>
  <si>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</si>
  <si>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</si>
  <si>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</si>
  <si>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</si>
  <si>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</si>
  <si>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</si>
  <si>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</si>
  <si>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</si>
  <si>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</si>
  <si>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</si>
  <si>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</si>
  <si>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</si>
  <si>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</si>
  <si>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</si>
  <si>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</si>
  <si>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</si>
  <si>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</si>
  <si>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</si>
  <si>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</si>
  <si>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</si>
  <si>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</si>
  <si>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</si>
  <si>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</si>
  <si>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</si>
  <si>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</si>
  <si>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</si>
  <si>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</si>
  <si>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</si>
  <si>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</si>
  <si>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</si>
  <si>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</si>
  <si>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</si>
  <si>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</si>
  <si>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</si>
  <si>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</si>
  <si>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</si>
  <si>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</si>
  <si>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</si>
  <si>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</si>
  <si>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</si>
  <si>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</si>
  <si>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</si>
  <si>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</si>
  <si>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</si>
  <si>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</si>
  <si>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</si>
  <si>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</si>
  <si>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</si>
  <si>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</si>
  <si>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</si>
  <si>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</si>
  <si>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</si>
  <si>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</si>
  <si>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</si>
  <si>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</si>
  <si>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</si>
  <si>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</si>
  <si>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</si>
  <si>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</si>
  <si>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</si>
  <si>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</si>
  <si>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</si>
  <si>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</si>
  <si>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</si>
  <si>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</si>
  <si>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</si>
  <si>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</si>
  <si>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</si>
  <si>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</si>
  <si>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</si>
  <si>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</si>
  <si>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</si>
  <si>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</si>
  <si>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</si>
  <si>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</si>
  <si>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</si>
  <si>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</si>
  <si>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</si>
  <si>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</si>
  <si>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</si>
  <si>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</si>
  <si>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</si>
  <si>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</si>
  <si>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</si>
  <si>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</si>
  <si>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</si>
  <si>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</si>
  <si>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</si>
  <si>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</si>
  <si>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</si>
  <si>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</si>
  <si>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</si>
  <si>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</si>
  <si>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</si>
  <si>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</si>
  <si>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</si>
  <si>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</si>
  <si>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</si>
  <si>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</si>
  <si>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</si>
  <si>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</si>
  <si>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</si>
  <si>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Вид палива</t>
  </si>
  <si>
    <t>Відпуск теплової енергії з колекторів, Гкал</t>
  </si>
  <si>
    <t>Витрати умовного палива, тонн</t>
  </si>
  <si>
    <t>Калорійність натурального палива, ккал/м3, ккал/кг</t>
  </si>
  <si>
    <t>Витрати натурального палива, тис.м3, тонн</t>
  </si>
  <si>
    <t>Ціна 1 тонни умовного палива, грн/тонну</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</si>
  <si>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</si>
  <si>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</si>
  <si>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</si>
  <si>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</si>
  <si>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</si>
  <si>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</si>
  <si>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</si>
  <si>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</si>
  <si>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</si>
  <si>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</si>
  <si>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</si>
  <si>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</si>
  <si>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</si>
  <si>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</si>
  <si>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</si>
  <si>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</si>
  <si>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</si>
  <si>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</si>
  <si>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</si>
  <si>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</si>
  <si>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</si>
  <si>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</si>
  <si>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</si>
  <si>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</si>
  <si>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</si>
  <si>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</si>
  <si>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</si>
  <si>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</si>
  <si>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</si>
  <si>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</si>
  <si>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</si>
  <si>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</si>
  <si>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</si>
  <si>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</si>
  <si>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</si>
  <si>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</si>
  <si>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</si>
  <si>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</si>
  <si>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</si>
  <si>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</si>
  <si>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</si>
  <si>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</si>
  <si>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</si>
  <si>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</si>
  <si>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</si>
  <si>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</si>
  <si>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</si>
  <si>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</si>
  <si>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</si>
  <si>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</si>
  <si>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</si>
  <si>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</si>
  <si>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</si>
  <si>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</si>
  <si>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</si>
  <si>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</si>
  <si>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</si>
  <si>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</si>
  <si>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</si>
  <si>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</si>
  <si>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</si>
  <si>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</si>
  <si>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</si>
  <si>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</si>
  <si>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</si>
  <si>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(орган місцевого самоврядування)</t>
  </si>
  <si>
    <t>план</t>
  </si>
  <si>
    <t>господарські потреби ліцензованої діяльності суб’єкта господарювання</t>
  </si>
  <si>
    <t>9.2</t>
  </si>
  <si>
    <t>постачання теплової енергії, зокрема на потреби:</t>
  </si>
  <si>
    <t>постачання гарячої води, зокрема на потреби:</t>
  </si>
  <si>
    <t>(підпис)</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</si>
  <si>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</si>
  <si>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</si>
  <si>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</si>
  <si>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</si>
  <si>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</si>
  <si>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</si>
  <si>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</si>
  <si>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</si>
  <si>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</si>
  <si>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</si>
  <si>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</si>
  <si>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</si>
  <si>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</si>
  <si>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</si>
  <si>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</si>
  <si>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</si>
  <si>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</si>
  <si>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</si>
  <si>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</si>
  <si>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</si>
  <si>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</si>
  <si>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</si>
  <si>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</si>
  <si>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</si>
  <si>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</si>
  <si>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</si>
  <si>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</si>
  <si>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_______</t>
  </si>
  <si>
    <t>період, що передує базовому (факт)</t>
  </si>
  <si>
    <t>Розрахунковий прибуток, усього, зокрема:</t>
  </si>
  <si>
    <t>11.3</t>
  </si>
  <si>
    <t>11.4</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</si>
  <si>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</si>
  <si>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</si>
  <si>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</si>
  <si>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</si>
  <si>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</si>
  <si>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</si>
  <si>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</si>
  <si>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</si>
  <si>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</si>
  <si>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</si>
  <si>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</si>
  <si>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</si>
  <si>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</si>
  <si>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</si>
  <si>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</si>
  <si>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</si>
  <si>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</si>
  <si>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</si>
  <si>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</si>
  <si>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</si>
  <si>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</si>
  <si>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</si>
  <si>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</si>
  <si>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</si>
  <si>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</si>
  <si>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</si>
  <si>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</si>
  <si>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</si>
  <si>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</si>
  <si>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</si>
  <si>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</si>
  <si>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</si>
  <si>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</si>
  <si>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</si>
  <si>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</si>
  <si>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</si>
  <si>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</si>
  <si>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</si>
  <si>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</si>
  <si>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</si>
  <si>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</si>
  <si>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</si>
  <si>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</si>
  <si>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</si>
  <si>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</si>
  <si>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</si>
  <si>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</si>
  <si>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</si>
  <si>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</si>
  <si>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</si>
  <si>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</si>
  <si>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</si>
  <si>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</si>
  <si>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</si>
  <si>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</si>
  <si>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</si>
  <si>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</si>
  <si>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</si>
  <si>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</si>
  <si>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</si>
  <si>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</si>
  <si>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</si>
  <si>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</si>
  <si>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</si>
  <si>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</si>
  <si>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</si>
  <si>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</si>
  <si>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</si>
  <si>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</si>
  <si>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</si>
  <si>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</si>
  <si>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</si>
  <si>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</si>
  <si>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</si>
  <si>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</si>
  <si>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</si>
  <si>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</si>
  <si>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</si>
  <si>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</si>
  <si>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</si>
  <si>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</si>
  <si>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</si>
  <si>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</si>
  <si>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</si>
  <si>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</si>
  <si>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</si>
  <si>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</si>
  <si>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</si>
  <si>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</si>
  <si>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</si>
  <si>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</si>
  <si>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</si>
  <si>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</si>
  <si>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</si>
  <si>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</si>
  <si>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Кількість поверхів</t>
  </si>
  <si>
    <t>Рік введення в експлуатацію</t>
  </si>
  <si>
    <t>Кількість абонентів послуги з постачання теплової енергії</t>
  </si>
  <si>
    <t>Зокрема</t>
  </si>
  <si>
    <t>Усього, зокрема:</t>
  </si>
  <si>
    <t>5 і більше поверхів</t>
  </si>
  <si>
    <t>споруджених з 1930 по 1958 рр.</t>
  </si>
  <si>
    <t>споруджених з 1959 по 1970 рр.</t>
  </si>
  <si>
    <t>споруджених з 1971 по 1980 рр.</t>
  </si>
  <si>
    <t>споруджених з 1981 по 1985 рр.</t>
  </si>
  <si>
    <t>споруджених з 1986 по 1999 рр.</t>
  </si>
  <si>
    <t>споруджених з 2000 р.</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</si>
  <si>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</si>
  <si>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</si>
  <si>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Зокрема з квартирними засобами обліку теплової енергії</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</si>
  <si>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</si>
  <si>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</si>
  <si>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</si>
  <si>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</si>
  <si>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</si>
  <si>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</si>
  <si>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</si>
  <si>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</si>
  <si>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</si>
  <si>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</si>
  <si>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</si>
  <si>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</si>
  <si>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</si>
  <si>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</si>
  <si>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</si>
  <si>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</si>
  <si>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</si>
  <si>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</si>
  <si>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</si>
  <si>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</si>
  <si>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</si>
  <si>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</si>
  <si>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</si>
  <si>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</si>
  <si>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</si>
  <si>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</si>
  <si>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</si>
  <si>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</si>
  <si>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</si>
  <si>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</si>
  <si>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</si>
  <si>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</si>
  <si>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</si>
  <si>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</si>
  <si>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</si>
  <si>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</si>
  <si>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</si>
  <si>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</si>
  <si>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</si>
  <si>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</si>
  <si>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</si>
  <si>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</si>
  <si>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</si>
  <si>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</si>
  <si>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</si>
  <si>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</si>
  <si>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</si>
  <si>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</si>
  <si>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</si>
  <si>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</si>
  <si>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</si>
  <si>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</si>
  <si>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</si>
  <si>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</si>
  <si>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</si>
  <si>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</si>
  <si>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</si>
  <si>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</si>
  <si>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</si>
  <si>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</si>
  <si>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</si>
  <si>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</si>
  <si>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</si>
  <si>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</si>
  <si>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</si>
  <si>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</si>
  <si>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</si>
  <si>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</si>
  <si>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</si>
  <si>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</si>
  <si>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</si>
  <si>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</si>
  <si>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</si>
  <si>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</si>
  <si>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</si>
  <si>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</si>
  <si>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</si>
  <si>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</si>
  <si>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</si>
  <si>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</si>
  <si>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</si>
  <si>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</si>
  <si>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</si>
  <si>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</si>
  <si>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</si>
  <si>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</si>
  <si>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</si>
  <si>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</si>
  <si>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</si>
  <si>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</si>
  <si>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</si>
  <si>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</si>
  <si>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</si>
  <si>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</si>
  <si>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</si>
  <si>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</si>
  <si>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</si>
  <si>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</si>
  <si>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</si>
  <si>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</si>
  <si>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</si>
  <si>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</si>
  <si>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</si>
  <si>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</si>
  <si>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</si>
  <si>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</si>
  <si>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</si>
  <si>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</si>
  <si>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</si>
  <si>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</si>
  <si>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</si>
  <si>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</si>
  <si>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</si>
  <si>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З будинковими приладами обліку теплової енергії на послугу з постачання теплової енергії, зокрема:</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</si>
  <si>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</si>
  <si>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</si>
  <si>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</si>
  <si>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</si>
  <si>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Витрати на ремонт сновних засобів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</si>
  <si>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</si>
  <si>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Обсяг теплової енергії для надання послуги з постачання гарячої води, Гкал</t>
  </si>
  <si>
    <t>Підтвердний документ (договір  + накладна, рахунок, інші документи)</t>
  </si>
  <si>
    <t>виробництва теплової енергії (Гкал)</t>
  </si>
  <si>
    <t>транспортування теплової енергії (Гкал)</t>
  </si>
  <si>
    <t>постачання теплової енергії (Гкал)</t>
  </si>
  <si>
    <t>1</t>
  </si>
  <si>
    <t>на установках з використанням альтернативних джерел енергії</t>
  </si>
  <si>
    <t>на котельнях</t>
  </si>
  <si>
    <t>Тривалість опалювального періоду</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</si>
  <si>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</si>
  <si>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</si>
  <si>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</si>
  <si>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Всього, у т.ч.:</t>
  </si>
  <si>
    <t>9.3.1</t>
  </si>
  <si>
    <t>9.3.2</t>
  </si>
  <si>
    <t>9.3.4</t>
  </si>
  <si>
    <t>10.4</t>
  </si>
  <si>
    <t>11.2.3</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</si>
  <si>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</si>
  <si>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</si>
  <si>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</si>
  <si>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</si>
  <si>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</si>
  <si>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</si>
  <si>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</si>
  <si>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</si>
  <si>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</si>
  <si>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</si>
  <si>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</si>
  <si>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</si>
  <si>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</si>
  <si>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</si>
  <si>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</si>
  <si>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</si>
  <si>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</si>
  <si>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</si>
  <si>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</si>
  <si>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</si>
  <si>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</si>
  <si>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</si>
  <si>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</si>
  <si>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</si>
  <si>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</si>
  <si>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</si>
  <si>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</si>
  <si>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Кількість споживачів (абонентів) суб'єкта господарювання всього, зокрема:</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</si>
  <si>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</si>
  <si>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</si>
  <si>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</si>
  <si>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</si>
  <si>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</si>
  <si>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</si>
  <si>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</si>
  <si>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</si>
  <si>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</si>
  <si>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</si>
  <si>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</si>
  <si>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Вартість транспортування теплової енергії за відповідними тарифами</t>
  </si>
  <si>
    <t>Обсяг реалізації теплової енергії власним споживачам,  зокрема на потреби:</t>
  </si>
  <si>
    <t>Адреси житлових будинків із системами автономного опалення (САО)</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</si>
  <si>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</si>
  <si>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</si>
  <si>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</si>
  <si>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</si>
  <si>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</si>
  <si>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</si>
  <si>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</si>
  <si>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</si>
  <si>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</si>
  <si>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</si>
  <si>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</si>
  <si>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</si>
  <si>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</si>
  <si>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</si>
  <si>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</si>
  <si>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Найменування показників</t>
  </si>
  <si>
    <t>без ЦТП</t>
  </si>
  <si>
    <t>з ЦТП</t>
  </si>
  <si>
    <t>Додаток 6
до рішення виконавчого комітету міської ради від ___.___ 2020 р. №_____</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</si>
  <si>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</si>
  <si>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</si>
  <si>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</si>
  <si>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</si>
  <si>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</si>
  <si>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</si>
  <si>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</si>
  <si>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</si>
  <si>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2020-2021</t>
  </si>
  <si>
    <t>16</t>
  </si>
  <si>
    <t>17</t>
  </si>
  <si>
    <t>18</t>
  </si>
  <si>
    <t>11.2.1.1</t>
  </si>
  <si>
    <t>11.2.1.2</t>
  </si>
  <si>
    <t>11.2.2.1</t>
  </si>
  <si>
    <t>11.2.2.2</t>
  </si>
  <si>
    <t>11.2.4.1</t>
  </si>
  <si>
    <t>11.1.1.1</t>
  </si>
  <si>
    <t>11.1.1.2</t>
  </si>
  <si>
    <t>11.1.1.1.1</t>
  </si>
  <si>
    <t>11.1.1.1.2</t>
  </si>
  <si>
    <t>11.1.1.2.1</t>
  </si>
  <si>
    <t>11.1.1.2.2</t>
  </si>
  <si>
    <t>власні споживачі</t>
  </si>
  <si>
    <t>10.5</t>
  </si>
  <si>
    <t>10.4.1</t>
  </si>
  <si>
    <t>10.4.2</t>
  </si>
  <si>
    <t>10.3.1</t>
  </si>
  <si>
    <t>10.3.2</t>
  </si>
  <si>
    <t>10.5.1</t>
  </si>
  <si>
    <t>10.5.2</t>
  </si>
  <si>
    <t>10.1.1.1</t>
  </si>
  <si>
    <t>10.1.2.1</t>
  </si>
  <si>
    <t>10.1.2.2</t>
  </si>
  <si>
    <t>10.2.1</t>
  </si>
  <si>
    <t>10.2.2</t>
  </si>
  <si>
    <t>9.3.4.1</t>
  </si>
  <si>
    <t>9.3.4.2</t>
  </si>
  <si>
    <t>9.3.3.1</t>
  </si>
  <si>
    <t>9.3.3.2</t>
  </si>
  <si>
    <t>9.3.2.1</t>
  </si>
  <si>
    <t>9.3.1.1</t>
  </si>
  <si>
    <t>9.3.1.2</t>
  </si>
  <si>
    <t>9.3.1.1.1</t>
  </si>
  <si>
    <t>9.3.1.1.2</t>
  </si>
  <si>
    <t>9.3.1.2.1</t>
  </si>
  <si>
    <t>9.3.1.2.2</t>
  </si>
  <si>
    <t>6.2.1</t>
  </si>
  <si>
    <t>3.2.3</t>
  </si>
  <si>
    <t>3.2.2.1</t>
  </si>
  <si>
    <t>3.2.3.1</t>
  </si>
  <si>
    <t>3.2.3.2</t>
  </si>
  <si>
    <t>бюджетні установи</t>
  </si>
  <si>
    <t>господарські потреби</t>
  </si>
  <si>
    <t>6.1.3</t>
  </si>
  <si>
    <t>Вартість електроенергії (постачання)</t>
  </si>
  <si>
    <t>грн/кВт ∙год</t>
  </si>
  <si>
    <t>Вартість електроенергії (розподіл)</t>
  </si>
  <si>
    <t>грн/кВАр∙год</t>
  </si>
  <si>
    <t>Тариф на електричну енергію, без ПДВ</t>
  </si>
  <si>
    <t>Всього</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</si>
  <si>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</si>
  <si>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</si>
  <si>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</si>
  <si>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</si>
  <si>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</si>
  <si>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</si>
  <si>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</si>
  <si>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</si>
  <si>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</si>
  <si>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</si>
  <si>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</si>
  <si>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Вартість електроенергії (постачання) усього, зокрема:</t>
  </si>
  <si>
    <t>Вартість електроенергії (розподіл), усього, зокрема:</t>
  </si>
  <si>
    <t>1.2.1</t>
  </si>
  <si>
    <t>1.2.2</t>
  </si>
  <si>
    <t>вартості технологічного палива на виробництво теплової енергії</t>
  </si>
  <si>
    <t>тариф на послуги розподілу природного газу</t>
  </si>
  <si>
    <t>тариф на транспортування природного газу</t>
  </si>
  <si>
    <t>Постачання природного газу</t>
  </si>
  <si>
    <t>Транспортування природного газу</t>
  </si>
  <si>
    <t>Розподіл природного газу</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</si>
  <si>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</si>
  <si>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</si>
  <si>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</si>
  <si>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</si>
  <si>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</si>
  <si>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</si>
  <si>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</si>
  <si>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</si>
  <si>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</si>
  <si>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</si>
  <si>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</si>
  <si>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</si>
  <si>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</si>
  <si>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</si>
  <si>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з постачання теплової енергії</t>
  </si>
  <si>
    <t xml:space="preserve">для споживачів, опалюваної площі та відповідних питомих норм </t>
  </si>
  <si>
    <t xml:space="preserve">   (керівник)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</si>
  <si>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</si>
  <si>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</si>
  <si>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</si>
  <si>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</si>
  <si>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</si>
  <si>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</si>
  <si>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</si>
  <si>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</si>
  <si>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</si>
  <si>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</si>
  <si>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</si>
  <si>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</si>
  <si>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</si>
  <si>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</si>
  <si>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</si>
  <si>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</si>
  <si>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</si>
  <si>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</si>
  <si>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Виробництво</t>
  </si>
  <si>
    <t>Транспор-тування</t>
  </si>
  <si>
    <t>Постачання</t>
  </si>
  <si>
    <t>скорочено</t>
  </si>
  <si>
    <t>Заступник директора з економіки</t>
  </si>
  <si>
    <t xml:space="preserve">в тому числі </t>
  </si>
  <si>
    <t>виробництво ТЕ</t>
  </si>
  <si>
    <t>постачання ТЕ</t>
  </si>
  <si>
    <t>запчастини</t>
  </si>
  <si>
    <t>працюючих інвалідів</t>
  </si>
  <si>
    <t>освітлення та робота оргтехніки</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</si>
  <si>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</si>
  <si>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</si>
  <si>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</si>
  <si>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</si>
  <si>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</si>
  <si>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</si>
  <si>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</si>
  <si>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</si>
  <si>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</si>
  <si>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</si>
  <si>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</si>
  <si>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</si>
  <si>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</si>
  <si>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</si>
  <si>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</si>
  <si>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</si>
  <si>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</si>
  <si>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</si>
  <si>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Послуги з абонентського обслуговування</t>
  </si>
  <si>
    <t>Всього:</t>
  </si>
  <si>
    <t xml:space="preserve">(П.І.Б.)               </t>
  </si>
  <si>
    <t>Індекс цін виробників промислової продукції (грудень до грудня попереднього року), відсотків</t>
  </si>
  <si>
    <t>без ПДВ</t>
  </si>
  <si>
    <t>№ п/п</t>
  </si>
  <si>
    <t>Медогляд</t>
  </si>
  <si>
    <t>Абон. Обслуг.</t>
  </si>
  <si>
    <t>ЗВВ</t>
  </si>
  <si>
    <t>Адміністративні</t>
  </si>
  <si>
    <t>Разом</t>
  </si>
  <si>
    <t>вартість</t>
  </si>
  <si>
    <t>№№</t>
  </si>
  <si>
    <t>Додаток __</t>
  </si>
  <si>
    <t>Працівники</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</si>
  <si>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</si>
  <si>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</si>
  <si>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</si>
  <si>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</si>
  <si>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</si>
  <si>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</si>
  <si>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</si>
  <si>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</si>
  <si>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</si>
  <si>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</si>
  <si>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III</t>
  </si>
  <si>
    <t>IV</t>
  </si>
  <si>
    <t>Виробничий персонал задіяний у наданні послуги з абонентського обслуговування</t>
  </si>
  <si>
    <t>V</t>
  </si>
  <si>
    <t>VI</t>
  </si>
  <si>
    <t>Загальновиробничий персонал</t>
  </si>
  <si>
    <t>Адміністративно-управлінський персонал</t>
  </si>
  <si>
    <t>Всього витрат на оплату праці</t>
  </si>
  <si>
    <t>Всього відрахування на соціальні заходи</t>
  </si>
  <si>
    <t>М.П.</t>
  </si>
  <si>
    <t>(посада)</t>
  </si>
  <si>
    <t>Загальновиробничі</t>
  </si>
  <si>
    <t xml:space="preserve">Зведений розрахунок амортизації </t>
  </si>
  <si>
    <t>Додаток__</t>
  </si>
  <si>
    <t>Постачання ТЕ</t>
  </si>
  <si>
    <t>Послуги з встановлення, обслуговування та заміни ВКО</t>
  </si>
  <si>
    <t>Активи: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</si>
  <si>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</si>
  <si>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</si>
  <si>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</si>
  <si>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</si>
  <si>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(найменування територіальної громади)</t>
  </si>
  <si>
    <t>Наявність будинкових приладів обліку теплової енергії на постачання гарячої води (наявний/відсутній)</t>
  </si>
  <si>
    <t>Зокрема з квартирними  засобами обліку гарячої води</t>
  </si>
  <si>
    <t>7.1.</t>
  </si>
  <si>
    <t>8.1.</t>
  </si>
  <si>
    <t>9.1.</t>
  </si>
  <si>
    <t>9.2.</t>
  </si>
  <si>
    <t>9.3.</t>
  </si>
  <si>
    <t>наявний</t>
  </si>
  <si>
    <t>X</t>
  </si>
  <si>
    <t>1 - 2-поверхових будинків</t>
  </si>
  <si>
    <t>3 - 4-поверхових будинків</t>
  </si>
  <si>
    <t>Без будинкових приладів обліку теплової енергії на послугу з постачання теплової енергії, усього, зокрема:</t>
  </si>
  <si>
    <t>1 - 2-поверхових будинків, зокрема:</t>
  </si>
  <si>
    <t>споруджених до 1930 р.</t>
  </si>
  <si>
    <t>3 - 4-поверхових будинків, зокрема:</t>
  </si>
  <si>
    <t>5 і більше поверхів, зокрема:</t>
  </si>
  <si>
    <t>______________________________</t>
  </si>
  <si>
    <t>на території Черноморської територіальної громади</t>
  </si>
  <si>
    <t>ремонт</t>
  </si>
  <si>
    <t>витрати на зв'язок та інтернет, у т.ч.:</t>
  </si>
  <si>
    <t>централізоване водопостачання, централізоване водовідведення</t>
  </si>
  <si>
    <t>КП“Чорноморськводоканал” </t>
  </si>
  <si>
    <t>податки, збори, обов'язкові платежі</t>
  </si>
  <si>
    <t>______________</t>
  </si>
  <si>
    <t>вивезення сміття</t>
  </si>
  <si>
    <t>технічне обслуговування</t>
  </si>
  <si>
    <t>підготовка та перепідготовка кадрів</t>
  </si>
  <si>
    <t>ПТО</t>
  </si>
  <si>
    <t>АО</t>
  </si>
  <si>
    <t>ао</t>
  </si>
  <si>
    <t>звв</t>
  </si>
  <si>
    <t>ремонтні роботи (авто)</t>
  </si>
  <si>
    <t>транспортні послуги</t>
  </si>
  <si>
    <t>Вид послуг</t>
  </si>
  <si>
    <t>Загальновиробничі витрати</t>
  </si>
  <si>
    <t>матеріали на технічне обслуговування</t>
  </si>
  <si>
    <t>витрати на професійні послуги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</si>
  <si>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</si>
  <si>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</si>
  <si>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</si>
  <si>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</si>
  <si>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</si>
  <si>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</si>
  <si>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</si>
  <si>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</si>
  <si>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</si>
  <si>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 xml:space="preserve">тарифів на постачання теплової енергії </t>
  </si>
  <si>
    <t>загальновиробничі потреби, крім ремонтів</t>
  </si>
  <si>
    <t>на ремонти</t>
  </si>
  <si>
    <t>Обсяг споживання реактивної електроенергії (на ремонти)</t>
  </si>
  <si>
    <t>Вартість активної та реактивної електроенергії на ремонти</t>
  </si>
  <si>
    <t>Прямі витрати на транспортування теплової енергії всього, у т.ч.:</t>
  </si>
  <si>
    <t>Прямі витрати на виробництво теплової енергії всього, у т.ч.:</t>
  </si>
  <si>
    <t>холодна вода для технологічних потреб та водовідведення</t>
  </si>
  <si>
    <t>Д8_Паливо</t>
  </si>
  <si>
    <t>Д9_ЕЕ</t>
  </si>
  <si>
    <t>особи</t>
  </si>
  <si>
    <t>розрахунок на листі Д9_ЕЕ</t>
  </si>
  <si>
    <t>технічне освідотствування</t>
  </si>
  <si>
    <t>обстеження димвентканалів</t>
  </si>
  <si>
    <t>(найменування ліцензіата)</t>
  </si>
  <si>
    <t>Без ПДВ</t>
  </si>
  <si>
    <t xml:space="preserve">№ </t>
  </si>
  <si>
    <t>одиниця виміру</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</si>
  <si>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</si>
  <si>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</si>
  <si>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</si>
  <si>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</si>
  <si>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</si>
  <si>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</si>
  <si>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</si>
  <si>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</si>
  <si>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</si>
  <si>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</si>
  <si>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</si>
  <si>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</si>
  <si>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</si>
  <si>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</si>
  <si>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</si>
  <si>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1.3.</t>
  </si>
  <si>
    <t>Обсяг води на підживлення</t>
  </si>
  <si>
    <t>1.4.</t>
  </si>
  <si>
    <t>1.5.</t>
  </si>
  <si>
    <t>Обсяг води на гідравлічні випробування</t>
  </si>
  <si>
    <t>1.6.</t>
  </si>
  <si>
    <t>Обсяг води на охолодження підшипників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</si>
  <si>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</si>
  <si>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</si>
  <si>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</si>
  <si>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</si>
  <si>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</si>
  <si>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</si>
  <si>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</si>
  <si>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</si>
  <si>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</si>
  <si>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</si>
  <si>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</si>
  <si>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</si>
  <si>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</si>
  <si>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</si>
  <si>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</si>
  <si>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</si>
  <si>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</si>
  <si>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</si>
  <si>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t>Тариф (об*єкт №1) на покупну воду   / водовідведення (без ПДВ)</t>
  </si>
  <si>
    <t>№2</t>
  </si>
  <si>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</si>
  <si>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</si>
  <si>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</si>
  <si>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Тариф (об*єкт №3) на покупну воду   / водовідведення (без ПДВ)</t>
  </si>
  <si>
    <t>Вартість покупної води / водовідведення від об*єкта №3</t>
  </si>
  <si>
    <t>№4</t>
  </si>
  <si>
    <t>Тариф (об*єкт №4) на покупну воду   / водовідведення (без ПДВ)</t>
  </si>
  <si>
    <t>Вартість покупної води / водовідведення від об*єкта №4</t>
  </si>
  <si>
    <t>№5</t>
  </si>
  <si>
    <t>Тариф (об*єкт №5) на покупну воду   / водовідведення (без ПДВ)</t>
  </si>
  <si>
    <t>Вартість покупної води / водовідведення від об*єкта №5</t>
  </si>
  <si>
    <t>№6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</si>
  <si>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</si>
  <si>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</si>
  <si>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</si>
  <si>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</si>
  <si>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</si>
  <si>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</si>
  <si>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</si>
  <si>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</si>
  <si>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</si>
  <si>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</si>
  <si>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</si>
  <si>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</si>
  <si>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</si>
  <si>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</si>
  <si>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</si>
  <si>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</si>
  <si>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</si>
  <si>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</si>
  <si>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</si>
  <si>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</si>
  <si>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</si>
  <si>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</si>
  <si>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</si>
  <si>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</si>
  <si>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</si>
  <si>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</si>
  <si>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</si>
  <si>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</si>
  <si>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</si>
  <si>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</si>
  <si>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</si>
  <si>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</si>
  <si>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</si>
  <si>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</si>
  <si>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</si>
  <si>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</si>
  <si>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</si>
  <si>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</si>
  <si>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</si>
  <si>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</si>
  <si>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</si>
  <si>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</si>
  <si>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</si>
  <si>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</si>
  <si>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</si>
  <si>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</si>
  <si>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</si>
  <si>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</si>
  <si>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</si>
  <si>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</si>
  <si>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</si>
  <si>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</si>
  <si>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</si>
  <si>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</si>
  <si>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</si>
  <si>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</si>
  <si>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</si>
  <si>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</si>
  <si>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</si>
  <si>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</si>
  <si>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</si>
  <si>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</si>
  <si>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</si>
  <si>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</si>
  <si>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</si>
  <si>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</si>
  <si>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</si>
  <si>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</si>
  <si>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</si>
  <si>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</si>
  <si>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</si>
  <si>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</si>
  <si>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Абонентське обслуговування</t>
  </si>
  <si>
    <t>Статті витрат</t>
  </si>
  <si>
    <t>кількість</t>
  </si>
  <si>
    <t>Ціна на молоко</t>
  </si>
  <si>
    <t>виробництво</t>
  </si>
  <si>
    <t>транспортування</t>
  </si>
  <si>
    <t>заправка картріджів</t>
  </si>
  <si>
    <t>Екологічний податок</t>
  </si>
  <si>
    <t>придбання палива (природний газ) на технологічні потреби всього, у т.ч.:</t>
  </si>
  <si>
    <t>транспортування природного газу</t>
  </si>
  <si>
    <t>розподіл природного газу</t>
  </si>
  <si>
    <t>Разом:</t>
  </si>
  <si>
    <t>Ліцензована діяльність у сфері теплопостачання</t>
  </si>
  <si>
    <t>Всього ТЕ</t>
  </si>
  <si>
    <t>Інші види діяльності</t>
  </si>
  <si>
    <t>Прямі витрати на оплату праці</t>
  </si>
  <si>
    <t>Розподіл загальновиробничих та адміністративних витрат між видами діяльності</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</si>
  <si>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</si>
  <si>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</si>
  <si>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</si>
  <si>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</si>
  <si>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</si>
  <si>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</si>
  <si>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</si>
  <si>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</si>
  <si>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</si>
  <si>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</si>
  <si>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</si>
  <si>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Фонд оплати праці виробничого, загальновиробничого та адміністративного персоналу з відрахуваннями на соціальні заходи</t>
  </si>
  <si>
    <t>ЗАГАЛЬНА БАЗА РОЗПОДІЛУ АДМІНІСТРАТИВНИХ ВИТРАТ</t>
  </si>
  <si>
    <t xml:space="preserve">(ініціали, прізвище)               </t>
  </si>
  <si>
    <t>придбання електроенергії на технологічні потреби</t>
  </si>
  <si>
    <t>прямо+розподіл</t>
  </si>
  <si>
    <t>розподіл</t>
  </si>
  <si>
    <t>розподіл не співпадає по корисному</t>
  </si>
  <si>
    <t>прямо</t>
  </si>
  <si>
    <t>прямо + розподіл</t>
  </si>
  <si>
    <t>в тому числі за групами</t>
  </si>
  <si>
    <t>1.1.4.1</t>
  </si>
  <si>
    <t>у т.ч. витрати на покриття втрат теплової енергії в телових мережах</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</si>
  <si>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</si>
  <si>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</si>
  <si>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</si>
  <si>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у відсотках до нормативного обсягу надходження теплової енергії в теплові мережі</t>
  </si>
  <si>
    <t>Примітка. Рядки, відмічені позначкою X, суб'єктом господарювання - виконавцем послуг не заповнюються.</t>
  </si>
  <si>
    <t>9.4.</t>
  </si>
  <si>
    <t>4.6</t>
  </si>
  <si>
    <t xml:space="preserve"> 4.6.1</t>
  </si>
  <si>
    <t>Кількість абонентів послуги з постачання гарячої води</t>
  </si>
  <si>
    <t>на господарські потреби ліцензованої діяльності суб’єкта господарювання</t>
  </si>
  <si>
    <t>Вартість активної та реактивної електроенергії на постачання теплової енергії</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</si>
  <si>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</si>
  <si>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</si>
  <si>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</si>
  <si>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Вихідні дані та техніко-економічні показники</t>
  </si>
  <si>
    <t>для розрахунку двоставкових тарифів на теплову енергію, послуги з постачання теплової енергії</t>
  </si>
  <si>
    <t>Найменування показника </t>
  </si>
  <si>
    <t>Показник базового року</t>
  </si>
  <si>
    <t>У тому числі </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</si>
  <si>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</si>
  <si>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</si>
  <si>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</si>
  <si>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</si>
  <si>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</si>
  <si>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</si>
  <si>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</si>
  <si>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</si>
  <si>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</si>
  <si>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</si>
  <si>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</si>
  <si>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</si>
  <si>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</si>
  <si>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</si>
  <si>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</si>
  <si>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</si>
  <si>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</si>
  <si>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</si>
  <si>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</si>
  <si>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</si>
  <si>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</si>
  <si>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</si>
  <si>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</si>
  <si>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</si>
  <si>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</si>
  <si>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</si>
  <si>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</si>
  <si>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</si>
  <si>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</si>
  <si>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</si>
  <si>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</si>
  <si>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</si>
  <si>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</si>
  <si>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</si>
  <si>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</si>
  <si>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</si>
  <si>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</si>
  <si>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</si>
  <si>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</si>
  <si>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</si>
  <si>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</si>
  <si>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</si>
  <si>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</si>
  <si>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</si>
  <si>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</si>
  <si>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</si>
  <si>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</si>
  <si>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</si>
  <si>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</si>
  <si>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</si>
  <si>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</si>
  <si>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</si>
  <si>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</si>
  <si>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</si>
  <si>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</si>
  <si>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</si>
  <si>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</si>
  <si>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</si>
  <si>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</si>
  <si>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</si>
  <si>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</si>
  <si>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</si>
  <si>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</si>
  <si>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</si>
  <si>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</si>
  <si>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</si>
  <si>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</si>
  <si>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</si>
  <si>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</si>
  <si>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</si>
  <si>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</si>
  <si>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</si>
  <si>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</si>
  <si>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</si>
  <si>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</si>
  <si>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</si>
  <si>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</si>
  <si>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</si>
  <si>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</si>
  <si>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</si>
  <si>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</si>
  <si>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</si>
  <si>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</si>
  <si>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</si>
  <si>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</si>
  <si>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</si>
  <si>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</si>
  <si>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</si>
  <si>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</si>
  <si>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</si>
  <si>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</si>
  <si>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</si>
  <si>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</si>
  <si>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</si>
  <si>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</si>
  <si>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</si>
  <si>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</si>
  <si>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</si>
  <si>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</si>
  <si>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</si>
  <si>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</si>
  <si>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</si>
  <si>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</si>
  <si>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</si>
  <si>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</si>
  <si>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</si>
  <si>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</si>
  <si>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</si>
  <si>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</si>
  <si>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</si>
  <si>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</si>
  <si>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</si>
  <si>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</si>
  <si>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</si>
  <si>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усього </t>
  </si>
  <si>
    <t>у тому числі </t>
  </si>
  <si>
    <t>умовно-змінна частина</t>
  </si>
  <si>
    <t>умовно- постійна частина </t>
  </si>
  <si>
    <t>тис. Гкал</t>
  </si>
  <si>
    <t>споживачів, які користуються централізованим опаленням</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</si>
  <si>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</si>
  <si>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</si>
  <si>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</si>
  <si>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</si>
  <si>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</si>
  <si>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</si>
  <si>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</si>
  <si>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</si>
  <si>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</si>
  <si>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умовно-змінна частина  </t>
  </si>
  <si>
    <t>умовно-постійна частина (абонентська плата) </t>
  </si>
  <si>
    <t>20.1</t>
  </si>
  <si>
    <t>20.2</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</si>
  <si>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</si>
  <si>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</si>
  <si>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</si>
  <si>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</si>
  <si>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</si>
  <si>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</si>
  <si>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</si>
  <si>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</si>
  <si>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 xml:space="preserve">Кількість споживачів (абонентів), яким надається послуга з постачання гарячої води </t>
  </si>
  <si>
    <t>20.3</t>
  </si>
  <si>
    <t>20.4</t>
  </si>
  <si>
    <t>Розрахунок</t>
  </si>
  <si>
    <t xml:space="preserve">Приєднане теплове навантаження  </t>
  </si>
  <si>
    <t>грн/Гкал </t>
  </si>
  <si>
    <t>Одноставковий тариф на постачання теплової енергії без ПДВ</t>
  </si>
  <si>
    <t>Одноставковий тариф на постачання теплової енергії з ПДВ</t>
  </si>
  <si>
    <t>Двоставковий тариф на постачання теплової енергії без ПДВ</t>
  </si>
  <si>
    <t>грн/ Гкал/год</t>
  </si>
  <si>
    <t>Одноставковий тариф на транспортування теплової енергії без ПДВ</t>
  </si>
  <si>
    <t>Одноставковий тариф на транспортування теплової енергії з ПДВ</t>
  </si>
  <si>
    <t>Двоставковий тариф на транспортування теплової енергії без ПДВ</t>
  </si>
  <si>
    <t>Обсяг реалізації теплової енергії споживачам всього, у т.ч.</t>
  </si>
  <si>
    <t>Одноставковий тариф на виробництво теплової енергії без ПДВ</t>
  </si>
  <si>
    <t>Одноставковий тариф на виробництво теплової енергії з ПДВ</t>
  </si>
  <si>
    <t>Двоставковий тариф на виробництво теплової енергії без ПДВ</t>
  </si>
  <si>
    <t>Обсяг відпуску теплової енергії з колекторів власних генеруючих джерел всього</t>
  </si>
  <si>
    <t>Вартість виробництва, транспортування, постачання теплової енергії за відповідними тарифами</t>
  </si>
  <si>
    <t>Одноставковий тариф на теплову енергію без ПДВ</t>
  </si>
  <si>
    <t>Одноставковий тариф на теплову енергії з ПДВ</t>
  </si>
  <si>
    <t>Двоставковий тариф на теплову енергії без ПДВ</t>
  </si>
  <si>
    <t>Двоставковий тариф на теплову енергію з ПДВ</t>
  </si>
  <si>
    <t>Двоставковий тариф на виробництво теплової енергії з ПДВ</t>
  </si>
  <si>
    <t>Двоставковий тариф на транспортування теплової енергії з ПДВ</t>
  </si>
  <si>
    <t>Двоставковий тариф на постачання теплової енергії з ПДВ</t>
  </si>
  <si>
    <t>Одноставковий тариф на послугу з постачання теплової енергії без ПДВ</t>
  </si>
  <si>
    <t>Одноставковий тариф на послугу з постачання теплової енергії з ПДВ</t>
  </si>
  <si>
    <t>Двоставковий тариф на послугу з постачання теплової енергії без ПДВ</t>
  </si>
  <si>
    <t>Двоставковий тариф на послугу з постачання теплової енергії з ПДВ</t>
  </si>
  <si>
    <t>умовно-змінної та умовно-постійної частин витрат на виробництво, транспортування та постачання теплової енергії, послуги з  постачання теплової енергії</t>
  </si>
  <si>
    <t>з урахуванням витрат на утримання та ремонт центральних теплових пунктів</t>
  </si>
  <si>
    <t>ТАРИФИ</t>
  </si>
  <si>
    <t>навант</t>
  </si>
  <si>
    <t>середній</t>
  </si>
  <si>
    <t>Договір з водоканалом</t>
  </si>
  <si>
    <t>всього</t>
  </si>
  <si>
    <t>1.1.5.1</t>
  </si>
  <si>
    <t>17.1</t>
  </si>
  <si>
    <t>17.2</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</si>
  <si>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</si>
  <si>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</si>
  <si>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</si>
  <si>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</si>
  <si>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</si>
  <si>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</si>
  <si>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</si>
  <si>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 xml:space="preserve">       (керівник)                            (підпис)                                           (ініціали, прізвище)</t>
  </si>
  <si>
    <t>адм</t>
  </si>
  <si>
    <t>Од. вим.</t>
  </si>
  <si>
    <t>матеріали, запасні частини та інші матеріальні ресурси</t>
  </si>
  <si>
    <t>відрахування на соціальні заходи</t>
  </si>
  <si>
    <t>грн./Гкал</t>
  </si>
  <si>
    <t>Зарплата</t>
  </si>
  <si>
    <t>Відрахування</t>
  </si>
  <si>
    <t>газ</t>
  </si>
  <si>
    <t>водопостачання, водовідведення</t>
  </si>
  <si>
    <t>податки</t>
  </si>
  <si>
    <t>Ремонти</t>
  </si>
  <si>
    <t>інші</t>
  </si>
  <si>
    <t>Прибуток</t>
  </si>
  <si>
    <t>Плановані тарифи</t>
  </si>
  <si>
    <t>Діючі тарифи</t>
  </si>
  <si>
    <t>Різниця</t>
  </si>
  <si>
    <t>Відхилення</t>
  </si>
  <si>
    <t>придбання електроенергії на технологічні потреби (розподіл)</t>
  </si>
  <si>
    <t xml:space="preserve">транспортування та постачання для   споживачів категорії населення, </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</si>
  <si>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</si>
  <si>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</si>
  <si>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</si>
  <si>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</si>
  <si>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умовно-постійна частина (абонентська плата) в місяць</t>
  </si>
  <si>
    <t>умовно-постійна частина (абонентська плата)</t>
  </si>
  <si>
    <t>Електроенергія</t>
  </si>
  <si>
    <t>з цтп</t>
  </si>
  <si>
    <t>без цтп</t>
  </si>
  <si>
    <t xml:space="preserve"> інших споживачів</t>
  </si>
  <si>
    <t>Прошу розглянути заяву про встановлення тарифів:</t>
  </si>
  <si>
    <t>Виконавчий комітет Чорноморської міської ради Одеського району Одеської області</t>
  </si>
  <si>
    <t>2021-2022</t>
  </si>
  <si>
    <t xml:space="preserve">та додані до неї матеріали і розрахунки </t>
  </si>
  <si>
    <t>витрати на покриття втрат теплової енергії в теплових мережах</t>
  </si>
  <si>
    <t>пожежна автоматика</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</si>
  <si>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</si>
  <si>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</si>
  <si>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</si>
  <si>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</si>
  <si>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</si>
  <si>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</si>
  <si>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</si>
  <si>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генерації внаслідок перетікання реактивної електроенергії, кВАр*год</t>
  </si>
  <si>
    <t xml:space="preserve">Середня </t>
  </si>
  <si>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</si>
  <si>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</si>
  <si>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</si>
  <si>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</si>
  <si>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</si>
  <si>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</si>
  <si>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</si>
  <si>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Інші операційні витрати</t>
  </si>
  <si>
    <t>Повна собівартість</t>
  </si>
  <si>
    <t>інше використання прибутку</t>
  </si>
  <si>
    <t>Назва</t>
  </si>
  <si>
    <t>договір 106, з розподілом суми 16/04/2020</t>
  </si>
  <si>
    <t>Охорона праці</t>
  </si>
  <si>
    <t>розрахунок на листі ремонт</t>
  </si>
  <si>
    <t>розрахунок на листі зв'язок</t>
  </si>
  <si>
    <t>коефіцієнт, який застосовується при замовлені потужності на квартальний період</t>
  </si>
  <si>
    <t>розрахунок на листі періодичні видання</t>
  </si>
  <si>
    <t>амортизація інших необоротних матеріальних активів загальногосподарського призначення</t>
  </si>
  <si>
    <t>по дог на е/е обов</t>
  </si>
  <si>
    <t>факт 2020 р з звв</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</si>
  <si>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</si>
  <si>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</si>
  <si>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</si>
  <si>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</si>
  <si>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</si>
  <si>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</si>
  <si>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</si>
  <si>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</si>
  <si>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</si>
  <si>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</si>
  <si>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на одну особу</t>
  </si>
  <si>
    <t>Період дії</t>
  </si>
  <si>
    <t>1 січня-30 червня</t>
  </si>
  <si>
    <t>1 липня - 30 листопада</t>
  </si>
  <si>
    <t>1 грудня - 31 грудня</t>
  </si>
  <si>
    <t>про встановлення тарифів</t>
  </si>
  <si>
    <t>Чорноморської міської ради Одеського району Одеської області</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</si>
  <si>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</si>
  <si>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</si>
  <si>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</si>
  <si>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Загальна опалювана площа окремо розміщуваних нежитлових приміщень,  м²</t>
  </si>
  <si>
    <t>загальна опалювана площа окремо розміщуваних житлових приміщень,  м²</t>
  </si>
  <si>
    <t>загальна опалювана площа вбудованих приміщень юридичних осіб, м²</t>
  </si>
  <si>
    <t>загальна опалювана площа квартир з автономним (індивідуальним) опаленням, м²</t>
  </si>
  <si>
    <t>загальна опалювана площа квартир, де надається послуга з постачання теплової енергії,  м²</t>
  </si>
  <si>
    <t>Загальна опалювана площа житлових будинків та окремих житлових приміщень, де надається послуга з постачання теплової енергії,  м²</t>
  </si>
  <si>
    <t>А</t>
  </si>
  <si>
    <t>В</t>
  </si>
  <si>
    <t>Порівняльна таблиця % планованих прямих витрат на транспортування теплової енергії  в 2021-2022 роках КП "ЧТЕ" та урахованих в  діючих тарифах в 2020-2021 роках</t>
  </si>
  <si>
    <t>втрати в мережах</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</si>
  <si>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</si>
  <si>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</si>
  <si>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r>
      <t xml:space="preserve">Структура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</si>
  <si>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</si>
  <si>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</si>
  <si>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</si>
  <si>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</si>
  <si>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</si>
  <si>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</si>
  <si>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</si>
  <si>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</si>
  <si>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</si>
  <si>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</si>
  <si>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</si>
  <si>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</si>
  <si>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</si>
  <si>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</si>
  <si>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</si>
  <si>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</si>
  <si>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</si>
  <si>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</si>
  <si>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</si>
  <si>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</si>
  <si>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</si>
  <si>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</si>
  <si>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</si>
  <si>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</si>
  <si>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</si>
  <si>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</si>
  <si>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</si>
  <si>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</si>
  <si>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</si>
  <si>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</si>
  <si>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</si>
  <si>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</si>
  <si>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</si>
  <si>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</si>
  <si>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</si>
  <si>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</si>
  <si>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</si>
  <si>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</si>
  <si>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</si>
  <si>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</si>
  <si>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</si>
  <si>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</si>
  <si>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</si>
  <si>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</si>
  <si>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</si>
  <si>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</si>
  <si>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</si>
  <si>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</si>
  <si>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</si>
  <si>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</si>
  <si>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</si>
  <si>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</si>
  <si>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</si>
  <si>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</si>
  <si>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</si>
  <si>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Структура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</si>
  <si>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</si>
  <si>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</si>
  <si>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</si>
  <si>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</si>
  <si>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</si>
  <si>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</si>
  <si>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r>
      <t xml:space="preserve">Структура тарифів на виробництво теплової енергії </t>
    </r>
    <r>
      <rPr>
        <b/>
        <sz val="11"/>
        <color theme="1"/>
        <rFont val="Times New Roman"/>
        <family val="1"/>
        <charset val="204"/>
      </rPr>
      <t>Комунального підприємства "Чорноморськтеплоенерго" Чорноморської міської ради Одеського району Одеської області</t>
    </r>
  </si>
  <si>
    <t>Додаток 4                                         до рішення виконавчого комітету Чорноморської міської ради Одеського району Одеської області                               від ________ № ____</t>
  </si>
  <si>
    <r>
      <t xml:space="preserve">Структура тарифів на транспортування теплової енергії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</si>
  <si>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Тарифи на транспортування без  урахуванням витрат на утримання та ремонт центральних теплових пунктівтеплової енергії                                                                ((п. 4+п. 5+п. 6+п. 7+п. 9 )/п. 10)</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</si>
  <si>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</si>
  <si>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</si>
  <si>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</si>
  <si>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Додаток 5                                         до рішення виконавчого комітету Чорноморської міської ради Одеського району Одеської області                               від ________ № ____</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</si>
  <si>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Комунального підприємства</t>
    </r>
    <r>
      <rPr>
        <b/>
        <sz val="11"/>
        <color theme="1"/>
        <rFont val="Times New Roman"/>
        <family val="1"/>
        <charset val="204"/>
      </rPr>
      <t>"Чорноморськтеплоенерго" Чорноморської міської ради Одеського району Одеської області</t>
    </r>
  </si>
  <si>
    <t>Структура тарифів на транспортування  теплової енергії з урахуванням витрат на утримання та ремонт центральних теплових пунктів</t>
  </si>
  <si>
    <t>Структура тарифів на постачання теплової енергії Комунального підприємства "Чорноморськтеплоенерго" Чорноморської міської ради Одеського району Одеської області</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</si>
  <si>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</si>
  <si>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</si>
  <si>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</si>
  <si>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</si>
  <si>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</si>
  <si>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</si>
  <si>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</si>
  <si>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</si>
  <si>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</si>
  <si>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</si>
  <si>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</si>
  <si>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</si>
  <si>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</si>
  <si>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</si>
  <si>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</si>
  <si>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</si>
  <si>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</si>
  <si>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</si>
  <si>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</si>
  <si>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</si>
  <si>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теплова енергія, %</t>
  </si>
  <si>
    <t>Відрахування ЄСВ</t>
  </si>
  <si>
    <t>Для потреб бюджетних установ та організацій</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</si>
  <si>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</si>
  <si>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</si>
  <si>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</si>
  <si>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</si>
  <si>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</si>
  <si>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</si>
  <si>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</si>
  <si>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</si>
  <si>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</si>
  <si>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</si>
  <si>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</si>
  <si>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</si>
  <si>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t>Kоригування витрат</t>
  </si>
  <si>
    <t>5.1.1.</t>
  </si>
  <si>
    <t>6.1.1.</t>
  </si>
  <si>
    <t>6.1.2.</t>
  </si>
  <si>
    <t xml:space="preserve"> податок на прибуток</t>
  </si>
  <si>
    <t xml:space="preserve"> на розвиток виробництва (виробничі інвестиції)</t>
  </si>
  <si>
    <t xml:space="preserve"> інше використання  прибутку</t>
  </si>
  <si>
    <t>13.1.</t>
  </si>
  <si>
    <r>
      <t>Постачання теплової енергії,</t>
    </r>
    <r>
      <rPr>
        <sz val="11"/>
        <color rgb="FF000000"/>
        <rFont val="Times New Roman"/>
        <family val="1"/>
        <charset val="204"/>
      </rPr>
      <t xml:space="preserve">  умовно-постійні витрати двоставкового тарифу</t>
    </r>
  </si>
  <si>
    <t>5.1.1.1.</t>
  </si>
  <si>
    <t>5.1.1.2.</t>
  </si>
  <si>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</si>
  <si>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</si>
  <si>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16.3</t>
  </si>
  <si>
    <t>17.3</t>
  </si>
  <si>
    <t>19</t>
  </si>
  <si>
    <t>20</t>
  </si>
  <si>
    <t>21</t>
  </si>
  <si>
    <t>22</t>
  </si>
  <si>
    <t>23</t>
  </si>
  <si>
    <t>24</t>
  </si>
  <si>
    <t>25</t>
  </si>
  <si>
    <t>25.1</t>
  </si>
  <si>
    <t>25.2</t>
  </si>
  <si>
    <t>25.3</t>
  </si>
  <si>
    <t>26</t>
  </si>
  <si>
    <t>26.3</t>
  </si>
  <si>
    <t>27</t>
  </si>
  <si>
    <t>28</t>
  </si>
  <si>
    <t>29</t>
  </si>
  <si>
    <t>30</t>
  </si>
  <si>
    <t>31</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</si>
  <si>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</si>
  <si>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</si>
  <si>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</si>
  <si>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</si>
  <si>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</si>
  <si>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матеріальні витрати</t>
  </si>
  <si>
    <t>паливо</t>
  </si>
  <si>
    <t xml:space="preserve">Вхідні дані для розрахунку тарифів </t>
  </si>
  <si>
    <t>Структура витрат на виробництво теплової енергії</t>
  </si>
  <si>
    <t>Для потреб бюджетних організацій та установ</t>
  </si>
  <si>
    <t>Додаток 3  
 до рішення виконавчого комітету Чорноморської міської ради 
Одеського району Одеської області                               від ______________ № ________</t>
  </si>
  <si>
    <t>Структура витрат на транспортування  теплової енергії без урахуванням витрат на утримання та ремонт центральних теплових пунктів</t>
  </si>
  <si>
    <t>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</si>
  <si>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</si>
  <si>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</si>
  <si>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</si>
  <si>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</si>
  <si>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</si>
  <si>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</si>
  <si>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</si>
  <si>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Додаток 8</t>
  </si>
  <si>
    <r>
      <t>Постачання теплової енергії,</t>
    </r>
    <r>
      <rPr>
        <sz val="11"/>
        <color rgb="FF000000"/>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</si>
  <si>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</si>
  <si>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</si>
  <si>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</si>
  <si>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</si>
  <si>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</si>
  <si>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</si>
  <si>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двоставкового тарифу</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</si>
  <si>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комунальному підприємству «Чорноморськтеплоенерго» Чорноморської міської ради Одеського району Одеської області </t>
    </r>
  </si>
  <si>
    <t>Додаток 6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</si>
  <si>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</si>
  <si>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 xml:space="preserve">Додаток 9                                        до рішення виконавчого комітету Чорноморської міської ради Одеського району Одеської області                               від ________ № ____ 
</t>
  </si>
  <si>
    <t xml:space="preserve">Додаток 10                                        до рішення виконавчого комітету Чорноморської міської ради Одеського району Одеської області                               від ________ № ____ 
</t>
  </si>
  <si>
    <t>Структура витрат на теплову енергію</t>
  </si>
  <si>
    <t xml:space="preserve">Додаток 2
до розрахунку тарифів на теплову енергію КП "ЧТЕ
</t>
  </si>
  <si>
    <t>Додаток 8
до розрахунку тарифів на теплову енергію КП "ЧТЕ</t>
  </si>
  <si>
    <t>Додаток 10
до розрахунку тарифів на теплову енергію КП "ЧТЕ</t>
  </si>
  <si>
    <t>7.1.1.</t>
  </si>
  <si>
    <t>7.1.2.</t>
  </si>
  <si>
    <t>7.1.3.</t>
  </si>
  <si>
    <t>7.3.1.</t>
  </si>
  <si>
    <t>7.3.2.</t>
  </si>
  <si>
    <t>7.3.3.</t>
  </si>
  <si>
    <t>7.4.1.</t>
  </si>
  <si>
    <t>7.4.2.</t>
  </si>
  <si>
    <t>7.4.3.</t>
  </si>
  <si>
    <t>13.2.</t>
  </si>
  <si>
    <t>13.3.</t>
  </si>
  <si>
    <t>13.4.</t>
  </si>
  <si>
    <t>13.5.</t>
  </si>
  <si>
    <t>14.1.</t>
  </si>
  <si>
    <t>14.1.1.</t>
  </si>
  <si>
    <t>16.1.1</t>
  </si>
  <si>
    <t>16.1.2</t>
  </si>
  <si>
    <t>16.1.3</t>
  </si>
  <si>
    <t>16.1.4</t>
  </si>
  <si>
    <t>16.1.4.1</t>
  </si>
  <si>
    <t>16.3.1</t>
  </si>
  <si>
    <t>16.3.2</t>
  </si>
  <si>
    <t>16.3.3</t>
  </si>
  <si>
    <t>16.4</t>
  </si>
  <si>
    <t>16.4.1</t>
  </si>
  <si>
    <t>16.4.2</t>
  </si>
  <si>
    <t>16.4.3</t>
  </si>
  <si>
    <t>18.1</t>
  </si>
  <si>
    <t>18.2</t>
  </si>
  <si>
    <t>18.3</t>
  </si>
  <si>
    <t>23.4</t>
  </si>
  <si>
    <t>23.5</t>
  </si>
  <si>
    <t>25.3.1</t>
  </si>
  <si>
    <t>25.3.2</t>
  </si>
  <si>
    <t>25.3.3</t>
  </si>
  <si>
    <t>25.4</t>
  </si>
  <si>
    <t>25.4.1</t>
  </si>
  <si>
    <t>25.4.2</t>
  </si>
  <si>
    <t>25.4.3</t>
  </si>
  <si>
    <t>27.1</t>
  </si>
  <si>
    <t>27.2</t>
  </si>
  <si>
    <t>27.3</t>
  </si>
  <si>
    <t>32</t>
  </si>
  <si>
    <t>32.1</t>
  </si>
  <si>
    <t>32.2</t>
  </si>
  <si>
    <t>32.3</t>
  </si>
  <si>
    <t>32.4</t>
  </si>
  <si>
    <t>32.5</t>
  </si>
  <si>
    <t>7.1.1.1</t>
  </si>
  <si>
    <t>рел</t>
  </si>
  <si>
    <t>бюдж</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</si>
  <si>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</si>
  <si>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2022-2023</t>
  </si>
  <si>
    <r>
      <t xml:space="preserve">всього, 
</t>
    </r>
    <r>
      <rPr>
        <b/>
        <sz val="10"/>
        <rFont val="Times New Roman"/>
        <family val="1"/>
        <charset val="204"/>
      </rPr>
      <t>у тому числі</t>
    </r>
  </si>
  <si>
    <t>Факт 2021 року</t>
  </si>
  <si>
    <t>Всього, у т.ч. для потреб:</t>
  </si>
  <si>
    <t>Всього по природному газу, у т.ч. для потреб:</t>
  </si>
  <si>
    <t>Природний газ, у тому числі</t>
  </si>
  <si>
    <t xml:space="preserve">Природний газ </t>
  </si>
  <si>
    <t>база розподілу витрат (відпуск з колекторів)</t>
  </si>
  <si>
    <t>Відсоток дивідендів (частина чистого доходу)</t>
  </si>
  <si>
    <t>Співвідношення обсягів централізованого водопостачання та водовідведення для господарсько-питних потреб</t>
  </si>
  <si>
    <t>Тариф на постачання та розподіл електричної енергії, за кВт*год</t>
  </si>
  <si>
    <t>Навчання персоналу</t>
  </si>
  <si>
    <t>Засоби інд захисту</t>
  </si>
  <si>
    <t>Атестація</t>
  </si>
  <si>
    <t>Спецхарчування</t>
  </si>
  <si>
    <t>Постанова КМУ від 31 травня 2021 р. № 586</t>
  </si>
  <si>
    <t>техобслуговування засобів</t>
  </si>
  <si>
    <t>Обсяг І</t>
  </si>
  <si>
    <t>Обсяг ІІ</t>
  </si>
  <si>
    <t>Обсяг ІІІ</t>
  </si>
  <si>
    <t>Середня за півроку</t>
  </si>
  <si>
    <t>база розподілу витрат між групами (корисний відпуск)</t>
  </si>
  <si>
    <t>амортизація  основних засобів</t>
  </si>
  <si>
    <t>амортизація основних засобів</t>
  </si>
  <si>
    <t>сбыт</t>
  </si>
  <si>
    <t>Постанова НКРЕКП від 22.12.2021 № 2763</t>
  </si>
  <si>
    <t>Обсяг надходження теплової енергії у власні теплові мережі, усього, зокрема:</t>
  </si>
  <si>
    <t>Відпуск теплової енергії</t>
  </si>
  <si>
    <t>нас</t>
  </si>
  <si>
    <t>проч</t>
  </si>
  <si>
    <t>кор</t>
  </si>
  <si>
    <t>загальний</t>
  </si>
  <si>
    <t>корисний відпуск</t>
  </si>
  <si>
    <t>ТОВ "ГК Нафтогаз Трейдинг"</t>
  </si>
  <si>
    <t>природний газ обсяг І</t>
  </si>
  <si>
    <t>природний газ обсяг ІІІ</t>
  </si>
  <si>
    <t>природний газ обсягІІ</t>
  </si>
  <si>
    <t xml:space="preserve">Тарифи на транспортування з  урахуванням витрат на утримання та ремонт центральних теплових пунктівтеплової енергії </t>
  </si>
  <si>
    <t>Тарифи на виробництво теплової енергії</t>
  </si>
  <si>
    <t>Тарифи на транспортування з  урахуванням витрат на утримання та ремонт центральних теплових пунктівтеплової енергії</t>
  </si>
  <si>
    <t>Тарифи на постачання теплової енергії</t>
  </si>
  <si>
    <t>Структура тарифів на виробництво теплової енергії</t>
  </si>
  <si>
    <t xml:space="preserve"> умовно -змінна</t>
  </si>
  <si>
    <t xml:space="preserve"> умовно - постійна</t>
  </si>
  <si>
    <t>Тарифи на теплову енергію з урахуванням витрат на утримання та ремонт центральних теплових пунктів, у тому числі</t>
  </si>
  <si>
    <t>Ціна натураль-ного палива (в межах ліміту за договором), грн/тис. м3</t>
  </si>
  <si>
    <t>Вартість пали-ва (з урахуван-ням позаліміт-ного спожива-ння), тис.грн</t>
  </si>
  <si>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</si>
  <si>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умовно-постійні складові  двоставкового тарифу</t>
    </r>
  </si>
  <si>
    <t>Директор підприємства</t>
  </si>
  <si>
    <t>Розрахунковий прибуток, зокрема:</t>
  </si>
  <si>
    <t>Розрахунковий прибуток,  зокрема:</t>
  </si>
  <si>
    <t>Інші  операційні витрати</t>
  </si>
  <si>
    <t xml:space="preserve">Додаток 3                                        до рішення виконавчого комітету Чорноморської міської ради    
                                                    від ___________ №__ ____ 
</t>
  </si>
  <si>
    <t>Витрати, тис. грн.</t>
  </si>
  <si>
    <t>Встановлені тарифи</t>
  </si>
  <si>
    <t>2023-2024</t>
  </si>
  <si>
    <t>постачання природного газу</t>
  </si>
  <si>
    <t>амортизація інших нематеріальних активів загальногосподарського призначення призначення</t>
  </si>
  <si>
    <t>Факт 2022 року</t>
  </si>
  <si>
    <t xml:space="preserve"> щодо переліку житлових та нежитлових приміщень, теплопостачання яких здійснює</t>
  </si>
  <si>
    <t>на виробництво</t>
  </si>
  <si>
    <t xml:space="preserve"> на транспортування</t>
  </si>
  <si>
    <t>на постачання</t>
  </si>
  <si>
    <t>на АО</t>
  </si>
  <si>
    <t>на інші</t>
  </si>
  <si>
    <t>Травень 2023р.</t>
  </si>
  <si>
    <t>Грудень 2022 р.</t>
  </si>
  <si>
    <t>Січень 2023 р.</t>
  </si>
  <si>
    <t>Лютий 2023 р.</t>
  </si>
  <si>
    <t>Березень 2023р.</t>
  </si>
  <si>
    <t>Квітень 2023р.</t>
  </si>
  <si>
    <t>Тариф за розподіл природного газу, 
за 1000 м³</t>
  </si>
  <si>
    <t>Тариф за постачання природного газу, 
за 1000 м³</t>
  </si>
  <si>
    <t>Тариф за транспорту-вання природного газу, 
за 1000 м³</t>
  </si>
  <si>
    <t>Тариф за транспортування природного газу,
 за 1000 м³</t>
  </si>
  <si>
    <t>Тариф за транспортування природного газу, 
за 1000 м³</t>
  </si>
  <si>
    <t>Тариф послуги внаслідок перетікання реактивної електроенергії,  кВАр*год</t>
  </si>
  <si>
    <t xml:space="preserve">Додаток 13-А
</t>
  </si>
  <si>
    <t>активна</t>
  </si>
  <si>
    <t>реактивна</t>
  </si>
  <si>
    <t>генерація</t>
  </si>
  <si>
    <t>активна розподіл</t>
  </si>
  <si>
    <t>Всього реактивна е/е по підприємству</t>
  </si>
  <si>
    <t>Всього реактивна генерація е/е по підприємству</t>
  </si>
  <si>
    <t>Норма питомих витрат електроенергії на постачання теплової енергії</t>
  </si>
  <si>
    <t>кВт·год /Гкал</t>
  </si>
  <si>
    <t>тис. кВт·год</t>
  </si>
  <si>
    <t>Споживання електроенергії (I клас напруги)</t>
  </si>
  <si>
    <t>Тариф без ПДВ (I клас напруги)</t>
  </si>
  <si>
    <t>коп/кВт·год</t>
  </si>
  <si>
    <t>Вартість електроенергії (I клас напруги)</t>
  </si>
  <si>
    <t>Споживання електроенергії (II клас напруги)</t>
  </si>
  <si>
    <t>Тариф без ПДВ (II клас напруги) постачання</t>
  </si>
  <si>
    <t>Вартість електроенергії (II клас напруги) постачання</t>
  </si>
  <si>
    <t>Тариф без ПДВ (II клас напруги) розподіл</t>
  </si>
  <si>
    <t>Вартість активноїелектроенергії (II клас напруги) розподіл</t>
  </si>
  <si>
    <t>тис. кВАр·год</t>
  </si>
  <si>
    <t>Тариф на споживання реактивної електроенергії без ПДВ</t>
  </si>
  <si>
    <t>Вартість споживання реактивної електроенергії</t>
  </si>
  <si>
    <t>Обсяг споживання генерації реактивної електроенергії (постачання</t>
  </si>
  <si>
    <t>Тариф на споживання генерації реактивної електроенергії без ПДВ</t>
  </si>
  <si>
    <t>Вартість споживання генерації реактивної електроенергії</t>
  </si>
  <si>
    <t>Всього реактивна електроенергія з генерацією (постачання)</t>
  </si>
  <si>
    <t>тис кВар</t>
  </si>
  <si>
    <t>Вартість споживання реактивної електроенергії з генерацією</t>
  </si>
  <si>
    <t>Тариф на споживання реактивної з генерацієюї електроенергії без ПДВ</t>
  </si>
  <si>
    <t>Вартість активної та реактивної електроенергії на вgjcnfxfyyz</t>
  </si>
  <si>
    <t>грн/кВАр·год</t>
  </si>
  <si>
    <t>грн/кВт·год</t>
  </si>
  <si>
    <t xml:space="preserve">Додаток 9
</t>
  </si>
  <si>
    <t>Обсяг споживання електроенергії (II клас напруги)</t>
  </si>
  <si>
    <t>Обсяг споживання генерації реактивної електроенергії</t>
  </si>
  <si>
    <t xml:space="preserve">Вартість активної та реактивної електроенергії </t>
  </si>
  <si>
    <t xml:space="preserve">тис.грн </t>
  </si>
  <si>
    <t>дог 03 16/01/2023</t>
  </si>
  <si>
    <t>Виробництво ТЕ</t>
  </si>
  <si>
    <t>Залишкова вартість о/з станом на 1.10.2023 року за даними податкового обліку, грн</t>
  </si>
  <si>
    <t>в тому числі, грн.</t>
  </si>
  <si>
    <t>Всього планова амортизація, грн.</t>
  </si>
  <si>
    <t>Залишкова вартість о/з станом на 1.10.2022 року, грн</t>
  </si>
  <si>
    <t>убрать</t>
  </si>
  <si>
    <t>в т.ч. освітл. та робота оргтехніки</t>
  </si>
  <si>
    <t>рішення  виконавчого комітету Чорноморської міської ради  від 27.01.2022 року   № 20</t>
  </si>
  <si>
    <t>база розподілу витрат з/без ЦТП (корисний відпуск)</t>
  </si>
  <si>
    <t>база розподілу спільних витрат на з/без ЦТП (корисний відпуск)</t>
  </si>
  <si>
    <t>Виробництво:</t>
  </si>
  <si>
    <t>Прямі матеріальні витрати</t>
  </si>
  <si>
    <t xml:space="preserve">електроенергія на технологічні потреби </t>
  </si>
  <si>
    <t xml:space="preserve">електроенергія </t>
  </si>
  <si>
    <r>
      <rPr>
        <b/>
        <sz val="10"/>
        <color theme="1"/>
        <rFont val="Times New Roman"/>
        <family val="1"/>
        <charset val="204"/>
      </rPr>
      <t>плата за абонентське обслуговування</t>
    </r>
    <r>
      <rPr>
        <sz val="10"/>
        <color theme="1"/>
        <rFont val="Times New Roman"/>
        <family val="1"/>
        <charset val="204"/>
      </rPr>
      <t xml:space="preserve"> (з урахуванням податку на додану вартість), визначена відповідно до планованих витрат виконавця (витрат, пов'язаних з укладенням договору про надання комунальної послуги, із здійсненням розподілу обсягу спожитих послуг між споживачами, нарахуванням та стягненням плати за спожиті комунальні послуги, обслуговуванням та заміною вузлів комерційного обліку води і теплової енергії (у разі їх наявності у будівлі споживача), а також за виконання інших функцій, пов'язаних з обслуговуванням виконавцем абонентів за індивідуальними договорами (крім обслуговування та поточного ремонту внутрішньобудинкових систем теплопостачання, водопостачання, водовідведення та постачання гарячої води), не повинна перевищувати граничного розміру плати за абонентське обслуговування, визначеного відповідно до цієї постанови.</t>
    </r>
  </si>
  <si>
    <t>Основна зарплата</t>
  </si>
  <si>
    <t>Додаткова зарплата</t>
  </si>
  <si>
    <t>Інші заохочувальні та компенсаційні виплати</t>
  </si>
  <si>
    <t>Оплата праці виробничого персоналу</t>
  </si>
  <si>
    <t xml:space="preserve">211. Планування витрат на придбання природного газу для виробництва теплової енергії з метою включення їх до тарифів здійснюється виходячи із:
планованих обсягів природного газу, необхідних для провадження ліцензованої діяльності та визначених виходячи з вимог цього Порядку;
середньої ціни природного газу, що склалася у ліцензіата протягом опалювального періоду, що передує планованому періоду (без урахування тарифів на послуги з транспортування та розподілу природного газу), або ціни природного газу, визначеної в довгостроковому контракті з постачальником природного газу (за наявності укладеного контракту).
Середня ціна природного газу визначається як середнє арифметичне значення, розраховане виходячи із ціни природного газу у відповідному місяці та кількості календарних місяців в опалювальному періоді, що передує планованому періоду.
Якщо ліцензіат не провадив раніше господарської діяльності з виробництва теплової енергії, планування витрат на придбання природного газу для виробництва теплової енергії з метою включення їх до тарифів здійснюється таким ліцензіатом виходячи із:
планованих обсягів природного газу, необхідних для провадження ліцензованої діяльності та визначених виходячи з вимог цього Порядку;
діючої ціни природного газу постачальника, з яким укладено договір постачання природного газу, або ціни природного газу, визначеної в довгостроковому контракті з постачальником природного газу (за наявності укладеного контракту).
У разі дії Положення про покладення спеціальних обов'язків на суб'єктів ринку природного газу для забезпечення загальносуспільних інтересів у процесі функціонування ринку природного газу щодо особливостей постачання природного газу виробникам теплової енергії та бюджетним установам планування витрат на придбання природного газу для виробництва теплової енергії для цілей формування тарифів здійснюється ліцензіатом згідно з умовами зазначеного Положення.
</t>
  </si>
  <si>
    <t xml:space="preserve">Планування витрат на придбання електричної енергії для технологічних потреб з метою включення їх до тарифів здійснюється виходячи із:
планованих обсягів електричної енергії, необхідних для провадження ліцензованої діяльності та визначених виходячи з вимог цього Порядку;
середньої ціни електричної енергії, що склалася у ліцензіата за шість календарних місяців, що передують місяцю подання розрахунків тарифів на планований період.
Середня ціна електричної енергії визначається як середнє арифметичне значення, розраховане виходячи із ціни електричної енергії, що діяла у кожному з шести календарних місяців, що передують місяцю подання розрахунків тарифів на планований період.
Якщо ліцензіат не провадив раніше господарської діяльності з виробництва, транспортування та постачання теплової енергії, планування витрат на придбання електричної енергії для технологічних потреб з метою включення їх до тарифів здійснюється таким ліцензіатом виходячи із:
планованих обсягів електричної енергії, необхідних для провадження ліцензованої діяльності та визначених виходячи з вимог цього Порядку;
діючої ціни електричної енергії постачальника, з яким укладено договір постачання електричної енергії.
</t>
  </si>
  <si>
    <t>природний газ - постачання</t>
  </si>
  <si>
    <t>природний газ -розподіл</t>
  </si>
  <si>
    <t>природний газ - транспортування</t>
  </si>
  <si>
    <t>на оплату послуги з транспортування природного газу, що визначаються згідно з тарифами, встановленими НКРЕКП</t>
  </si>
  <si>
    <t>на оплату послуги з розподілу природного газу, що визначаються ліцензіатом виходячи з величини річної замовленої потужності об'єкта (об'єктів) ліцензіата та тарифу на послугу з розподілу природного газу, встановленого НКРЕКП</t>
  </si>
  <si>
    <t>технологічна вода та водовідведення</t>
  </si>
  <si>
    <t>на холодну воду для технологічних потреб (підживлення та наповнення мереж, гідравлічні випробування теплових мереж і обладнання, промивання теплових мереж і систем, охолодження агрегатів, регенерація фільтрів тощо) та водовідведення (плануються ліцензіатом відповідно до укладених договорів виходячи з планованих обсягів, визначених згідно з державними і галузевими нормативами (нормами). Витрати на холодну воду для технологічних потреб та водовідведення визначаються відповідно до діючих цін (тарифів), установлених НКРЕКП або уповноваженим органом відповідно до вимог законодавства, або прогнозованих цін (тарифів)</t>
  </si>
  <si>
    <t>інші прямі матеріальні витрати, пов'язані з використанням сировини, основних і допоміжних матеріалів, запасних частин, купованих комплектувальних виробів, напівфабрикатів та інших матеріальних ресурсів, необхідних для забезпечення основного технологічного процесу, які можуть бути безпосередньо віднесені до конкретного об'єкта витрат (відповідного виду ліцензованої діяльності). Обсяг таких витрат визначається згідно з нормами використання відповідних ресурсів з урахуванням фактичних витрат за попередні періоди, цін (тарифів) на них у планованому періоді, за винятком вартості зворотних відходів</t>
  </si>
  <si>
    <t>Вода та водовідведення</t>
  </si>
  <si>
    <t xml:space="preserve">2) прямі витрати на оплату праці (заробітна плата та інші виплати для працівників (персоналу), що безпосередньо залучені (задіяні) до технологічного процесу виробництва, транспортування та постачання теплової енергії) відповідно до Закону України "Про оплату праці":
основна заробітна плата відповідно до встановлених норм праці (норм часу, виробітку, обслуговування), тарифних ставок (окладів), відрядних розцінок для робітників та посадових окладів для керівників, фахівців, технічних службовців;
додаткова заробітна плата за працю понад установлені норми, трудові досягнення, особливі умови праці у вигляді доплат і надбавок (за роботу у важких та шкідливих умовах, надурочний час, святкові, неробочі та вихідні дні, нічний час, класність, керівництво бригадами, інші виплати, встановлені законодавством), премій за виконання виробничих завдань і функцій та компенсаційних виплат (за невідпрацьований час, включаючи основні та додаткові відпустки, виконання державних і громадських обов'язків, інші виплати, встановлені законодавством);
інші заохочувальні та компенсаційні виплати (винагороди за підсумками роботи за рік, вислугу років у галузі, інші виплати, встановлені законодавством).
Планування витрат на оплату праці для включення до тарифів здійснюється в установленому порядку із забезпеченням мінімальної заробітної плати та інших гарантій з оплати праці, передбачених законодавством, з урахуванням положень генеральної, галузевої (міжгалузевої), територіальної угод, якщо ліцензіат перебуває у сфері дії сторін таких угод, та колективного договору ліцензіата.
Якщо рівень середньомісячної номінальної заробітної плати в розрахунку на одного штатного працівника адміністративно-територіальної одиниці (Автономна Республіка Крим, області, мм. Київ та Севастополь) або одного штатного працівника, зайнятого у промисловості адміністративно-територіальної одиниці, на території якої провадиться діяльність ліцензіата, перевищує розмір, розрахований в установленому порядку із забезпеченням мінімальної заробітної плати та інших гарантій з оплати праці, передбачених законодавством, з урахуванням положень генеральної, галузевої (міжгалузевої), територіальної угод, якщо ліцензіат перебуває у сфері дії сторін таких угод, колективного договору ліцензіата, допускається планування витрат на оплату праці для включення до тарифів із забезпеченням рівня середньомісячної номінальної заробітної плати в розрахунку на одного штатного працівника адміністративно-територіальної одиниці (Автономна Республіка Крим, області, мм. Київ та Севастополь) або одного штатного працівника, зайнятого у промисловості адміністративно-територіальної одиниці, на території якої провадиться діяльність ліцензіата, з урахуванням розміру фіксованої індексації витрат на оплату праці на планований період;
</t>
  </si>
  <si>
    <t>єдиний внесок на загальнообов'язкове державне соціальне страхування працівників</t>
  </si>
  <si>
    <t>амортизація основних засобів, інших необоротних матеріальних і нематеріальних активів виробничого призначення, безпосередньо задіяних у процесі  транспортування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</si>
  <si>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 виробничого призначення, безпосередньо задіяних у процесі виробництва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</si>
  <si>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t>
  </si>
  <si>
    <t>амортизація основних засобів, інших необоротних матеріальних і нематеріальних активів виробничого призначення, безпосередньо задіяних у процесі постачання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</si>
  <si>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 виробничого призначення, безпосередньо задіяних у процесі абонентського обслуговування, розрахунок якої проводиться відповідно до вимог Податкового кодексу України</t>
  </si>
  <si>
    <t xml:space="preserve">витрати на обслуговування засобів вимірювальної техніки </t>
  </si>
  <si>
    <t>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комерційного та розподільного обліку води і теплової енергії) і використовуються у технологічному процесі транспортування теплової енергії</t>
  </si>
  <si>
    <t>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комерційного та розподільного обліку води і теплової енергії) і використовуються у технологічному процесі постачання теплової енергії</t>
  </si>
  <si>
    <t>витрати на ремонт основних засобів</t>
  </si>
  <si>
    <t>витрати на ремонт основних засобів, безпосередньо задіяних у процесі виробництва теплової енергії, що плануються з урахуванням проектно-кошторисної документації, кошторисів та витрат на виконання планово-попереджувальних робіт</t>
  </si>
  <si>
    <t>витрати на ремонт основних засобів, безпосередньо задіяних у процесі  транспортування теплової енергії, що плануються з урахуванням проектно-кошторисної документації, кошторисів та витрат на виконання планово-попереджувальних робіт</t>
  </si>
  <si>
    <t>витрати на ремонт основних засобів, безпосередньо задіяних у процесі постачання теплової енергії, що плануються з урахуванням проектно-кошторисної документації, кошторисів та витрат на виконання планово-попереджувальних робіт</t>
  </si>
  <si>
    <t>Інші прямі витрати</t>
  </si>
  <si>
    <r>
      <t xml:space="preserve">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t>
    </r>
    <r>
      <rPr>
        <b/>
        <sz val="12"/>
        <color theme="1"/>
        <rFont val="Times New Roman"/>
        <family val="1"/>
        <charset val="204"/>
      </rPr>
      <t>комерційного</t>
    </r>
    <r>
      <rPr>
        <sz val="12"/>
        <color theme="1"/>
        <rFont val="Times New Roman"/>
        <family val="1"/>
        <charset val="204"/>
      </rPr>
      <t xml:space="preserve"> та </t>
    </r>
    <r>
      <rPr>
        <b/>
        <sz val="12"/>
        <color theme="1"/>
        <rFont val="Times New Roman"/>
        <family val="1"/>
        <charset val="204"/>
      </rPr>
      <t>розподільного</t>
    </r>
    <r>
      <rPr>
        <sz val="12"/>
        <color theme="1"/>
        <rFont val="Times New Roman"/>
        <family val="1"/>
        <charset val="204"/>
      </rPr>
      <t xml:space="preserve"> обліку води і теплової енергії) і використовуються у технологічному процесі виробництва теплової енергії</t>
    </r>
  </si>
  <si>
    <t>Змінні загальновиробничі та постійні розподілені загальновиробничі витрати</t>
  </si>
  <si>
    <t>на удосконалення технології та організацію виробництва</t>
  </si>
  <si>
    <t>на обслуговування виробничого процесу (витрати на оплату праці, розраховані відповідно до цього пункту, єдиний внесок на загальнообов'язкове державне соціальне страхування, оплата службових відряджень виробничого персоналу, крім апарату управління цехів, витрати на здійснення технологічного контролю за виробничими процесами та якістю послуг);</t>
  </si>
  <si>
    <t>на охорону праці, дотримання вимог техніки безпеки і охорону навколишнього природного середовища</t>
  </si>
  <si>
    <t>на пожежну і сторожову охорону об'єктів загальновиробничого призначення, утримання санітарних зон</t>
  </si>
  <si>
    <t>пов'язані із забезпеченням належного стану обладнання, виконанням ремонтно-налагоджувальних робіт, передбачених проектно-технічною документацією, освоєнням нових потужностей, що використовуються для виробництва, транспортування та постачання теплової енергії</t>
  </si>
  <si>
    <t>пов'язані із сплатою податків, зборів та інших передбачених законодавством обов'язкових платежів</t>
  </si>
  <si>
    <t>інші загальновиробничі витрати</t>
  </si>
  <si>
    <t xml:space="preserve">Змінні загальновиробничі та постійні розподілені загальновиробничі витрати розподіляються між видами діяльності та у розрізі територіальних громад, у межах яких ліцензіат провадить (має намір провадити) відповідний вид ліцензованої діяльності, пропорційно сумі прямих витрат (крім витрат на покриття втрат теплової енергії в теплових мережах (у тому числі понаднормативних втрат), передбачених пунктом 39 цього Порядку) та витрат на збут.
Обсяг витрат, що включаються до виробничої собівартості, визначається із застосуванням нормативного методу на підставі результатів аналізу витрат за попередні роки з урахуванням змін, які передбачаються у планованому періоді, та цін (тарифів) у такому періоді.
У разі провадження суб'єктом господарювання інших, крім ліцензованих видів діяльності, змінні загальновиробничі та постійні розподілені загальновиробничі витрати розподіляються між усіма видами діяльності з визначенням витрат, які в цілому будуть віднесені до ліцензованої діяльності, та витрат, які будуть віднесені до інших видів господарської діяльності. База розподілу визначається суб'єктом господарювання відповідно до положення (стандарту) бухгалтерського обліку, затвердженого Мінфіном.
Змінні загальновиробничі та постійні розподілені загальновиробничі витрати, які можуть бути безпосередньо віднесені до ліцензованої діяльності, яку ліцензіат провадить (має намір провадити) для окремої територіальної громади, включаються до тарифів для окремої територіальної громади.
Змінні загальновиробничі та постійні розподілені загальновиробничі витрати, які можуть бути безпосередньо віднесені до ліцензованої діяльності, яку ліцензіат провадить (має намір провадити) за допомогою окремої автономної системи опалення, включаються до тарифів, розрахованих для окремої автономної системи опалення.
Змінні загальновиробничі та постійні розподілені загальновиробничі витрати, які не можуть бути безпосередньо віднесені до ліцензованої діяльності, яку ліцензіат провадить (має намір провадити) для окремої територіальної громади, розподіляються між видами ліцензованої діяльності та у розрізі територіальних громад, у межах яких ліцензіат провадить (має намір провадити) відповідний вид ліцензованої діяльності, пропорційно сумі прямих витрат ліцензованої діяльності (крім витрат на покриття втрат теплової енергії в теплових мережах (у тому числі понаднормативних втрат), передбачених пунктом 39 цього Порядку).
</t>
  </si>
  <si>
    <t>оплата праці, розрахована згідно з вимогами цього пункту, та єдиний внесок на загальнообов'язкове державне соціальне страхування, оплата службових відряджень апарату управління цехами, дільницями тощо</t>
  </si>
  <si>
    <t>на управління виробництвом</t>
  </si>
  <si>
    <t>амортизація основних засобів, інших необоротних матеріальних і нематеріальних активів загальновиробничого призначення</t>
  </si>
  <si>
    <t xml:space="preserve"> розрахована відповідно до вимог Податкового кодексу України;</t>
  </si>
  <si>
    <r>
      <t xml:space="preserve">на утримання, експлуатацію, ремонт, страхування, операційну оренду основних засобів та інших необоротних активів </t>
    </r>
    <r>
      <rPr>
        <b/>
        <sz val="12"/>
        <color theme="1"/>
        <rFont val="Times New Roman"/>
        <family val="1"/>
        <charset val="204"/>
      </rPr>
      <t>загальновиробничого призначення</t>
    </r>
  </si>
  <si>
    <r>
      <t xml:space="preserve">на централізоване водопостачання, централізоване водовідведення, освітлення, дезінфекцію, дератизацію, вивезення побутових відходів та інші заходи, пов'язані з утриманням </t>
    </r>
    <r>
      <rPr>
        <b/>
        <sz val="12"/>
        <color theme="1"/>
        <rFont val="Times New Roman"/>
        <family val="1"/>
        <charset val="204"/>
      </rPr>
      <t>загальновиробничих приміщень</t>
    </r>
  </si>
  <si>
    <t>Службові відрядження</t>
  </si>
  <si>
    <t>лист ВОДА</t>
  </si>
  <si>
    <t>VII</t>
  </si>
  <si>
    <t>Земельний податок</t>
  </si>
  <si>
    <t>станом на 01.09.2023 року</t>
  </si>
  <si>
    <t>Червень 2023р.</t>
  </si>
  <si>
    <t>Липень 2023р.</t>
  </si>
  <si>
    <t>Серпень 2023р.</t>
  </si>
  <si>
    <t>Прожитковий мінімум на 2023 рік</t>
  </si>
  <si>
    <t>Управління ББ</t>
  </si>
  <si>
    <t>Проставити необхідні значення</t>
  </si>
  <si>
    <t>Внести факт за попередній рік</t>
  </si>
  <si>
    <t>Управлыння ББ</t>
  </si>
  <si>
    <t>Заповнити!!!</t>
  </si>
  <si>
    <t>Виробничий персонал задіяний у транспортуванні  теплової енергії</t>
  </si>
  <si>
    <t>Виробничий персонал задіяний у постачанні  теплової енергії з ІТП</t>
  </si>
  <si>
    <t>Виробничий персонал задіяний в управління багатоквартирним будинком</t>
  </si>
  <si>
    <t>Всього за місяць</t>
  </si>
  <si>
    <t>Виробничий персонал задіяний у іншій діяльності</t>
  </si>
  <si>
    <t>Виробництво теплової енергії для потреб населення котельними</t>
  </si>
  <si>
    <t>база розподілу адміністративних витрат</t>
  </si>
  <si>
    <t>абонентське обслуговування</t>
  </si>
  <si>
    <t>інші види діяльності</t>
  </si>
  <si>
    <t>Адміністративні витрати всього, у т.ч.:</t>
  </si>
  <si>
    <t>Матеріальні витрати всього, у т.ч.:</t>
  </si>
  <si>
    <t>Витрати на оплату праці з відрахуваннями всього, у т.ч.:</t>
  </si>
  <si>
    <t>витрати на оплату праці апарату управління та іншого загальногосподарського персоналу всього, у т.ч.:</t>
  </si>
  <si>
    <t>оплата праці працюючих інвалідів</t>
  </si>
  <si>
    <t>єдиний внесок на загальнообов’язкове державне соціальне страхування апарату управління та іншого загальногосподарського персоналу</t>
  </si>
  <si>
    <t>Витрати на утримання основних засобів, інших необоротних матеріальних активів загальногосподарського використання всього, у т.ч.:</t>
  </si>
  <si>
    <t>Амортизація основних засобів загальновиробничого призначення</t>
  </si>
  <si>
    <t>Інші витрати, у т.ч.:</t>
  </si>
  <si>
    <t>розрахунково-касове обслуговування</t>
  </si>
  <si>
    <t>база розподілу загальновиробничих витрат</t>
  </si>
  <si>
    <t>Загальновиробничі витрати всього, у т.ч.:</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</si>
  <si>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</si>
  <si>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</si>
  <si>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 xml:space="preserve">    зв'язок</t>
  </si>
  <si>
    <t xml:space="preserve">    інтернет</t>
  </si>
  <si>
    <t>витрати на періодичні видання, оголошення в ЗМІ</t>
  </si>
  <si>
    <t>ТОВ ДП " Моноліт- Сервіс "</t>
  </si>
  <si>
    <t>Парусна , 1  А</t>
  </si>
  <si>
    <t>Парусна , 1  Б</t>
  </si>
  <si>
    <t>Ціна ее'!Область_печати</t>
  </si>
  <si>
    <t>встановити відповідну велечину до 4%</t>
  </si>
  <si>
    <t>обігові кошти за рахунок планованого прибутку в обсязі, що не перевищує 4 відсотків повної планованої собівартості теплової енергії (без урахування витрат на відшкодування втрат та вартості виробництва теплової енергії на власних теплоелектроцентралях, теплоелектростанціях, атомних електростанціях, когенераційних установках, установках з використанням альтернативних джерел енергії)</t>
  </si>
  <si>
    <t>ПКМУ № 869</t>
  </si>
  <si>
    <t>Сергій НІКУЛЬЧА</t>
  </si>
  <si>
    <t>ким і коли</t>
  </si>
  <si>
    <t>Заповнити заяву!!!!</t>
  </si>
  <si>
    <t>"____" ___________ 2023 року</t>
  </si>
  <si>
    <t>Виробництво теплової енергії власними генеруючими джерелами, усього, зокрема</t>
  </si>
  <si>
    <t>з ІТП від автономних котелень</t>
  </si>
  <si>
    <t>без ІТП від систем автономного опалення</t>
  </si>
  <si>
    <r>
      <t>Витрати теплової енергії на</t>
    </r>
    <r>
      <rPr>
        <b/>
        <sz val="10"/>
        <color rgb="FFFF0000"/>
        <rFont val="Times New Roman"/>
        <family val="1"/>
        <charset val="204"/>
      </rPr>
      <t xml:space="preserve"> власні потреби</t>
    </r>
    <r>
      <rPr>
        <b/>
        <sz val="10"/>
        <color indexed="8"/>
        <rFont val="Times New Roman"/>
        <family val="1"/>
        <charset val="204"/>
      </rPr>
      <t xml:space="preserve"> генеруючих джерел, усього, закрема</t>
    </r>
  </si>
  <si>
    <t>2.2.1.</t>
  </si>
  <si>
    <t>2.2.2.</t>
  </si>
  <si>
    <t>Відпуск теплової енергії з колекторів власних генеруючих джерел, усього, зокрема</t>
  </si>
  <si>
    <t>3.2.</t>
  </si>
  <si>
    <t xml:space="preserve"> котельні</t>
  </si>
  <si>
    <t>3.2.1.</t>
  </si>
  <si>
    <t xml:space="preserve">населення </t>
  </si>
  <si>
    <t>3.2.1.1.</t>
  </si>
  <si>
    <t>3.2.1.2.</t>
  </si>
  <si>
    <t>3.2.2.</t>
  </si>
  <si>
    <t>релігійних установ</t>
  </si>
  <si>
    <t>з ІТП</t>
  </si>
  <si>
    <t>3.2.2.2.</t>
  </si>
  <si>
    <t>без ІТП</t>
  </si>
  <si>
    <t>3.2.4.</t>
  </si>
  <si>
    <t xml:space="preserve">інших споживачів </t>
  </si>
  <si>
    <t>3.2.4.1.</t>
  </si>
  <si>
    <t>3.2.4.2.</t>
  </si>
  <si>
    <t>3.2.5.</t>
  </si>
  <si>
    <t>3.2.5.1.</t>
  </si>
  <si>
    <t>3.2.5.2.</t>
  </si>
  <si>
    <t>Надходження в мережу  суб'єкта господарювання, яка вироблена іншими виробниками, усього, зокрема:</t>
  </si>
  <si>
    <t>теплова енергія придбана в інших суб'єктів господарювання (розшифрувати за суб'єктами)</t>
  </si>
  <si>
    <t xml:space="preserve"> теплова енергія інших суб'єктів для транспортування мережами суб'єкта господарювання (розшифрувати за власниками)</t>
  </si>
  <si>
    <t>4.2.1.</t>
  </si>
  <si>
    <t>4.2.2.</t>
  </si>
  <si>
    <t>Надходження теплової енергії в мережу суб'єктів  усього, у тому числі:</t>
  </si>
  <si>
    <t xml:space="preserve">Автономні котельні </t>
  </si>
  <si>
    <t>Системи автономного опалення</t>
  </si>
  <si>
    <r>
      <t xml:space="preserve">Втрати теплової енергії  в теплових мережах суб'єктів, усього: </t>
    </r>
    <r>
      <rPr>
        <b/>
        <sz val="10"/>
        <color indexed="8"/>
        <rFont val="Times New Roman"/>
        <family val="1"/>
        <charset val="204"/>
      </rPr>
      <t>у тому числ</t>
    </r>
    <r>
      <rPr>
        <sz val="10"/>
        <color indexed="8"/>
        <rFont val="Times New Roman"/>
        <family val="1"/>
        <charset val="204"/>
      </rPr>
      <t>і:</t>
    </r>
  </si>
  <si>
    <r>
      <t xml:space="preserve">Втрати теплової енергії в теплових мережах </t>
    </r>
    <r>
      <rPr>
        <b/>
        <sz val="10"/>
        <rFont val="Times New Roman"/>
        <family val="1"/>
        <charset val="204"/>
      </rPr>
      <t>автономних котелень</t>
    </r>
  </si>
  <si>
    <r>
      <t xml:space="preserve">Втрати теплової енергії в теплових мережах </t>
    </r>
    <r>
      <rPr>
        <b/>
        <sz val="10"/>
        <color indexed="8"/>
        <rFont val="Times New Roman"/>
        <family val="1"/>
        <charset val="204"/>
      </rPr>
      <t xml:space="preserve">систем автономного опалення </t>
    </r>
  </si>
  <si>
    <t>населення від автономних котелень</t>
  </si>
  <si>
    <t>6.1.4.</t>
  </si>
  <si>
    <t>6.1.5.</t>
  </si>
  <si>
    <t>господарчі потреби</t>
  </si>
  <si>
    <t>6.2.2.</t>
  </si>
  <si>
    <t>6.2.3.</t>
  </si>
  <si>
    <t>6.2.4.</t>
  </si>
  <si>
    <t>6.2.5.</t>
  </si>
  <si>
    <t>6.2.6</t>
  </si>
  <si>
    <r>
      <t xml:space="preserve">Надходження теплової енергії  суб'єктів в мережу </t>
    </r>
    <r>
      <rPr>
        <sz val="8"/>
        <rFont val="Times New Roman"/>
        <family val="1"/>
        <charset val="204"/>
      </rPr>
      <t xml:space="preserve"> інших</t>
    </r>
    <r>
      <rPr>
        <sz val="8"/>
        <color indexed="8"/>
        <rFont val="Times New Roman"/>
        <family val="1"/>
        <charset val="204"/>
      </rPr>
      <t xml:space="preserve"> таплотранспортуючих організацій</t>
    </r>
  </si>
  <si>
    <r>
      <t xml:space="preserve">Втрати теплової енергії  суб'єктів в теплових мережах </t>
    </r>
    <r>
      <rPr>
        <sz val="8"/>
        <rFont val="Times New Roman"/>
        <family val="1"/>
        <charset val="204"/>
      </rPr>
      <t>інших</t>
    </r>
    <r>
      <rPr>
        <sz val="8"/>
        <color indexed="8"/>
        <rFont val="Times New Roman"/>
        <family val="1"/>
        <charset val="204"/>
      </rPr>
      <t xml:space="preserve"> теплотранспортуючих організацій:</t>
    </r>
  </si>
  <si>
    <t>Корисний відпуск теплової енергії  з мереж ліцензіата,  усього, у тому числі:</t>
  </si>
  <si>
    <t>Теплова енергія інших суб'єктів господарювання (розшифрувати за суб'єктами господарювання)</t>
  </si>
  <si>
    <t>господарські потреби :</t>
  </si>
  <si>
    <t>9.2.1.</t>
  </si>
  <si>
    <t>9.2.2.</t>
  </si>
  <si>
    <t>корисний відпуск теплової енергії власним споживачам ліцензіата, усього, у тому числі на потреби:</t>
  </si>
  <si>
    <t>населення всього:</t>
  </si>
  <si>
    <t>Власні споживачі з системами автономного опалення</t>
  </si>
  <si>
    <t>МЗК споживачів з індивідуальним опаленням</t>
  </si>
  <si>
    <t>те саме у відсотках від пункту 7.3</t>
  </si>
  <si>
    <t>9.3.2.2.</t>
  </si>
  <si>
    <t>9.3.3.</t>
  </si>
  <si>
    <t xml:space="preserve">інших споживачів                                                        </t>
  </si>
  <si>
    <t>Теплове навантаження об'єктів теплоспоживання власних споживачів ліцензіата, усього, у тому числі на потреби</t>
  </si>
  <si>
    <t>10.1.1.</t>
  </si>
  <si>
    <t>10.1.1.1.1</t>
  </si>
  <si>
    <t>10.1.2.</t>
  </si>
  <si>
    <t>10.1.2.3</t>
  </si>
  <si>
    <t>зокрема релігійні організації</t>
  </si>
  <si>
    <t>зокрема бюджетні установи</t>
  </si>
  <si>
    <t>зокрема інших споживачів</t>
  </si>
  <si>
    <t>зокрема господарчі потреби з ЦТП</t>
  </si>
  <si>
    <t>Відпуск теплової енергії суб'єкта господарювання на надання комунальних послуг споживачам зокрема:</t>
  </si>
  <si>
    <t>11.1.1.</t>
  </si>
  <si>
    <t>11.1.1.2.3</t>
  </si>
  <si>
    <t>11.1.2.</t>
  </si>
  <si>
    <t>11.1.2.1.</t>
  </si>
  <si>
    <t>11.1.2.2.</t>
  </si>
  <si>
    <t xml:space="preserve"> бюджетних установ та організацій</t>
  </si>
  <si>
    <t>11.2.3.1.</t>
  </si>
  <si>
    <t>11.2.3.2.</t>
  </si>
  <si>
    <t>11.2.4.</t>
  </si>
  <si>
    <t>11.2.1.</t>
  </si>
  <si>
    <t>11.2.2.</t>
  </si>
  <si>
    <t>бюджетних установ та організацій</t>
  </si>
  <si>
    <t>11.2.4.2.</t>
  </si>
  <si>
    <t>У тому числі:</t>
  </si>
  <si>
    <t>Теплове навантаження</t>
  </si>
  <si>
    <t>12.5</t>
  </si>
  <si>
    <t>12.6</t>
  </si>
  <si>
    <t>ПОГОДЖЕНО:</t>
  </si>
  <si>
    <t>РІЧНИЙ ПЛАН</t>
  </si>
  <si>
    <t>НА ВИРОБНИЦТВО, ТРАНСПОРТУВАННЯ ТА ПОСТАЧАННЯ ТЕПЛОВОЇ ЕНЕРГІЇ/</t>
  </si>
  <si>
    <t>м.п.</t>
  </si>
  <si>
    <t>НАДАННЯ ПОСЛУГ З ПОСТАЧАННЯ ТЕПЛОВОЇ ЕНЕРГІЇ НА 2023-2024 рр.</t>
  </si>
  <si>
    <t>ТОВ ДП "Монолит - Сервіс" на території Чорноморської міської ради</t>
  </si>
  <si>
    <t>№</t>
  </si>
  <si>
    <t>Попередній до базового період факт 2021</t>
  </si>
  <si>
    <t>Базовий період факт 2022</t>
  </si>
  <si>
    <t>Річний план на 2023-2024 рік</t>
  </si>
  <si>
    <t>у т.ч. за місяцями</t>
  </si>
  <si>
    <t xml:space="preserve">населення, в тому числі </t>
  </si>
  <si>
    <t>котельні</t>
  </si>
  <si>
    <t>Управління багатоповерховим будинком</t>
  </si>
  <si>
    <t>Прямі витрати всього</t>
  </si>
  <si>
    <t>Валерій ВАКАРЬ</t>
  </si>
  <si>
    <t>Ольга ПЄТРОВА</t>
  </si>
  <si>
    <t>зведена на листі Амортизація</t>
  </si>
  <si>
    <r>
      <t>з ЦТП</t>
    </r>
    <r>
      <rPr>
        <b/>
        <sz val="8"/>
        <rFont val="Times New Roman"/>
        <family val="1"/>
        <charset val="204"/>
      </rPr>
      <t xml:space="preserve"> (витрати на ЦТП + частина спільних витрат)</t>
    </r>
  </si>
  <si>
    <r>
      <t>без ЦТП</t>
    </r>
    <r>
      <rPr>
        <b/>
        <sz val="8"/>
        <rFont val="Times New Roman"/>
        <family val="1"/>
        <charset val="204"/>
      </rPr>
      <t xml:space="preserve"> (витрати без ЦТП та частина спільних витрат)</t>
    </r>
  </si>
  <si>
    <t xml:space="preserve"> зведена на листі ВОДА</t>
  </si>
  <si>
    <t>Постачання теплової енергії для потреб населення, у т.ч.</t>
  </si>
  <si>
    <t>з урахуванням витрат на утримання та ремонт індивідуальних теплових пунктів</t>
  </si>
  <si>
    <t>Інші витрати</t>
  </si>
  <si>
    <t xml:space="preserve">електроенергія на потреби діяльності </t>
  </si>
  <si>
    <t>холодна вода та водовідведення</t>
  </si>
  <si>
    <t xml:space="preserve">матеріали, запасні частини та інші матеріальні ресурси </t>
  </si>
  <si>
    <t>послуги дератизації та дезінсекції</t>
  </si>
  <si>
    <t>утримання ББ</t>
  </si>
  <si>
    <t>послуги сторонніх організацій</t>
  </si>
  <si>
    <t>Витрати на обслуговування виробничого процесу та інших допоміжних виробництв всього, у т.ч.:</t>
  </si>
  <si>
    <t>Витрати на утримання, експлуатацію, ремонт, страхування, операційну оренду ОЗ та інших необоротних активів загальновиробничого призначення всього, у т.ч.:</t>
  </si>
  <si>
    <t xml:space="preserve">охорона котельні 
</t>
  </si>
  <si>
    <t xml:space="preserve">послуги інших спеціалізованих підприємств
</t>
  </si>
  <si>
    <t xml:space="preserve">забезпечення охорони праці і дотримання техніки безпеки
</t>
  </si>
  <si>
    <t xml:space="preserve">комунальні послуги
</t>
  </si>
  <si>
    <t>оренда</t>
  </si>
  <si>
    <t>канцтовари</t>
  </si>
  <si>
    <t>комунальны послуги</t>
  </si>
  <si>
    <t>оренда офісу</t>
  </si>
  <si>
    <t xml:space="preserve">утримання та обслуговування
</t>
  </si>
  <si>
    <t>Амортизація  основних засобів, інших  необоротних матеріальних і нематеріальних активів загальногосподарського використання</t>
  </si>
  <si>
    <t xml:space="preserve">навчання та перепідготовка кадрів </t>
  </si>
  <si>
    <t>витрати з охорони праці</t>
  </si>
  <si>
    <t>витрати на обслуговування оргтехніки</t>
  </si>
  <si>
    <t>витрати на обслуговування програмного забезпечення</t>
  </si>
  <si>
    <t>витрати на зв'язок та інтернет</t>
  </si>
  <si>
    <t>Транспортування теплової енергії магістральними та  місцевими (розподільчими) тепловими мережами - (відсутня)</t>
  </si>
  <si>
    <t>Виробництво теплової енергії - (рішення Одеської обласної Адміністрації від 12.08.2021 р. №839/од-2021)</t>
  </si>
  <si>
    <t>Постачання теплової енергії - (рішення Одеської обласної Адміністрації від 06.07.2021 р. №700/од-2021)</t>
  </si>
  <si>
    <t>на теплову енергію, її виробництво та постачання, послуги з постачання теплової енергії</t>
  </si>
  <si>
    <t>Вартість пали-ва, тис.грн</t>
  </si>
  <si>
    <t>Ціна 1 тонни умовного палива, грн/Гкал</t>
  </si>
  <si>
    <t>Директор (керівник)</t>
  </si>
  <si>
    <t>Котельні Парусна 1-Г та Парусна 1-В</t>
  </si>
  <si>
    <t>Вартість палива, тис.грн</t>
  </si>
  <si>
    <t>Місце знаходження та найменування обладнання котельні</t>
  </si>
  <si>
    <t>потужність обладнання, кВт</t>
  </si>
  <si>
    <t>кількість одиниць обладнання на котельні</t>
  </si>
  <si>
    <t>кількість годин роботи обладнання протягом року</t>
  </si>
  <si>
    <t>річна кількість е/е, що використовується обладнанням, кВт</t>
  </si>
  <si>
    <t>ПАРУСНА 1-А</t>
  </si>
  <si>
    <t>мережевий насос</t>
  </si>
  <si>
    <t>рециркуляційний насос</t>
  </si>
  <si>
    <t>котловий насос</t>
  </si>
  <si>
    <t>інше обладнання</t>
  </si>
  <si>
    <t>ПАРУСНА 1-Б</t>
  </si>
  <si>
    <t>ПАРУСНА 1-В</t>
  </si>
  <si>
    <t>мережевий насос ГВП</t>
  </si>
  <si>
    <t>підживлювальний насос</t>
  </si>
  <si>
    <t>горілка</t>
  </si>
  <si>
    <t>ПАРУСНА 1-Г</t>
  </si>
  <si>
    <t>Котельня</t>
  </si>
  <si>
    <t>мережевий насос (1Г)</t>
  </si>
  <si>
    <t>мережевий насос (1Д)</t>
  </si>
  <si>
    <t>опалювання вузла обліку</t>
  </si>
  <si>
    <t>Т/п 1,2</t>
  </si>
  <si>
    <t>опалення під"їзду</t>
  </si>
  <si>
    <t>ПАРКОВА 50</t>
  </si>
  <si>
    <t>ПАРКОВА 52</t>
  </si>
  <si>
    <t>ПАРУСНА 1-О</t>
  </si>
  <si>
    <t>РАДІСНА 21</t>
  </si>
  <si>
    <t>РАДІСНА 21-А</t>
  </si>
  <si>
    <t>Управління багатоквартирними будинками та Інші</t>
  </si>
  <si>
    <t>УББ</t>
  </si>
  <si>
    <t>Тариф на послуги з розподілу електричної енергії, без ПДВ</t>
  </si>
  <si>
    <t xml:space="preserve">Виробництво теплової енергії для потреб населення САО Парусна 1А </t>
  </si>
  <si>
    <t>Виробництво теплової енергії для потреб населення САО Парусна 1Б</t>
  </si>
  <si>
    <t xml:space="preserve">Виробництво теплової енергії для потреб населення САО Паркова 50 </t>
  </si>
  <si>
    <t xml:space="preserve">Виробництво теплової енергії для потреб населення САО 4. Паркова 52   </t>
  </si>
  <si>
    <t>база розподілу умовно-постійних витрат (корисний відпуск)</t>
  </si>
  <si>
    <t xml:space="preserve">Додаток 4
</t>
  </si>
  <si>
    <t>Паркова , 50</t>
  </si>
  <si>
    <t>Паркова , 52</t>
  </si>
  <si>
    <t>САО Парусна, 1-А</t>
  </si>
  <si>
    <t>САО Парусна, 1-Б</t>
  </si>
  <si>
    <t>САО Паркова, 50</t>
  </si>
  <si>
    <t>САО Паркова, 52</t>
  </si>
  <si>
    <t>База розподілу</t>
  </si>
  <si>
    <t>На потреби населення, у тому числі</t>
  </si>
  <si>
    <t>тарифів на теплову енергію з урахуванням витрат на утримання та ремонт індивідуальних теплових пунктів</t>
  </si>
  <si>
    <t xml:space="preserve">Додаток 5
</t>
  </si>
  <si>
    <t>L</t>
  </si>
  <si>
    <t>P</t>
  </si>
  <si>
    <t>T</t>
  </si>
  <si>
    <t>AB</t>
  </si>
  <si>
    <t xml:space="preserve">Додаток 14
</t>
  </si>
  <si>
    <t>Для потреб населення, зокрема:</t>
  </si>
  <si>
    <t>Розрахунок вартості обсягів технологічної води та води на господарсько-побутові потреби з урахуванням водовідведення  ТОВ ДП "Моноліт-Сервіс" на 2023 - 2024 р.</t>
  </si>
  <si>
    <t>СКРЫТЬ</t>
  </si>
  <si>
    <t>ВІДСОТОК ХВП</t>
  </si>
  <si>
    <t>Факт 2018 року</t>
  </si>
  <si>
    <t>План 2023-2024 року</t>
  </si>
  <si>
    <t>ВІДСОТОК ВОДОДВІДВЕДЕННЯ</t>
  </si>
  <si>
    <t>Інша діяльність</t>
  </si>
  <si>
    <t>Відхилення гр.8 від гр.4, %</t>
  </si>
  <si>
    <t>Відхилення гр.9 від гр.5, %</t>
  </si>
  <si>
    <t>Відхилення гр.8 від гр.6, %</t>
  </si>
  <si>
    <t>Відхилення гр.9 від гр.7, %</t>
  </si>
  <si>
    <t>ПЕРЕВІРКА</t>
  </si>
  <si>
    <t>запов+гідр.випроб</t>
  </si>
  <si>
    <t>Обсяги (об*єкт водопостачання Парусна, 1Д)</t>
  </si>
  <si>
    <t>Вартість покупної води / водовідведення від об*єкта Парусна, 1Д</t>
  </si>
  <si>
    <t>0\</t>
  </si>
  <si>
    <r>
      <t xml:space="preserve">Обсяги (об*єкт </t>
    </r>
    <r>
      <rPr>
        <b/>
        <sz val="9"/>
        <rFont val="Times New Roman"/>
        <family val="1"/>
        <charset val="204"/>
      </rPr>
      <t>водопостачання</t>
    </r>
    <r>
      <rPr>
        <sz val="9"/>
        <rFont val="Times New Roman"/>
        <family val="1"/>
        <charset val="204"/>
      </rPr>
      <t xml:space="preserve"> Парусна, 1Г) </t>
    </r>
  </si>
  <si>
    <t>Обсяги (об*єкт водопостачання САО Парусна, 1А)</t>
  </si>
  <si>
    <t>Обсяги (об*єкт водопостачання САО Парусна, 1Б)</t>
  </si>
  <si>
    <t>Обсяги (об*єкт водопостачання САО Паркова, 50)</t>
  </si>
  <si>
    <t>Обсяги (об*єкт водопостачання САО Паркова, 52)</t>
  </si>
  <si>
    <r>
      <rPr>
        <b/>
        <sz val="10"/>
        <color rgb="FF000000"/>
        <rFont val="Times New Roman"/>
        <family val="1"/>
        <charset val="204"/>
      </rPr>
      <t>ТИПОВИЙ ШТАТНИЙ РОЗПИС</t>
    </r>
    <r>
      <rPr>
        <sz val="10"/>
        <rFont val="inherit;Times New Roman"/>
        <family val="1"/>
      </rPr>
      <t> 
на _____ рік2023</t>
    </r>
  </si>
  <si>
    <t>Назва структурного підрозділу та посад</t>
  </si>
  <si>
    <t>Кількість штатних посад</t>
  </si>
  <si>
    <t>Посадовий оклад (грн.)</t>
  </si>
  <si>
    <t>Фонд заробітної плати на місяць (грн.)</t>
  </si>
  <si>
    <t>Фонд заробітної плати на   _____ рік (грн.)</t>
  </si>
  <si>
    <t>П</t>
  </si>
  <si>
    <t>ІНШІ</t>
  </si>
  <si>
    <t>АДМ</t>
  </si>
  <si>
    <t>Директор</t>
  </si>
  <si>
    <t>Заступник директора</t>
  </si>
  <si>
    <t>Юрист</t>
  </si>
  <si>
    <t>Бухгалтер (0,5 ставка на адмін, решта на постачання ТЕ та наданя послуги з ЦО)</t>
  </si>
  <si>
    <t>Технік</t>
  </si>
  <si>
    <t>Енергетик</t>
  </si>
  <si>
    <t>Електромонтер охороно-пожежної сигналізації</t>
  </si>
  <si>
    <t>Електромонтре по ремонту та обслуговуванню електрообладння</t>
  </si>
  <si>
    <t>печник</t>
  </si>
  <si>
    <t>диспетчер</t>
  </si>
  <si>
    <t>Слюсар-сантехнік</t>
  </si>
  <si>
    <t>Теплотехнік (ЦПУ)</t>
  </si>
  <si>
    <t>Прибиральниця офісного приміщення</t>
  </si>
  <si>
    <t>Прибиральниця приміщень</t>
  </si>
  <si>
    <t>Двірник</t>
  </si>
  <si>
    <t>Разноробочий</t>
  </si>
  <si>
    <t>Контролер електро та теплових лічильників</t>
  </si>
  <si>
    <t>Теплова енергія (виробництво,  постачання) </t>
  </si>
  <si>
    <t>Контроль</t>
  </si>
  <si>
    <t>Умовно-змінна складова</t>
  </si>
  <si>
    <t>умовно-постійна складова</t>
  </si>
  <si>
    <t>разом</t>
  </si>
  <si>
    <t>одноставковий з пдв</t>
  </si>
  <si>
    <t>рах</t>
  </si>
  <si>
    <t>Витрати за 2022рік</t>
  </si>
  <si>
    <t>виробн</t>
  </si>
  <si>
    <t>Інші</t>
  </si>
  <si>
    <t>Адм</t>
  </si>
  <si>
    <t>контроль</t>
  </si>
  <si>
    <t>Ремонт насоса</t>
  </si>
  <si>
    <t>Металл для лавочек</t>
  </si>
  <si>
    <t>Єл.счетчики</t>
  </si>
  <si>
    <t>разделить</t>
  </si>
  <si>
    <t>Сантех материалы</t>
  </si>
  <si>
    <t>Краска</t>
  </si>
  <si>
    <t>Хозтовары(веники,перчатки , белизна и т.д)</t>
  </si>
  <si>
    <t>Эл.товары</t>
  </si>
  <si>
    <t xml:space="preserve">разделить </t>
  </si>
  <si>
    <t>Программное обеспечение</t>
  </si>
  <si>
    <t>Стройматериалы</t>
  </si>
  <si>
    <t>Генератор</t>
  </si>
  <si>
    <t>Обучение</t>
  </si>
  <si>
    <t>Каправка и ремонт картриджа</t>
  </si>
  <si>
    <t>Инструмент</t>
  </si>
  <si>
    <t>Тепловизор</t>
  </si>
  <si>
    <t>Подписка на эл.журнал для бухгалтерии</t>
  </si>
  <si>
    <t>Аренда</t>
  </si>
  <si>
    <t>Дератизация помещений</t>
  </si>
  <si>
    <t>Ремонтнын затраты</t>
  </si>
  <si>
    <t>Почтовые ящики</t>
  </si>
  <si>
    <t>Техобслуживаие лифтов</t>
  </si>
  <si>
    <t>Витрати за 2023рік</t>
  </si>
  <si>
    <t>Канцтовары</t>
  </si>
  <si>
    <t>Консультационные услуги</t>
  </si>
  <si>
    <t>Покупка ноутбука</t>
  </si>
  <si>
    <t xml:space="preserve">амортиз </t>
  </si>
  <si>
    <t>4 года срок служб, купили административному персоналу?</t>
  </si>
  <si>
    <t>Инструменты</t>
  </si>
  <si>
    <t>Электроенергия</t>
  </si>
  <si>
    <t>по файлу ,</t>
  </si>
  <si>
    <t>что арендуете? Оборудование, помещение на какой вид деятельности?</t>
  </si>
  <si>
    <t>Одессагаз</t>
  </si>
  <si>
    <t>Техобслуживание лифтов</t>
  </si>
  <si>
    <t>Укргазтех</t>
  </si>
  <si>
    <t>Прямые расходы на котельную</t>
  </si>
  <si>
    <t>СПД ФУС</t>
  </si>
  <si>
    <t>Поверка счетчиков</t>
  </si>
  <si>
    <t>абонентське обслуговування та УББ з урахуванням даних на листі ВИТРАТИ</t>
  </si>
  <si>
    <t>Усього населення</t>
  </si>
  <si>
    <t>Додаток 12</t>
  </si>
  <si>
    <t>(найменування суб'єкта господарювання - виконавця послуг)</t>
  </si>
  <si>
    <r>
      <t>Теплове навантаження з МЗК, Гкал/год</t>
    </r>
    <r>
      <rPr>
        <b/>
        <sz val="10"/>
        <rFont val="Times New Roman"/>
        <family val="1"/>
        <charset val="204"/>
      </rPr>
      <t xml:space="preserve"> </t>
    </r>
  </si>
  <si>
    <t>У т.ч. т/навантаження МЗК , Гкал/год</t>
  </si>
  <si>
    <r>
      <t xml:space="preserve">Теплове навантаження, </t>
    </r>
    <r>
      <rPr>
        <b/>
        <sz val="10"/>
        <rFont val="Times New Roman"/>
        <family val="1"/>
        <charset val="204"/>
      </rPr>
      <t>корисний</t>
    </r>
    <r>
      <rPr>
        <sz val="10"/>
        <rFont val="Times New Roman"/>
        <family val="1"/>
        <charset val="204"/>
      </rPr>
      <t>, Гкал/год</t>
    </r>
  </si>
  <si>
    <t>У т.ч. навантаження місць загального користування,Гкал/год</t>
  </si>
  <si>
    <t>С</t>
  </si>
  <si>
    <t>D</t>
  </si>
  <si>
    <t>АВТОНОМНЕ теплопостачання</t>
  </si>
  <si>
    <t>Парусна , 1  В</t>
  </si>
  <si>
    <t>відсутній</t>
  </si>
  <si>
    <t>ІТП</t>
  </si>
  <si>
    <t>Радісна ,  21</t>
  </si>
  <si>
    <t>Радісна ,  21  А</t>
  </si>
  <si>
    <t>Парусна , 1  Г</t>
  </si>
  <si>
    <t>Парусна , 1  Д</t>
  </si>
  <si>
    <t>Парусна , 1  О</t>
  </si>
  <si>
    <t>СИСТЕМИ автономного опалення</t>
  </si>
  <si>
    <t>Структура собівартості</t>
  </si>
  <si>
    <t>сума, тис. грн.</t>
  </si>
  <si>
    <t>хімреагентів не витсочає!!!!!</t>
  </si>
  <si>
    <t>населення – котельні</t>
  </si>
  <si>
    <t>Товариство з обмеженою відповідальністю ДП "Моноліт- Сервіс"</t>
  </si>
  <si>
    <t>Для потреб населення, грн/Гкал:</t>
  </si>
  <si>
    <t xml:space="preserve">Додаток 1
до рішення виконавчого комітету Чорноморської міської ради    
 від ___________ №__ ____ 
</t>
  </si>
  <si>
    <t>Начальник управління економічного
розвитку та торгівлі</t>
  </si>
  <si>
    <t>Наталія ГЄНЧЕВА</t>
  </si>
  <si>
    <t>з IТП</t>
  </si>
  <si>
    <t>без IТП</t>
  </si>
  <si>
    <r>
      <rPr>
        <b/>
        <sz val="11"/>
        <color theme="1"/>
        <rFont val="Times New Roman"/>
        <family val="1"/>
        <charset val="204"/>
      </rPr>
      <t>Виробництво теплової енергії,</t>
    </r>
    <r>
      <rPr>
        <sz val="11"/>
        <color theme="1"/>
        <rFont val="Times New Roman"/>
        <family val="1"/>
        <charset val="204"/>
      </rPr>
      <t xml:space="preserve">  умовно-змінна частина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</si>
  <si>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умовно-постійна частина двоставкового тарифу</t>
    </r>
  </si>
  <si>
    <t>котельні, САО</t>
  </si>
  <si>
    <t>ДВОСТАВКОВІ</t>
  </si>
  <si>
    <t>ОДНОСТАВКОВІ</t>
  </si>
  <si>
    <t xml:space="preserve">Додаток 2
до рішення виконавчого комітету Чорноморської міської ради
від ___________ №__ ____ 
</t>
  </si>
  <si>
    <t xml:space="preserve">Додаток 4                                        до рішення виконавчого комітету Чорноморської міської ради    
                                                        від ___________ №__ ____ 
</t>
  </si>
  <si>
    <t>Двоставкові тарифи</t>
  </si>
  <si>
    <t>на послуги з постачання теплової енергії на рівні тарифів, що застосовувалися до споживачів станом на 24.02.2022 для "&amp;'Вхідні дані'!F4</t>
  </si>
  <si>
    <t xml:space="preserve"> ДВОСТАВКОВІ ТАРИФИ</t>
  </si>
  <si>
    <t>Для споживачів будинків  за адресами:  вул. Парусна № 1-В, №1-Г, №1-Д, №1-О;                 вул. Радісна №21, №21-А,           які  обслуговуються  стаціонарними котельнями</t>
  </si>
  <si>
    <t>Для споживачів будинку за адресою:  вул. Парусна № 1-А,   який  обслуговується  САО</t>
  </si>
  <si>
    <t>Для споживачів будинку за адресою:  вул. Парусна № 1-Б,   який  обслуговується  САО</t>
  </si>
  <si>
    <t>Для споживачів будинку за адресою:  вул. Паркова № 50,   який  обслуговується  САО</t>
  </si>
  <si>
    <t>Для споживачів будинку за адресою:  вул. Паркова № 52,   який  обслуговується  САО</t>
  </si>
  <si>
    <t>Стаціонарні  котельні, система   автономного опалення (САО)</t>
  </si>
  <si>
    <t>Двоставкові тарифи та їх структура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</si>
</sst>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_-* #,##0.00\ _₽_-;\-* #,##0.00\ _₽_-;_-* &quot;-&quot;??\ _₽_-;_-@_-"/>
    <numFmt numFmtId="165" formatCode="_-* #,##0.00_₴_-;\-* #,##0.00_₴_-;_-* &quot;-&quot;??_₴_-;_-@_-"/>
    <numFmt numFmtId="166" formatCode="_-* #,##0.00&quot;р.&quot;_-;\-* #,##0.00&quot;р.&quot;_-;_-* &quot;-&quot;??&quot;р.&quot;_-;_-@_-"/>
    <numFmt numFmtId="167" formatCode="_-* #,##0.00_р_._-;\-* #,##0.00_р_._-;_-* &quot;-&quot;??_р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
    <numFmt numFmtId="183" formatCode="0.0000%"/>
    <numFmt numFmtId="184" formatCode="[$-419]General"/>
    <numFmt numFmtId="185" formatCode="#,##0.00&quot; &quot;[$руб.-419];[Red]&quot;-&quot;#,##0.00&quot; &quot;[$руб.-419]"/>
    <numFmt numFmtId="186" formatCode="#,##0.000000000"/>
    <numFmt numFmtId="187" formatCode="0.000%"/>
    <numFmt numFmtId="188" formatCode="#,##0.000_ ;\-#,##0.000\ "/>
    <numFmt numFmtId="189" formatCode="#,##0.0000_ ;\-#,##0.0000\ "/>
    <numFmt numFmtId="190" formatCode="#,##0.00_ ;\-#,##0.00\ "/>
    <numFmt numFmtId="191" formatCode="#,##0.0000"/>
    <numFmt numFmtId="192" formatCode="0.00000%"/>
    <numFmt numFmtId="193" formatCode="#,##0.0"/>
    <numFmt numFmtId="194" formatCode="#,##0.00000"/>
    <numFmt numFmtId="195" formatCode="#,##0.0_ ;\-#,##0.0\ "/>
    <numFmt numFmtId="196" formatCode="#,##0.00000000"/>
    <numFmt numFmtId="197" formatCode="#,##0_ ;\-#,##0\ "/>
    <numFmt numFmtId="198" formatCode="#,##0.000000_ ;\-#,##0.000000\ "/>
  </numFmts>
  <fonts count="28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b/>
      <sz val="9"/>
      <color indexed="81"/>
      <name val="Tahoma"/>
      <family val="2"/>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sz val="9"/>
      <color indexed="81"/>
      <name val="Tahoma"/>
      <family val="2"/>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sz val="11"/>
      <color theme="0"/>
      <name val="Calibri"/>
      <family val="2"/>
      <charset val="204"/>
      <scheme val="minor"/>
    </font>
    <font>
      <b/>
      <sz val="10"/>
      <name val="Arial"/>
      <family val="2"/>
      <charset val="204"/>
    </font>
    <font>
      <sz val="11"/>
      <name val="Calibri"/>
      <family val="2"/>
      <charset val="204"/>
      <scheme val="minor"/>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1"/>
      <name val="Times New Roman"/>
      <family val="1"/>
      <charset val="204"/>
    </font>
    <font>
      <i/>
      <sz val="11"/>
      <name val="Times New Roman"/>
      <family val="1"/>
      <charset val="204"/>
    </font>
    <font>
      <b/>
      <sz val="8"/>
      <name val="Times New Roman"/>
      <family val="1"/>
      <charset val="204"/>
    </font>
    <font>
      <sz val="12"/>
      <color theme="1"/>
      <name val="Calibri"/>
      <family val="2"/>
      <charset val="204"/>
      <scheme val="minor"/>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b/>
      <sz val="15"/>
      <name val="Times New Roman"/>
      <family val="1"/>
      <charset val="204"/>
    </font>
    <font>
      <sz val="15"/>
      <name val="Times New Roman"/>
      <family val="1"/>
      <charset val="204"/>
    </font>
    <font>
      <b/>
      <i/>
      <sz val="12"/>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i/>
      <sz val="12"/>
      <color theme="1"/>
      <name val="Times New Roman"/>
      <family val="1"/>
      <charset val="204"/>
    </font>
    <font>
      <b/>
      <i/>
      <sz val="11"/>
      <color theme="1"/>
      <name val="Calibri"/>
      <family val="2"/>
      <charset val="204"/>
      <scheme val="minor"/>
    </font>
    <font>
      <i/>
      <sz val="9"/>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b/>
      <sz val="11"/>
      <color rgb="FFFF0000"/>
      <name val="Times New Roman"/>
      <family val="1"/>
      <charset val="204"/>
    </font>
    <font>
      <sz val="9"/>
      <color theme="1"/>
      <name val="Calibri"/>
      <family val="2"/>
      <charset val="204"/>
      <scheme val="minor"/>
    </font>
    <font>
      <b/>
      <sz val="13.5"/>
      <name val="Times New Roman"/>
      <family val="1"/>
      <charset val="204"/>
    </font>
    <font>
      <u/>
      <sz val="12"/>
      <name val="Times New Roman"/>
      <family val="1"/>
      <charset val="204"/>
    </font>
    <font>
      <sz val="5"/>
      <name val="Times New Roman"/>
      <family val="1"/>
      <charset val="204"/>
    </font>
    <font>
      <sz val="13.5"/>
      <name val="Times New Roman"/>
      <family val="1"/>
      <charset val="204"/>
    </font>
    <font>
      <b/>
      <sz val="7"/>
      <name val="Times New Roman"/>
      <family val="1"/>
      <charset val="204"/>
    </font>
    <font>
      <b/>
      <sz val="11"/>
      <name val="Calibri"/>
      <family val="2"/>
      <charset val="204"/>
      <scheme val="minor"/>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b/>
      <u/>
      <sz val="12"/>
      <color theme="1"/>
      <name val="Times New Roman"/>
      <family val="1"/>
      <charset val="204"/>
    </font>
    <font>
      <i/>
      <sz val="10"/>
      <color rgb="FFFF0000"/>
      <name val="Times New Roman"/>
      <family val="1"/>
      <charset val="204"/>
    </font>
    <font>
      <b/>
      <sz val="10"/>
      <color rgb="FFFF0000"/>
      <name val="Times New Roman"/>
      <family val="1"/>
      <charset val="204"/>
    </font>
    <font>
      <i/>
      <sz val="11"/>
      <color rgb="FFFF0000"/>
      <name val="Times New Roman"/>
      <family val="1"/>
      <charset val="204"/>
    </font>
    <font>
      <sz val="11"/>
      <color theme="6" tint="-0.499984740745262"/>
      <name val="Times New Roman"/>
      <family val="1"/>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b/>
      <u/>
      <sz val="11"/>
      <color rgb="FFFF0000"/>
      <name val="Times New Roman"/>
      <family val="1"/>
      <charset val="204"/>
    </font>
    <font>
      <sz val="11"/>
      <color rgb="FF333333"/>
      <name val="Times New Roman"/>
      <family val="1"/>
      <charset val="204"/>
    </font>
    <font>
      <sz val="8"/>
      <color rgb="FF333333"/>
      <name val="Times New Roman"/>
      <family val="1"/>
      <charset val="204"/>
    </font>
    <font>
      <b/>
      <u/>
      <sz val="14"/>
      <color theme="1"/>
      <name val="Times New Roman"/>
      <family val="1"/>
      <charset val="204"/>
    </font>
    <font>
      <sz val="12"/>
      <color rgb="FF0070C0"/>
      <name val="Times New Roman"/>
      <family val="1"/>
      <charset val="204"/>
    </font>
    <font>
      <b/>
      <sz val="11"/>
      <color rgb="FF0000FF"/>
      <name val="Times New Roman"/>
      <family val="1"/>
      <charset val="204"/>
    </font>
    <font>
      <sz val="10"/>
      <color theme="1"/>
      <name val="Calibri"/>
      <family val="2"/>
      <charset val="204"/>
    </font>
    <font>
      <sz val="10"/>
      <color rgb="FF000000"/>
      <name val="Calibri"/>
      <family val="2"/>
      <charset val="204"/>
      <scheme val="minor"/>
    </font>
    <font>
      <sz val="11"/>
      <color theme="0"/>
      <name val="Times New Roman"/>
      <family val="1"/>
      <charset val="204"/>
    </font>
    <font>
      <b/>
      <i/>
      <sz val="14"/>
      <name val="Times New Roman"/>
      <family val="1"/>
      <charset val="204"/>
    </font>
    <font>
      <i/>
      <sz val="14"/>
      <name val="Times New Roman"/>
      <family val="1"/>
      <charset val="204"/>
    </font>
    <font>
      <b/>
      <sz val="14"/>
      <color theme="6" tint="-0.499984740745262"/>
      <name val="Times New Roman"/>
      <family val="1"/>
      <charset val="204"/>
    </font>
    <font>
      <b/>
      <sz val="14"/>
      <color rgb="FF002060"/>
      <name val="Times New Roman"/>
      <family val="1"/>
      <charset val="204"/>
    </font>
    <font>
      <sz val="14"/>
      <color rgb="FF002060"/>
      <name val="Times New Roman"/>
      <family val="1"/>
      <charset val="204"/>
    </font>
    <font>
      <sz val="14"/>
      <color theme="7" tint="-0.499984740745262"/>
      <name val="Times New Roman"/>
      <family val="1"/>
      <charset val="204"/>
    </font>
    <font>
      <sz val="22"/>
      <color theme="1"/>
      <name val="Times New Roman"/>
      <family val="1"/>
      <charset val="204"/>
    </font>
    <font>
      <b/>
      <sz val="11"/>
      <color rgb="FF0070C0"/>
      <name val="Calibri"/>
      <family val="2"/>
      <charset val="204"/>
      <scheme val="minor"/>
    </font>
    <font>
      <b/>
      <sz val="12"/>
      <color rgb="FF0070C0"/>
      <name val="Times New Roman"/>
      <family val="1"/>
      <charset val="204"/>
    </font>
    <font>
      <b/>
      <u/>
      <sz val="10"/>
      <color rgb="FFFF0000"/>
      <name val="Times New Roman"/>
      <family val="1"/>
      <charset val="204"/>
    </font>
    <font>
      <b/>
      <sz val="10"/>
      <color indexed="8"/>
      <name val="Times New Roman"/>
      <family val="1"/>
      <charset val="204"/>
    </font>
    <font>
      <i/>
      <sz val="11"/>
      <color rgb="FFFF0000"/>
      <name val="Calibri"/>
      <family val="2"/>
      <charset val="204"/>
      <scheme val="minor"/>
    </font>
    <font>
      <sz val="18"/>
      <color theme="1"/>
      <name val="Times New Roman"/>
      <family val="1"/>
      <charset val="204"/>
    </font>
    <font>
      <sz val="14"/>
      <color rgb="FF000000"/>
      <name val="Times New Roman"/>
      <family val="1"/>
      <charset val="204"/>
    </font>
    <font>
      <u/>
      <sz val="9"/>
      <name val="Times New Roman"/>
      <family val="1"/>
      <charset val="204"/>
    </font>
    <font>
      <i/>
      <u/>
      <sz val="11"/>
      <color rgb="FFFF0000"/>
      <name val="Times New Roman"/>
      <family val="1"/>
      <charset val="204"/>
    </font>
    <font>
      <u/>
      <sz val="10"/>
      <color rgb="FFFF0000"/>
      <name val="Times New Roman"/>
      <family val="1"/>
      <charset val="204"/>
    </font>
    <font>
      <u/>
      <sz val="11"/>
      <color rgb="FFFF0000"/>
      <name val="Times New Roman"/>
      <family val="1"/>
      <charset val="204"/>
    </font>
    <font>
      <sz val="11"/>
      <color rgb="FFEC20C5"/>
      <name val="Times New Roman"/>
      <family val="1"/>
      <charset val="204"/>
    </font>
    <font>
      <sz val="10"/>
      <color rgb="FF0000FF"/>
      <name val="Times New Roman"/>
      <family val="1"/>
      <charset val="204"/>
    </font>
    <font>
      <sz val="11"/>
      <color rgb="FF0000FF"/>
      <name val="Times New Roman"/>
      <family val="1"/>
      <charset val="204"/>
    </font>
    <font>
      <i/>
      <sz val="11"/>
      <color rgb="FF0000FF"/>
      <name val="Times New Roman"/>
      <family val="1"/>
      <charset val="204"/>
    </font>
    <font>
      <b/>
      <sz val="11"/>
      <color theme="6" tint="-0.499984740745262"/>
      <name val="Times New Roman"/>
      <family val="1"/>
      <charset val="204"/>
    </font>
    <font>
      <sz val="10"/>
      <color theme="6" tint="-0.499984740745262"/>
      <name val="Times New Roman"/>
      <family val="1"/>
      <charset val="204"/>
    </font>
    <font>
      <i/>
      <sz val="11"/>
      <color theme="6" tint="-0.499984740745262"/>
      <name val="Times New Roman"/>
      <family val="1"/>
      <charset val="204"/>
    </font>
    <font>
      <b/>
      <i/>
      <sz val="10"/>
      <color theme="1"/>
      <name val="Times New Roman"/>
      <family val="1"/>
      <charset val="204"/>
    </font>
    <font>
      <sz val="10"/>
      <color theme="8" tint="-0.499984740745262"/>
      <name val="Times New Roman"/>
      <family val="1"/>
      <charset val="204"/>
    </font>
    <font>
      <sz val="9"/>
      <color theme="8" tint="-0.499984740745262"/>
      <name val="Times New Roman"/>
      <family val="1"/>
      <charset val="204"/>
    </font>
    <font>
      <sz val="11"/>
      <color theme="8" tint="-0.499984740745262"/>
      <name val="Calibri"/>
      <family val="2"/>
      <charset val="204"/>
      <scheme val="minor"/>
    </font>
    <font>
      <sz val="11"/>
      <name val="Calibri"/>
      <family val="2"/>
      <scheme val="minor"/>
    </font>
    <font>
      <i/>
      <sz val="10"/>
      <color theme="9" tint="-0.499984740745262"/>
      <name val="Times New Roman"/>
      <family val="1"/>
      <charset val="204"/>
    </font>
    <font>
      <i/>
      <sz val="11"/>
      <color theme="9" tint="-0.499984740745262"/>
      <name val="Times New Roman"/>
      <family val="1"/>
      <charset val="204"/>
    </font>
    <font>
      <b/>
      <i/>
      <sz val="11"/>
      <color theme="9" tint="-0.499984740745262"/>
      <name val="Times New Roman"/>
      <family val="1"/>
      <charset val="204"/>
    </font>
    <font>
      <i/>
      <sz val="14"/>
      <color theme="9" tint="-0.499984740745262"/>
      <name val="Times New Roman"/>
      <family val="1"/>
      <charset val="204"/>
    </font>
    <font>
      <sz val="8"/>
      <color theme="8" tint="-0.499984740745262"/>
      <name val="Times New Roman"/>
      <family val="1"/>
      <charset val="204"/>
    </font>
    <font>
      <sz val="12"/>
      <color theme="8" tint="-0.499984740745262"/>
      <name val="Times New Roman"/>
      <family val="1"/>
      <charset val="204"/>
    </font>
    <font>
      <sz val="20"/>
      <color theme="1"/>
      <name val="Times New Roman"/>
      <family val="1"/>
      <charset val="204"/>
    </font>
    <font>
      <sz val="24"/>
      <name val="Times New Roman"/>
      <family val="1"/>
      <charset val="204"/>
    </font>
    <font>
      <sz val="28"/>
      <color indexed="81"/>
      <name val="Times New Roman"/>
      <family val="1"/>
      <charset val="204"/>
    </font>
    <font>
      <b/>
      <sz val="28"/>
      <color indexed="81"/>
      <name val="Times New Roman"/>
      <family val="1"/>
      <charset val="204"/>
    </font>
    <font>
      <sz val="10"/>
      <color theme="0"/>
      <name val="Arial"/>
      <family val="2"/>
      <charset val="204"/>
    </font>
    <font>
      <b/>
      <sz val="8"/>
      <color theme="0"/>
      <name val="Times New Roman"/>
      <family val="1"/>
      <charset val="204"/>
    </font>
    <font>
      <i/>
      <sz val="8"/>
      <name val="Arial"/>
      <family val="2"/>
      <charset val="204"/>
    </font>
    <font>
      <b/>
      <i/>
      <sz val="13"/>
      <name val="Times New Roman"/>
      <family val="1"/>
      <charset val="204"/>
    </font>
    <font>
      <i/>
      <sz val="10"/>
      <name val="Times New Roman"/>
      <family val="1"/>
      <charset val="204"/>
    </font>
    <font>
      <b/>
      <sz val="9"/>
      <name val="Arial Cyr"/>
      <family val="2"/>
      <charset val="204"/>
    </font>
    <font>
      <b/>
      <sz val="12"/>
      <color theme="1"/>
      <name val="Arial"/>
      <family val="2"/>
      <charset val="204"/>
    </font>
    <font>
      <sz val="10"/>
      <name val="Calibri"/>
      <family val="2"/>
      <charset val="204"/>
    </font>
    <font>
      <b/>
      <u/>
      <sz val="12"/>
      <color rgb="FF000000"/>
      <name val="Times New Roman"/>
      <family val="1"/>
      <charset val="204"/>
    </font>
    <font>
      <b/>
      <u/>
      <sz val="12"/>
      <color rgb="FFFF0000"/>
      <name val="Times New Roman"/>
      <family val="1"/>
      <charset val="204"/>
    </font>
    <font>
      <sz val="8"/>
      <color theme="0"/>
      <name val="Times New Roman"/>
      <family val="1"/>
      <charset val="204"/>
    </font>
    <font>
      <b/>
      <i/>
      <sz val="8"/>
      <name val="Arial Cyr"/>
      <charset val="204"/>
    </font>
    <font>
      <b/>
      <sz val="10"/>
      <name val="Arial Cyr"/>
      <charset val="204"/>
    </font>
    <font>
      <sz val="10"/>
      <color theme="0"/>
      <name val="Arial Cyr"/>
      <charset val="204"/>
    </font>
    <font>
      <sz val="8"/>
      <name val="Arial Cyr"/>
      <charset val="204"/>
    </font>
    <font>
      <sz val="16"/>
      <name val="Arial Cyr"/>
      <charset val="204"/>
    </font>
    <font>
      <b/>
      <sz val="11"/>
      <name val="Arial Cyr"/>
      <charset val="204"/>
    </font>
    <font>
      <sz val="12"/>
      <name val="Arial Cyr"/>
      <charset val="204"/>
    </font>
    <font>
      <i/>
      <sz val="9"/>
      <name val="Arial Cyr"/>
      <charset val="204"/>
    </font>
    <font>
      <b/>
      <i/>
      <sz val="9"/>
      <name val="Arial Cyr"/>
      <charset val="204"/>
    </font>
    <font>
      <sz val="10"/>
      <name val="inherit;Times New Roman"/>
      <family val="1"/>
    </font>
    <font>
      <sz val="12"/>
      <name val="inherit;Times New Roman"/>
      <family val="1"/>
    </font>
    <font>
      <sz val="12"/>
      <color rgb="FFFF0000"/>
      <name val="Calibri"/>
      <family val="2"/>
      <charset val="204"/>
      <scheme val="minor"/>
    </font>
    <font>
      <sz val="10"/>
      <name val="inherit;Times New Roman"/>
      <family val="1"/>
      <charset val="1"/>
    </font>
    <font>
      <sz val="12"/>
      <name val="inherit;Times New Roman"/>
      <family val="1"/>
      <charset val="1"/>
    </font>
    <font>
      <sz val="10"/>
      <color rgb="FFFF0000"/>
      <name val="Liberation Sans"/>
      <charset val="204"/>
    </font>
    <font>
      <sz val="10"/>
      <color rgb="FFFFFFFF"/>
      <name val="Liberation Sans"/>
      <charset val="204"/>
    </font>
    <font>
      <b/>
      <sz val="9"/>
      <color rgb="FF000000"/>
      <name val="Tahoma"/>
      <family val="2"/>
      <charset val="204"/>
    </font>
    <font>
      <sz val="9"/>
      <color rgb="FF000000"/>
      <name val="Tahoma"/>
      <family val="2"/>
      <charset val="204"/>
    </font>
    <font>
      <sz val="8"/>
      <name val="Arial"/>
      <family val="2"/>
      <charset val="204"/>
    </font>
    <font>
      <sz val="16"/>
      <color rgb="FFFF0000"/>
      <name val="Times New Roman"/>
      <family val="1"/>
      <charset val="204"/>
    </font>
    <font>
      <sz val="11"/>
      <color rgb="FFFFFFFF"/>
      <name val="Times New Roman"/>
      <family val="1"/>
      <charset val="204"/>
    </font>
  </fonts>
  <fills count="83">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FFFF00"/>
        <bgColor rgb="FFFFFF00"/>
      </patternFill>
    </fill>
    <fill>
      <patternFill patternType="solid">
        <fgColor rgb="FFD7E4BD"/>
        <bgColor rgb="FFD9D9D9"/>
      </patternFill>
    </fill>
    <fill>
      <patternFill patternType="solid">
        <fgColor rgb="FFFF7C80"/>
        <bgColor indexed="64"/>
      </patternFill>
    </fill>
    <fill>
      <patternFill patternType="solid">
        <fgColor rgb="FFFFFF00"/>
        <bgColor rgb="FFFFCC00"/>
      </patternFill>
    </fill>
    <fill>
      <patternFill patternType="solid">
        <fgColor rgb="FFFF0000"/>
        <bgColor rgb="FFFF0000"/>
      </patternFill>
    </fill>
    <fill>
      <patternFill patternType="solid">
        <fgColor rgb="FF92D050"/>
        <bgColor rgb="FF92D050"/>
      </patternFill>
    </fill>
  </fills>
  <borders count="1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thin">
        <color indexed="64"/>
      </left>
      <right/>
      <top/>
      <bottom style="medium">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style="thin">
        <color indexed="64"/>
      </top>
      <bottom style="double">
        <color indexed="64"/>
      </bottom>
      <diagonal/>
    </border>
    <border>
      <left/>
      <right/>
      <top/>
      <bottom style="double">
        <color indexed="64"/>
      </bottom>
      <diagonal/>
    </border>
    <border>
      <left/>
      <right style="medium">
        <color indexed="64"/>
      </right>
      <top/>
      <bottom style="hair">
        <color indexed="64"/>
      </bottom>
      <diagonal/>
    </border>
    <border>
      <left style="thin">
        <color indexed="64"/>
      </left>
      <right style="medium">
        <color indexed="64"/>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medium">
        <color indexed="64"/>
      </right>
      <top style="thin">
        <color indexed="64"/>
      </top>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medium">
        <color indexed="64"/>
      </top>
      <bottom style="thin">
        <color indexed="64"/>
      </bottom>
      <diagonal/>
    </border>
  </borders>
  <cellStyleXfs count="559">
    <xf numFmtId="0" fontId="0" fillId="0" borderId="0"/>
    <xf numFmtId="0" fontId="24" fillId="0" borderId="0"/>
    <xf numFmtId="168" fontId="27" fillId="0" borderId="0" applyFont="0" applyFill="0" applyBorder="0" applyAlignment="0" applyProtection="0"/>
    <xf numFmtId="169" fontId="26" fillId="0" borderId="0" applyFont="0" applyFill="0" applyBorder="0" applyAlignment="0" applyProtection="0"/>
    <xf numFmtId="168" fontId="24" fillId="0" borderId="0" applyFont="0" applyFill="0" applyBorder="0" applyAlignment="0" applyProtection="0"/>
    <xf numFmtId="0" fontId="22" fillId="0" borderId="0"/>
    <xf numFmtId="0" fontId="21" fillId="0" borderId="0"/>
    <xf numFmtId="0" fontId="26" fillId="0" borderId="0"/>
    <xf numFmtId="9" fontId="43" fillId="0" borderId="0" applyFont="0" applyFill="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5" fillId="7" borderId="0" applyNumberFormat="0" applyBorder="0" applyAlignment="0" applyProtection="0"/>
    <xf numFmtId="0" fontId="45" fillId="5"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5" fillId="5" borderId="0" applyNumberFormat="0" applyBorder="0" applyAlignment="0" applyProtection="0"/>
    <xf numFmtId="0" fontId="44" fillId="15"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5" borderId="0" applyNumberFormat="0" applyBorder="0" applyAlignment="0" applyProtection="0"/>
    <xf numFmtId="0" fontId="44"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2" borderId="0" applyNumberFormat="0" applyBorder="0" applyAlignment="0" applyProtection="0"/>
    <xf numFmtId="0" fontId="46" fillId="18" borderId="0" applyNumberFormat="0" applyBorder="0" applyAlignment="0" applyProtection="0"/>
    <xf numFmtId="0" fontId="46" fillId="5" borderId="0" applyNumberFormat="0" applyBorder="0" applyAlignment="0" applyProtection="0"/>
    <xf numFmtId="0" fontId="47" fillId="19"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20" borderId="0" applyNumberFormat="0" applyBorder="0" applyAlignment="0" applyProtection="0"/>
    <xf numFmtId="0" fontId="47" fillId="18" borderId="0" applyNumberFormat="0" applyBorder="0" applyAlignment="0" applyProtection="0"/>
    <xf numFmtId="0" fontId="47" fillId="21"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18" borderId="0" applyNumberFormat="0" applyBorder="0" applyAlignment="0" applyProtection="0"/>
    <xf numFmtId="0" fontId="46" fillId="24" borderId="0" applyNumberFormat="0" applyBorder="0" applyAlignment="0" applyProtection="0"/>
    <xf numFmtId="0" fontId="48" fillId="9" borderId="0" applyNumberFormat="0" applyBorder="0" applyAlignment="0" applyProtection="0"/>
    <xf numFmtId="0" fontId="49" fillId="4" borderId="11" applyNumberFormat="0" applyAlignment="0" applyProtection="0"/>
    <xf numFmtId="0" fontId="50" fillId="25" borderId="12" applyNumberFormat="0" applyAlignment="0" applyProtection="0"/>
    <xf numFmtId="0" fontId="44" fillId="0" borderId="0"/>
    <xf numFmtId="0" fontId="51" fillId="0" borderId="0" applyNumberFormat="0" applyFill="0" applyBorder="0" applyAlignment="0" applyProtection="0"/>
    <xf numFmtId="0" fontId="52" fillId="10" borderId="0" applyNumberFormat="0" applyBorder="0" applyAlignment="0" applyProtection="0"/>
    <xf numFmtId="0" fontId="53" fillId="0" borderId="13" applyNumberFormat="0" applyFill="0" applyAlignment="0" applyProtection="0"/>
    <xf numFmtId="0" fontId="54" fillId="0" borderId="14" applyNumberFormat="0" applyFill="0" applyAlignment="0" applyProtection="0"/>
    <xf numFmtId="0" fontId="55" fillId="0" borderId="15" applyNumberFormat="0" applyFill="0" applyAlignment="0" applyProtection="0"/>
    <xf numFmtId="0" fontId="55" fillId="0" borderId="0" applyNumberFormat="0" applyFill="0" applyBorder="0" applyAlignment="0" applyProtection="0"/>
    <xf numFmtId="0" fontId="56" fillId="5" borderId="11" applyNumberFormat="0" applyAlignment="0" applyProtection="0"/>
    <xf numFmtId="0" fontId="57" fillId="0" borderId="16" applyNumberFormat="0" applyFill="0" applyAlignment="0" applyProtection="0"/>
    <xf numFmtId="0" fontId="58" fillId="14" borderId="0" applyNumberFormat="0" applyBorder="0" applyAlignment="0" applyProtection="0"/>
    <xf numFmtId="0" fontId="27" fillId="6" borderId="17" applyNumberFormat="0" applyFont="0" applyAlignment="0" applyProtection="0"/>
    <xf numFmtId="0" fontId="59" fillId="4" borderId="18" applyNumberFormat="0" applyAlignment="0" applyProtection="0"/>
    <xf numFmtId="0" fontId="60" fillId="0" borderId="0" applyNumberFormat="0" applyFill="0" applyBorder="0" applyAlignment="0" applyProtection="0"/>
    <xf numFmtId="0" fontId="61" fillId="0" borderId="19" applyNumberFormat="0" applyFill="0" applyAlignment="0" applyProtection="0"/>
    <xf numFmtId="0" fontId="62" fillId="0" borderId="0" applyNumberFormat="0" applyFill="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0" borderId="0" applyNumberFormat="0" applyBorder="0" applyAlignment="0" applyProtection="0"/>
    <xf numFmtId="0" fontId="47" fillId="18" borderId="0" applyNumberFormat="0" applyBorder="0" applyAlignment="0" applyProtection="0"/>
    <xf numFmtId="0" fontId="47" fillId="24" borderId="0" applyNumberFormat="0" applyBorder="0" applyAlignment="0" applyProtection="0"/>
    <xf numFmtId="0" fontId="63" fillId="5" borderId="11" applyNumberFormat="0" applyAlignment="0" applyProtection="0"/>
    <xf numFmtId="9" fontId="64" fillId="0" borderId="0" applyFont="0" applyFill="0" applyBorder="0" applyAlignment="0" applyProtection="0"/>
    <xf numFmtId="0" fontId="65" fillId="12" borderId="18" applyNumberFormat="0" applyAlignment="0" applyProtection="0"/>
    <xf numFmtId="0" fontId="66" fillId="12" borderId="11" applyNumberFormat="0" applyAlignment="0" applyProtection="0"/>
    <xf numFmtId="166" fontId="24" fillId="0" borderId="0" applyFont="0" applyFill="0" applyBorder="0" applyAlignment="0" applyProtection="0"/>
    <xf numFmtId="166" fontId="24" fillId="0" borderId="0" applyFont="0" applyFill="0" applyBorder="0" applyAlignment="0" applyProtection="0"/>
    <xf numFmtId="170" fontId="64" fillId="0" borderId="0" applyFill="0" applyBorder="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9" fillId="0" borderId="21" applyNumberFormat="0" applyFill="0" applyAlignment="0" applyProtection="0"/>
    <xf numFmtId="0" fontId="69" fillId="0" borderId="2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4" fillId="0" borderId="0"/>
    <xf numFmtId="0" fontId="26" fillId="0" borderId="0"/>
    <xf numFmtId="0" fontId="26" fillId="0" borderId="0"/>
    <xf numFmtId="0" fontId="43" fillId="0" borderId="0"/>
    <xf numFmtId="0" fontId="44" fillId="0" borderId="0"/>
    <xf numFmtId="0" fontId="24" fillId="0" borderId="0"/>
    <xf numFmtId="0" fontId="26" fillId="0" borderId="0"/>
    <xf numFmtId="0" fontId="26" fillId="0" borderId="0"/>
    <xf numFmtId="0" fontId="20" fillId="0" borderId="0"/>
    <xf numFmtId="0" fontId="20" fillId="0" borderId="0"/>
    <xf numFmtId="0" fontId="20" fillId="0" borderId="0"/>
    <xf numFmtId="0" fontId="20" fillId="0" borderId="0"/>
    <xf numFmtId="0" fontId="26" fillId="0" borderId="0"/>
    <xf numFmtId="0" fontId="45" fillId="0" borderId="0"/>
    <xf numFmtId="0" fontId="70" fillId="0" borderId="22" applyNumberFormat="0" applyFill="0" applyAlignment="0" applyProtection="0"/>
    <xf numFmtId="0" fontId="71" fillId="25" borderId="12" applyNumberFormat="0" applyAlignment="0" applyProtection="0"/>
    <xf numFmtId="0" fontId="72" fillId="0" borderId="0" applyNumberFormat="0" applyFill="0" applyBorder="0" applyAlignment="0" applyProtection="0"/>
    <xf numFmtId="0" fontId="73" fillId="14" borderId="0" applyNumberFormat="0" applyBorder="0" applyAlignment="0" applyProtection="0"/>
    <xf numFmtId="0" fontId="44" fillId="0" borderId="0"/>
    <xf numFmtId="0" fontId="74" fillId="0" borderId="0"/>
    <xf numFmtId="0" fontId="74" fillId="0" borderId="0"/>
    <xf numFmtId="0" fontId="74" fillId="0" borderId="0"/>
    <xf numFmtId="0" fontId="74" fillId="0" borderId="0"/>
    <xf numFmtId="0" fontId="39" fillId="0" borderId="0"/>
    <xf numFmtId="0" fontId="39" fillId="0" borderId="0"/>
    <xf numFmtId="0" fontId="39" fillId="0" borderId="0"/>
    <xf numFmtId="0" fontId="24" fillId="0" borderId="0"/>
    <xf numFmtId="0" fontId="43" fillId="0" borderId="0"/>
    <xf numFmtId="0" fontId="20" fillId="0" borderId="0"/>
    <xf numFmtId="0" fontId="20" fillId="0" borderId="0"/>
    <xf numFmtId="0" fontId="20" fillId="0" borderId="0"/>
    <xf numFmtId="0" fontId="20" fillId="0" borderId="0"/>
    <xf numFmtId="0" fontId="20" fillId="0" borderId="0"/>
    <xf numFmtId="0" fontId="24" fillId="0" borderId="0"/>
    <xf numFmtId="0" fontId="26" fillId="0" borderId="0"/>
    <xf numFmtId="0" fontId="24" fillId="0" borderId="0"/>
    <xf numFmtId="0" fontId="26"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0" fillId="0" borderId="0"/>
    <xf numFmtId="0" fontId="43" fillId="0" borderId="0"/>
    <xf numFmtId="0" fontId="27" fillId="0" borderId="0"/>
    <xf numFmtId="0" fontId="20" fillId="0" borderId="0"/>
    <xf numFmtId="0" fontId="24" fillId="0" borderId="0"/>
    <xf numFmtId="0" fontId="26" fillId="0" borderId="0"/>
    <xf numFmtId="0" fontId="24" fillId="0" borderId="0"/>
    <xf numFmtId="0" fontId="26" fillId="0" borderId="0"/>
    <xf numFmtId="0" fontId="64" fillId="0" borderId="0"/>
    <xf numFmtId="0" fontId="20" fillId="0" borderId="0"/>
    <xf numFmtId="0" fontId="20" fillId="0" borderId="0"/>
    <xf numFmtId="0" fontId="20" fillId="0" borderId="0"/>
    <xf numFmtId="0" fontId="20"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44" fillId="0" borderId="0"/>
    <xf numFmtId="0" fontId="44" fillId="0" borderId="0"/>
    <xf numFmtId="0" fontId="26" fillId="0" borderId="0"/>
    <xf numFmtId="0" fontId="45" fillId="0" borderId="0"/>
    <xf numFmtId="0" fontId="24" fillId="0" borderId="0"/>
    <xf numFmtId="0" fontId="20" fillId="0" borderId="0"/>
    <xf numFmtId="0" fontId="20" fillId="0" borderId="0"/>
    <xf numFmtId="0" fontId="20" fillId="0" borderId="0"/>
    <xf numFmtId="0" fontId="20" fillId="0" borderId="0"/>
    <xf numFmtId="0" fontId="24" fillId="0" borderId="0"/>
    <xf numFmtId="0" fontId="20" fillId="0" borderId="0"/>
    <xf numFmtId="0" fontId="20" fillId="0" borderId="0"/>
    <xf numFmtId="0" fontId="45" fillId="0" borderId="0"/>
    <xf numFmtId="0" fontId="20" fillId="0" borderId="0"/>
    <xf numFmtId="0" fontId="27" fillId="0" borderId="0"/>
    <xf numFmtId="0" fontId="45" fillId="0" borderId="0"/>
    <xf numFmtId="0" fontId="74" fillId="0" borderId="0"/>
    <xf numFmtId="0" fontId="45" fillId="0" borderId="0"/>
    <xf numFmtId="0" fontId="43" fillId="0" borderId="0"/>
    <xf numFmtId="0" fontId="26" fillId="0" borderId="0"/>
    <xf numFmtId="0" fontId="26" fillId="0" borderId="0"/>
    <xf numFmtId="0" fontId="26" fillId="0" borderId="0"/>
    <xf numFmtId="0" fontId="45" fillId="0" borderId="0"/>
    <xf numFmtId="0" fontId="64" fillId="0" borderId="0"/>
    <xf numFmtId="0" fontId="75" fillId="9" borderId="0" applyNumberFormat="0" applyBorder="0" applyAlignment="0" applyProtection="0"/>
    <xf numFmtId="0" fontId="76" fillId="0" borderId="0" applyNumberFormat="0" applyFill="0" applyBorder="0" applyAlignment="0" applyProtection="0"/>
    <xf numFmtId="0" fontId="44" fillId="6" borderId="17" applyNumberFormat="0" applyFont="0" applyAlignment="0" applyProtection="0"/>
    <xf numFmtId="9" fontId="26" fillId="0" borderId="0" applyFont="0" applyFill="0" applyBorder="0" applyAlignment="0" applyProtection="0"/>
    <xf numFmtId="9" fontId="44" fillId="0" borderId="0" applyFont="0" applyFill="0" applyBorder="0" applyAlignment="0" applyProtection="0"/>
    <xf numFmtId="9" fontId="64" fillId="0" borderId="0" applyFill="0" applyBorder="0" applyAlignment="0" applyProtection="0"/>
    <xf numFmtId="9" fontId="27" fillId="0" borderId="0" applyFont="0" applyFill="0" applyBorder="0" applyAlignment="0" applyProtection="0"/>
    <xf numFmtId="9" fontId="44" fillId="0" borderId="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171" fontId="24"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7" fontId="44"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67" fontId="24" fillId="0" borderId="0" applyFont="0" applyFill="0" applyBorder="0" applyAlignment="0" applyProtection="0"/>
    <xf numFmtId="167" fontId="45" fillId="0" borderId="0" applyFont="0" applyFill="0" applyBorder="0" applyAlignment="0" applyProtection="0"/>
    <xf numFmtId="0" fontId="79" fillId="10" borderId="0" applyNumberFormat="0" applyBorder="0" applyAlignment="0" applyProtection="0"/>
    <xf numFmtId="0" fontId="45" fillId="0" borderId="0"/>
    <xf numFmtId="0" fontId="49" fillId="4" borderId="11" applyNumberFormat="0" applyAlignment="0" applyProtection="0"/>
    <xf numFmtId="0" fontId="56" fillId="5" borderId="11" applyNumberFormat="0" applyAlignment="0" applyProtection="0"/>
    <xf numFmtId="0" fontId="27" fillId="6" borderId="17" applyNumberFormat="0" applyFont="0" applyAlignment="0" applyProtection="0"/>
    <xf numFmtId="0" fontId="59" fillId="4" borderId="18" applyNumberFormat="0" applyAlignment="0" applyProtection="0"/>
    <xf numFmtId="0" fontId="61" fillId="0" borderId="19" applyNumberFormat="0" applyFill="0" applyAlignment="0" applyProtection="0"/>
    <xf numFmtId="0" fontId="20" fillId="0" borderId="0"/>
    <xf numFmtId="0" fontId="20" fillId="0" borderId="0"/>
    <xf numFmtId="0" fontId="43" fillId="0" borderId="0"/>
    <xf numFmtId="0" fontId="20" fillId="0" borderId="0"/>
    <xf numFmtId="0" fontId="43" fillId="0" borderId="0"/>
    <xf numFmtId="0" fontId="91" fillId="0" borderId="0"/>
    <xf numFmtId="0" fontId="64" fillId="0" borderId="0"/>
    <xf numFmtId="0" fontId="24" fillId="0" borderId="0"/>
    <xf numFmtId="0" fontId="63" fillId="5" borderId="74" applyNumberFormat="0" applyAlignment="0" applyProtection="0"/>
    <xf numFmtId="0" fontId="65" fillId="12" borderId="75" applyNumberFormat="0" applyAlignment="0" applyProtection="0"/>
    <xf numFmtId="0" fontId="66" fillId="12" borderId="74" applyNumberFormat="0" applyAlignment="0" applyProtection="0"/>
    <xf numFmtId="0" fontId="70" fillId="0" borderId="76" applyNumberFormat="0" applyFill="0" applyAlignment="0" applyProtection="0"/>
    <xf numFmtId="0" fontId="24" fillId="0" borderId="0"/>
    <xf numFmtId="0" fontId="44" fillId="0" borderId="0"/>
    <xf numFmtId="0" fontId="44" fillId="0" borderId="0"/>
    <xf numFmtId="0" fontId="24" fillId="6" borderId="17" applyNumberFormat="0" applyFont="0" applyAlignment="0" applyProtection="0"/>
    <xf numFmtId="9" fontId="91" fillId="0" borderId="0"/>
    <xf numFmtId="0" fontId="43" fillId="0" borderId="0"/>
    <xf numFmtId="0" fontId="95" fillId="0" borderId="0"/>
    <xf numFmtId="0" fontId="96" fillId="0" borderId="0" applyNumberFormat="0" applyFill="0" applyBorder="0" applyAlignment="0" applyProtection="0"/>
    <xf numFmtId="0" fontId="17" fillId="0" borderId="0"/>
    <xf numFmtId="0" fontId="16" fillId="0" borderId="0"/>
    <xf numFmtId="0" fontId="44" fillId="36" borderId="0" applyNumberFormat="0" applyBorder="0" applyAlignment="0" applyProtection="0"/>
    <xf numFmtId="0" fontId="44" fillId="8" borderId="0" applyNumberFormat="0" applyBorder="0" applyAlignment="0" applyProtection="0"/>
    <xf numFmtId="0" fontId="44" fillId="15" borderId="0" applyNumberFormat="0" applyBorder="0" applyAlignment="0" applyProtection="0"/>
    <xf numFmtId="0" fontId="44" fillId="37" borderId="0" applyNumberFormat="0" applyBorder="0" applyAlignment="0" applyProtection="0"/>
    <xf numFmtId="0" fontId="44" fillId="9" borderId="0" applyNumberFormat="0" applyBorder="0" applyAlignment="0" applyProtection="0"/>
    <xf numFmtId="0" fontId="44" fillId="13" borderId="0" applyNumberFormat="0" applyBorder="0" applyAlignment="0" applyProtection="0"/>
    <xf numFmtId="0" fontId="44" fillId="38" borderId="0" applyNumberFormat="0" applyBorder="0" applyAlignment="0" applyProtection="0"/>
    <xf numFmtId="0" fontId="44" fillId="10" borderId="0" applyNumberFormat="0" applyBorder="0" applyAlignment="0" applyProtection="0"/>
    <xf numFmtId="0" fontId="44" fillId="6" borderId="0" applyNumberFormat="0" applyBorder="0" applyAlignment="0" applyProtection="0"/>
    <xf numFmtId="0" fontId="44" fillId="39" borderId="0" applyNumberFormat="0" applyBorder="0" applyAlignment="0" applyProtection="0"/>
    <xf numFmtId="0" fontId="44" fillId="11" borderId="0" applyNumberFormat="0" applyBorder="0" applyAlignment="0" applyProtection="0"/>
    <xf numFmtId="0" fontId="44" fillId="5" borderId="0" applyNumberFormat="0" applyBorder="0" applyAlignment="0" applyProtection="0"/>
    <xf numFmtId="0" fontId="44" fillId="40"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41"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15" borderId="0" applyNumberFormat="0" applyBorder="0" applyAlignment="0" applyProtection="0"/>
    <xf numFmtId="0" fontId="44" fillId="7" borderId="0" applyNumberFormat="0" applyBorder="0" applyAlignment="0" applyProtection="0"/>
    <xf numFmtId="0" fontId="44" fillId="4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44" borderId="0" applyNumberFormat="0" applyBorder="0" applyAlignment="0" applyProtection="0"/>
    <xf numFmtId="0" fontId="44" fillId="16" borderId="0" applyNumberFormat="0" applyBorder="0" applyAlignment="0" applyProtection="0"/>
    <xf numFmtId="0" fontId="44" fillId="14" borderId="0" applyNumberFormat="0" applyBorder="0" applyAlignment="0" applyProtection="0"/>
    <xf numFmtId="0" fontId="44" fillId="39"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42" borderId="0" applyNumberFormat="0" applyBorder="0" applyAlignment="0" applyProtection="0"/>
    <xf numFmtId="0" fontId="44" fillId="15" borderId="0" applyNumberFormat="0" applyBorder="0" applyAlignment="0" applyProtection="0"/>
    <xf numFmtId="0" fontId="44" fillId="7" borderId="0" applyNumberFormat="0" applyBorder="0" applyAlignment="0" applyProtection="0"/>
    <xf numFmtId="0" fontId="44" fillId="4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39" borderId="0" applyNumberFormat="0" applyBorder="0" applyAlignment="0" applyProtection="0"/>
    <xf numFmtId="0" fontId="44" fillId="42" borderId="0" applyNumberFormat="0" applyBorder="0" applyAlignment="0" applyProtection="0"/>
    <xf numFmtId="0" fontId="44" fillId="45" borderId="0" applyNumberFormat="0" applyBorder="0" applyAlignment="0" applyProtection="0"/>
    <xf numFmtId="0" fontId="47" fillId="46" borderId="0" applyNumberFormat="0" applyBorder="0" applyAlignment="0" applyProtection="0"/>
    <xf numFmtId="0" fontId="47" fillId="19" borderId="0" applyNumberFormat="0" applyBorder="0" applyAlignment="0" applyProtection="0"/>
    <xf numFmtId="0" fontId="47" fillId="7" borderId="0" applyNumberFormat="0" applyBorder="0" applyAlignment="0" applyProtection="0"/>
    <xf numFmtId="0" fontId="47" fillId="43" borderId="0" applyNumberFormat="0" applyBorder="0" applyAlignment="0" applyProtection="0"/>
    <xf numFmtId="0" fontId="47" fillId="13"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47" borderId="0" applyNumberFormat="0" applyBorder="0" applyAlignment="0" applyProtection="0"/>
    <xf numFmtId="0" fontId="47" fillId="20" borderId="0" applyNumberFormat="0" applyBorder="0" applyAlignment="0" applyProtection="0"/>
    <xf numFmtId="0" fontId="47" fillId="9" borderId="0" applyNumberFormat="0" applyBorder="0" applyAlignment="0" applyProtection="0"/>
    <xf numFmtId="0" fontId="47" fillId="48" borderId="0" applyNumberFormat="0" applyBorder="0" applyAlignment="0" applyProtection="0"/>
    <xf numFmtId="0" fontId="47" fillId="18" borderId="0" applyNumberFormat="0" applyBorder="0" applyAlignment="0" applyProtection="0"/>
    <xf numFmtId="0" fontId="47" fillId="7" borderId="0" applyNumberFormat="0" applyBorder="0" applyAlignment="0" applyProtection="0"/>
    <xf numFmtId="0" fontId="47" fillId="49" borderId="0" applyNumberFormat="0" applyBorder="0" applyAlignment="0" applyProtection="0"/>
    <xf numFmtId="0" fontId="47" fillId="21" borderId="0" applyNumberFormat="0" applyBorder="0" applyAlignment="0" applyProtection="0"/>
    <xf numFmtId="0" fontId="47" fillId="13" borderId="0" applyNumberFormat="0" applyBorder="0" applyAlignment="0" applyProtection="0"/>
    <xf numFmtId="0" fontId="47" fillId="46"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0" fontId="26" fillId="0" borderId="81"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xf>
    <xf numFmtId="0" fontId="26" fillId="0" borderId="83" applyNumberFormat="0" applyFill="0" applyProtection="0">
      <alignment vertical="top" wrapText="1"/>
    </xf>
    <xf numFmtId="0" fontId="26" fillId="0" borderId="82" applyNumberFormat="0" applyFill="0" applyProtection="0">
      <alignment vertical="top"/>
    </xf>
    <xf numFmtId="0" fontId="26" fillId="0" borderId="83"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0" fontId="26" fillId="0" borderId="82" applyNumberFormat="0" applyFill="0" applyProtection="0">
      <alignment vertical="top" wrapText="1"/>
    </xf>
    <xf numFmtId="180" fontId="26" fillId="0" borderId="82" applyFill="0" applyProtection="0">
      <alignment vertical="top" wrapText="1"/>
    </xf>
    <xf numFmtId="0" fontId="108" fillId="0" borderId="0" applyNumberFormat="0" applyFill="0" applyBorder="0" applyProtection="0">
      <alignment horizontal="center" vertical="top"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0" fontId="109" fillId="0" borderId="77" applyNumberFormat="0" applyFill="0" applyProtection="0">
      <alignment wrapText="1"/>
    </xf>
    <xf numFmtId="180" fontId="109" fillId="0" borderId="77" applyFill="0" applyProtection="0">
      <alignment wrapText="1"/>
    </xf>
    <xf numFmtId="0" fontId="106" fillId="0" borderId="1" applyNumberFormat="0" applyFill="0" applyProtection="0">
      <alignment horizontal="center" vertical="top" wrapText="1"/>
    </xf>
    <xf numFmtId="0" fontId="44" fillId="0" borderId="0"/>
    <xf numFmtId="0" fontId="44" fillId="0" borderId="0"/>
    <xf numFmtId="0" fontId="44" fillId="0" borderId="0"/>
    <xf numFmtId="0" fontId="44" fillId="0" borderId="0"/>
    <xf numFmtId="0" fontId="26" fillId="0" borderId="0"/>
    <xf numFmtId="0" fontId="24" fillId="0" borderId="0"/>
    <xf numFmtId="0" fontId="110" fillId="4" borderId="0">
      <alignment horizontal="center" vertical="center"/>
    </xf>
    <xf numFmtId="0" fontId="111" fillId="4" borderId="0">
      <alignment horizontal="left" vertical="center"/>
    </xf>
    <xf numFmtId="0" fontId="47" fillId="50" borderId="0" applyNumberFormat="0" applyBorder="0" applyAlignment="0" applyProtection="0"/>
    <xf numFmtId="0" fontId="47" fillId="26"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27" borderId="0" applyNumberFormat="0" applyBorder="0" applyAlignment="0" applyProtection="0"/>
    <xf numFmtId="0" fontId="47" fillId="24" borderId="0" applyNumberFormat="0" applyBorder="0" applyAlignment="0" applyProtection="0"/>
    <xf numFmtId="0" fontId="47" fillId="53" borderId="0" applyNumberFormat="0" applyBorder="0" applyAlignment="0" applyProtection="0"/>
    <xf numFmtId="0" fontId="47" fillId="28" borderId="0" applyNumberFormat="0" applyBorder="0" applyAlignment="0" applyProtection="0"/>
    <xf numFmtId="0" fontId="47" fillId="17" borderId="0" applyNumberFormat="0" applyBorder="0" applyAlignment="0" applyProtection="0"/>
    <xf numFmtId="0" fontId="47" fillId="47"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4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54" borderId="0" applyNumberFormat="0" applyBorder="0" applyAlignment="0" applyProtection="0"/>
    <xf numFmtId="0" fontId="47" fillId="24"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4" borderId="0" applyNumberFormat="0" applyBorder="0" applyAlignment="0" applyProtection="0"/>
    <xf numFmtId="0" fontId="63" fillId="41" borderId="74" applyNumberFormat="0" applyAlignment="0" applyProtection="0"/>
    <xf numFmtId="0" fontId="63" fillId="5" borderId="74" applyNumberFormat="0" applyAlignment="0" applyProtection="0"/>
    <xf numFmtId="0" fontId="63" fillId="14" borderId="74" applyNumberFormat="0" applyAlignment="0" applyProtection="0"/>
    <xf numFmtId="0" fontId="65" fillId="12" borderId="75" applyNumberFormat="0" applyAlignment="0" applyProtection="0"/>
    <xf numFmtId="0" fontId="65" fillId="4" borderId="75" applyNumberFormat="0" applyAlignment="0" applyProtection="0"/>
    <xf numFmtId="0" fontId="66" fillId="12" borderId="74" applyNumberFormat="0" applyAlignment="0" applyProtection="0"/>
    <xf numFmtId="0" fontId="112" fillId="4" borderId="74" applyNumberFormat="0" applyAlignment="0" applyProtection="0"/>
    <xf numFmtId="168" fontId="26" fillId="0" borderId="0" applyFont="0" applyFill="0" applyBorder="0" applyAlignment="0" applyProtection="0"/>
    <xf numFmtId="166" fontId="24" fillId="0" borderId="0" applyFont="0" applyFill="0" applyBorder="0" applyAlignment="0" applyProtection="0"/>
    <xf numFmtId="0" fontId="79" fillId="38" borderId="0" applyNumberFormat="0" applyBorder="0" applyAlignment="0" applyProtection="0"/>
    <xf numFmtId="0" fontId="77" fillId="0" borderId="16" applyNumberFormat="0" applyFill="0" applyAlignment="0" applyProtection="0"/>
    <xf numFmtId="0" fontId="70" fillId="0" borderId="84" applyNumberFormat="0" applyFill="0" applyAlignment="0" applyProtection="0"/>
    <xf numFmtId="0" fontId="71" fillId="55" borderId="12" applyNumberFormat="0" applyAlignment="0" applyProtection="0"/>
    <xf numFmtId="0" fontId="71" fillId="55" borderId="12" applyNumberFormat="0" applyAlignment="0" applyProtection="0"/>
    <xf numFmtId="0" fontId="71" fillId="25" borderId="12" applyNumberFormat="0" applyAlignment="0" applyProtection="0"/>
    <xf numFmtId="0" fontId="71" fillId="25" borderId="12" applyNumberFormat="0" applyAlignment="0" applyProtection="0"/>
    <xf numFmtId="0" fontId="72" fillId="0" borderId="0" applyNumberFormat="0" applyFill="0" applyBorder="0" applyAlignment="0" applyProtection="0"/>
    <xf numFmtId="0" fontId="113" fillId="0" borderId="0" applyNumberFormat="0" applyFill="0" applyBorder="0" applyAlignment="0" applyProtection="0"/>
    <xf numFmtId="0" fontId="73" fillId="56" borderId="0" applyNumberFormat="0" applyBorder="0" applyAlignment="0" applyProtection="0"/>
    <xf numFmtId="0" fontId="73" fillId="14" borderId="0" applyNumberFormat="0" applyBorder="0" applyAlignment="0" applyProtection="0"/>
    <xf numFmtId="0" fontId="114" fillId="14" borderId="0" applyNumberFormat="0" applyBorder="0" applyAlignment="0" applyProtection="0"/>
    <xf numFmtId="0" fontId="66" fillId="57" borderId="74" applyNumberFormat="0" applyAlignment="0" applyProtection="0"/>
    <xf numFmtId="0" fontId="44" fillId="0" borderId="0"/>
    <xf numFmtId="0" fontId="44" fillId="0" borderId="0"/>
    <xf numFmtId="0" fontId="44" fillId="0" borderId="0"/>
    <xf numFmtId="0" fontId="45" fillId="0" borderId="0"/>
    <xf numFmtId="0" fontId="45" fillId="0" borderId="0"/>
    <xf numFmtId="0" fontId="43" fillId="0" borderId="0"/>
    <xf numFmtId="0" fontId="44" fillId="0" borderId="0"/>
    <xf numFmtId="0" fontId="70" fillId="0" borderId="76" applyNumberFormat="0" applyFill="0" applyAlignment="0" applyProtection="0"/>
    <xf numFmtId="0" fontId="75" fillId="37"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37" borderId="0" applyNumberFormat="0" applyBorder="0" applyAlignment="0" applyProtection="0"/>
    <xf numFmtId="0" fontId="44" fillId="6" borderId="17" applyNumberFormat="0" applyFont="0" applyAlignment="0" applyProtection="0"/>
    <xf numFmtId="0" fontId="24" fillId="6" borderId="17" applyNumberFormat="0" applyFont="0" applyAlignment="0" applyProtection="0"/>
    <xf numFmtId="0" fontId="45" fillId="58" borderId="17" applyNumberFormat="0" applyAlignment="0" applyProtection="0"/>
    <xf numFmtId="9" fontId="44" fillId="0" borderId="0" applyFont="0" applyFill="0" applyBorder="0" applyAlignment="0" applyProtection="0"/>
    <xf numFmtId="0" fontId="65" fillId="57" borderId="75" applyNumberFormat="0" applyAlignment="0" applyProtection="0"/>
    <xf numFmtId="0" fontId="78" fillId="0" borderId="85" applyNumberFormat="0" applyFill="0" applyAlignment="0" applyProtection="0"/>
    <xf numFmtId="0" fontId="73" fillId="56" borderId="0" applyNumberFormat="0" applyBorder="0" applyAlignment="0" applyProtection="0"/>
    <xf numFmtId="0" fontId="115" fillId="0" borderId="1"/>
    <xf numFmtId="0" fontId="78" fillId="0" borderId="0" applyNumberFormat="0" applyFill="0" applyBorder="0" applyAlignment="0" applyProtection="0"/>
    <xf numFmtId="0" fontId="76" fillId="0" borderId="0" applyNumberForma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167" fontId="44" fillId="0" borderId="0" applyFont="0" applyFill="0" applyBorder="0" applyAlignment="0" applyProtection="0"/>
    <xf numFmtId="0" fontId="79" fillId="38" borderId="0" applyNumberFormat="0" applyBorder="0" applyAlignment="0" applyProtection="0"/>
    <xf numFmtId="0" fontId="79" fillId="10" borderId="0" applyNumberFormat="0" applyBorder="0" applyAlignment="0" applyProtection="0"/>
    <xf numFmtId="0" fontId="79" fillId="7" borderId="0" applyNumberFormat="0" applyBorder="0" applyAlignment="0" applyProtection="0"/>
    <xf numFmtId="0" fontId="15" fillId="0" borderId="0"/>
    <xf numFmtId="0" fontId="24" fillId="0" borderId="0"/>
    <xf numFmtId="0" fontId="44" fillId="8"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91" fillId="0" borderId="0"/>
    <xf numFmtId="0" fontId="125" fillId="0" borderId="0">
      <alignment horizontal="center"/>
    </xf>
    <xf numFmtId="0" fontId="125" fillId="0" borderId="0">
      <alignment horizontal="center" textRotation="90"/>
    </xf>
    <xf numFmtId="184" fontId="126" fillId="0" borderId="0">
      <alignment horizontal="center" textRotation="90"/>
    </xf>
    <xf numFmtId="0" fontId="127" fillId="0" borderId="0"/>
    <xf numFmtId="184" fontId="128" fillId="0" borderId="0"/>
    <xf numFmtId="185" fontId="127" fillId="0" borderId="0"/>
    <xf numFmtId="185" fontId="128" fillId="0" borderId="0"/>
    <xf numFmtId="0" fontId="129" fillId="0" borderId="0">
      <alignment horizontal="centerContinuous"/>
    </xf>
    <xf numFmtId="0" fontId="63" fillId="5" borderId="74"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5" fillId="12" borderId="75" applyNumberFormat="0" applyAlignment="0" applyProtection="0"/>
    <xf numFmtId="0" fontId="66" fillId="12" borderId="74" applyNumberFormat="0" applyAlignment="0" applyProtection="0"/>
    <xf numFmtId="0" fontId="96" fillId="0" borderId="0" applyNumberFormat="0" applyFill="0" applyBorder="0" applyAlignment="0" applyProtection="0"/>
    <xf numFmtId="0" fontId="69" fillId="0" borderId="21" applyNumberFormat="0" applyFill="0" applyAlignment="0" applyProtection="0"/>
    <xf numFmtId="184" fontId="130" fillId="0" borderId="0" applyFont="0" applyBorder="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0" fillId="0" borderId="76"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0" borderId="0"/>
    <xf numFmtId="0" fontId="15" fillId="0" borderId="0"/>
    <xf numFmtId="0" fontId="15"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15" fillId="0" borderId="0"/>
    <xf numFmtId="0" fontId="15" fillId="0" borderId="0"/>
    <xf numFmtId="0" fontId="15" fillId="0" borderId="0"/>
    <xf numFmtId="0" fontId="44" fillId="0" borderId="0"/>
    <xf numFmtId="0" fontId="15" fillId="0" borderId="0"/>
    <xf numFmtId="0" fontId="44" fillId="0" borderId="0"/>
    <xf numFmtId="0" fontId="24" fillId="6" borderId="17"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xf numFmtId="0" fontId="13" fillId="0" borderId="0"/>
    <xf numFmtId="0" fontId="12" fillId="0" borderId="0"/>
    <xf numFmtId="9" fontId="154" fillId="0" borderId="0" applyFont="0" applyFill="0" applyBorder="0" applyAlignment="0" applyProtection="0"/>
    <xf numFmtId="0" fontId="156" fillId="0" borderId="0"/>
    <xf numFmtId="0" fontId="159" fillId="0" borderId="0"/>
    <xf numFmtId="0" fontId="11" fillId="0" borderId="0"/>
    <xf numFmtId="0" fontId="10" fillId="0" borderId="0"/>
    <xf numFmtId="0" fontId="9" fillId="0" borderId="0"/>
    <xf numFmtId="0" fontId="8" fillId="0" borderId="0"/>
    <xf numFmtId="0" fontId="7" fillId="0" borderId="0"/>
    <xf numFmtId="0" fontId="4" fillId="0" borderId="0"/>
    <xf numFmtId="0" fontId="4" fillId="0" borderId="0"/>
    <xf numFmtId="9" fontId="43" fillId="0" borderId="0" applyFont="0" applyFill="0" applyBorder="0" applyAlignment="0" applyProtection="0"/>
    <xf numFmtId="164" fontId="43" fillId="0" borderId="0" applyFont="0" applyFill="0" applyBorder="0" applyAlignment="0" applyProtection="0"/>
  </cellStyleXfs>
  <cellXfs count="3245">
    <xf numFmtId="0" fontId="0" fillId="0" borderId="0" xfId="0"/>
    <xf numFmtId="0" fontId="30" fillId="0" borderId="1" xfId="6" applyFont="1" applyBorder="1" applyAlignment="1">
      <alignment vertical="center" wrapText="1"/>
    </xf>
    <xf numFmtId="0" fontId="30" fillId="0" borderId="0" xfId="5" applyFont="1" applyAlignment="1">
      <alignment horizontal="center" vertical="top" wrapText="1"/>
    </xf>
    <xf numFmtId="0" fontId="31" fillId="0" borderId="1" xfId="5" applyFont="1" applyBorder="1" applyAlignment="1">
      <alignment horizontal="center" vertical="center" wrapText="1"/>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0" xfId="0" applyFont="1"/>
    <xf numFmtId="0" fontId="31" fillId="0" borderId="1" xfId="0" applyFont="1" applyBorder="1" applyAlignment="1">
      <alignment vertical="center" wrapText="1"/>
    </xf>
    <xf numFmtId="0" fontId="31" fillId="0" borderId="1" xfId="0" applyFont="1" applyBorder="1"/>
    <xf numFmtId="0" fontId="81" fillId="0" borderId="0" xfId="0" applyFont="1" applyAlignment="1">
      <alignment horizontal="left" vertical="center"/>
    </xf>
    <xf numFmtId="0" fontId="81" fillId="0" borderId="0" xfId="0" applyFont="1" applyAlignment="1">
      <alignment vertical="center"/>
    </xf>
    <xf numFmtId="0" fontId="40" fillId="0" borderId="0" xfId="0" applyFont="1"/>
    <xf numFmtId="0" fontId="31" fillId="0" borderId="5" xfId="0" applyFont="1" applyBorder="1"/>
    <xf numFmtId="49" fontId="0" fillId="0" borderId="0" xfId="0" applyNumberFormat="1"/>
    <xf numFmtId="49" fontId="31" fillId="0" borderId="0" xfId="0" applyNumberFormat="1" applyFont="1"/>
    <xf numFmtId="0" fontId="31" fillId="0" borderId="0" xfId="0" applyFont="1" applyAlignment="1">
      <alignment vertical="center" wrapText="1"/>
    </xf>
    <xf numFmtId="0" fontId="31" fillId="0" borderId="0" xfId="0" applyFont="1" applyAlignment="1">
      <alignment horizontal="center" vertical="center" wrapText="1"/>
    </xf>
    <xf numFmtId="49" fontId="32" fillId="0" borderId="1" xfId="0" applyNumberFormat="1" applyFont="1" applyBorder="1" applyAlignment="1">
      <alignment horizontal="center" vertical="center" wrapText="1"/>
    </xf>
    <xf numFmtId="49" fontId="0" fillId="0" borderId="1" xfId="0" applyNumberFormat="1" applyBorder="1"/>
    <xf numFmtId="0" fontId="31" fillId="0" borderId="1" xfId="0" applyFont="1" applyBorder="1" applyAlignment="1">
      <alignment wrapText="1"/>
    </xf>
    <xf numFmtId="0" fontId="0" fillId="0" borderId="1" xfId="0" applyBorder="1"/>
    <xf numFmtId="0" fontId="19" fillId="0" borderId="1" xfId="0" applyFont="1" applyBorder="1" applyAlignment="1">
      <alignment vertical="top"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88" fillId="0" borderId="0" xfId="0" applyFont="1" applyAlignment="1">
      <alignment vertical="center" wrapText="1"/>
    </xf>
    <xf numFmtId="0" fontId="88" fillId="0" borderId="0" xfId="0" applyFont="1" applyAlignment="1">
      <alignment vertical="top" wrapText="1"/>
    </xf>
    <xf numFmtId="0" fontId="40" fillId="0" borderId="0" xfId="0" applyFont="1" applyAlignment="1">
      <alignment horizontal="center"/>
    </xf>
    <xf numFmtId="0" fontId="32" fillId="29" borderId="1" xfId="0" applyFont="1" applyFill="1" applyBorder="1" applyAlignment="1">
      <alignment horizontal="center" vertical="center" wrapText="1"/>
    </xf>
    <xf numFmtId="0" fontId="32" fillId="29" borderId="1" xfId="0" applyFont="1" applyFill="1" applyBorder="1" applyAlignment="1">
      <alignment vertical="center" wrapText="1"/>
    </xf>
    <xf numFmtId="0" fontId="32" fillId="29" borderId="1" xfId="0" applyFont="1" applyFill="1" applyBorder="1" applyAlignment="1">
      <alignment horizontal="justify" vertical="center" wrapText="1"/>
    </xf>
    <xf numFmtId="0" fontId="0" fillId="0" borderId="0" xfId="0" applyAlignment="1">
      <alignment vertical="top"/>
    </xf>
    <xf numFmtId="0" fontId="32" fillId="29" borderId="1" xfId="0" applyFont="1" applyFill="1" applyBorder="1" applyAlignment="1">
      <alignment horizontal="center" vertical="top" wrapText="1"/>
    </xf>
    <xf numFmtId="49" fontId="88" fillId="0" borderId="1" xfId="0" applyNumberFormat="1" applyFont="1" applyBorder="1" applyAlignment="1">
      <alignment horizontal="center" vertical="top" wrapText="1"/>
    </xf>
    <xf numFmtId="49" fontId="31" fillId="0" borderId="1" xfId="0" applyNumberFormat="1" applyFont="1" applyBorder="1" applyAlignment="1">
      <alignment horizontal="center" vertical="top" wrapText="1"/>
    </xf>
    <xf numFmtId="0" fontId="31" fillId="0" borderId="0" xfId="0" applyFont="1" applyAlignment="1">
      <alignment vertical="top"/>
    </xf>
    <xf numFmtId="0" fontId="30" fillId="0" borderId="0" xfId="0" applyFont="1" applyAlignment="1">
      <alignment vertical="center"/>
    </xf>
    <xf numFmtId="0" fontId="32" fillId="0" borderId="0" xfId="0" applyFont="1" applyAlignment="1">
      <alignment horizontal="center" vertical="center"/>
    </xf>
    <xf numFmtId="0" fontId="83" fillId="0" borderId="0" xfId="0" applyFont="1" applyAlignment="1">
      <alignment vertical="center"/>
    </xf>
    <xf numFmtId="0" fontId="30" fillId="0" borderId="0" xfId="0" applyFont="1" applyAlignment="1">
      <alignment horizontal="center" vertical="center"/>
    </xf>
    <xf numFmtId="0" fontId="84" fillId="0" borderId="0" xfId="0" applyFont="1" applyAlignment="1">
      <alignment horizontal="justify" vertical="center"/>
    </xf>
    <xf numFmtId="0" fontId="81" fillId="0" borderId="0" xfId="0" applyFont="1"/>
    <xf numFmtId="0" fontId="32" fillId="0" borderId="0" xfId="0" applyFont="1"/>
    <xf numFmtId="0" fontId="32" fillId="0" borderId="32" xfId="0" applyFont="1" applyBorder="1" applyAlignment="1">
      <alignment horizontal="center"/>
    </xf>
    <xf numFmtId="0" fontId="32" fillId="0" borderId="32" xfId="0" applyFont="1" applyBorder="1"/>
    <xf numFmtId="0" fontId="32" fillId="0" borderId="0" xfId="0" applyFont="1" applyAlignment="1">
      <alignment horizontal="center" vertical="center" wrapText="1"/>
    </xf>
    <xf numFmtId="0" fontId="32" fillId="0" borderId="0" xfId="0" applyFont="1" applyAlignment="1">
      <alignment vertical="center" wrapText="1"/>
    </xf>
    <xf numFmtId="0" fontId="32" fillId="0" borderId="28" xfId="0" applyFont="1" applyBorder="1"/>
    <xf numFmtId="0" fontId="29" fillId="0" borderId="39" xfId="0" applyFont="1" applyBorder="1" applyAlignment="1">
      <alignment horizontal="center" vertical="center" wrapText="1"/>
    </xf>
    <xf numFmtId="0" fontId="33" fillId="0" borderId="5" xfId="0" applyFont="1" applyBorder="1" applyAlignment="1">
      <alignment vertical="center" wrapText="1"/>
    </xf>
    <xf numFmtId="0" fontId="33" fillId="0" borderId="45" xfId="0" applyFont="1" applyBorder="1" applyAlignment="1">
      <alignment vertical="center" wrapText="1"/>
    </xf>
    <xf numFmtId="0" fontId="31" fillId="32" borderId="0" xfId="0" applyFont="1" applyFill="1" applyAlignment="1">
      <alignment horizontal="left" vertical="top" wrapText="1"/>
    </xf>
    <xf numFmtId="0" fontId="40" fillId="0" borderId="0" xfId="0" applyFont="1" applyAlignment="1">
      <alignment horizontal="right" vertical="top"/>
    </xf>
    <xf numFmtId="0" fontId="31" fillId="30" borderId="0" xfId="0" applyFont="1" applyFill="1"/>
    <xf numFmtId="0" fontId="32" fillId="0" borderId="28" xfId="0" applyFont="1" applyBorder="1" applyAlignment="1">
      <alignment horizontal="left" indent="1"/>
    </xf>
    <xf numFmtId="0" fontId="32" fillId="0" borderId="24" xfId="0" applyFont="1" applyBorder="1" applyAlignment="1">
      <alignment horizontal="center"/>
    </xf>
    <xf numFmtId="0" fontId="32" fillId="0" borderId="24" xfId="0" applyFont="1" applyBorder="1"/>
    <xf numFmtId="0" fontId="90" fillId="0" borderId="31" xfId="0" applyFont="1" applyBorder="1" applyAlignment="1">
      <alignment horizontal="center" wrapText="1"/>
    </xf>
    <xf numFmtId="0" fontId="32" fillId="0" borderId="27" xfId="0" applyFont="1" applyBorder="1" applyAlignment="1">
      <alignment horizontal="center"/>
    </xf>
    <xf numFmtId="0" fontId="31" fillId="31" borderId="0" xfId="0" applyFont="1" applyFill="1"/>
    <xf numFmtId="0" fontId="28" fillId="31" borderId="1" xfId="0" applyFont="1" applyFill="1" applyBorder="1" applyAlignment="1">
      <alignment vertical="center" wrapText="1"/>
    </xf>
    <xf numFmtId="0" fontId="81" fillId="0" borderId="33" xfId="0" applyFont="1" applyBorder="1"/>
    <xf numFmtId="0" fontId="32" fillId="0" borderId="32" xfId="0" applyFont="1" applyBorder="1" applyAlignment="1">
      <alignment wrapText="1"/>
    </xf>
    <xf numFmtId="0" fontId="32" fillId="0" borderId="32" xfId="0" applyFont="1" applyBorder="1" applyAlignment="1">
      <alignment horizontal="left" wrapText="1" indent="1"/>
    </xf>
    <xf numFmtId="0" fontId="32" fillId="0" borderId="32" xfId="0" applyFont="1" applyBorder="1" applyAlignment="1">
      <alignment horizontal="left" wrapText="1"/>
    </xf>
    <xf numFmtId="2" fontId="31" fillId="0" borderId="1" xfId="0" applyNumberFormat="1" applyFont="1" applyBorder="1" applyAlignment="1">
      <alignment horizontal="center"/>
    </xf>
    <xf numFmtId="0" fontId="31" fillId="0" borderId="67" xfId="0" applyFont="1" applyBorder="1"/>
    <xf numFmtId="0" fontId="40" fillId="0" borderId="6" xfId="0" applyFont="1" applyBorder="1" applyAlignment="1">
      <alignment wrapText="1"/>
    </xf>
    <xf numFmtId="0" fontId="81" fillId="0" borderId="32" xfId="0" applyFont="1" applyBorder="1"/>
    <xf numFmtId="0" fontId="32" fillId="0" borderId="32" xfId="0" applyFont="1" applyBorder="1" applyAlignment="1">
      <alignment horizontal="center" wrapText="1"/>
    </xf>
    <xf numFmtId="0" fontId="32" fillId="0" borderId="32" xfId="0" applyFont="1" applyBorder="1" applyAlignment="1">
      <alignment horizontal="left" indent="1"/>
    </xf>
    <xf numFmtId="0" fontId="92" fillId="31" borderId="0" xfId="0" applyFont="1" applyFill="1" applyAlignment="1">
      <alignment horizontal="center"/>
    </xf>
    <xf numFmtId="0" fontId="81" fillId="0" borderId="32" xfId="0" applyFont="1" applyBorder="1" applyAlignment="1">
      <alignment wrapText="1"/>
    </xf>
    <xf numFmtId="2" fontId="32" fillId="0" borderId="32" xfId="0" applyNumberFormat="1" applyFont="1" applyBorder="1" applyAlignment="1">
      <alignment horizontal="center"/>
    </xf>
    <xf numFmtId="0" fontId="88" fillId="0" borderId="78" xfId="0" applyFont="1" applyBorder="1" applyAlignment="1">
      <alignment vertical="center" wrapText="1"/>
    </xf>
    <xf numFmtId="0" fontId="0" fillId="0" borderId="77" xfId="0" applyBorder="1"/>
    <xf numFmtId="0" fontId="32" fillId="0" borderId="1" xfId="0" applyFont="1" applyBorder="1" applyAlignment="1">
      <alignment horizontal="justify" vertical="center" wrapText="1"/>
    </xf>
    <xf numFmtId="0" fontId="40" fillId="0" borderId="0" xfId="0" applyFont="1" applyAlignment="1">
      <alignment horizontal="left" vertical="top" indent="1"/>
    </xf>
    <xf numFmtId="0" fontId="40" fillId="30" borderId="0" xfId="0" applyFont="1" applyFill="1"/>
    <xf numFmtId="0" fontId="40" fillId="0" borderId="33" xfId="0" applyFont="1" applyBorder="1" applyAlignment="1">
      <alignment vertical="center" wrapText="1"/>
    </xf>
    <xf numFmtId="0" fontId="92" fillId="31" borderId="0" xfId="0" applyFont="1" applyFill="1" applyAlignment="1">
      <alignment horizontal="left" vertical="center" wrapText="1"/>
    </xf>
    <xf numFmtId="0" fontId="31" fillId="31" borderId="1" xfId="0" applyFont="1" applyFill="1" applyBorder="1" applyAlignment="1">
      <alignment vertical="center" wrapText="1"/>
    </xf>
    <xf numFmtId="0" fontId="32" fillId="0" borderId="24" xfId="0" applyFont="1" applyBorder="1" applyAlignment="1">
      <alignment horizontal="center" wrapText="1"/>
    </xf>
    <xf numFmtId="0" fontId="30" fillId="0" borderId="1" xfId="6" applyFont="1" applyBorder="1" applyAlignment="1">
      <alignment horizontal="center" vertical="center" wrapText="1"/>
    </xf>
    <xf numFmtId="0" fontId="31" fillId="0" borderId="0" xfId="0" applyFont="1" applyAlignment="1">
      <alignment wrapText="1"/>
    </xf>
    <xf numFmtId="0" fontId="92" fillId="3" borderId="0" xfId="5" applyFont="1" applyFill="1" applyAlignment="1">
      <alignment horizontal="center" vertical="top" wrapText="1"/>
    </xf>
    <xf numFmtId="49" fontId="31" fillId="0" borderId="0" xfId="240" applyNumberFormat="1" applyFont="1"/>
    <xf numFmtId="0" fontId="31" fillId="0" borderId="0" xfId="240" applyFont="1" applyAlignment="1">
      <alignment horizontal="center" vertical="center" wrapText="1"/>
    </xf>
    <xf numFmtId="0" fontId="31" fillId="0" borderId="0" xfId="240" applyFont="1"/>
    <xf numFmtId="0" fontId="31" fillId="0" borderId="0" xfId="240" applyFont="1" applyAlignment="1">
      <alignment wrapText="1"/>
    </xf>
    <xf numFmtId="0" fontId="40" fillId="0" borderId="0" xfId="240" applyFont="1" applyAlignment="1">
      <alignment horizontal="center"/>
    </xf>
    <xf numFmtId="49" fontId="31" fillId="0" borderId="0" xfId="240" applyNumberFormat="1" applyFont="1" applyAlignment="1">
      <alignment horizontal="right"/>
    </xf>
    <xf numFmtId="0" fontId="31" fillId="0" borderId="0" xfId="240" applyFont="1" applyAlignment="1">
      <alignment horizontal="right"/>
    </xf>
    <xf numFmtId="0" fontId="17" fillId="0" borderId="0" xfId="240"/>
    <xf numFmtId="0" fontId="29" fillId="0" borderId="1" xfId="240" applyFont="1" applyBorder="1" applyAlignment="1">
      <alignment horizontal="center" vertical="center" textRotation="90" wrapText="1"/>
    </xf>
    <xf numFmtId="0" fontId="29" fillId="0" borderId="40" xfId="240" applyFont="1" applyBorder="1" applyAlignment="1">
      <alignment horizontal="center" vertical="center" textRotation="90" wrapText="1"/>
    </xf>
    <xf numFmtId="0" fontId="29" fillId="0" borderId="39" xfId="240" applyFont="1" applyBorder="1" applyAlignment="1">
      <alignment horizontal="center" vertical="center" textRotation="90" wrapText="1"/>
    </xf>
    <xf numFmtId="49" fontId="29" fillId="0" borderId="8" xfId="240" applyNumberFormat="1" applyFont="1" applyBorder="1" applyAlignment="1">
      <alignment horizontal="center" vertical="center" wrapText="1"/>
    </xf>
    <xf numFmtId="49" fontId="33" fillId="0" borderId="8" xfId="240" applyNumberFormat="1" applyFont="1" applyBorder="1" applyAlignment="1">
      <alignment horizontal="right" vertical="center" wrapText="1"/>
    </xf>
    <xf numFmtId="49" fontId="33" fillId="0" borderId="52" xfId="240" applyNumberFormat="1" applyFont="1" applyBorder="1" applyAlignment="1">
      <alignment horizontal="right" vertical="center" wrapText="1"/>
    </xf>
    <xf numFmtId="4" fontId="37" fillId="0" borderId="1" xfId="240" applyNumberFormat="1" applyFont="1" applyBorder="1" applyAlignment="1">
      <alignment horizontal="center" vertical="center" wrapText="1"/>
    </xf>
    <xf numFmtId="4" fontId="37" fillId="0" borderId="39" xfId="240" applyNumberFormat="1" applyFont="1" applyBorder="1" applyAlignment="1">
      <alignment horizontal="center" vertical="center" wrapText="1"/>
    </xf>
    <xf numFmtId="4" fontId="37" fillId="0" borderId="40" xfId="240" applyNumberFormat="1" applyFont="1" applyBorder="1" applyAlignment="1">
      <alignment horizontal="center" vertical="center" wrapText="1"/>
    </xf>
    <xf numFmtId="0" fontId="23" fillId="0" borderId="0" xfId="240" applyFont="1"/>
    <xf numFmtId="49" fontId="29" fillId="0" borderId="8" xfId="240" applyNumberFormat="1" applyFont="1" applyBorder="1" applyAlignment="1">
      <alignment horizontal="right" vertical="center" wrapText="1"/>
    </xf>
    <xf numFmtId="49" fontId="29" fillId="0" borderId="52" xfId="240" applyNumberFormat="1" applyFont="1" applyBorder="1" applyAlignment="1">
      <alignment horizontal="right" vertical="center" wrapText="1"/>
    </xf>
    <xf numFmtId="4" fontId="36" fillId="0" borderId="1" xfId="240" applyNumberFormat="1" applyFont="1" applyBorder="1" applyAlignment="1">
      <alignment horizontal="center" vertical="center" wrapText="1"/>
    </xf>
    <xf numFmtId="4" fontId="36" fillId="0" borderId="39" xfId="240" applyNumberFormat="1" applyFont="1" applyBorder="1" applyAlignment="1">
      <alignment horizontal="center" vertical="center" wrapText="1"/>
    </xf>
    <xf numFmtId="4" fontId="36" fillId="0" borderId="40" xfId="240" applyNumberFormat="1" applyFont="1" applyBorder="1" applyAlignment="1">
      <alignment horizontal="center" vertical="center" wrapText="1"/>
    </xf>
    <xf numFmtId="4" fontId="36" fillId="0" borderId="39" xfId="240" applyNumberFormat="1" applyFont="1" applyBorder="1" applyAlignment="1" applyProtection="1">
      <alignment horizontal="center" vertical="center" wrapText="1"/>
      <protection locked="0"/>
    </xf>
    <xf numFmtId="4" fontId="36" fillId="0" borderId="1" xfId="240" applyNumberFormat="1" applyFont="1" applyBorder="1" applyAlignment="1" applyProtection="1">
      <alignment horizontal="center" vertical="center" wrapText="1"/>
      <protection locked="0"/>
    </xf>
    <xf numFmtId="4" fontId="36" fillId="0" borderId="40" xfId="240" applyNumberFormat="1" applyFont="1" applyBorder="1" applyAlignment="1" applyProtection="1">
      <alignment horizontal="center" vertical="center" wrapText="1"/>
      <protection locked="0"/>
    </xf>
    <xf numFmtId="49" fontId="29" fillId="0" borderId="39" xfId="240" applyNumberFormat="1" applyFont="1" applyBorder="1" applyAlignment="1">
      <alignment horizontal="right" vertical="center" wrapText="1"/>
    </xf>
    <xf numFmtId="0" fontId="29" fillId="0" borderId="1" xfId="240" applyFont="1" applyBorder="1" applyAlignment="1">
      <alignment vertical="center" wrapText="1"/>
    </xf>
    <xf numFmtId="0" fontId="29" fillId="0" borderId="79" xfId="240" applyFont="1" applyBorder="1" applyAlignment="1">
      <alignment vertical="center" wrapText="1"/>
    </xf>
    <xf numFmtId="0" fontId="29" fillId="0" borderId="3" xfId="240" applyFont="1" applyBorder="1" applyAlignment="1">
      <alignment vertical="center" wrapText="1"/>
    </xf>
    <xf numFmtId="49" fontId="33" fillId="0" borderId="39" xfId="240" applyNumberFormat="1" applyFont="1" applyBorder="1" applyAlignment="1">
      <alignment horizontal="right" vertical="center" wrapText="1"/>
    </xf>
    <xf numFmtId="0" fontId="33" fillId="0" borderId="1" xfId="240" applyFont="1" applyBorder="1" applyAlignment="1">
      <alignment vertical="center" wrapText="1"/>
    </xf>
    <xf numFmtId="4" fontId="37" fillId="0" borderId="79" xfId="240" applyNumberFormat="1" applyFont="1" applyBorder="1" applyAlignment="1" applyProtection="1">
      <alignment horizontal="center" vertical="center" wrapText="1"/>
      <protection locked="0"/>
    </xf>
    <xf numFmtId="4" fontId="37" fillId="0" borderId="1" xfId="240" applyNumberFormat="1" applyFont="1" applyBorder="1" applyAlignment="1" applyProtection="1">
      <alignment horizontal="center" vertical="center" wrapText="1"/>
      <protection locked="0"/>
    </xf>
    <xf numFmtId="4" fontId="37" fillId="0" borderId="40" xfId="240" applyNumberFormat="1" applyFont="1" applyBorder="1" applyAlignment="1" applyProtection="1">
      <alignment horizontal="center" vertical="center" wrapText="1"/>
      <protection locked="0"/>
    </xf>
    <xf numFmtId="4" fontId="37" fillId="0" borderId="41" xfId="240" applyNumberFormat="1" applyFont="1" applyBorder="1" applyAlignment="1" applyProtection="1">
      <alignment horizontal="center" vertical="center" wrapText="1"/>
      <protection locked="0"/>
    </xf>
    <xf numFmtId="0" fontId="29" fillId="0" borderId="8" xfId="240" applyFont="1" applyBorder="1" applyAlignment="1">
      <alignment horizontal="center" vertical="center" wrapText="1"/>
    </xf>
    <xf numFmtId="0" fontId="33" fillId="0" borderId="79" xfId="240" applyFont="1" applyBorder="1" applyAlignment="1">
      <alignment vertical="center" wrapText="1"/>
    </xf>
    <xf numFmtId="49" fontId="33" fillId="0" borderId="53" xfId="240" applyNumberFormat="1" applyFont="1" applyBorder="1" applyAlignment="1">
      <alignment horizontal="right" vertical="center" wrapText="1"/>
    </xf>
    <xf numFmtId="49" fontId="33" fillId="0" borderId="0" xfId="240" applyNumberFormat="1" applyFont="1" applyAlignment="1">
      <alignment horizontal="right" vertical="center" wrapText="1"/>
    </xf>
    <xf numFmtId="0" fontId="33" fillId="0" borderId="0" xfId="240" applyFont="1" applyAlignment="1">
      <alignment horizontal="center" vertical="center" wrapText="1"/>
    </xf>
    <xf numFmtId="4" fontId="37" fillId="0" borderId="0" xfId="240" applyNumberFormat="1" applyFont="1" applyAlignment="1" applyProtection="1">
      <alignment horizontal="center" vertical="center" wrapText="1"/>
      <protection locked="0"/>
    </xf>
    <xf numFmtId="49" fontId="29" fillId="0" borderId="0" xfId="240" applyNumberFormat="1" applyFont="1" applyAlignment="1">
      <alignment horizontal="right" vertical="center" wrapText="1"/>
    </xf>
    <xf numFmtId="49" fontId="17" fillId="0" borderId="0" xfId="240" applyNumberFormat="1"/>
    <xf numFmtId="0" fontId="29" fillId="0" borderId="0" xfId="240" applyFont="1" applyAlignment="1">
      <alignment horizontal="left" vertical="top" wrapText="1"/>
    </xf>
    <xf numFmtId="49" fontId="32" fillId="0" borderId="0" xfId="240" applyNumberFormat="1" applyFont="1"/>
    <xf numFmtId="0" fontId="32" fillId="0" borderId="0" xfId="240" applyFont="1"/>
    <xf numFmtId="0" fontId="32" fillId="0" borderId="0" xfId="240" applyFont="1" applyAlignment="1">
      <alignment horizontal="center"/>
    </xf>
    <xf numFmtId="49" fontId="28" fillId="0" borderId="1" xfId="240" applyNumberFormat="1" applyFont="1" applyBorder="1" applyAlignment="1">
      <alignment horizontal="right" vertical="center" wrapText="1"/>
    </xf>
    <xf numFmtId="49" fontId="34" fillId="0" borderId="8" xfId="240" applyNumberFormat="1" applyFont="1" applyBorder="1" applyAlignment="1">
      <alignment horizontal="right" vertical="center" wrapText="1"/>
    </xf>
    <xf numFmtId="49" fontId="28" fillId="0" borderId="8" xfId="240" applyNumberFormat="1" applyFont="1" applyBorder="1" applyAlignment="1">
      <alignment horizontal="right" vertical="center" wrapText="1"/>
    </xf>
    <xf numFmtId="49" fontId="30" fillId="0" borderId="1" xfId="240" applyNumberFormat="1" applyFont="1" applyBorder="1" applyAlignment="1">
      <alignment horizontal="right" vertical="center" wrapText="1"/>
    </xf>
    <xf numFmtId="0" fontId="30" fillId="0" borderId="1" xfId="240" applyFont="1" applyBorder="1" applyAlignment="1">
      <alignment vertical="center" wrapText="1"/>
    </xf>
    <xf numFmtId="0" fontId="30" fillId="0" borderId="1" xfId="240" applyFont="1" applyBorder="1" applyAlignment="1">
      <alignment horizontal="center" vertical="center" wrapText="1"/>
    </xf>
    <xf numFmtId="0" fontId="28" fillId="0" borderId="0" xfId="240" applyFont="1" applyAlignment="1">
      <alignment vertical="top"/>
    </xf>
    <xf numFmtId="0" fontId="28" fillId="0" borderId="0" xfId="240" applyFont="1"/>
    <xf numFmtId="0" fontId="93" fillId="3" borderId="0" xfId="240" applyFont="1" applyFill="1" applyAlignment="1" applyProtection="1">
      <alignment horizontal="center" vertical="center"/>
      <protection locked="0"/>
    </xf>
    <xf numFmtId="0" fontId="93" fillId="3" borderId="0" xfId="240" applyFont="1" applyFill="1"/>
    <xf numFmtId="0" fontId="93" fillId="3" borderId="0" xfId="0" applyFont="1" applyFill="1"/>
    <xf numFmtId="0" fontId="32" fillId="3" borderId="0" xfId="240" applyFont="1" applyFill="1"/>
    <xf numFmtId="0" fontId="96" fillId="0" borderId="0" xfId="239"/>
    <xf numFmtId="0" fontId="102" fillId="0" borderId="0" xfId="240" applyFont="1"/>
    <xf numFmtId="0" fontId="103" fillId="0" borderId="0" xfId="0" applyFont="1"/>
    <xf numFmtId="0" fontId="102" fillId="0" borderId="0" xfId="240" applyFont="1" applyAlignment="1">
      <alignment wrapText="1"/>
    </xf>
    <xf numFmtId="0" fontId="32" fillId="0" borderId="31" xfId="0" applyFont="1" applyBorder="1" applyAlignment="1">
      <alignment horizontal="center" wrapText="1"/>
    </xf>
    <xf numFmtId="0" fontId="102" fillId="0" borderId="0" xfId="0" applyFont="1"/>
    <xf numFmtId="0" fontId="80" fillId="0" borderId="0" xfId="0" applyFont="1"/>
    <xf numFmtId="0" fontId="40" fillId="0" borderId="67" xfId="0" applyFont="1" applyBorder="1"/>
    <xf numFmtId="181" fontId="0" fillId="0" borderId="0" xfId="0" applyNumberFormat="1"/>
    <xf numFmtId="2" fontId="40" fillId="0" borderId="67" xfId="0" applyNumberFormat="1" applyFont="1" applyBorder="1" applyAlignment="1">
      <alignment horizontal="center"/>
    </xf>
    <xf numFmtId="0" fontId="30" fillId="0" borderId="61" xfId="6" applyFont="1" applyBorder="1" applyAlignment="1">
      <alignment horizontal="center" vertical="center" wrapText="1"/>
    </xf>
    <xf numFmtId="0" fontId="30" fillId="0" borderId="62" xfId="6" applyFont="1" applyBorder="1" applyAlignment="1">
      <alignment horizontal="center" vertical="center" wrapText="1"/>
    </xf>
    <xf numFmtId="0" fontId="31" fillId="0" borderId="0" xfId="6" applyFont="1" applyAlignment="1">
      <alignment horizontal="center" vertical="center" wrapText="1"/>
    </xf>
    <xf numFmtId="2" fontId="42" fillId="0" borderId="59" xfId="6" applyNumberFormat="1" applyFont="1" applyBorder="1" applyAlignment="1">
      <alignment horizontal="center" vertical="center" wrapText="1"/>
    </xf>
    <xf numFmtId="2" fontId="42" fillId="0" borderId="40" xfId="6" applyNumberFormat="1" applyFont="1" applyBorder="1" applyAlignment="1">
      <alignment horizontal="center" vertical="center" wrapText="1"/>
    </xf>
    <xf numFmtId="2" fontId="42" fillId="0" borderId="46" xfId="6" applyNumberFormat="1" applyFont="1" applyBorder="1" applyAlignment="1">
      <alignment horizontal="center" vertical="center" wrapText="1"/>
    </xf>
    <xf numFmtId="2" fontId="103" fillId="0" borderId="0" xfId="0" applyNumberFormat="1" applyFont="1"/>
    <xf numFmtId="0" fontId="30" fillId="0" borderId="39" xfId="6" applyFont="1" applyBorder="1" applyAlignment="1">
      <alignment vertical="center" wrapText="1"/>
    </xf>
    <xf numFmtId="0" fontId="30" fillId="0" borderId="39" xfId="6" applyFont="1" applyBorder="1" applyAlignment="1">
      <alignment horizontal="left" vertical="center" wrapText="1" indent="1"/>
    </xf>
    <xf numFmtId="0" fontId="30" fillId="0" borderId="39" xfId="6" applyFont="1" applyBorder="1" applyAlignment="1">
      <alignment horizontal="left" vertical="center" wrapText="1"/>
    </xf>
    <xf numFmtId="0" fontId="21" fillId="0" borderId="0" xfId="6"/>
    <xf numFmtId="0" fontId="40" fillId="3" borderId="0" xfId="0" applyFont="1" applyFill="1" applyAlignment="1">
      <alignment horizontal="center" vertical="top"/>
    </xf>
    <xf numFmtId="0" fontId="29" fillId="0" borderId="1" xfId="6" applyFont="1" applyBorder="1" applyAlignment="1" applyProtection="1">
      <alignment horizontal="center" vertical="center" wrapText="1"/>
      <protection locked="0"/>
    </xf>
    <xf numFmtId="0" fontId="30" fillId="0" borderId="1" xfId="0" applyFont="1" applyBorder="1" applyAlignment="1">
      <alignment vertical="center" wrapText="1"/>
    </xf>
    <xf numFmtId="1" fontId="29" fillId="0" borderId="1" xfId="6" applyNumberFormat="1" applyFont="1" applyBorder="1" applyAlignment="1" applyProtection="1">
      <alignment horizontal="center" vertical="center" wrapText="1"/>
      <protection locked="0"/>
    </xf>
    <xf numFmtId="2" fontId="29" fillId="0" borderId="1" xfId="6" applyNumberFormat="1" applyFont="1" applyBorder="1" applyAlignment="1" applyProtection="1">
      <alignment horizontal="center" vertical="center" wrapText="1"/>
      <protection locked="0"/>
    </xf>
    <xf numFmtId="0" fontId="103" fillId="0" borderId="0" xfId="6" applyFont="1" applyAlignment="1">
      <alignment horizontal="center"/>
    </xf>
    <xf numFmtId="2" fontId="29" fillId="0" borderId="1" xfId="6" applyNumberFormat="1" applyFont="1" applyBorder="1" applyAlignment="1">
      <alignment horizontal="center" vertical="center" wrapText="1"/>
    </xf>
    <xf numFmtId="0" fontId="29" fillId="0" borderId="1" xfId="6" applyFont="1" applyBorder="1" applyAlignment="1">
      <alignment horizontal="center" vertical="center" wrapText="1"/>
    </xf>
    <xf numFmtId="10" fontId="29" fillId="0" borderId="1" xfId="6" applyNumberFormat="1" applyFont="1" applyBorder="1" applyAlignment="1" applyProtection="1">
      <alignment horizontal="center" vertical="center" wrapText="1"/>
      <protection locked="0"/>
    </xf>
    <xf numFmtId="177" fontId="29" fillId="0" borderId="1" xfId="6" applyNumberFormat="1" applyFont="1" applyBorder="1" applyAlignment="1">
      <alignment horizontal="center" vertical="center" wrapText="1"/>
    </xf>
    <xf numFmtId="0" fontId="39" fillId="0" borderId="0" xfId="448" applyFont="1"/>
    <xf numFmtId="0" fontId="90" fillId="0" borderId="27" xfId="0" applyFont="1" applyBorder="1" applyAlignment="1">
      <alignment horizontal="center" wrapText="1"/>
    </xf>
    <xf numFmtId="0" fontId="39" fillId="0" borderId="0" xfId="448" applyFont="1" applyAlignment="1">
      <alignment horizontal="center"/>
    </xf>
    <xf numFmtId="0" fontId="131" fillId="31" borderId="6" xfId="448" applyFont="1" applyFill="1" applyBorder="1" applyAlignment="1">
      <alignment horizontal="center" vertical="center" wrapText="1"/>
    </xf>
    <xf numFmtId="0" fontId="131" fillId="31" borderId="31" xfId="448" applyFont="1" applyFill="1" applyBorder="1" applyAlignment="1">
      <alignment horizontal="center" vertical="center" wrapText="1"/>
    </xf>
    <xf numFmtId="0" fontId="32" fillId="0" borderId="0" xfId="505" applyFont="1" applyAlignment="1">
      <alignment horizontal="center" vertical="center" wrapText="1"/>
    </xf>
    <xf numFmtId="0" fontId="32" fillId="0" borderId="0" xfId="505" applyFont="1" applyAlignment="1">
      <alignment horizontal="center" vertical="center"/>
    </xf>
    <xf numFmtId="0" fontId="32" fillId="0" borderId="0" xfId="505" applyFont="1" applyAlignment="1">
      <alignment vertical="top" wrapText="1"/>
    </xf>
    <xf numFmtId="0" fontId="32" fillId="0" borderId="0" xfId="505" applyFont="1"/>
    <xf numFmtId="0" fontId="81" fillId="0" borderId="0" xfId="505" applyFont="1" applyAlignment="1">
      <alignment horizontal="left" vertical="center" wrapText="1"/>
    </xf>
    <xf numFmtId="0" fontId="81" fillId="0" borderId="0" xfId="505" applyFont="1"/>
    <xf numFmtId="0" fontId="39" fillId="0" borderId="0" xfId="532" applyFont="1" applyAlignment="1">
      <alignment horizontal="left" vertical="center"/>
    </xf>
    <xf numFmtId="0" fontId="90" fillId="0" borderId="0" xfId="116" applyFont="1"/>
    <xf numFmtId="0" fontId="39" fillId="0" borderId="0" xfId="116" applyFont="1"/>
    <xf numFmtId="0" fontId="144" fillId="0" borderId="0" xfId="116" applyFont="1"/>
    <xf numFmtId="0" fontId="144" fillId="0" borderId="0" xfId="116" applyFont="1" applyAlignment="1">
      <alignment horizontal="left"/>
    </xf>
    <xf numFmtId="4" fontId="144" fillId="0" borderId="0" xfId="116" applyNumberFormat="1" applyFont="1" applyAlignment="1">
      <alignment horizontal="left"/>
    </xf>
    <xf numFmtId="2" fontId="39" fillId="0" borderId="0" xfId="116" applyNumberFormat="1" applyFont="1"/>
    <xf numFmtId="0" fontId="144" fillId="0" borderId="99" xfId="116" applyFont="1" applyBorder="1" applyAlignment="1">
      <alignment vertical="justify" wrapText="1"/>
    </xf>
    <xf numFmtId="2" fontId="144" fillId="0" borderId="99" xfId="116" applyNumberFormat="1" applyFont="1" applyBorder="1"/>
    <xf numFmtId="0" fontId="144" fillId="0" borderId="101" xfId="116" applyFont="1" applyBorder="1" applyAlignment="1">
      <alignment horizontal="left" vertical="justify" wrapText="1"/>
    </xf>
    <xf numFmtId="2" fontId="144" fillId="0" borderId="101" xfId="116" applyNumberFormat="1" applyFont="1" applyBorder="1" applyAlignment="1">
      <alignment horizontal="right"/>
    </xf>
    <xf numFmtId="0" fontId="140" fillId="0" borderId="101" xfId="116" applyFont="1" applyBorder="1" applyAlignment="1">
      <alignment horizontal="left" wrapText="1" indent="1"/>
    </xf>
    <xf numFmtId="2" fontId="140" fillId="0" borderId="101" xfId="116" applyNumberFormat="1" applyFont="1" applyBorder="1"/>
    <xf numFmtId="2" fontId="140" fillId="0" borderId="101" xfId="116" applyNumberFormat="1" applyFont="1" applyBorder="1" applyAlignment="1">
      <alignment horizontal="right"/>
    </xf>
    <xf numFmtId="0" fontId="144" fillId="0" borderId="101" xfId="116" applyFont="1" applyBorder="1" applyAlignment="1">
      <alignment horizontal="left" wrapText="1"/>
    </xf>
    <xf numFmtId="0" fontId="123" fillId="0" borderId="0" xfId="116" applyFont="1"/>
    <xf numFmtId="2" fontId="144" fillId="0" borderId="101" xfId="116" applyNumberFormat="1" applyFont="1" applyBorder="1"/>
    <xf numFmtId="0" fontId="140" fillId="0" borderId="101" xfId="116" applyFont="1" applyBorder="1" applyAlignment="1">
      <alignment horizontal="left" vertical="center" wrapText="1" indent="1"/>
    </xf>
    <xf numFmtId="0" fontId="140" fillId="0" borderId="101" xfId="116" applyFont="1" applyBorder="1" applyAlignment="1">
      <alignment horizontal="left" vertical="justify" indent="1"/>
    </xf>
    <xf numFmtId="2" fontId="140" fillId="0" borderId="103" xfId="116" applyNumberFormat="1" applyFont="1" applyBorder="1" applyAlignment="1">
      <alignment horizontal="right"/>
    </xf>
    <xf numFmtId="0" fontId="140" fillId="0" borderId="0" xfId="116" applyFont="1"/>
    <xf numFmtId="0" fontId="31" fillId="0" borderId="0" xfId="505" applyFont="1"/>
    <xf numFmtId="0" fontId="0" fillId="30" borderId="0" xfId="0" applyFill="1"/>
    <xf numFmtId="0" fontId="31" fillId="0" borderId="0" xfId="0" applyFont="1" applyAlignment="1">
      <alignment horizontal="left" vertical="center" wrapText="1"/>
    </xf>
    <xf numFmtId="0" fontId="39" fillId="0" borderId="0" xfId="116" applyFont="1" applyAlignment="1">
      <alignment horizontal="left"/>
    </xf>
    <xf numFmtId="0" fontId="32" fillId="0" borderId="0" xfId="545" applyFont="1"/>
    <xf numFmtId="2" fontId="140" fillId="0" borderId="101" xfId="116" applyNumberFormat="1" applyFont="1" applyBorder="1" applyAlignment="1">
      <alignment horizontal="right" wrapText="1"/>
    </xf>
    <xf numFmtId="2" fontId="140" fillId="0" borderId="101" xfId="116" applyNumberFormat="1" applyFont="1" applyBorder="1" applyAlignment="1">
      <alignment wrapText="1"/>
    </xf>
    <xf numFmtId="0" fontId="140" fillId="0" borderId="101" xfId="116" applyFont="1" applyBorder="1" applyAlignment="1">
      <alignment horizontal="left" wrapText="1" indent="2"/>
    </xf>
    <xf numFmtId="0" fontId="140" fillId="0" borderId="101" xfId="116" applyFont="1" applyBorder="1" applyAlignment="1">
      <alignment horizontal="left" vertical="justify" wrapText="1" indent="1"/>
    </xf>
    <xf numFmtId="0" fontId="140" fillId="0" borderId="103" xfId="116" applyFont="1" applyBorder="1" applyAlignment="1">
      <alignment horizontal="left" wrapText="1" indent="1"/>
    </xf>
    <xf numFmtId="2" fontId="140" fillId="0" borderId="103" xfId="116" applyNumberFormat="1" applyFont="1" applyBorder="1"/>
    <xf numFmtId="2" fontId="137" fillId="0" borderId="0" xfId="505" applyNumberFormat="1" applyFont="1" applyAlignment="1" applyProtection="1">
      <alignment horizontal="center" vertical="center" wrapText="1"/>
      <protection hidden="1"/>
    </xf>
    <xf numFmtId="0" fontId="0" fillId="0" borderId="0" xfId="0" applyAlignment="1">
      <alignment horizontal="center"/>
    </xf>
    <xf numFmtId="0" fontId="30" fillId="0" borderId="0" xfId="6" applyFont="1" applyAlignment="1">
      <alignment horizontal="justify" vertical="center" wrapText="1"/>
    </xf>
    <xf numFmtId="0" fontId="31" fillId="0" borderId="0" xfId="6" applyFont="1" applyAlignment="1">
      <alignment vertical="top" wrapText="1"/>
    </xf>
    <xf numFmtId="4" fontId="118" fillId="0" borderId="28" xfId="116" applyNumberFormat="1" applyFont="1" applyBorder="1" applyAlignment="1">
      <alignment horizontal="left"/>
    </xf>
    <xf numFmtId="182" fontId="144" fillId="0" borderId="0" xfId="116" applyNumberFormat="1" applyFont="1" applyAlignment="1">
      <alignment horizontal="left"/>
    </xf>
    <xf numFmtId="186" fontId="144" fillId="0" borderId="0" xfId="116" applyNumberFormat="1" applyFont="1" applyAlignment="1">
      <alignment horizontal="left"/>
    </xf>
    <xf numFmtId="187" fontId="140" fillId="0" borderId="0" xfId="116" applyNumberFormat="1" applyFont="1" applyAlignment="1">
      <alignment horizontal="right"/>
    </xf>
    <xf numFmtId="0" fontId="140" fillId="0" borderId="0" xfId="116" applyFont="1" applyAlignment="1">
      <alignment horizontal="center"/>
    </xf>
    <xf numFmtId="177" fontId="140" fillId="0" borderId="101" xfId="116" applyNumberFormat="1" applyFont="1" applyBorder="1"/>
    <xf numFmtId="2" fontId="140" fillId="0" borderId="104" xfId="116" applyNumberFormat="1" applyFont="1" applyBorder="1" applyAlignment="1">
      <alignment horizontal="right" wrapText="1"/>
    </xf>
    <xf numFmtId="2" fontId="144" fillId="0" borderId="0" xfId="116" applyNumberFormat="1" applyFont="1"/>
    <xf numFmtId="2" fontId="144" fillId="0" borderId="0" xfId="116" applyNumberFormat="1" applyFont="1" applyAlignment="1">
      <alignment horizontal="right"/>
    </xf>
    <xf numFmtId="2" fontId="140" fillId="0" borderId="0" xfId="116" applyNumberFormat="1" applyFont="1" applyAlignment="1">
      <alignment horizontal="right"/>
    </xf>
    <xf numFmtId="0" fontId="144" fillId="0" borderId="0" xfId="116" applyFont="1" applyAlignment="1">
      <alignment horizontal="center" vertical="center" wrapText="1"/>
    </xf>
    <xf numFmtId="0" fontId="146" fillId="0" borderId="0" xfId="116" applyFont="1" applyAlignment="1">
      <alignment horizontal="center" vertical="center" wrapText="1"/>
    </xf>
    <xf numFmtId="0" fontId="151" fillId="0" borderId="0" xfId="116" applyFont="1" applyAlignment="1">
      <alignment horizontal="left"/>
    </xf>
    <xf numFmtId="4" fontId="151" fillId="0" borderId="0" xfId="116" applyNumberFormat="1" applyFont="1" applyAlignment="1">
      <alignment horizontal="left"/>
    </xf>
    <xf numFmtId="0" fontId="122" fillId="0" borderId="0" xfId="116" applyFont="1" applyAlignment="1">
      <alignment horizontal="left"/>
    </xf>
    <xf numFmtId="0" fontId="122" fillId="0" borderId="0" xfId="116" applyFont="1" applyAlignment="1">
      <alignment horizontal="center" vertical="center" wrapText="1"/>
    </xf>
    <xf numFmtId="2" fontId="122" fillId="0" borderId="0" xfId="116" applyNumberFormat="1" applyFont="1"/>
    <xf numFmtId="2" fontId="122" fillId="0" borderId="0" xfId="116" applyNumberFormat="1" applyFont="1" applyAlignment="1">
      <alignment horizontal="right"/>
    </xf>
    <xf numFmtId="2" fontId="90" fillId="0" borderId="0" xfId="116" applyNumberFormat="1" applyFont="1" applyAlignment="1">
      <alignment horizontal="left"/>
    </xf>
    <xf numFmtId="2" fontId="90" fillId="0" borderId="0" xfId="116" applyNumberFormat="1" applyFont="1" applyAlignment="1">
      <alignment horizontal="right"/>
    </xf>
    <xf numFmtId="176" fontId="39" fillId="0" borderId="0" xfId="116" applyNumberFormat="1" applyFont="1"/>
    <xf numFmtId="4" fontId="118" fillId="0" borderId="28" xfId="116" applyNumberFormat="1" applyFont="1" applyBorder="1"/>
    <xf numFmtId="4" fontId="118" fillId="0" borderId="0" xfId="116" applyNumberFormat="1" applyFont="1"/>
    <xf numFmtId="0" fontId="42" fillId="0" borderId="0" xfId="532" applyFont="1" applyAlignment="1">
      <alignment horizontal="center" vertical="top"/>
    </xf>
    <xf numFmtId="0" fontId="90" fillId="0" borderId="6" xfId="532" applyFont="1" applyBorder="1" applyAlignment="1">
      <alignment horizontal="center" vertical="center" wrapText="1"/>
    </xf>
    <xf numFmtId="0" fontId="153" fillId="0" borderId="33" xfId="532" applyFont="1" applyBorder="1" applyAlignment="1">
      <alignment horizontal="center" vertical="center" wrapText="1"/>
    </xf>
    <xf numFmtId="0" fontId="153" fillId="0" borderId="6" xfId="532" applyFont="1" applyBorder="1" applyAlignment="1">
      <alignment horizontal="center" vertical="center" wrapText="1"/>
    </xf>
    <xf numFmtId="0" fontId="153" fillId="0" borderId="23" xfId="532" applyFont="1" applyBorder="1" applyAlignment="1">
      <alignment horizontal="center" vertical="center" wrapText="1"/>
    </xf>
    <xf numFmtId="0" fontId="122" fillId="31" borderId="66" xfId="532" applyFont="1" applyFill="1" applyBorder="1" applyAlignment="1">
      <alignment horizontal="center" vertical="center" wrapText="1"/>
    </xf>
    <xf numFmtId="0" fontId="131" fillId="31" borderId="88" xfId="532" applyFont="1" applyFill="1" applyBorder="1" applyAlignment="1">
      <alignment horizontal="center" vertical="center" wrapText="1"/>
    </xf>
    <xf numFmtId="4" fontId="131" fillId="31" borderId="88" xfId="532" applyNumberFormat="1" applyFont="1" applyFill="1" applyBorder="1" applyAlignment="1">
      <alignment horizontal="center" vertical="center" wrapText="1"/>
    </xf>
    <xf numFmtId="0" fontId="123" fillId="0" borderId="0" xfId="505" applyFont="1"/>
    <xf numFmtId="0" fontId="122" fillId="0" borderId="88" xfId="532" applyFont="1" applyBorder="1" applyAlignment="1">
      <alignment horizontal="center" vertical="center" wrapText="1"/>
    </xf>
    <xf numFmtId="0" fontId="118" fillId="2" borderId="88" xfId="532" applyFont="1" applyFill="1" applyBorder="1" applyAlignment="1">
      <alignment horizontal="center" vertical="center" wrapText="1"/>
    </xf>
    <xf numFmtId="4" fontId="118" fillId="2" borderId="88" xfId="532" applyNumberFormat="1" applyFont="1" applyFill="1" applyBorder="1" applyAlignment="1">
      <alignment horizontal="center" vertical="center" wrapText="1"/>
    </xf>
    <xf numFmtId="0" fontId="131" fillId="0" borderId="88" xfId="532" applyFont="1" applyBorder="1" applyAlignment="1">
      <alignment horizontal="left" vertical="center" wrapText="1"/>
    </xf>
    <xf numFmtId="0" fontId="131" fillId="0" borderId="88" xfId="532" applyFont="1" applyBorder="1" applyAlignment="1">
      <alignment horizontal="center" vertical="center" wrapText="1"/>
    </xf>
    <xf numFmtId="4" fontId="131" fillId="0" borderId="88" xfId="532" applyNumberFormat="1" applyFont="1" applyBorder="1" applyAlignment="1">
      <alignment horizontal="center" vertical="center" wrapText="1"/>
    </xf>
    <xf numFmtId="0" fontId="118" fillId="0" borderId="88" xfId="532" applyFont="1" applyBorder="1" applyAlignment="1">
      <alignment horizontal="left" vertical="center" wrapText="1"/>
    </xf>
    <xf numFmtId="9" fontId="118" fillId="0" borderId="88" xfId="532" applyNumberFormat="1" applyFont="1" applyBorder="1" applyAlignment="1">
      <alignment horizontal="center" vertical="center" wrapText="1"/>
    </xf>
    <xf numFmtId="4" fontId="118" fillId="0" borderId="88" xfId="532" applyNumberFormat="1" applyFont="1" applyBorder="1" applyAlignment="1">
      <alignment horizontal="center" vertical="center" wrapText="1"/>
    </xf>
    <xf numFmtId="10" fontId="118" fillId="0" borderId="88" xfId="532" applyNumberFormat="1" applyFont="1" applyBorder="1" applyAlignment="1">
      <alignment horizontal="center" vertical="center" wrapText="1"/>
    </xf>
    <xf numFmtId="0" fontId="122" fillId="31" borderId="67" xfId="532" applyFont="1" applyFill="1" applyBorder="1" applyAlignment="1">
      <alignment horizontal="center" vertical="center"/>
    </xf>
    <xf numFmtId="0" fontId="131" fillId="31" borderId="67" xfId="532" applyFont="1" applyFill="1" applyBorder="1" applyAlignment="1">
      <alignment horizontal="center" vertical="center" wrapText="1"/>
    </xf>
    <xf numFmtId="0" fontId="131" fillId="31" borderId="67" xfId="532" applyFont="1" applyFill="1" applyBorder="1" applyAlignment="1">
      <alignment horizontal="center" vertical="center"/>
    </xf>
    <xf numFmtId="4" fontId="131" fillId="31" borderId="67" xfId="532" applyNumberFormat="1" applyFont="1" applyFill="1" applyBorder="1" applyAlignment="1">
      <alignment horizontal="center" vertical="center"/>
    </xf>
    <xf numFmtId="0" fontId="131" fillId="60" borderId="67" xfId="505" applyFont="1" applyFill="1" applyBorder="1" applyAlignment="1">
      <alignment horizontal="center" vertical="center" wrapText="1"/>
    </xf>
    <xf numFmtId="0" fontId="122" fillId="0" borderId="67" xfId="532" applyFont="1" applyBorder="1" applyAlignment="1">
      <alignment horizontal="center" vertical="center"/>
    </xf>
    <xf numFmtId="0" fontId="131" fillId="2" borderId="67" xfId="532" applyFont="1" applyFill="1" applyBorder="1" applyAlignment="1">
      <alignment horizontal="center" vertical="center"/>
    </xf>
    <xf numFmtId="4" fontId="131" fillId="2" borderId="67" xfId="532" applyNumberFormat="1" applyFont="1" applyFill="1" applyBorder="1" applyAlignment="1">
      <alignment horizontal="center" vertical="center"/>
    </xf>
    <xf numFmtId="2" fontId="131" fillId="31" borderId="67" xfId="532" applyNumberFormat="1" applyFont="1" applyFill="1" applyBorder="1" applyAlignment="1">
      <alignment horizontal="center" vertical="center"/>
    </xf>
    <xf numFmtId="0" fontId="122" fillId="0" borderId="32" xfId="532" applyFont="1" applyBorder="1" applyAlignment="1">
      <alignment horizontal="center" vertical="center" wrapText="1"/>
    </xf>
    <xf numFmtId="0" fontId="118" fillId="0" borderId="32" xfId="532" applyFont="1" applyBorder="1" applyAlignment="1">
      <alignment horizontal="left" vertical="center" wrapText="1"/>
    </xf>
    <xf numFmtId="0" fontId="122" fillId="31" borderId="6" xfId="532" applyFont="1" applyFill="1" applyBorder="1" applyAlignment="1">
      <alignment horizontal="center" vertical="center" wrapText="1"/>
    </xf>
    <xf numFmtId="0" fontId="131" fillId="31" borderId="6" xfId="532" applyFont="1" applyFill="1" applyBorder="1" applyAlignment="1">
      <alignment horizontal="center" vertical="center"/>
    </xf>
    <xf numFmtId="4" fontId="131" fillId="31" borderId="6" xfId="532" applyNumberFormat="1" applyFont="1" applyFill="1" applyBorder="1" applyAlignment="1">
      <alignment horizontal="center" vertical="center" wrapText="1"/>
    </xf>
    <xf numFmtId="0" fontId="118" fillId="2" borderId="6" xfId="532" applyFont="1" applyFill="1" applyBorder="1" applyAlignment="1">
      <alignment horizontal="center" vertical="center" wrapText="1"/>
    </xf>
    <xf numFmtId="4" fontId="131" fillId="31" borderId="6" xfId="532" applyNumberFormat="1" applyFont="1" applyFill="1" applyBorder="1" applyAlignment="1">
      <alignment horizontal="center" vertical="center"/>
    </xf>
    <xf numFmtId="4" fontId="31" fillId="0" borderId="0" xfId="505" applyNumberFormat="1" applyFont="1"/>
    <xf numFmtId="0" fontId="118" fillId="0" borderId="0" xfId="532" applyFont="1"/>
    <xf numFmtId="0" fontId="122" fillId="31" borderId="88" xfId="532" applyFont="1" applyFill="1" applyBorder="1" applyAlignment="1">
      <alignment horizontal="center" vertical="center" wrapText="1"/>
    </xf>
    <xf numFmtId="0" fontId="118" fillId="0" borderId="6" xfId="505" applyFont="1" applyBorder="1"/>
    <xf numFmtId="4" fontId="147" fillId="34" borderId="1" xfId="134" applyNumberFormat="1" applyFont="1" applyFill="1" applyBorder="1" applyAlignment="1">
      <alignment horizontal="right" vertical="center"/>
    </xf>
    <xf numFmtId="4" fontId="147" fillId="34" borderId="1" xfId="134" applyNumberFormat="1" applyFont="1" applyFill="1" applyBorder="1" applyAlignment="1">
      <alignment horizontal="center" vertical="center"/>
    </xf>
    <xf numFmtId="0" fontId="147" fillId="0" borderId="1" xfId="134" applyFont="1" applyBorder="1" applyAlignment="1">
      <alignment horizontal="left" wrapText="1"/>
    </xf>
    <xf numFmtId="0" fontId="147" fillId="62" borderId="1" xfId="134" applyFont="1" applyFill="1" applyBorder="1" applyAlignment="1">
      <alignment wrapText="1"/>
    </xf>
    <xf numFmtId="0" fontId="147" fillId="62" borderId="58" xfId="134" applyFont="1" applyFill="1" applyBorder="1" applyAlignment="1">
      <alignment wrapText="1"/>
    </xf>
    <xf numFmtId="0" fontId="155" fillId="62" borderId="64" xfId="134" applyFont="1" applyFill="1" applyBorder="1" applyAlignment="1">
      <alignment horizontal="center" vertical="center" wrapText="1"/>
    </xf>
    <xf numFmtId="0" fontId="155" fillId="62" borderId="8" xfId="134" applyFont="1" applyFill="1" applyBorder="1" applyAlignment="1">
      <alignment horizontal="center" vertical="center" wrapText="1"/>
    </xf>
    <xf numFmtId="0" fontId="147" fillId="62" borderId="45" xfId="134" applyFont="1" applyFill="1" applyBorder="1" applyAlignment="1">
      <alignment wrapText="1"/>
    </xf>
    <xf numFmtId="0" fontId="155" fillId="62" borderId="55" xfId="134" applyFont="1" applyFill="1" applyBorder="1" applyAlignment="1">
      <alignment horizontal="center" vertical="center" wrapText="1"/>
    </xf>
    <xf numFmtId="177" fontId="32" fillId="0" borderId="32" xfId="0" applyNumberFormat="1" applyFont="1" applyBorder="1" applyAlignment="1">
      <alignment horizontal="center"/>
    </xf>
    <xf numFmtId="0" fontId="31" fillId="0" borderId="0" xfId="0" applyFont="1" applyAlignment="1">
      <alignment horizontal="center"/>
    </xf>
    <xf numFmtId="0" fontId="131" fillId="31" borderId="30" xfId="448" applyFont="1" applyFill="1" applyBorder="1" applyAlignment="1">
      <alignment horizontal="center" vertical="center" wrapText="1"/>
    </xf>
    <xf numFmtId="0" fontId="118" fillId="0" borderId="98" xfId="448" applyFont="1" applyBorder="1" applyAlignment="1">
      <alignment wrapText="1"/>
    </xf>
    <xf numFmtId="0" fontId="118" fillId="0" borderId="100" xfId="448" applyFont="1" applyBorder="1" applyAlignment="1">
      <alignment wrapText="1"/>
    </xf>
    <xf numFmtId="0" fontId="131" fillId="31" borderId="102" xfId="448" applyFont="1" applyFill="1" applyBorder="1"/>
    <xf numFmtId="2" fontId="131" fillId="31" borderId="112" xfId="448" applyNumberFormat="1" applyFont="1" applyFill="1" applyBorder="1" applyAlignment="1">
      <alignment horizontal="center"/>
    </xf>
    <xf numFmtId="175" fontId="39" fillId="0" borderId="0" xfId="116" applyNumberFormat="1" applyFont="1"/>
    <xf numFmtId="187" fontId="90" fillId="0" borderId="0" xfId="116" applyNumberFormat="1" applyFont="1" applyAlignment="1">
      <alignment horizontal="left"/>
    </xf>
    <xf numFmtId="0" fontId="122" fillId="0" borderId="0" xfId="116" applyFont="1" applyAlignment="1">
      <alignment horizontal="left" vertical="center" wrapText="1"/>
    </xf>
    <xf numFmtId="2" fontId="122" fillId="0" borderId="0" xfId="116" applyNumberFormat="1" applyFont="1" applyAlignment="1">
      <alignment horizontal="left"/>
    </xf>
    <xf numFmtId="0" fontId="31" fillId="0" borderId="32" xfId="0" applyFont="1" applyBorder="1" applyAlignment="1">
      <alignment wrapText="1"/>
    </xf>
    <xf numFmtId="10" fontId="31" fillId="0" borderId="32" xfId="0" applyNumberFormat="1" applyFont="1" applyBorder="1" applyAlignment="1">
      <alignment horizontal="center"/>
    </xf>
    <xf numFmtId="2" fontId="31" fillId="0" borderId="0" xfId="0" applyNumberFormat="1" applyFont="1"/>
    <xf numFmtId="0" fontId="31" fillId="0" borderId="99" xfId="0" applyFont="1" applyBorder="1"/>
    <xf numFmtId="0" fontId="31" fillId="0" borderId="113" xfId="0" applyFont="1" applyBorder="1" applyAlignment="1">
      <alignment horizontal="center"/>
    </xf>
    <xf numFmtId="0" fontId="31" fillId="0" borderId="101" xfId="0" applyFont="1" applyBorder="1"/>
    <xf numFmtId="0" fontId="31" fillId="0" borderId="106" xfId="0" applyFont="1" applyBorder="1" applyAlignment="1">
      <alignment horizontal="center"/>
    </xf>
    <xf numFmtId="2" fontId="31" fillId="0" borderId="101" xfId="0" applyNumberFormat="1" applyFont="1" applyBorder="1" applyAlignment="1">
      <alignment horizontal="center"/>
    </xf>
    <xf numFmtId="10" fontId="31" fillId="0" borderId="101" xfId="0" applyNumberFormat="1" applyFont="1" applyBorder="1" applyAlignment="1">
      <alignment horizontal="center"/>
    </xf>
    <xf numFmtId="10" fontId="31" fillId="31" borderId="101" xfId="0" applyNumberFormat="1" applyFont="1" applyFill="1" applyBorder="1" applyAlignment="1">
      <alignment horizontal="center"/>
    </xf>
    <xf numFmtId="0" fontId="31" fillId="0" borderId="101" xfId="0" applyFont="1" applyBorder="1" applyAlignment="1">
      <alignment wrapText="1"/>
    </xf>
    <xf numFmtId="2" fontId="31" fillId="31" borderId="101" xfId="0" applyNumberFormat="1" applyFont="1" applyFill="1" applyBorder="1" applyAlignment="1">
      <alignment horizontal="center"/>
    </xf>
    <xf numFmtId="0" fontId="31" fillId="0" borderId="103" xfId="0" applyFont="1" applyBorder="1" applyAlignment="1">
      <alignment wrapText="1"/>
    </xf>
    <xf numFmtId="0" fontId="31" fillId="0" borderId="114" xfId="0" applyFont="1" applyBorder="1" applyAlignment="1">
      <alignment horizontal="center"/>
    </xf>
    <xf numFmtId="10" fontId="31" fillId="0" borderId="103" xfId="0" applyNumberFormat="1" applyFont="1" applyBorder="1" applyAlignment="1">
      <alignment horizontal="center"/>
    </xf>
    <xf numFmtId="2" fontId="31" fillId="31" borderId="103" xfId="0" applyNumberFormat="1" applyFont="1" applyFill="1" applyBorder="1" applyAlignment="1">
      <alignment horizontal="center"/>
    </xf>
    <xf numFmtId="0" fontId="31" fillId="0" borderId="99" xfId="0" applyFont="1" applyBorder="1" applyAlignment="1">
      <alignment wrapText="1"/>
    </xf>
    <xf numFmtId="2" fontId="31" fillId="0" borderId="99" xfId="0" applyNumberFormat="1" applyFont="1" applyBorder="1" applyAlignment="1">
      <alignment horizontal="center"/>
    </xf>
    <xf numFmtId="10" fontId="31" fillId="31" borderId="99" xfId="0" applyNumberFormat="1" applyFont="1" applyFill="1" applyBorder="1" applyAlignment="1">
      <alignment horizontal="center"/>
    </xf>
    <xf numFmtId="2" fontId="31" fillId="0" borderId="33" xfId="0" applyNumberFormat="1" applyFont="1" applyBorder="1" applyAlignment="1">
      <alignment horizontal="center"/>
    </xf>
    <xf numFmtId="0" fontId="31" fillId="0" borderId="109" xfId="0" applyFont="1" applyBorder="1" applyAlignment="1">
      <alignment wrapText="1"/>
    </xf>
    <xf numFmtId="0" fontId="103" fillId="0" borderId="0" xfId="240" applyFont="1"/>
    <xf numFmtId="0" fontId="161" fillId="0" borderId="0" xfId="240" applyFont="1"/>
    <xf numFmtId="49" fontId="29" fillId="0" borderId="39" xfId="5" applyNumberFormat="1" applyFont="1" applyBorder="1" applyAlignment="1">
      <alignment horizontal="right" vertical="center" wrapText="1"/>
    </xf>
    <xf numFmtId="0" fontId="29" fillId="31" borderId="79" xfId="5" applyFont="1" applyFill="1" applyBorder="1" applyAlignment="1">
      <alignment vertical="center" wrapText="1"/>
    </xf>
    <xf numFmtId="49" fontId="29" fillId="31" borderId="39" xfId="5" applyNumberFormat="1" applyFont="1" applyFill="1" applyBorder="1" applyAlignment="1">
      <alignment horizontal="right" vertical="center" wrapText="1"/>
    </xf>
    <xf numFmtId="0" fontId="29" fillId="31" borderId="1" xfId="0" applyFont="1" applyFill="1" applyBorder="1" applyAlignment="1">
      <alignment vertical="center" wrapText="1"/>
    </xf>
    <xf numFmtId="49" fontId="29" fillId="31" borderId="39" xfId="240" applyNumberFormat="1" applyFont="1" applyFill="1" applyBorder="1" applyAlignment="1">
      <alignment horizontal="right" vertical="center" wrapText="1"/>
    </xf>
    <xf numFmtId="0" fontId="29" fillId="31" borderId="3" xfId="240" applyFont="1" applyFill="1" applyBorder="1" applyAlignment="1">
      <alignment vertical="center" wrapText="1"/>
    </xf>
    <xf numFmtId="0" fontId="29" fillId="31" borderId="3" xfId="240" applyFont="1" applyFill="1" applyBorder="1" applyAlignment="1">
      <alignment horizontal="left" vertical="center" wrapText="1" indent="1"/>
    </xf>
    <xf numFmtId="49" fontId="29" fillId="31" borderId="39" xfId="240" applyNumberFormat="1" applyFont="1" applyFill="1" applyBorder="1" applyAlignment="1">
      <alignment horizontal="center" vertical="center" wrapText="1"/>
    </xf>
    <xf numFmtId="0" fontId="29" fillId="31" borderId="79" xfId="240" applyFont="1" applyFill="1" applyBorder="1" applyAlignment="1">
      <alignment horizontal="center" vertical="center" wrapText="1"/>
    </xf>
    <xf numFmtId="49" fontId="29" fillId="31" borderId="1" xfId="240" applyNumberFormat="1" applyFont="1" applyFill="1" applyBorder="1" applyAlignment="1">
      <alignment horizontal="center" vertical="center" wrapText="1"/>
    </xf>
    <xf numFmtId="49" fontId="29" fillId="31" borderId="8" xfId="240" applyNumberFormat="1" applyFont="1" applyFill="1" applyBorder="1" applyAlignment="1">
      <alignment horizontal="center" vertical="center" wrapText="1"/>
    </xf>
    <xf numFmtId="0" fontId="29" fillId="31" borderId="41" xfId="240" applyFont="1" applyFill="1" applyBorder="1" applyAlignment="1">
      <alignment horizontal="center" vertical="center" wrapText="1"/>
    </xf>
    <xf numFmtId="49" fontId="29" fillId="31" borderId="40" xfId="240" applyNumberFormat="1" applyFont="1" applyFill="1" applyBorder="1" applyAlignment="1">
      <alignment horizontal="center" vertical="center" wrapText="1"/>
    </xf>
    <xf numFmtId="0" fontId="29" fillId="31" borderId="1" xfId="240" applyFont="1" applyFill="1" applyBorder="1" applyAlignment="1">
      <alignment vertical="center" wrapText="1"/>
    </xf>
    <xf numFmtId="49" fontId="33" fillId="0" borderId="39" xfId="5" applyNumberFormat="1" applyFont="1" applyBorder="1" applyAlignment="1">
      <alignment horizontal="right" vertical="center" wrapText="1"/>
    </xf>
    <xf numFmtId="0" fontId="33" fillId="31" borderId="3" xfId="240" applyFont="1" applyFill="1" applyBorder="1" applyAlignment="1">
      <alignment vertical="center" wrapText="1"/>
    </xf>
    <xf numFmtId="0" fontId="33" fillId="0" borderId="1" xfId="5" applyFont="1" applyBorder="1" applyAlignment="1">
      <alignment vertical="center" wrapText="1"/>
    </xf>
    <xf numFmtId="0" fontId="33" fillId="0" borderId="79" xfId="5" applyFont="1" applyBorder="1" applyAlignment="1">
      <alignment vertical="center" wrapText="1"/>
    </xf>
    <xf numFmtId="0" fontId="33" fillId="31" borderId="1" xfId="0" applyFont="1" applyFill="1" applyBorder="1" applyAlignment="1">
      <alignment vertical="center" wrapText="1"/>
    </xf>
    <xf numFmtId="180" fontId="36" fillId="0" borderId="40" xfId="240" applyNumberFormat="1" applyFont="1" applyBorder="1" applyAlignment="1">
      <alignment horizontal="center" vertical="center" wrapText="1"/>
    </xf>
    <xf numFmtId="0" fontId="33" fillId="0" borderId="9" xfId="240" applyFont="1" applyBorder="1" applyAlignment="1">
      <alignment horizontal="center" vertical="center" wrapText="1"/>
    </xf>
    <xf numFmtId="0" fontId="29" fillId="0" borderId="9" xfId="240" applyFont="1" applyBorder="1" applyAlignment="1">
      <alignment horizontal="center" vertical="center" wrapText="1"/>
    </xf>
    <xf numFmtId="0" fontId="29" fillId="31" borderId="8" xfId="240" applyFont="1" applyFill="1" applyBorder="1" applyAlignment="1">
      <alignment horizontal="center" vertical="center" wrapText="1"/>
    </xf>
    <xf numFmtId="0" fontId="33" fillId="0" borderId="8" xfId="240" applyFont="1" applyBorder="1" applyAlignment="1">
      <alignment horizontal="center" vertical="center" wrapText="1"/>
    </xf>
    <xf numFmtId="0" fontId="33" fillId="0" borderId="80" xfId="240" applyFont="1" applyBorder="1" applyAlignment="1">
      <alignment horizontal="center" vertical="center" wrapText="1"/>
    </xf>
    <xf numFmtId="4" fontId="37" fillId="0" borderId="45" xfId="240" applyNumberFormat="1" applyFont="1" applyBorder="1" applyAlignment="1" applyProtection="1">
      <alignment horizontal="center" vertical="center" wrapText="1"/>
      <protection locked="0"/>
    </xf>
    <xf numFmtId="179" fontId="39" fillId="0" borderId="0" xfId="116" applyNumberFormat="1" applyFont="1"/>
    <xf numFmtId="179" fontId="140" fillId="0" borderId="0" xfId="116" applyNumberFormat="1" applyFont="1" applyAlignment="1">
      <alignment horizontal="center"/>
    </xf>
    <xf numFmtId="2" fontId="161" fillId="0" borderId="0" xfId="240" applyNumberFormat="1" applyFont="1"/>
    <xf numFmtId="4" fontId="36" fillId="33" borderId="39" xfId="240" applyNumberFormat="1" applyFont="1" applyFill="1" applyBorder="1" applyAlignment="1">
      <alignment horizontal="center" vertical="center" wrapText="1"/>
    </xf>
    <xf numFmtId="4" fontId="36" fillId="33" borderId="1" xfId="240" applyNumberFormat="1" applyFont="1" applyFill="1" applyBorder="1" applyAlignment="1">
      <alignment horizontal="center" vertical="center" wrapText="1"/>
    </xf>
    <xf numFmtId="4" fontId="36" fillId="33" borderId="1" xfId="240" applyNumberFormat="1" applyFont="1" applyFill="1" applyBorder="1" applyAlignment="1" applyProtection="1">
      <alignment horizontal="center" vertical="center" wrapText="1"/>
      <protection locked="0"/>
    </xf>
    <xf numFmtId="4" fontId="37" fillId="0" borderId="43" xfId="240" applyNumberFormat="1" applyFont="1" applyBorder="1" applyAlignment="1">
      <alignment horizontal="center" vertical="center" wrapText="1"/>
    </xf>
    <xf numFmtId="4" fontId="36" fillId="0" borderId="52" xfId="240" applyNumberFormat="1" applyFont="1" applyBorder="1" applyAlignment="1" applyProtection="1">
      <alignment horizontal="center" vertical="center" wrapText="1"/>
      <protection locked="0"/>
    </xf>
    <xf numFmtId="0" fontId="32" fillId="0" borderId="1" xfId="0" applyFont="1" applyBorder="1"/>
    <xf numFmtId="4" fontId="37" fillId="0" borderId="52" xfId="240" applyNumberFormat="1" applyFont="1" applyBorder="1" applyAlignment="1">
      <alignment horizontal="center" vertical="center" wrapText="1"/>
    </xf>
    <xf numFmtId="4" fontId="36" fillId="0" borderId="52" xfId="240" applyNumberFormat="1" applyFont="1" applyBorder="1" applyAlignment="1">
      <alignment horizontal="center" vertical="center" wrapText="1"/>
    </xf>
    <xf numFmtId="4" fontId="37" fillId="0" borderId="7" xfId="240" applyNumberFormat="1" applyFont="1" applyBorder="1" applyAlignment="1">
      <alignment horizontal="center" vertical="center" wrapText="1"/>
    </xf>
    <xf numFmtId="4" fontId="36" fillId="0" borderId="7" xfId="240" applyNumberFormat="1" applyFont="1" applyBorder="1" applyAlignment="1">
      <alignment horizontal="center" vertical="center" wrapText="1"/>
    </xf>
    <xf numFmtId="4" fontId="37" fillId="0" borderId="53" xfId="240" applyNumberFormat="1" applyFont="1" applyBorder="1" applyAlignment="1" applyProtection="1">
      <alignment horizontal="center" vertical="center" wrapText="1"/>
      <protection locked="0"/>
    </xf>
    <xf numFmtId="4" fontId="37" fillId="0" borderId="54" xfId="240" applyNumberFormat="1" applyFont="1" applyBorder="1" applyAlignment="1" applyProtection="1">
      <alignment horizontal="center" vertical="center" wrapText="1"/>
      <protection locked="0"/>
    </xf>
    <xf numFmtId="0" fontId="149" fillId="0" borderId="1" xfId="505" applyFont="1" applyBorder="1" applyAlignment="1" applyProtection="1">
      <alignment horizontal="center" vertical="center" wrapText="1"/>
      <protection hidden="1"/>
    </xf>
    <xf numFmtId="0" fontId="90" fillId="0" borderId="0" xfId="116" applyFont="1" applyAlignment="1">
      <alignment horizontal="center"/>
    </xf>
    <xf numFmtId="2" fontId="39" fillId="0" borderId="0" xfId="116" applyNumberFormat="1" applyFont="1" applyAlignment="1">
      <alignment horizontal="center"/>
    </xf>
    <xf numFmtId="0" fontId="144" fillId="0" borderId="0" xfId="116" applyFont="1" applyAlignment="1">
      <alignment horizontal="center"/>
    </xf>
    <xf numFmtId="187" fontId="140" fillId="0" borderId="0" xfId="116" applyNumberFormat="1" applyFont="1" applyAlignment="1">
      <alignment horizontal="center"/>
    </xf>
    <xf numFmtId="2" fontId="144" fillId="0" borderId="0" xfId="116" applyNumberFormat="1" applyFont="1" applyAlignment="1">
      <alignment horizontal="center"/>
    </xf>
    <xf numFmtId="2" fontId="90" fillId="0" borderId="0" xfId="116" applyNumberFormat="1" applyFont="1" applyAlignment="1">
      <alignment horizontal="center"/>
    </xf>
    <xf numFmtId="2" fontId="140" fillId="0" borderId="0" xfId="116" applyNumberFormat="1" applyFont="1" applyAlignment="1">
      <alignment horizontal="center"/>
    </xf>
    <xf numFmtId="4" fontId="118" fillId="0" borderId="0" xfId="116" applyNumberFormat="1" applyFont="1" applyAlignment="1">
      <alignment horizontal="left"/>
    </xf>
    <xf numFmtId="2" fontId="168" fillId="0" borderId="0" xfId="0" applyNumberFormat="1" applyFont="1"/>
    <xf numFmtId="4" fontId="123" fillId="63" borderId="115" xfId="0" applyNumberFormat="1" applyFont="1" applyFill="1" applyBorder="1" applyAlignment="1">
      <alignment horizontal="right" vertical="center" wrapText="1"/>
    </xf>
    <xf numFmtId="191" fontId="123" fillId="63" borderId="115" xfId="0" applyNumberFormat="1" applyFont="1" applyFill="1" applyBorder="1" applyAlignment="1">
      <alignment horizontal="right" vertical="center" wrapText="1"/>
    </xf>
    <xf numFmtId="191" fontId="23" fillId="0" borderId="0" xfId="240" applyNumberFormat="1" applyFont="1"/>
    <xf numFmtId="2" fontId="168" fillId="30" borderId="0" xfId="0" applyNumberFormat="1" applyFont="1" applyFill="1"/>
    <xf numFmtId="4" fontId="37" fillId="0" borderId="44" xfId="240" applyNumberFormat="1" applyFont="1" applyBorder="1" applyAlignment="1" applyProtection="1">
      <alignment horizontal="center" vertical="center" wrapText="1"/>
      <protection locked="0"/>
    </xf>
    <xf numFmtId="4" fontId="37" fillId="0" borderId="46" xfId="240" applyNumberFormat="1" applyFont="1" applyBorder="1" applyAlignment="1" applyProtection="1">
      <alignment horizontal="center" vertical="center" wrapText="1"/>
      <protection locked="0"/>
    </xf>
    <xf numFmtId="4" fontId="37" fillId="0" borderId="42" xfId="240" applyNumberFormat="1" applyFont="1" applyBorder="1" applyAlignment="1">
      <alignment horizontal="center" vertical="center" wrapText="1"/>
    </xf>
    <xf numFmtId="4" fontId="37" fillId="0" borderId="3" xfId="240" applyNumberFormat="1" applyFont="1" applyBorder="1" applyAlignment="1">
      <alignment horizontal="center" vertical="center" wrapText="1"/>
    </xf>
    <xf numFmtId="0" fontId="28" fillId="0" borderId="1" xfId="0" applyFont="1" applyBorder="1" applyAlignment="1">
      <alignment vertical="center" wrapText="1"/>
    </xf>
    <xf numFmtId="4" fontId="29" fillId="0" borderId="1" xfId="6" applyNumberFormat="1" applyFont="1" applyBorder="1" applyAlignment="1">
      <alignment horizontal="center" vertical="center" wrapText="1"/>
    </xf>
    <xf numFmtId="0" fontId="30" fillId="0" borderId="0" xfId="554" applyFont="1"/>
    <xf numFmtId="1" fontId="31" fillId="0" borderId="40" xfId="0" applyNumberFormat="1" applyFont="1" applyBorder="1" applyAlignment="1">
      <alignment horizontal="center" vertical="center" wrapText="1"/>
    </xf>
    <xf numFmtId="1" fontId="31" fillId="0" borderId="39" xfId="0" applyNumberFormat="1" applyFont="1" applyBorder="1" applyAlignment="1">
      <alignment horizontal="center" vertical="center" wrapText="1"/>
    </xf>
    <xf numFmtId="177" fontId="31" fillId="0" borderId="1" xfId="0" applyNumberFormat="1" applyFont="1" applyBorder="1" applyAlignment="1">
      <alignment horizontal="center" vertical="center" wrapText="1"/>
    </xf>
    <xf numFmtId="175" fontId="31" fillId="0" borderId="1" xfId="0" applyNumberFormat="1" applyFont="1" applyBorder="1" applyAlignment="1">
      <alignment horizontal="center" vertical="center" wrapText="1"/>
    </xf>
    <xf numFmtId="0" fontId="30" fillId="34" borderId="32" xfId="552" applyFont="1" applyFill="1" applyBorder="1" applyAlignment="1">
      <alignment horizontal="left" textRotation="90" wrapText="1"/>
    </xf>
    <xf numFmtId="0" fontId="107" fillId="0" borderId="0" xfId="6" applyFont="1"/>
    <xf numFmtId="1" fontId="0" fillId="0" borderId="0" xfId="0" applyNumberFormat="1"/>
    <xf numFmtId="2" fontId="0" fillId="0" borderId="0" xfId="0" applyNumberFormat="1"/>
    <xf numFmtId="0" fontId="7" fillId="0" borderId="0" xfId="6" applyFont="1"/>
    <xf numFmtId="2" fontId="0" fillId="0" borderId="0" xfId="0" applyNumberFormat="1" applyAlignment="1">
      <alignment horizontal="center"/>
    </xf>
    <xf numFmtId="1" fontId="29" fillId="0" borderId="1" xfId="6" applyNumberFormat="1" applyFont="1" applyBorder="1" applyAlignment="1">
      <alignment horizontal="center" vertical="center" wrapText="1"/>
    </xf>
    <xf numFmtId="0" fontId="18" fillId="0" borderId="0" xfId="6" applyFont="1"/>
    <xf numFmtId="49" fontId="30" fillId="0" borderId="1" xfId="6" applyNumberFormat="1" applyFont="1" applyBorder="1" applyAlignment="1">
      <alignment horizontal="right" vertical="center" wrapText="1"/>
    </xf>
    <xf numFmtId="0" fontId="90" fillId="0" borderId="23" xfId="532" applyFont="1" applyBorder="1" applyAlignment="1">
      <alignment horizontal="center" vertical="center" wrapText="1"/>
    </xf>
    <xf numFmtId="0" fontId="131" fillId="2" borderId="88" xfId="177" applyFont="1" applyFill="1" applyBorder="1" applyAlignment="1">
      <alignment horizontal="center" vertical="center" wrapText="1"/>
    </xf>
    <xf numFmtId="4" fontId="118" fillId="2" borderId="88" xfId="177" applyNumberFormat="1" applyFont="1" applyFill="1" applyBorder="1" applyAlignment="1">
      <alignment horizontal="center" vertical="center" wrapText="1"/>
    </xf>
    <xf numFmtId="0" fontId="131" fillId="0" borderId="88" xfId="177" applyFont="1" applyBorder="1" applyAlignment="1">
      <alignment horizontal="center" vertical="center" wrapText="1"/>
    </xf>
    <xf numFmtId="4" fontId="131" fillId="0" borderId="88" xfId="177" applyNumberFormat="1" applyFont="1" applyBorder="1" applyAlignment="1">
      <alignment horizontal="center" vertical="center" wrapText="1"/>
    </xf>
    <xf numFmtId="0" fontId="118" fillId="0" borderId="88" xfId="177" applyFont="1" applyBorder="1" applyAlignment="1">
      <alignment horizontal="center" vertical="center" wrapText="1"/>
    </xf>
    <xf numFmtId="4" fontId="118" fillId="0" borderId="88" xfId="177" applyNumberFormat="1" applyFont="1" applyBorder="1" applyAlignment="1">
      <alignment horizontal="center" vertical="center" wrapText="1"/>
    </xf>
    <xf numFmtId="0" fontId="131" fillId="31" borderId="6" xfId="177" applyFont="1" applyFill="1" applyBorder="1" applyAlignment="1">
      <alignment horizontal="center" vertical="center"/>
    </xf>
    <xf numFmtId="4" fontId="131" fillId="31" borderId="6" xfId="177" applyNumberFormat="1" applyFont="1" applyFill="1" applyBorder="1" applyAlignment="1">
      <alignment horizontal="center" vertical="center"/>
    </xf>
    <xf numFmtId="0" fontId="39" fillId="0" borderId="28" xfId="116" applyFont="1" applyBorder="1"/>
    <xf numFmtId="177" fontId="144" fillId="0" borderId="0" xfId="116" applyNumberFormat="1" applyFont="1" applyAlignment="1">
      <alignment horizontal="center"/>
    </xf>
    <xf numFmtId="4" fontId="37" fillId="59" borderId="40" xfId="240" applyNumberFormat="1" applyFont="1" applyFill="1" applyBorder="1" applyAlignment="1">
      <alignment horizontal="center" vertical="center" wrapText="1"/>
    </xf>
    <xf numFmtId="0" fontId="31" fillId="0" borderId="0" xfId="556" applyFont="1" applyAlignment="1">
      <alignment vertical="top" wrapText="1"/>
    </xf>
    <xf numFmtId="0" fontId="4" fillId="0" borderId="0" xfId="555"/>
    <xf numFmtId="0" fontId="39" fillId="0" borderId="1" xfId="555" applyFont="1" applyBorder="1" applyAlignment="1">
      <alignment horizontal="center" vertical="center" wrapText="1"/>
    </xf>
    <xf numFmtId="0" fontId="90" fillId="0" borderId="0" xfId="555" applyFont="1" applyAlignment="1">
      <alignment horizontal="left" vertical="center"/>
    </xf>
    <xf numFmtId="0" fontId="90" fillId="0" borderId="3" xfId="555" applyFont="1" applyBorder="1" applyAlignment="1">
      <alignment horizontal="left" vertical="center" wrapText="1"/>
    </xf>
    <xf numFmtId="0" fontId="90" fillId="0" borderId="1" xfId="555" applyFont="1" applyBorder="1" applyAlignment="1">
      <alignment vertical="center" wrapText="1"/>
    </xf>
    <xf numFmtId="0" fontId="122" fillId="0" borderId="1" xfId="555" applyFont="1" applyBorder="1" applyAlignment="1">
      <alignment vertical="center" wrapText="1"/>
    </xf>
    <xf numFmtId="177" fontId="90" fillId="0" borderId="1" xfId="555" applyNumberFormat="1" applyFont="1" applyBorder="1" applyAlignment="1">
      <alignment horizontal="center" vertical="center" wrapText="1"/>
    </xf>
    <xf numFmtId="0" fontId="90" fillId="0" borderId="10" xfId="555" applyFont="1" applyBorder="1" applyAlignment="1">
      <alignment horizontal="center" vertical="center" wrapText="1"/>
    </xf>
    <xf numFmtId="0" fontId="90" fillId="0" borderId="8" xfId="555" applyFont="1" applyBorder="1" applyAlignment="1">
      <alignment horizontal="center" vertical="center" wrapText="1"/>
    </xf>
    <xf numFmtId="0" fontId="122" fillId="0" borderId="39" xfId="555" applyFont="1" applyBorder="1" applyAlignment="1">
      <alignment vertical="center" wrapText="1"/>
    </xf>
    <xf numFmtId="177" fontId="90" fillId="0" borderId="39" xfId="555" applyNumberFormat="1" applyFont="1" applyBorder="1" applyAlignment="1">
      <alignment horizontal="center" vertical="center" wrapText="1"/>
    </xf>
    <xf numFmtId="2" fontId="90" fillId="0" borderId="40" xfId="555" applyNumberFormat="1" applyFont="1" applyBorder="1" applyAlignment="1">
      <alignment horizontal="center" vertical="center" wrapText="1"/>
    </xf>
    <xf numFmtId="179" fontId="29" fillId="0" borderId="0" xfId="240" applyNumberFormat="1" applyFont="1" applyAlignment="1">
      <alignment horizontal="left" vertical="top" wrapText="1"/>
    </xf>
    <xf numFmtId="2" fontId="4" fillId="0" borderId="0" xfId="555" applyNumberFormat="1"/>
    <xf numFmtId="49" fontId="40" fillId="0" borderId="39" xfId="555" applyNumberFormat="1" applyFont="1" applyBorder="1" applyAlignment="1">
      <alignment horizontal="center" vertical="center"/>
    </xf>
    <xf numFmtId="0" fontId="122" fillId="0" borderId="41" xfId="555" applyFont="1" applyBorder="1" applyAlignment="1">
      <alignment vertical="center" wrapText="1"/>
    </xf>
    <xf numFmtId="0" fontId="90" fillId="0" borderId="39" xfId="555" applyFont="1" applyBorder="1" applyAlignment="1">
      <alignment vertical="center" wrapText="1"/>
    </xf>
    <xf numFmtId="0" fontId="90" fillId="0" borderId="44" xfId="555" applyFont="1" applyBorder="1" applyAlignment="1">
      <alignment vertical="center" wrapText="1"/>
    </xf>
    <xf numFmtId="2" fontId="90" fillId="0" borderId="57" xfId="555" applyNumberFormat="1" applyFont="1" applyBorder="1" applyAlignment="1">
      <alignment horizontal="center" vertical="center" wrapText="1"/>
    </xf>
    <xf numFmtId="2" fontId="90" fillId="0" borderId="44" xfId="555" applyNumberFormat="1" applyFont="1" applyBorder="1" applyAlignment="1">
      <alignment horizontal="center" vertical="center" wrapText="1"/>
    </xf>
    <xf numFmtId="2" fontId="90" fillId="0" borderId="58" xfId="555" applyNumberFormat="1" applyFont="1" applyBorder="1" applyAlignment="1">
      <alignment horizontal="center" vertical="center" wrapText="1"/>
    </xf>
    <xf numFmtId="2" fontId="90" fillId="0" borderId="59" xfId="555" applyNumberFormat="1" applyFont="1" applyBorder="1" applyAlignment="1">
      <alignment horizontal="center" vertical="center" wrapText="1"/>
    </xf>
    <xf numFmtId="2" fontId="90" fillId="0" borderId="1" xfId="555" applyNumberFormat="1" applyFont="1" applyBorder="1" applyAlignment="1">
      <alignment horizontal="center" vertical="center" wrapText="1"/>
    </xf>
    <xf numFmtId="2" fontId="90" fillId="0" borderId="45" xfId="555" applyNumberFormat="1" applyFont="1" applyBorder="1" applyAlignment="1">
      <alignment horizontal="center" vertical="center" wrapText="1"/>
    </xf>
    <xf numFmtId="2" fontId="90" fillId="0" borderId="46" xfId="555" applyNumberFormat="1" applyFont="1" applyBorder="1" applyAlignment="1">
      <alignment horizontal="center" vertical="center" wrapText="1"/>
    </xf>
    <xf numFmtId="0" fontId="81" fillId="0" borderId="30" xfId="0" applyFont="1" applyBorder="1"/>
    <xf numFmtId="0" fontId="32" fillId="0" borderId="36" xfId="0" applyFont="1" applyBorder="1"/>
    <xf numFmtId="0" fontId="81" fillId="0" borderId="26" xfId="0" applyFont="1" applyBorder="1"/>
    <xf numFmtId="0" fontId="32" fillId="0" borderId="34" xfId="0" applyFont="1" applyBorder="1"/>
    <xf numFmtId="0" fontId="32" fillId="0" borderId="26" xfId="0" applyFont="1" applyBorder="1"/>
    <xf numFmtId="0" fontId="32" fillId="0" borderId="33" xfId="0" applyFont="1" applyBorder="1" applyAlignment="1">
      <alignment horizontal="center"/>
    </xf>
    <xf numFmtId="0" fontId="32" fillId="0" borderId="28" xfId="0" applyFont="1" applyBorder="1" applyAlignment="1">
      <alignment wrapText="1"/>
    </xf>
    <xf numFmtId="0" fontId="32" fillId="0" borderId="30" xfId="0" applyFont="1" applyBorder="1" applyAlignment="1">
      <alignment wrapText="1"/>
    </xf>
    <xf numFmtId="0" fontId="32" fillId="0" borderId="6" xfId="0" applyFont="1" applyBorder="1" applyAlignment="1">
      <alignment horizontal="center" wrapText="1"/>
    </xf>
    <xf numFmtId="0" fontId="32" fillId="0" borderId="26" xfId="0" applyFont="1" applyBorder="1" applyAlignment="1">
      <alignment wrapText="1"/>
    </xf>
    <xf numFmtId="0" fontId="32" fillId="0" borderId="34" xfId="0" applyFont="1" applyBorder="1" applyAlignment="1">
      <alignment horizontal="center" wrapText="1"/>
    </xf>
    <xf numFmtId="0" fontId="31" fillId="0" borderId="32" xfId="0" applyFont="1" applyBorder="1"/>
    <xf numFmtId="0" fontId="30" fillId="0" borderId="32" xfId="0" applyFont="1" applyBorder="1" applyAlignment="1">
      <alignment horizontal="center" wrapText="1"/>
    </xf>
    <xf numFmtId="179" fontId="32" fillId="0" borderId="32" xfId="0" applyNumberFormat="1" applyFont="1" applyBorder="1" applyAlignment="1">
      <alignment horizontal="center"/>
    </xf>
    <xf numFmtId="10" fontId="32" fillId="0" borderId="32" xfId="0" applyNumberFormat="1" applyFont="1" applyBorder="1" applyAlignment="1">
      <alignment horizontal="center"/>
    </xf>
    <xf numFmtId="0" fontId="32" fillId="0" borderId="23" xfId="0" applyFont="1" applyBorder="1" applyAlignment="1">
      <alignment horizontal="left" indent="1"/>
    </xf>
    <xf numFmtId="0" fontId="32" fillId="0" borderId="23" xfId="0" applyFont="1" applyBorder="1"/>
    <xf numFmtId="10" fontId="32" fillId="0" borderId="6" xfId="0" applyNumberFormat="1" applyFont="1" applyBorder="1" applyAlignment="1">
      <alignment horizontal="center"/>
    </xf>
    <xf numFmtId="0" fontId="32" fillId="0" borderId="6" xfId="0" applyFont="1" applyBorder="1"/>
    <xf numFmtId="0" fontId="134" fillId="0" borderId="67" xfId="554" applyFont="1" applyBorder="1" applyAlignment="1">
      <alignment horizontal="center" vertical="top" wrapText="1"/>
    </xf>
    <xf numFmtId="0" fontId="134" fillId="0" borderId="67" xfId="554" applyFont="1" applyBorder="1" applyAlignment="1">
      <alignment vertical="top" wrapText="1"/>
    </xf>
    <xf numFmtId="0" fontId="39" fillId="0" borderId="67" xfId="554" applyFont="1" applyBorder="1" applyAlignment="1">
      <alignment horizontal="center" vertical="top" wrapText="1"/>
    </xf>
    <xf numFmtId="2" fontId="134" fillId="0" borderId="67" xfId="554" applyNumberFormat="1" applyFont="1" applyBorder="1" applyAlignment="1">
      <alignment horizontal="center" vertical="top" wrapText="1"/>
    </xf>
    <xf numFmtId="0" fontId="134" fillId="0" borderId="68" xfId="554" applyFont="1" applyBorder="1" applyAlignment="1">
      <alignment horizontal="center" vertical="top" wrapText="1"/>
    </xf>
    <xf numFmtId="0" fontId="134" fillId="0" borderId="68" xfId="554" applyFont="1" applyBorder="1" applyAlignment="1">
      <alignment vertical="top" wrapText="1"/>
    </xf>
    <xf numFmtId="0" fontId="122" fillId="0" borderId="48" xfId="555" applyFont="1" applyBorder="1" applyAlignment="1">
      <alignment vertical="center" wrapText="1"/>
    </xf>
    <xf numFmtId="49" fontId="40" fillId="0" borderId="52" xfId="555" applyNumberFormat="1" applyFont="1" applyBorder="1" applyAlignment="1">
      <alignment horizontal="center" vertical="center"/>
    </xf>
    <xf numFmtId="49" fontId="31" fillId="0" borderId="52" xfId="555" applyNumberFormat="1" applyFont="1" applyBorder="1" applyAlignment="1">
      <alignment horizontal="center" vertical="center"/>
    </xf>
    <xf numFmtId="0" fontId="90" fillId="0" borderId="39" xfId="555" applyFont="1" applyBorder="1" applyAlignment="1">
      <alignment horizontal="left" vertical="center" wrapText="1" indent="1"/>
    </xf>
    <xf numFmtId="49" fontId="31" fillId="0" borderId="67" xfId="555" applyNumberFormat="1" applyFont="1" applyBorder="1" applyAlignment="1">
      <alignment horizontal="center" vertical="center"/>
    </xf>
    <xf numFmtId="0" fontId="122" fillId="0" borderId="1" xfId="555" applyFont="1" applyBorder="1" applyAlignment="1">
      <alignment horizontal="left" vertical="center" wrapText="1"/>
    </xf>
    <xf numFmtId="49" fontId="40" fillId="0" borderId="41" xfId="555" applyNumberFormat="1" applyFont="1" applyBorder="1" applyAlignment="1">
      <alignment horizontal="center" vertical="center"/>
    </xf>
    <xf numFmtId="0" fontId="122" fillId="0" borderId="45" xfId="555" applyFont="1" applyBorder="1" applyAlignment="1">
      <alignment vertical="center" wrapText="1"/>
    </xf>
    <xf numFmtId="0" fontId="90" fillId="0" borderId="55" xfId="555" applyFont="1" applyBorder="1" applyAlignment="1">
      <alignment horizontal="center" vertical="center" wrapText="1"/>
    </xf>
    <xf numFmtId="49" fontId="40" fillId="0" borderId="68" xfId="555" applyNumberFormat="1" applyFont="1" applyBorder="1" applyAlignment="1">
      <alignment horizontal="center" vertical="center"/>
    </xf>
    <xf numFmtId="0" fontId="122" fillId="0" borderId="44" xfId="555" applyFont="1" applyBorder="1" applyAlignment="1">
      <alignment horizontal="left" vertical="center" wrapText="1"/>
    </xf>
    <xf numFmtId="0" fontId="90" fillId="0" borderId="46" xfId="555" applyFont="1" applyBorder="1" applyAlignment="1">
      <alignment horizontal="center" vertical="center" wrapText="1"/>
    </xf>
    <xf numFmtId="0" fontId="30" fillId="0" borderId="58" xfId="0" applyFont="1" applyBorder="1" applyAlignment="1">
      <alignment vertical="center" wrapText="1"/>
    </xf>
    <xf numFmtId="0" fontId="90" fillId="0" borderId="107" xfId="555" applyFont="1" applyBorder="1" applyAlignment="1">
      <alignment horizontal="center" vertical="center" wrapText="1"/>
    </xf>
    <xf numFmtId="0" fontId="30" fillId="0" borderId="3" xfId="240" applyFont="1" applyBorder="1" applyAlignment="1">
      <alignment vertical="center" wrapText="1"/>
    </xf>
    <xf numFmtId="0" fontId="30" fillId="0" borderId="3" xfId="240" applyFont="1" applyBorder="1" applyAlignment="1">
      <alignment horizontal="left" vertical="center" wrapText="1" indent="1"/>
    </xf>
    <xf numFmtId="0" fontId="30" fillId="0" borderId="79" xfId="5" applyFont="1" applyBorder="1" applyAlignment="1">
      <alignment vertical="center" wrapText="1"/>
    </xf>
    <xf numFmtId="0" fontId="30" fillId="0" borderId="79" xfId="240" applyFont="1" applyBorder="1" applyAlignment="1">
      <alignment vertical="center" wrapText="1"/>
    </xf>
    <xf numFmtId="0" fontId="35" fillId="0" borderId="1" xfId="240" applyFont="1" applyBorder="1" applyAlignment="1">
      <alignment vertical="center" wrapText="1"/>
    </xf>
    <xf numFmtId="49" fontId="40" fillId="0" borderId="53" xfId="555" applyNumberFormat="1" applyFont="1" applyBorder="1" applyAlignment="1">
      <alignment horizontal="center" vertical="center"/>
    </xf>
    <xf numFmtId="0" fontId="35" fillId="0" borderId="45" xfId="240" applyFont="1" applyBorder="1" applyAlignment="1">
      <alignment vertical="center" wrapText="1"/>
    </xf>
    <xf numFmtId="0" fontId="122" fillId="0" borderId="46" xfId="555" applyFont="1" applyBorder="1" applyAlignment="1">
      <alignment horizontal="center" vertical="center" wrapText="1"/>
    </xf>
    <xf numFmtId="49" fontId="40" fillId="0" borderId="42" xfId="555" applyNumberFormat="1" applyFont="1" applyBorder="1" applyAlignment="1">
      <alignment horizontal="center" vertical="center"/>
    </xf>
    <xf numFmtId="0" fontId="122" fillId="0" borderId="51" xfId="555" applyFont="1" applyBorder="1" applyAlignment="1">
      <alignment vertical="center" wrapText="1"/>
    </xf>
    <xf numFmtId="0" fontId="90" fillId="0" borderId="70" xfId="555" applyFont="1" applyBorder="1" applyAlignment="1">
      <alignment horizontal="center" vertical="center" wrapText="1"/>
    </xf>
    <xf numFmtId="0" fontId="30" fillId="0" borderId="39" xfId="0" applyFont="1" applyBorder="1" applyAlignment="1">
      <alignment vertical="center" wrapText="1"/>
    </xf>
    <xf numFmtId="0" fontId="30" fillId="0" borderId="51" xfId="240" applyFont="1" applyBorder="1" applyAlignment="1">
      <alignment vertical="center" wrapText="1"/>
    </xf>
    <xf numFmtId="0" fontId="30" fillId="0" borderId="41" xfId="0" applyFont="1" applyBorder="1" applyAlignment="1">
      <alignment vertical="center" wrapText="1"/>
    </xf>
    <xf numFmtId="0" fontId="35" fillId="0" borderId="42" xfId="240" applyFont="1" applyBorder="1" applyAlignment="1">
      <alignment vertical="center" wrapText="1"/>
    </xf>
    <xf numFmtId="0" fontId="30" fillId="0" borderId="39" xfId="240" applyFont="1" applyBorder="1" applyAlignment="1">
      <alignment vertical="center" wrapText="1"/>
    </xf>
    <xf numFmtId="0" fontId="30" fillId="0" borderId="41" xfId="240" applyFont="1" applyBorder="1" applyAlignment="1">
      <alignment vertical="center" wrapText="1"/>
    </xf>
    <xf numFmtId="0" fontId="35" fillId="0" borderId="39" xfId="0" applyFont="1" applyBorder="1" applyAlignment="1">
      <alignment vertical="center" wrapText="1"/>
    </xf>
    <xf numFmtId="0" fontId="30" fillId="0" borderId="28" xfId="0" applyFont="1" applyBorder="1"/>
    <xf numFmtId="0" fontId="35" fillId="0" borderId="39" xfId="240" applyFont="1" applyBorder="1" applyAlignment="1">
      <alignment vertical="center" wrapText="1"/>
    </xf>
    <xf numFmtId="0" fontId="35" fillId="0" borderId="41" xfId="240" applyFont="1" applyBorder="1" applyAlignment="1">
      <alignment vertical="center" wrapText="1"/>
    </xf>
    <xf numFmtId="0" fontId="35" fillId="0" borderId="69" xfId="240" applyFont="1" applyBorder="1" applyAlignment="1">
      <alignment vertical="center" wrapText="1"/>
    </xf>
    <xf numFmtId="0" fontId="30" fillId="0" borderId="7" xfId="240" applyFont="1" applyBorder="1" applyAlignment="1">
      <alignment vertical="center" wrapText="1"/>
    </xf>
    <xf numFmtId="0" fontId="35" fillId="0" borderId="7" xfId="240" applyFont="1" applyBorder="1" applyAlignment="1">
      <alignment vertical="center" wrapText="1"/>
    </xf>
    <xf numFmtId="0" fontId="35" fillId="0" borderId="7" xfId="0" applyFont="1" applyBorder="1" applyAlignment="1">
      <alignment vertical="center" wrapText="1"/>
    </xf>
    <xf numFmtId="0" fontId="30" fillId="0" borderId="7" xfId="0" applyFont="1" applyBorder="1" applyAlignment="1">
      <alignment vertical="center" wrapText="1"/>
    </xf>
    <xf numFmtId="0" fontId="30" fillId="0" borderId="0" xfId="0" applyFont="1"/>
    <xf numFmtId="0" fontId="35" fillId="0" borderId="78" xfId="240" applyFont="1" applyBorder="1" applyAlignment="1">
      <alignment vertical="center" wrapText="1"/>
    </xf>
    <xf numFmtId="0" fontId="30" fillId="0" borderId="1" xfId="0" applyFont="1" applyBorder="1" applyAlignment="1">
      <alignment horizontal="left" vertical="center" wrapText="1" indent="1"/>
    </xf>
    <xf numFmtId="0" fontId="35" fillId="0" borderId="4" xfId="0" applyFont="1" applyBorder="1"/>
    <xf numFmtId="0" fontId="35" fillId="0" borderId="57" xfId="0" applyFont="1" applyBorder="1" applyAlignment="1">
      <alignment vertical="center" wrapText="1"/>
    </xf>
    <xf numFmtId="49" fontId="40" fillId="0" borderId="37" xfId="555" applyNumberFormat="1" applyFont="1" applyBorder="1" applyAlignment="1">
      <alignment horizontal="center" vertical="center"/>
    </xf>
    <xf numFmtId="0" fontId="30" fillId="0" borderId="57" xfId="0" applyFont="1" applyBorder="1" applyAlignment="1">
      <alignment vertical="center" wrapText="1"/>
    </xf>
    <xf numFmtId="0" fontId="30" fillId="0" borderId="42" xfId="240" applyFont="1" applyBorder="1" applyAlignment="1">
      <alignment vertical="center" wrapText="1"/>
    </xf>
    <xf numFmtId="0" fontId="30" fillId="0" borderId="42" xfId="240" applyFont="1" applyBorder="1" applyAlignment="1">
      <alignment horizontal="left" vertical="center" wrapText="1" indent="1"/>
    </xf>
    <xf numFmtId="0" fontId="30" fillId="0" borderId="41" xfId="5" applyFont="1" applyBorder="1" applyAlignment="1">
      <alignment vertical="center" wrapText="1"/>
    </xf>
    <xf numFmtId="0" fontId="35" fillId="0" borderId="28" xfId="0" applyFont="1" applyBorder="1"/>
    <xf numFmtId="0" fontId="35" fillId="0" borderId="44" xfId="240" applyFont="1" applyBorder="1" applyAlignment="1">
      <alignment vertical="center" wrapText="1"/>
    </xf>
    <xf numFmtId="0" fontId="90" fillId="0" borderId="3" xfId="555" applyFont="1" applyBorder="1" applyAlignment="1">
      <alignment horizontal="center" vertical="center" wrapText="1"/>
    </xf>
    <xf numFmtId="49" fontId="90" fillId="0" borderId="39" xfId="555" applyNumberFormat="1" applyFont="1" applyBorder="1" applyAlignment="1">
      <alignment horizontal="center" vertical="center" wrapText="1"/>
    </xf>
    <xf numFmtId="0" fontId="39" fillId="0" borderId="40" xfId="555" applyFont="1" applyBorder="1" applyAlignment="1">
      <alignment horizontal="center" vertical="center" wrapText="1"/>
    </xf>
    <xf numFmtId="177" fontId="90" fillId="0" borderId="40" xfId="555" applyNumberFormat="1" applyFont="1" applyBorder="1" applyAlignment="1">
      <alignment horizontal="center" vertical="center" wrapText="1"/>
    </xf>
    <xf numFmtId="2" fontId="90" fillId="0" borderId="47" xfId="555" applyNumberFormat="1" applyFont="1" applyBorder="1" applyAlignment="1">
      <alignment horizontal="center" vertical="center" wrapText="1"/>
    </xf>
    <xf numFmtId="0" fontId="30" fillId="0" borderId="0" xfId="0" applyFont="1" applyAlignment="1">
      <alignment horizontal="center" vertical="center" wrapText="1"/>
    </xf>
    <xf numFmtId="49" fontId="39" fillId="0" borderId="1" xfId="240" applyNumberFormat="1" applyFont="1" applyBorder="1" applyAlignment="1">
      <alignment horizontal="right" vertical="center" wrapText="1"/>
    </xf>
    <xf numFmtId="0" fontId="39" fillId="0" borderId="1" xfId="240" applyFont="1" applyBorder="1" applyAlignment="1">
      <alignment vertical="center" wrapText="1"/>
    </xf>
    <xf numFmtId="0" fontId="39" fillId="0" borderId="1" xfId="240" applyFont="1" applyBorder="1" applyAlignment="1">
      <alignment horizontal="center" vertical="center" wrapText="1"/>
    </xf>
    <xf numFmtId="0" fontId="83" fillId="0" borderId="0" xfId="554" applyFont="1"/>
    <xf numFmtId="0" fontId="80" fillId="0" borderId="0" xfId="0" applyFont="1" applyAlignment="1">
      <alignment horizontal="center"/>
    </xf>
    <xf numFmtId="0" fontId="30" fillId="0" borderId="60" xfId="6" applyFont="1" applyBorder="1" applyAlignment="1">
      <alignment horizontal="center" vertical="center" wrapText="1"/>
    </xf>
    <xf numFmtId="0" fontId="30" fillId="0" borderId="57" xfId="6" applyFont="1" applyBorder="1" applyAlignment="1">
      <alignment horizontal="left" vertical="center" wrapText="1"/>
    </xf>
    <xf numFmtId="0" fontId="30" fillId="0" borderId="44" xfId="6" applyFont="1" applyBorder="1" applyAlignment="1">
      <alignment horizontal="left" vertical="center" wrapText="1"/>
    </xf>
    <xf numFmtId="0" fontId="30" fillId="0" borderId="42" xfId="6" applyFont="1" applyBorder="1" applyAlignment="1">
      <alignment horizontal="left" vertical="center" wrapText="1"/>
    </xf>
    <xf numFmtId="0" fontId="30" fillId="0" borderId="41" xfId="6" applyFont="1" applyBorder="1" applyAlignment="1">
      <alignment horizontal="left" vertical="center" wrapText="1"/>
    </xf>
    <xf numFmtId="0" fontId="35" fillId="0" borderId="57" xfId="6" applyFont="1" applyBorder="1" applyAlignment="1">
      <alignment horizontal="left" vertical="center" wrapText="1"/>
    </xf>
    <xf numFmtId="0" fontId="177" fillId="0" borderId="0" xfId="0" applyFont="1"/>
    <xf numFmtId="0" fontId="177" fillId="0" borderId="0" xfId="0" applyFont="1" applyAlignment="1">
      <alignment wrapText="1"/>
    </xf>
    <xf numFmtId="0" fontId="90" fillId="0" borderId="0" xfId="0" applyFont="1"/>
    <xf numFmtId="0" fontId="179" fillId="0" borderId="0" xfId="0" applyFont="1"/>
    <xf numFmtId="0" fontId="88" fillId="0" borderId="3" xfId="0" applyFont="1" applyBorder="1" applyAlignment="1">
      <alignment vertical="center" wrapText="1"/>
    </xf>
    <xf numFmtId="0" fontId="98" fillId="0" borderId="69" xfId="0" applyFont="1" applyBorder="1" applyAlignment="1">
      <alignment vertical="center" wrapText="1"/>
    </xf>
    <xf numFmtId="0" fontId="88" fillId="0" borderId="3" xfId="0" applyFont="1" applyBorder="1"/>
    <xf numFmtId="0" fontId="88" fillId="0" borderId="69" xfId="0" applyFont="1" applyBorder="1"/>
    <xf numFmtId="0" fontId="177" fillId="0" borderId="69" xfId="0" applyFont="1" applyBorder="1" applyAlignment="1">
      <alignment horizontal="center" vertical="center" wrapText="1"/>
    </xf>
    <xf numFmtId="0" fontId="180" fillId="0" borderId="1" xfId="0" applyFont="1" applyBorder="1" applyAlignment="1">
      <alignment horizontal="center" vertical="center" wrapText="1"/>
    </xf>
    <xf numFmtId="0" fontId="180" fillId="0" borderId="69" xfId="0" applyFont="1" applyBorder="1" applyAlignment="1">
      <alignment horizontal="center" vertical="center" wrapText="1"/>
    </xf>
    <xf numFmtId="0" fontId="177" fillId="0" borderId="69" xfId="0" applyFont="1" applyBorder="1" applyAlignment="1">
      <alignment vertical="center" wrapText="1"/>
    </xf>
    <xf numFmtId="0" fontId="181" fillId="0" borderId="0" xfId="0" applyFont="1" applyAlignment="1">
      <alignment horizontal="left" vertical="center"/>
    </xf>
    <xf numFmtId="0" fontId="169" fillId="0" borderId="0" xfId="0" applyFont="1"/>
    <xf numFmtId="0" fontId="181" fillId="0" borderId="0" xfId="0" applyFont="1" applyAlignment="1">
      <alignment vertical="center"/>
    </xf>
    <xf numFmtId="0" fontId="177" fillId="0" borderId="1" xfId="0" applyFont="1" applyBorder="1" applyAlignment="1">
      <alignment horizontal="center" vertical="center" wrapText="1"/>
    </xf>
    <xf numFmtId="0" fontId="177"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3" xfId="0" applyFont="1" applyBorder="1" applyAlignment="1">
      <alignment horizontal="center" vertical="center" wrapText="1"/>
    </xf>
    <xf numFmtId="0" fontId="94" fillId="0" borderId="69" xfId="0" applyFont="1" applyBorder="1" applyAlignment="1">
      <alignment horizontal="center" vertical="center" wrapText="1"/>
    </xf>
    <xf numFmtId="0" fontId="177" fillId="0" borderId="1" xfId="0" applyFont="1" applyBorder="1" applyAlignment="1">
      <alignment vertical="center" wrapText="1"/>
    </xf>
    <xf numFmtId="0" fontId="177" fillId="0" borderId="1" xfId="0" applyFont="1" applyBorder="1" applyAlignment="1">
      <alignment horizontal="left" wrapText="1" indent="1"/>
    </xf>
    <xf numFmtId="0" fontId="94" fillId="0" borderId="1" xfId="0" applyFont="1" applyBorder="1" applyAlignment="1">
      <alignment vertical="center" wrapText="1"/>
    </xf>
    <xf numFmtId="0" fontId="118" fillId="0" borderId="1" xfId="116" applyFont="1" applyBorder="1" applyAlignment="1">
      <alignment horizontal="left" wrapText="1" indent="1"/>
    </xf>
    <xf numFmtId="0" fontId="30" fillId="0" borderId="0" xfId="240" applyFont="1" applyAlignment="1">
      <alignment vertical="center" wrapText="1"/>
    </xf>
    <xf numFmtId="0" fontId="118" fillId="0" borderId="1" xfId="0" applyFont="1" applyBorder="1" applyAlignment="1">
      <alignment horizontal="left" wrapText="1" indent="1"/>
    </xf>
    <xf numFmtId="0" fontId="98" fillId="0" borderId="7" xfId="0" applyFont="1" applyBorder="1" applyAlignment="1">
      <alignment vertical="center" wrapText="1"/>
    </xf>
    <xf numFmtId="0" fontId="38" fillId="0" borderId="3" xfId="0" applyFont="1" applyBorder="1" applyAlignment="1">
      <alignment vertical="center" wrapText="1"/>
    </xf>
    <xf numFmtId="0" fontId="177" fillId="0" borderId="1" xfId="0" applyFont="1" applyBorder="1"/>
    <xf numFmtId="0" fontId="28" fillId="0" borderId="1" xfId="0" applyFont="1" applyBorder="1" applyAlignment="1">
      <alignment horizontal="center" vertical="center" wrapText="1"/>
    </xf>
    <xf numFmtId="2" fontId="177" fillId="0" borderId="0" xfId="0" applyNumberFormat="1" applyFont="1"/>
    <xf numFmtId="4" fontId="17" fillId="0" borderId="0" xfId="240" applyNumberFormat="1"/>
    <xf numFmtId="0" fontId="32" fillId="0" borderId="32" xfId="0" applyFont="1" applyBorder="1" applyAlignment="1">
      <alignment horizontal="center" vertical="center" wrapText="1"/>
    </xf>
    <xf numFmtId="0" fontId="81" fillId="0" borderId="30" xfId="0" applyFont="1" applyBorder="1" applyAlignment="1">
      <alignment vertical="center"/>
    </xf>
    <xf numFmtId="0" fontId="81" fillId="0" borderId="31" xfId="0" applyFont="1" applyBorder="1" applyAlignment="1">
      <alignment horizontal="center" wrapText="1"/>
    </xf>
    <xf numFmtId="0" fontId="32" fillId="0" borderId="33" xfId="0" applyFont="1" applyBorder="1"/>
    <xf numFmtId="4" fontId="131" fillId="2" borderId="6" xfId="532" applyNumberFormat="1" applyFont="1" applyFill="1" applyBorder="1" applyAlignment="1">
      <alignment horizontal="center" vertical="center" wrapText="1"/>
    </xf>
    <xf numFmtId="0" fontId="84" fillId="0" borderId="0" xfId="116" applyFont="1"/>
    <xf numFmtId="2" fontId="84" fillId="0" borderId="0" xfId="116" applyNumberFormat="1" applyFont="1"/>
    <xf numFmtId="4" fontId="39" fillId="0" borderId="0" xfId="116" applyNumberFormat="1" applyFont="1"/>
    <xf numFmtId="0" fontId="134" fillId="0" borderId="67" xfId="554" applyFont="1" applyBorder="1" applyAlignment="1">
      <alignment horizontal="left" vertical="top" wrapText="1"/>
    </xf>
    <xf numFmtId="0" fontId="134" fillId="0" borderId="68" xfId="554" applyFont="1" applyBorder="1" applyAlignment="1">
      <alignment horizontal="left" vertical="top" wrapText="1"/>
    </xf>
    <xf numFmtId="0" fontId="83" fillId="0" borderId="0" xfId="554" applyFont="1" applyAlignment="1">
      <alignment horizontal="left"/>
    </xf>
    <xf numFmtId="4" fontId="32" fillId="0" borderId="1" xfId="0" applyNumberFormat="1" applyFont="1" applyBorder="1"/>
    <xf numFmtId="0" fontId="84" fillId="0" borderId="1" xfId="6" applyFont="1" applyBorder="1" applyAlignment="1">
      <alignment horizontal="center" vertical="center" wrapText="1"/>
    </xf>
    <xf numFmtId="0" fontId="184" fillId="0" borderId="1" xfId="6" applyFont="1" applyBorder="1" applyAlignment="1">
      <alignment horizontal="center" vertical="center" wrapText="1"/>
    </xf>
    <xf numFmtId="0" fontId="81" fillId="0" borderId="1" xfId="0" applyFont="1" applyBorder="1" applyAlignment="1">
      <alignment horizontal="center" vertical="center" wrapText="1"/>
    </xf>
    <xf numFmtId="0" fontId="148" fillId="0" borderId="1" xfId="0" applyFont="1" applyBorder="1" applyAlignment="1">
      <alignment horizontal="center" vertical="center" wrapText="1"/>
    </xf>
    <xf numFmtId="0" fontId="32" fillId="0" borderId="8" xfId="0" applyFont="1" applyBorder="1"/>
    <xf numFmtId="179" fontId="32" fillId="0" borderId="1" xfId="0" applyNumberFormat="1" applyFont="1" applyBorder="1"/>
    <xf numFmtId="179" fontId="81" fillId="0" borderId="1" xfId="0" applyNumberFormat="1" applyFont="1" applyBorder="1"/>
    <xf numFmtId="179" fontId="81" fillId="0" borderId="8" xfId="0" applyNumberFormat="1" applyFont="1" applyBorder="1"/>
    <xf numFmtId="181" fontId="81" fillId="0" borderId="8" xfId="0" applyNumberFormat="1" applyFont="1" applyBorder="1"/>
    <xf numFmtId="2" fontId="32" fillId="0" borderId="0" xfId="0" applyNumberFormat="1" applyFont="1"/>
    <xf numFmtId="0" fontId="98" fillId="0" borderId="0" xfId="0" applyFont="1"/>
    <xf numFmtId="4" fontId="81" fillId="0" borderId="1" xfId="0" applyNumberFormat="1" applyFont="1" applyBorder="1"/>
    <xf numFmtId="0" fontId="185" fillId="0" borderId="3" xfId="6" applyFont="1" applyBorder="1" applyAlignment="1">
      <alignment horizontal="center" vertical="center" wrapText="1"/>
    </xf>
    <xf numFmtId="2" fontId="188" fillId="0" borderId="1" xfId="6" applyNumberFormat="1" applyFont="1" applyBorder="1" applyAlignment="1">
      <alignment horizontal="center" vertical="center"/>
    </xf>
    <xf numFmtId="2" fontId="191" fillId="0" borderId="0" xfId="6" applyNumberFormat="1" applyFont="1"/>
    <xf numFmtId="2" fontId="31" fillId="0" borderId="0" xfId="6" applyNumberFormat="1" applyFont="1"/>
    <xf numFmtId="0" fontId="31" fillId="0" borderId="0" xfId="6" applyFont="1"/>
    <xf numFmtId="4" fontId="147" fillId="34" borderId="60" xfId="134" applyNumberFormat="1" applyFont="1" applyFill="1" applyBorder="1" applyAlignment="1">
      <alignment horizontal="center" vertical="center"/>
    </xf>
    <xf numFmtId="4" fontId="147" fillId="34" borderId="61" xfId="134" applyNumberFormat="1" applyFont="1" applyFill="1" applyBorder="1" applyAlignment="1">
      <alignment horizontal="right" vertical="center"/>
    </xf>
    <xf numFmtId="4" fontId="147" fillId="34" borderId="69" xfId="134" applyNumberFormat="1" applyFont="1" applyFill="1" applyBorder="1" applyAlignment="1">
      <alignment horizontal="right" vertical="center"/>
    </xf>
    <xf numFmtId="4" fontId="147" fillId="34" borderId="3" xfId="134" applyNumberFormat="1" applyFont="1" applyFill="1" applyBorder="1" applyAlignment="1">
      <alignment horizontal="right" vertical="center"/>
    </xf>
    <xf numFmtId="4" fontId="147" fillId="34" borderId="39" xfId="134" applyNumberFormat="1" applyFont="1" applyFill="1" applyBorder="1" applyAlignment="1">
      <alignment horizontal="right"/>
    </xf>
    <xf numFmtId="4" fontId="147" fillId="34" borderId="41" xfId="134" applyNumberFormat="1" applyFont="1" applyFill="1" applyBorder="1" applyAlignment="1">
      <alignment horizontal="right" vertical="center"/>
    </xf>
    <xf numFmtId="4" fontId="147" fillId="34" borderId="44" xfId="134" applyNumberFormat="1" applyFont="1" applyFill="1" applyBorder="1" applyAlignment="1">
      <alignment horizontal="right" vertical="center"/>
    </xf>
    <xf numFmtId="4" fontId="147" fillId="34" borderId="79" xfId="134" applyNumberFormat="1" applyFont="1" applyFill="1" applyBorder="1" applyAlignment="1">
      <alignment horizontal="right" vertical="center"/>
    </xf>
    <xf numFmtId="0" fontId="155" fillId="34" borderId="43" xfId="134" applyFont="1" applyFill="1" applyBorder="1" applyAlignment="1">
      <alignment horizontal="center" wrapText="1"/>
    </xf>
    <xf numFmtId="0" fontId="155" fillId="34" borderId="46" xfId="134" applyFont="1" applyFill="1" applyBorder="1" applyAlignment="1">
      <alignment horizontal="center" wrapText="1"/>
    </xf>
    <xf numFmtId="188" fontId="42" fillId="34" borderId="54" xfId="444" applyNumberFormat="1" applyFont="1" applyFill="1" applyBorder="1" applyAlignment="1">
      <alignment horizontal="right" vertical="center"/>
    </xf>
    <xf numFmtId="188" fontId="42" fillId="34" borderId="44" xfId="444" applyNumberFormat="1" applyFont="1" applyFill="1" applyBorder="1" applyAlignment="1">
      <alignment horizontal="right" vertical="center"/>
    </xf>
    <xf numFmtId="4" fontId="147" fillId="34" borderId="39" xfId="134" applyNumberFormat="1" applyFont="1" applyFill="1" applyBorder="1" applyAlignment="1">
      <alignment horizontal="right" vertical="center"/>
    </xf>
    <xf numFmtId="0" fontId="0" fillId="0" borderId="1" xfId="0" applyBorder="1" applyAlignment="1">
      <alignment horizontal="center" vertical="center"/>
    </xf>
    <xf numFmtId="4" fontId="32" fillId="0" borderId="1" xfId="0" applyNumberFormat="1" applyFont="1" applyBorder="1" applyAlignment="1">
      <alignment horizontal="center" vertical="center"/>
    </xf>
    <xf numFmtId="0" fontId="31" fillId="0" borderId="0" xfId="0" applyFont="1" applyAlignment="1">
      <alignment horizontal="center" vertical="center"/>
    </xf>
    <xf numFmtId="0" fontId="88" fillId="0" borderId="0" xfId="0" applyFont="1"/>
    <xf numFmtId="0" fontId="177" fillId="0" borderId="0" xfId="505" applyFont="1"/>
    <xf numFmtId="4" fontId="177" fillId="0" borderId="0" xfId="505" applyNumberFormat="1" applyFont="1"/>
    <xf numFmtId="0" fontId="32" fillId="0" borderId="0" xfId="0" applyFont="1" applyAlignment="1">
      <alignment wrapText="1"/>
    </xf>
    <xf numFmtId="0" fontId="32" fillId="0" borderId="0" xfId="0" applyFont="1" applyAlignment="1">
      <alignment vertical="center"/>
    </xf>
    <xf numFmtId="0" fontId="40" fillId="0" borderId="0" xfId="0" applyFont="1" applyAlignment="1">
      <alignment wrapText="1"/>
    </xf>
    <xf numFmtId="0" fontId="94" fillId="0" borderId="0" xfId="0" applyFont="1"/>
    <xf numFmtId="4" fontId="138" fillId="0" borderId="1" xfId="505" applyNumberFormat="1" applyFont="1" applyBorder="1" applyAlignment="1" applyProtection="1">
      <alignment horizontal="right" vertical="center" wrapText="1"/>
      <protection hidden="1"/>
    </xf>
    <xf numFmtId="4" fontId="149" fillId="0" borderId="1" xfId="505" applyNumberFormat="1" applyFont="1" applyBorder="1" applyAlignment="1" applyProtection="1">
      <alignment horizontal="right" vertical="center" wrapText="1"/>
      <protection hidden="1"/>
    </xf>
    <xf numFmtId="0" fontId="98" fillId="0" borderId="30" xfId="0" applyFont="1" applyBorder="1" applyAlignment="1">
      <alignment vertical="center" wrapText="1"/>
    </xf>
    <xf numFmtId="0" fontId="32" fillId="0" borderId="6" xfId="0" applyFont="1" applyBorder="1" applyAlignment="1">
      <alignment horizontal="center" vertical="center" wrapText="1"/>
    </xf>
    <xf numFmtId="0" fontId="32" fillId="0" borderId="6" xfId="0" applyFont="1" applyBorder="1" applyAlignment="1">
      <alignment vertical="center"/>
    </xf>
    <xf numFmtId="4" fontId="169" fillId="0" borderId="0" xfId="505" applyNumberFormat="1" applyFont="1"/>
    <xf numFmtId="0" fontId="137" fillId="0" borderId="0" xfId="505" applyFont="1" applyAlignment="1" applyProtection="1">
      <alignment horizontal="center" vertical="center" wrapText="1"/>
      <protection hidden="1"/>
    </xf>
    <xf numFmtId="0" fontId="192" fillId="0" borderId="0" xfId="0" applyFont="1"/>
    <xf numFmtId="4" fontId="147" fillId="34" borderId="78" xfId="134" applyNumberFormat="1" applyFont="1" applyFill="1" applyBorder="1" applyAlignment="1">
      <alignment horizontal="right" vertical="center"/>
    </xf>
    <xf numFmtId="2" fontId="90" fillId="0" borderId="0" xfId="116" applyNumberFormat="1" applyFont="1" applyAlignment="1">
      <alignment horizontal="left" vertical="center"/>
    </xf>
    <xf numFmtId="4" fontId="144" fillId="0" borderId="99" xfId="116" applyNumberFormat="1" applyFont="1" applyBorder="1"/>
    <xf numFmtId="4" fontId="144" fillId="0" borderId="101" xfId="116" applyNumberFormat="1" applyFont="1" applyBorder="1" applyAlignment="1">
      <alignment horizontal="right"/>
    </xf>
    <xf numFmtId="4" fontId="140" fillId="0" borderId="101" xfId="116" applyNumberFormat="1" applyFont="1" applyBorder="1" applyAlignment="1">
      <alignment wrapText="1"/>
    </xf>
    <xf numFmtId="4" fontId="140" fillId="0" borderId="101" xfId="116" applyNumberFormat="1" applyFont="1" applyBorder="1" applyAlignment="1">
      <alignment horizontal="right"/>
    </xf>
    <xf numFmtId="4" fontId="144" fillId="0" borderId="101" xfId="116" applyNumberFormat="1" applyFont="1" applyBorder="1"/>
    <xf numFmtId="4" fontId="140" fillId="0" borderId="101" xfId="116" applyNumberFormat="1" applyFont="1" applyBorder="1"/>
    <xf numFmtId="4" fontId="140" fillId="0" borderId="101" xfId="116" applyNumberFormat="1" applyFont="1" applyBorder="1" applyAlignment="1">
      <alignment horizontal="right" wrapText="1"/>
    </xf>
    <xf numFmtId="4" fontId="140" fillId="0" borderId="103" xfId="116" applyNumberFormat="1" applyFont="1" applyBorder="1"/>
    <xf numFmtId="0" fontId="32" fillId="0" borderId="0" xfId="0" applyFont="1" applyAlignment="1">
      <alignment horizontal="left"/>
    </xf>
    <xf numFmtId="0" fontId="98" fillId="0" borderId="0" xfId="0" applyFont="1" applyAlignment="1">
      <alignment horizontal="left"/>
    </xf>
    <xf numFmtId="0" fontId="98" fillId="0" borderId="0" xfId="0" applyFont="1" applyAlignment="1">
      <alignment vertical="top" wrapText="1"/>
    </xf>
    <xf numFmtId="0" fontId="98" fillId="0" borderId="0" xfId="0" applyFont="1" applyAlignment="1">
      <alignment wrapText="1"/>
    </xf>
    <xf numFmtId="0" fontId="31" fillId="0" borderId="23" xfId="0" applyFont="1" applyBorder="1" applyAlignment="1">
      <alignment horizontal="center" vertical="center"/>
    </xf>
    <xf numFmtId="0" fontId="31" fillId="0" borderId="23" xfId="0" applyFont="1" applyBorder="1" applyAlignment="1">
      <alignment horizontal="center" vertical="center" wrapText="1"/>
    </xf>
    <xf numFmtId="4" fontId="140" fillId="0" borderId="104" xfId="116" applyNumberFormat="1" applyFont="1" applyBorder="1"/>
    <xf numFmtId="0" fontId="30" fillId="0" borderId="1" xfId="0" applyFont="1" applyBorder="1" applyAlignment="1">
      <alignment horizontal="center" vertical="center"/>
    </xf>
    <xf numFmtId="191" fontId="31" fillId="0" borderId="0" xfId="240" applyNumberFormat="1" applyFont="1"/>
    <xf numFmtId="191" fontId="31" fillId="0" borderId="0" xfId="240" applyNumberFormat="1" applyFont="1" applyAlignment="1">
      <alignment horizontal="right"/>
    </xf>
    <xf numFmtId="191" fontId="17" fillId="0" borderId="0" xfId="240" applyNumberFormat="1"/>
    <xf numFmtId="191" fontId="32" fillId="0" borderId="0" xfId="240" applyNumberFormat="1" applyFont="1"/>
    <xf numFmtId="0" fontId="177" fillId="0" borderId="0" xfId="240" applyFont="1"/>
    <xf numFmtId="0" fontId="177" fillId="0" borderId="0" xfId="240" applyFont="1" applyAlignment="1">
      <alignment horizontal="right"/>
    </xf>
    <xf numFmtId="0" fontId="104" fillId="0" borderId="0" xfId="240" applyFont="1"/>
    <xf numFmtId="0" fontId="194" fillId="0" borderId="0" xfId="240" applyFont="1"/>
    <xf numFmtId="0" fontId="94" fillId="0" borderId="0" xfId="240" applyFont="1"/>
    <xf numFmtId="191" fontId="194" fillId="0" borderId="0" xfId="240" applyNumberFormat="1" applyFont="1"/>
    <xf numFmtId="0" fontId="31" fillId="0" borderId="5" xfId="0" applyFont="1" applyBorder="1" applyAlignment="1">
      <alignment horizontal="center" wrapText="1"/>
    </xf>
    <xf numFmtId="0" fontId="33" fillId="0" borderId="0" xfId="0" applyFont="1"/>
    <xf numFmtId="0" fontId="162" fillId="0" borderId="0" xfId="0" applyFont="1" applyAlignment="1">
      <alignment horizontal="center" vertical="top"/>
    </xf>
    <xf numFmtId="2" fontId="40" fillId="0" borderId="0" xfId="0" applyNumberFormat="1" applyFont="1"/>
    <xf numFmtId="2" fontId="29" fillId="0" borderId="79" xfId="6" applyNumberFormat="1" applyFont="1" applyBorder="1" applyAlignment="1">
      <alignment horizontal="center" vertical="center" wrapText="1"/>
    </xf>
    <xf numFmtId="0" fontId="134" fillId="0" borderId="66" xfId="554" applyFont="1" applyBorder="1" applyAlignment="1">
      <alignment horizontal="center" vertical="top" wrapText="1"/>
    </xf>
    <xf numFmtId="0" fontId="134" fillId="0" borderId="66" xfId="554" applyFont="1" applyBorder="1" applyAlignment="1">
      <alignment vertical="top" wrapText="1"/>
    </xf>
    <xf numFmtId="0" fontId="39" fillId="0" borderId="66" xfId="554" applyFont="1" applyBorder="1" applyAlignment="1">
      <alignment horizontal="center" vertical="top" wrapText="1"/>
    </xf>
    <xf numFmtId="0" fontId="30" fillId="0" borderId="33" xfId="554" applyFont="1" applyBorder="1" applyAlignment="1">
      <alignment horizontal="center" vertical="top" wrapText="1"/>
    </xf>
    <xf numFmtId="0" fontId="30" fillId="0" borderId="33" xfId="554" applyFont="1" applyBorder="1" applyAlignment="1">
      <alignment horizontal="left" vertical="top" wrapText="1"/>
    </xf>
    <xf numFmtId="0" fontId="30" fillId="34" borderId="33" xfId="554" applyFont="1" applyFill="1" applyBorder="1" applyAlignment="1">
      <alignment horizontal="center" vertical="top" wrapText="1"/>
    </xf>
    <xf numFmtId="16" fontId="30" fillId="0" borderId="33" xfId="554" applyNumberFormat="1" applyFont="1" applyBorder="1" applyAlignment="1">
      <alignment horizontal="center" vertical="top" wrapText="1"/>
    </xf>
    <xf numFmtId="193" fontId="39" fillId="0" borderId="33" xfId="554" applyNumberFormat="1" applyFont="1" applyBorder="1" applyAlignment="1">
      <alignment horizontal="center" vertical="top" wrapText="1"/>
    </xf>
    <xf numFmtId="1" fontId="123" fillId="0" borderId="88" xfId="554" applyNumberFormat="1" applyFont="1" applyBorder="1" applyAlignment="1">
      <alignment horizontal="center" vertical="top" wrapText="1"/>
    </xf>
    <xf numFmtId="0" fontId="134" fillId="0" borderId="88" xfId="554" applyFont="1" applyBorder="1" applyAlignment="1">
      <alignment horizontal="center" vertical="top" wrapText="1"/>
    </xf>
    <xf numFmtId="0" fontId="134" fillId="0" borderId="88" xfId="554" applyFont="1" applyBorder="1" applyAlignment="1">
      <alignment vertical="top" wrapText="1"/>
    </xf>
    <xf numFmtId="0" fontId="134" fillId="0" borderId="88" xfId="554" applyFont="1" applyBorder="1" applyAlignment="1">
      <alignment horizontal="left" vertical="top" wrapText="1"/>
    </xf>
    <xf numFmtId="1" fontId="39" fillId="0" borderId="67" xfId="554" applyNumberFormat="1" applyFont="1" applyBorder="1" applyAlignment="1">
      <alignment horizontal="center" vertical="top" wrapText="1"/>
    </xf>
    <xf numFmtId="0" fontId="90" fillId="0" borderId="8" xfId="0" applyFont="1" applyBorder="1"/>
    <xf numFmtId="0" fontId="90" fillId="0" borderId="8" xfId="0" applyFont="1" applyBorder="1" applyAlignment="1">
      <alignment horizontal="center"/>
    </xf>
    <xf numFmtId="0" fontId="31" fillId="0" borderId="36" xfId="0" applyFont="1" applyBorder="1" applyAlignment="1">
      <alignment horizontal="center"/>
    </xf>
    <xf numFmtId="0" fontId="31" fillId="0" borderId="31" xfId="0" applyFont="1" applyBorder="1" applyAlignment="1">
      <alignment horizontal="center"/>
    </xf>
    <xf numFmtId="0" fontId="31" fillId="0" borderId="6" xfId="0" applyFont="1" applyBorder="1" applyAlignment="1">
      <alignment horizontal="center" vertical="center" wrapText="1"/>
    </xf>
    <xf numFmtId="0" fontId="31" fillId="0" borderId="6" xfId="0" applyFont="1" applyBorder="1" applyAlignment="1">
      <alignment horizontal="center" vertical="center"/>
    </xf>
    <xf numFmtId="0" fontId="31" fillId="0" borderId="6" xfId="0" applyFont="1" applyBorder="1" applyAlignment="1">
      <alignment horizontal="center"/>
    </xf>
    <xf numFmtId="0" fontId="31" fillId="0" borderId="32" xfId="0" applyFont="1" applyBorder="1" applyAlignment="1">
      <alignment horizontal="center" vertical="center"/>
    </xf>
    <xf numFmtId="2" fontId="40" fillId="0" borderId="66" xfId="0" applyNumberFormat="1" applyFont="1" applyBorder="1" applyAlignment="1">
      <alignment horizontal="center" vertical="center"/>
    </xf>
    <xf numFmtId="2" fontId="40" fillId="0" borderId="66" xfId="0" applyNumberFormat="1" applyFont="1" applyBorder="1" applyAlignment="1">
      <alignment horizontal="left" vertical="center"/>
    </xf>
    <xf numFmtId="2" fontId="40" fillId="0" borderId="92" xfId="0" applyNumberFormat="1" applyFont="1" applyBorder="1" applyAlignment="1">
      <alignment horizontal="center" vertical="center"/>
    </xf>
    <xf numFmtId="2" fontId="40" fillId="0" borderId="89" xfId="0" applyNumberFormat="1" applyFont="1" applyBorder="1" applyAlignment="1">
      <alignment horizontal="center" vertical="center"/>
    </xf>
    <xf numFmtId="2" fontId="40" fillId="0" borderId="67" xfId="0" applyNumberFormat="1" applyFont="1" applyBorder="1" applyAlignment="1">
      <alignment horizontal="center" vertical="center"/>
    </xf>
    <xf numFmtId="2" fontId="40" fillId="0" borderId="67" xfId="0" applyNumberFormat="1" applyFont="1" applyBorder="1" applyAlignment="1">
      <alignment horizontal="left" vertical="center"/>
    </xf>
    <xf numFmtId="2" fontId="40" fillId="0" borderId="67" xfId="0" applyNumberFormat="1" applyFont="1" applyBorder="1" applyAlignment="1">
      <alignment horizontal="left" vertical="center" wrapText="1"/>
    </xf>
    <xf numFmtId="2" fontId="40" fillId="0" borderId="68" xfId="0" applyNumberFormat="1" applyFont="1" applyBorder="1" applyAlignment="1">
      <alignment horizontal="center" vertical="center"/>
    </xf>
    <xf numFmtId="2" fontId="40" fillId="0" borderId="68" xfId="0" applyNumberFormat="1" applyFont="1" applyBorder="1" applyAlignment="1">
      <alignment horizontal="left" vertical="center"/>
    </xf>
    <xf numFmtId="0" fontId="40" fillId="0" borderId="6" xfId="0" applyFont="1" applyBorder="1" applyAlignment="1">
      <alignment horizontal="center" vertical="center"/>
    </xf>
    <xf numFmtId="0" fontId="40" fillId="0" borderId="67" xfId="0" applyFont="1" applyBorder="1" applyAlignment="1">
      <alignment horizontal="center" vertical="center"/>
    </xf>
    <xf numFmtId="0" fontId="40" fillId="0" borderId="67" xfId="0" applyFont="1" applyBorder="1" applyAlignment="1">
      <alignment wrapText="1"/>
    </xf>
    <xf numFmtId="16" fontId="31" fillId="0" borderId="67" xfId="0" applyNumberFormat="1" applyFont="1" applyBorder="1" applyAlignment="1">
      <alignment horizontal="center" vertical="center"/>
    </xf>
    <xf numFmtId="2" fontId="31" fillId="0" borderId="67" xfId="0" applyNumberFormat="1" applyFont="1" applyBorder="1" applyAlignment="1">
      <alignment horizontal="center" vertical="center"/>
    </xf>
    <xf numFmtId="16" fontId="40" fillId="0" borderId="67" xfId="0" applyNumberFormat="1" applyFont="1" applyBorder="1" applyAlignment="1">
      <alignment horizontal="center" vertical="center"/>
    </xf>
    <xf numFmtId="0" fontId="31" fillId="0" borderId="67" xfId="0" applyFont="1" applyBorder="1" applyAlignment="1">
      <alignment horizontal="center" vertical="center"/>
    </xf>
    <xf numFmtId="0" fontId="31" fillId="0" borderId="71" xfId="0" applyFont="1" applyBorder="1" applyAlignment="1">
      <alignment horizontal="center" vertical="center"/>
    </xf>
    <xf numFmtId="0" fontId="31" fillId="0" borderId="71" xfId="0" applyFont="1" applyBorder="1"/>
    <xf numFmtId="2" fontId="31" fillId="0" borderId="71" xfId="0" applyNumberFormat="1" applyFont="1" applyBorder="1" applyAlignment="1">
      <alignment horizontal="center" vertical="center"/>
    </xf>
    <xf numFmtId="0" fontId="40" fillId="0" borderId="6" xfId="0" applyFont="1" applyBorder="1" applyAlignment="1">
      <alignment vertical="center" wrapText="1"/>
    </xf>
    <xf numFmtId="2" fontId="40" fillId="0" borderId="6" xfId="0" applyNumberFormat="1" applyFont="1" applyBorder="1" applyAlignment="1">
      <alignment horizontal="center" vertical="center"/>
    </xf>
    <xf numFmtId="2" fontId="31" fillId="0" borderId="0" xfId="0" applyNumberFormat="1" applyFont="1" applyAlignment="1">
      <alignment horizontal="right"/>
    </xf>
    <xf numFmtId="2" fontId="40" fillId="0" borderId="0" xfId="0" applyNumberFormat="1" applyFont="1" applyAlignment="1">
      <alignment horizontal="right"/>
    </xf>
    <xf numFmtId="2" fontId="31" fillId="0" borderId="0" xfId="0" applyNumberFormat="1" applyFont="1" applyAlignment="1">
      <alignment horizontal="right" vertical="center"/>
    </xf>
    <xf numFmtId="0" fontId="40" fillId="0" borderId="32" xfId="0" applyFont="1" applyBorder="1" applyAlignment="1">
      <alignment horizontal="center" vertical="center"/>
    </xf>
    <xf numFmtId="0" fontId="40" fillId="0" borderId="87" xfId="0" applyFont="1" applyBorder="1" applyAlignment="1">
      <alignment vertical="center" wrapText="1"/>
    </xf>
    <xf numFmtId="2" fontId="40" fillId="0" borderId="77" xfId="0" applyNumberFormat="1" applyFont="1" applyBorder="1" applyAlignment="1">
      <alignment horizontal="center" vertical="center"/>
    </xf>
    <xf numFmtId="2" fontId="40" fillId="0" borderId="71" xfId="0" applyNumberFormat="1" applyFont="1" applyBorder="1" applyAlignment="1">
      <alignment horizontal="center"/>
    </xf>
    <xf numFmtId="0" fontId="40" fillId="0" borderId="71" xfId="0" applyFont="1" applyBorder="1" applyAlignment="1">
      <alignment horizontal="center" vertical="center"/>
    </xf>
    <xf numFmtId="0" fontId="40" fillId="0" borderId="71" xfId="0" applyFont="1" applyBorder="1" applyAlignment="1">
      <alignment wrapText="1"/>
    </xf>
    <xf numFmtId="0" fontId="40" fillId="0" borderId="68" xfId="0" applyFont="1" applyBorder="1" applyAlignment="1">
      <alignment horizontal="center" vertical="center"/>
    </xf>
    <xf numFmtId="2" fontId="40" fillId="0" borderId="80" xfId="0" applyNumberFormat="1" applyFont="1" applyBorder="1" applyAlignment="1">
      <alignment horizontal="center" vertical="center"/>
    </xf>
    <xf numFmtId="0" fontId="40" fillId="0" borderId="68" xfId="0" applyFont="1" applyBorder="1" applyAlignment="1">
      <alignment wrapText="1"/>
    </xf>
    <xf numFmtId="4" fontId="31" fillId="0" borderId="0" xfId="0" applyNumberFormat="1" applyFont="1" applyAlignment="1">
      <alignment horizontal="right" vertical="center"/>
    </xf>
    <xf numFmtId="0" fontId="31" fillId="0" borderId="66" xfId="0" applyFont="1" applyBorder="1" applyAlignment="1">
      <alignment horizontal="center" vertical="center" wrapText="1"/>
    </xf>
    <xf numFmtId="2" fontId="31" fillId="0" borderId="0" xfId="0" applyNumberFormat="1" applyFont="1" applyAlignment="1">
      <alignment wrapText="1"/>
    </xf>
    <xf numFmtId="2" fontId="177" fillId="0" borderId="0" xfId="0" applyNumberFormat="1" applyFont="1" applyAlignment="1">
      <alignment horizontal="center" vertical="center"/>
    </xf>
    <xf numFmtId="2" fontId="169" fillId="0" borderId="0" xfId="0" applyNumberFormat="1" applyFont="1"/>
    <xf numFmtId="2" fontId="40" fillId="0" borderId="1" xfId="0" applyNumberFormat="1" applyFont="1" applyBorder="1" applyAlignment="1">
      <alignment horizontal="center"/>
    </xf>
    <xf numFmtId="164" fontId="177" fillId="0" borderId="0" xfId="0" applyNumberFormat="1" applyFont="1"/>
    <xf numFmtId="0" fontId="131" fillId="0" borderId="67" xfId="0" applyFont="1" applyBorder="1" applyAlignment="1">
      <alignment horizontal="center" vertical="center"/>
    </xf>
    <xf numFmtId="0" fontId="131" fillId="0" borderId="67" xfId="0" applyFont="1" applyBorder="1"/>
    <xf numFmtId="2" fontId="131" fillId="0" borderId="67" xfId="0" applyNumberFormat="1" applyFont="1" applyBorder="1" applyAlignment="1">
      <alignment horizontal="center" vertical="center"/>
    </xf>
    <xf numFmtId="2" fontId="131" fillId="0" borderId="0" xfId="0" applyNumberFormat="1" applyFont="1"/>
    <xf numFmtId="0" fontId="131" fillId="0" borderId="0" xfId="0" applyFont="1"/>
    <xf numFmtId="0" fontId="117" fillId="0" borderId="0" xfId="0" applyFont="1" applyAlignment="1">
      <alignment horizontal="center"/>
    </xf>
    <xf numFmtId="0" fontId="117" fillId="0" borderId="1" xfId="0" applyFont="1" applyBorder="1" applyAlignment="1">
      <alignment horizontal="center" wrapText="1"/>
    </xf>
    <xf numFmtId="0" fontId="33" fillId="0" borderId="1" xfId="240" applyFont="1" applyBorder="1" applyAlignment="1">
      <alignment horizontal="center" vertical="center" wrapText="1"/>
    </xf>
    <xf numFmtId="4" fontId="32" fillId="0" borderId="0" xfId="0" applyNumberFormat="1" applyFont="1"/>
    <xf numFmtId="4" fontId="32" fillId="0" borderId="1" xfId="0" applyNumberFormat="1" applyFont="1" applyBorder="1" applyAlignment="1">
      <alignment horizontal="right" vertical="center"/>
    </xf>
    <xf numFmtId="0" fontId="203" fillId="0" borderId="0" xfId="0" applyFont="1" applyAlignment="1">
      <alignment horizontal="center" vertical="center"/>
    </xf>
    <xf numFmtId="0" fontId="32" fillId="0" borderId="0" xfId="0" applyFont="1" applyAlignment="1">
      <alignment vertical="top" wrapText="1"/>
    </xf>
    <xf numFmtId="0" fontId="117" fillId="0" borderId="0" xfId="0" applyFont="1" applyAlignment="1">
      <alignment vertical="top" wrapText="1"/>
    </xf>
    <xf numFmtId="0" fontId="30" fillId="0" borderId="1" xfId="240" applyFont="1" applyBorder="1" applyAlignment="1">
      <alignment horizontal="left" vertical="center" wrapText="1" indent="1"/>
    </xf>
    <xf numFmtId="0" fontId="29" fillId="0" borderId="1" xfId="0" applyFont="1" applyBorder="1" applyAlignment="1">
      <alignment horizontal="center" vertical="center"/>
    </xf>
    <xf numFmtId="16" fontId="29" fillId="0" borderId="1" xfId="0" applyNumberFormat="1" applyFont="1" applyBorder="1" applyAlignment="1">
      <alignment horizontal="center" vertical="center"/>
    </xf>
    <xf numFmtId="0" fontId="30" fillId="0" borderId="1" xfId="0" applyFont="1" applyBorder="1" applyAlignment="1">
      <alignment vertical="top" wrapText="1"/>
    </xf>
    <xf numFmtId="16" fontId="30" fillId="0" borderId="1" xfId="0" applyNumberFormat="1" applyFont="1" applyBorder="1" applyAlignment="1">
      <alignment horizontal="center" vertical="center"/>
    </xf>
    <xf numFmtId="0" fontId="39" fillId="0" borderId="1" xfId="555" applyFont="1" applyBorder="1" applyAlignment="1">
      <alignment vertical="top" wrapText="1"/>
    </xf>
    <xf numFmtId="2" fontId="30" fillId="0" borderId="1" xfId="0" applyNumberFormat="1" applyFont="1" applyBorder="1"/>
    <xf numFmtId="2" fontId="30" fillId="0" borderId="1" xfId="0" applyNumberFormat="1" applyFont="1" applyBorder="1" applyAlignment="1">
      <alignment vertical="center"/>
    </xf>
    <xf numFmtId="177" fontId="30" fillId="0" borderId="1" xfId="0" applyNumberFormat="1" applyFont="1" applyBorder="1" applyAlignment="1">
      <alignment horizontal="right" vertical="center"/>
    </xf>
    <xf numFmtId="0" fontId="94" fillId="0" borderId="0" xfId="0" applyFont="1" applyAlignment="1">
      <alignment horizontal="center" vertical="center"/>
    </xf>
    <xf numFmtId="177" fontId="94" fillId="0" borderId="0" xfId="0" applyNumberFormat="1" applyFont="1"/>
    <xf numFmtId="2" fontId="30" fillId="0" borderId="1" xfId="0" applyNumberFormat="1" applyFont="1" applyBorder="1" applyAlignment="1">
      <alignment horizontal="right" vertical="center"/>
    </xf>
    <xf numFmtId="0" fontId="30" fillId="0" borderId="1" xfId="0" applyFont="1" applyBorder="1" applyAlignment="1">
      <alignment wrapText="1"/>
    </xf>
    <xf numFmtId="14" fontId="31" fillId="0" borderId="1" xfId="0" applyNumberFormat="1" applyFont="1" applyBorder="1" applyAlignment="1">
      <alignment horizontal="center" vertical="center"/>
    </xf>
    <xf numFmtId="0" fontId="30" fillId="0" borderId="1" xfId="0" applyFont="1" applyBorder="1" applyAlignment="1">
      <alignment horizontal="center" vertical="top" wrapText="1"/>
    </xf>
    <xf numFmtId="0" fontId="117" fillId="0" borderId="0" xfId="0" applyFont="1" applyAlignment="1">
      <alignment horizontal="center" vertical="center" wrapText="1"/>
    </xf>
    <xf numFmtId="0" fontId="201" fillId="0" borderId="5" xfId="0" applyFont="1" applyBorder="1" applyAlignment="1">
      <alignment horizontal="center" vertical="center" wrapText="1"/>
    </xf>
    <xf numFmtId="14" fontId="29" fillId="0" borderId="1" xfId="0" applyNumberFormat="1" applyFont="1" applyBorder="1" applyAlignment="1">
      <alignment horizontal="center" vertical="center"/>
    </xf>
    <xf numFmtId="0" fontId="30" fillId="0" borderId="1" xfId="0" applyFont="1" applyBorder="1"/>
    <xf numFmtId="0" fontId="204" fillId="0" borderId="0" xfId="0" applyFont="1" applyAlignment="1">
      <alignment horizontal="center" vertical="center"/>
    </xf>
    <xf numFmtId="0" fontId="29" fillId="0" borderId="0" xfId="0" applyFont="1" applyAlignment="1">
      <alignment horizontal="center" vertical="center"/>
    </xf>
    <xf numFmtId="0" fontId="204" fillId="0" borderId="0" xfId="0" applyFont="1" applyAlignment="1">
      <alignment horizontal="center" vertical="center" wrapText="1"/>
    </xf>
    <xf numFmtId="49" fontId="29" fillId="34" borderId="1" xfId="555" applyNumberFormat="1" applyFont="1" applyFill="1" applyBorder="1" applyAlignment="1">
      <alignment horizontal="center" vertical="center"/>
    </xf>
    <xf numFmtId="49" fontId="28" fillId="34" borderId="1" xfId="555" applyNumberFormat="1" applyFont="1" applyFill="1" applyBorder="1" applyAlignment="1">
      <alignment horizontal="center" vertical="center"/>
    </xf>
    <xf numFmtId="0" fontId="38" fillId="0" borderId="1" xfId="0" applyFont="1" applyBorder="1" applyAlignment="1">
      <alignment vertical="center" wrapText="1"/>
    </xf>
    <xf numFmtId="49" fontId="29" fillId="0" borderId="1" xfId="555" applyNumberFormat="1" applyFont="1" applyBorder="1" applyAlignment="1">
      <alignment horizontal="center" vertical="center"/>
    </xf>
    <xf numFmtId="0" fontId="81" fillId="0" borderId="0" xfId="0" applyFont="1" applyAlignment="1">
      <alignment horizontal="right"/>
    </xf>
    <xf numFmtId="4" fontId="23" fillId="0" borderId="0" xfId="555" applyNumberFormat="1" applyFont="1"/>
    <xf numFmtId="2" fontId="23" fillId="0" borderId="0" xfId="555" applyNumberFormat="1" applyFont="1"/>
    <xf numFmtId="0" fontId="23" fillId="0" borderId="0" xfId="555" applyFont="1"/>
    <xf numFmtId="0" fontId="32" fillId="0" borderId="0" xfId="0" applyFont="1" applyAlignment="1">
      <alignment horizontal="center"/>
    </xf>
    <xf numFmtId="0" fontId="31" fillId="0" borderId="0" xfId="0" applyFont="1" applyAlignment="1">
      <alignment vertical="top" wrapText="1"/>
    </xf>
    <xf numFmtId="0" fontId="31" fillId="0" borderId="0" xfId="0" applyFont="1" applyAlignment="1">
      <alignment horizontal="right"/>
    </xf>
    <xf numFmtId="0" fontId="31" fillId="0" borderId="1" xfId="0" applyFont="1" applyBorder="1" applyAlignment="1">
      <alignment horizontal="center" vertical="center"/>
    </xf>
    <xf numFmtId="0" fontId="117" fillId="0" borderId="5" xfId="0" applyFont="1" applyBorder="1" applyAlignment="1">
      <alignment horizontal="center" vertical="center" wrapText="1"/>
    </xf>
    <xf numFmtId="0" fontId="30" fillId="0" borderId="1" xfId="0" applyFont="1" applyBorder="1" applyAlignment="1">
      <alignment horizontal="center" vertical="center" wrapText="1"/>
    </xf>
    <xf numFmtId="0" fontId="31" fillId="0" borderId="67" xfId="0" applyFont="1" applyBorder="1" applyAlignment="1">
      <alignment wrapText="1"/>
    </xf>
    <xf numFmtId="2" fontId="177" fillId="0" borderId="0" xfId="0" applyNumberFormat="1" applyFont="1" applyAlignment="1">
      <alignment horizontal="right"/>
    </xf>
    <xf numFmtId="0" fontId="38" fillId="0" borderId="1" xfId="0" applyFont="1" applyBorder="1" applyAlignment="1">
      <alignment vertical="top" wrapText="1"/>
    </xf>
    <xf numFmtId="0" fontId="208" fillId="0" borderId="1" xfId="0" applyFont="1" applyBorder="1" applyAlignment="1">
      <alignment horizontal="center" vertical="center" wrapText="1"/>
    </xf>
    <xf numFmtId="0" fontId="209" fillId="0" borderId="1" xfId="0" applyFont="1" applyBorder="1" applyAlignment="1">
      <alignment horizontal="center" vertical="center" wrapText="1"/>
    </xf>
    <xf numFmtId="0" fontId="38" fillId="0" borderId="1" xfId="0" applyFont="1" applyBorder="1" applyAlignment="1">
      <alignment horizontal="center" vertical="center" wrapText="1"/>
    </xf>
    <xf numFmtId="10" fontId="177" fillId="0" borderId="0" xfId="557" applyNumberFormat="1" applyFont="1"/>
    <xf numFmtId="0" fontId="32" fillId="0" borderId="1" xfId="0" applyFont="1" applyBorder="1" applyAlignment="1">
      <alignment horizontal="center"/>
    </xf>
    <xf numFmtId="0" fontId="39" fillId="0" borderId="1" xfId="555" applyFont="1" applyBorder="1" applyAlignment="1">
      <alignment horizontal="left" vertical="top" wrapText="1"/>
    </xf>
    <xf numFmtId="0" fontId="31" fillId="0" borderId="6" xfId="0" applyFont="1" applyBorder="1" applyAlignment="1">
      <alignment horizontal="center" wrapText="1"/>
    </xf>
    <xf numFmtId="0" fontId="40" fillId="0" borderId="87" xfId="0" applyFont="1" applyBorder="1" applyAlignment="1">
      <alignment horizontal="center" vertical="center" wrapText="1"/>
    </xf>
    <xf numFmtId="1" fontId="30" fillId="0" borderId="1" xfId="0" applyNumberFormat="1" applyFont="1" applyBorder="1" applyAlignment="1">
      <alignment horizontal="center" vertical="center"/>
    </xf>
    <xf numFmtId="1" fontId="30" fillId="0" borderId="8" xfId="0" applyNumberFormat="1" applyFont="1" applyBorder="1" applyAlignment="1">
      <alignment horizontal="center" vertical="center"/>
    </xf>
    <xf numFmtId="1" fontId="38" fillId="0" borderId="1" xfId="0" applyNumberFormat="1" applyFont="1" applyBorder="1" applyAlignment="1">
      <alignment horizontal="center" vertical="center"/>
    </xf>
    <xf numFmtId="1" fontId="82" fillId="0" borderId="0" xfId="0" applyNumberFormat="1" applyFont="1" applyAlignment="1">
      <alignment horizontal="center" vertical="center"/>
    </xf>
    <xf numFmtId="0" fontId="160" fillId="0" borderId="5" xfId="0" applyFont="1" applyBorder="1"/>
    <xf numFmtId="0" fontId="160" fillId="0" borderId="0" xfId="0" applyFont="1"/>
    <xf numFmtId="181" fontId="81" fillId="0" borderId="1" xfId="0" applyNumberFormat="1" applyFont="1" applyBorder="1"/>
    <xf numFmtId="0" fontId="0" fillId="0" borderId="3" xfId="0" applyBorder="1"/>
    <xf numFmtId="164" fontId="210" fillId="0" borderId="0" xfId="558" applyFont="1" applyAlignment="1">
      <alignment horizontal="right"/>
    </xf>
    <xf numFmtId="2" fontId="210" fillId="0" borderId="0" xfId="0" applyNumberFormat="1" applyFont="1" applyAlignment="1">
      <alignment horizontal="right"/>
    </xf>
    <xf numFmtId="2" fontId="31" fillId="0" borderId="0" xfId="0" applyNumberFormat="1" applyFont="1" applyAlignment="1">
      <alignment horizontal="left"/>
    </xf>
    <xf numFmtId="0" fontId="117" fillId="0" borderId="58" xfId="0" applyFont="1" applyBorder="1" applyAlignment="1">
      <alignment horizontal="left" vertical="center" wrapText="1"/>
    </xf>
    <xf numFmtId="4" fontId="117" fillId="0" borderId="58" xfId="0" applyNumberFormat="1" applyFont="1" applyBorder="1" applyAlignment="1">
      <alignment horizontal="right" wrapText="1"/>
    </xf>
    <xf numFmtId="0" fontId="117" fillId="0" borderId="45" xfId="0" applyFont="1" applyBorder="1" applyAlignment="1">
      <alignment horizontal="left" vertical="center" wrapText="1"/>
    </xf>
    <xf numFmtId="4" fontId="117" fillId="0" borderId="45" xfId="0" applyNumberFormat="1" applyFont="1" applyBorder="1" applyAlignment="1">
      <alignment horizontal="right" wrapText="1"/>
    </xf>
    <xf numFmtId="0" fontId="199" fillId="0" borderId="58" xfId="0" applyFont="1" applyBorder="1" applyAlignment="1">
      <alignment horizontal="left" vertical="center" wrapText="1"/>
    </xf>
    <xf numFmtId="4" fontId="199" fillId="0" borderId="58" xfId="0" applyNumberFormat="1" applyFont="1" applyBorder="1" applyAlignment="1">
      <alignment horizontal="right" wrapText="1"/>
    </xf>
    <xf numFmtId="0" fontId="199" fillId="0" borderId="45" xfId="0" applyFont="1" applyBorder="1" applyAlignment="1">
      <alignment horizontal="left" vertical="center" wrapText="1"/>
    </xf>
    <xf numFmtId="4" fontId="199" fillId="0" borderId="45" xfId="0" applyNumberFormat="1" applyFont="1" applyBorder="1" applyAlignment="1">
      <alignment horizontal="right" wrapText="1"/>
    </xf>
    <xf numFmtId="0" fontId="117" fillId="0" borderId="3" xfId="0" applyFont="1" applyBorder="1" applyAlignment="1">
      <alignment horizontal="left" vertical="center" wrapText="1"/>
    </xf>
    <xf numFmtId="4" fontId="117" fillId="0" borderId="3" xfId="0" applyNumberFormat="1" applyFont="1" applyBorder="1" applyAlignment="1">
      <alignment horizontal="right" wrapText="1"/>
    </xf>
    <xf numFmtId="0" fontId="117" fillId="0" borderId="60" xfId="0" applyFont="1" applyBorder="1" applyAlignment="1">
      <alignment horizontal="center" wrapText="1"/>
    </xf>
    <xf numFmtId="0" fontId="117" fillId="0" borderId="61" xfId="0" applyFont="1" applyBorder="1" applyAlignment="1">
      <alignment horizontal="center" wrapText="1"/>
    </xf>
    <xf numFmtId="0" fontId="200" fillId="0" borderId="0" xfId="0" applyFont="1" applyAlignment="1">
      <alignment wrapText="1"/>
    </xf>
    <xf numFmtId="0" fontId="201" fillId="0" borderId="0" xfId="0" applyFont="1" applyAlignment="1">
      <alignment vertical="center" wrapText="1"/>
    </xf>
    <xf numFmtId="4" fontId="175" fillId="0" borderId="40" xfId="240" applyNumberFormat="1" applyFont="1" applyBorder="1" applyAlignment="1">
      <alignment horizontal="center" vertical="center" wrapText="1"/>
    </xf>
    <xf numFmtId="0" fontId="28" fillId="0" borderId="0" xfId="240" applyFont="1" applyAlignment="1">
      <alignment vertical="top" wrapText="1"/>
    </xf>
    <xf numFmtId="191" fontId="23" fillId="2" borderId="0" xfId="240" applyNumberFormat="1" applyFont="1" applyFill="1"/>
    <xf numFmtId="2" fontId="31" fillId="70" borderId="0" xfId="0" applyNumberFormat="1" applyFont="1" applyFill="1"/>
    <xf numFmtId="0" fontId="31" fillId="70" borderId="0" xfId="0" applyFont="1" applyFill="1" applyAlignment="1">
      <alignment horizontal="center" vertical="center"/>
    </xf>
    <xf numFmtId="2" fontId="177" fillId="70" borderId="0" xfId="0" applyNumberFormat="1" applyFont="1" applyFill="1" applyAlignment="1">
      <alignment horizontal="right"/>
    </xf>
    <xf numFmtId="2" fontId="169" fillId="70" borderId="0" xfId="0" applyNumberFormat="1" applyFont="1" applyFill="1" applyAlignment="1">
      <alignment horizontal="right"/>
    </xf>
    <xf numFmtId="0" fontId="177" fillId="70" borderId="0" xfId="0" applyFont="1" applyFill="1"/>
    <xf numFmtId="2" fontId="177" fillId="2" borderId="0" xfId="0" applyNumberFormat="1" applyFont="1" applyFill="1"/>
    <xf numFmtId="4" fontId="177" fillId="2" borderId="0" xfId="0" applyNumberFormat="1" applyFont="1" applyFill="1"/>
    <xf numFmtId="4" fontId="94" fillId="70" borderId="0" xfId="0" applyNumberFormat="1" applyFont="1" applyFill="1"/>
    <xf numFmtId="0" fontId="204" fillId="70" borderId="0" xfId="0" applyFont="1" applyFill="1" applyAlignment="1">
      <alignment horizontal="center" vertical="center"/>
    </xf>
    <xf numFmtId="0" fontId="203" fillId="70" borderId="0" xfId="0" applyFont="1" applyFill="1" applyAlignment="1">
      <alignment horizontal="center" vertical="center"/>
    </xf>
    <xf numFmtId="0" fontId="117" fillId="70" borderId="0" xfId="0" applyFont="1" applyFill="1" applyAlignment="1">
      <alignment horizontal="center"/>
    </xf>
    <xf numFmtId="0" fontId="32" fillId="70" borderId="0" xfId="0" applyFont="1" applyFill="1"/>
    <xf numFmtId="0" fontId="117" fillId="0" borderId="62" xfId="0" applyFont="1" applyBorder="1" applyAlignment="1">
      <alignment horizontal="center" wrapText="1"/>
    </xf>
    <xf numFmtId="4" fontId="199" fillId="0" borderId="59" xfId="0" applyNumberFormat="1" applyFont="1" applyBorder="1" applyAlignment="1">
      <alignment horizontal="right" wrapText="1"/>
    </xf>
    <xf numFmtId="4" fontId="199" fillId="0" borderId="46" xfId="0" applyNumberFormat="1" applyFont="1" applyBorder="1" applyAlignment="1">
      <alignment horizontal="right" wrapText="1"/>
    </xf>
    <xf numFmtId="4" fontId="117" fillId="0" borderId="59" xfId="0" applyNumberFormat="1" applyFont="1" applyBorder="1" applyAlignment="1">
      <alignment horizontal="right" wrapText="1"/>
    </xf>
    <xf numFmtId="4" fontId="117" fillId="0" borderId="46" xfId="0" applyNumberFormat="1" applyFont="1" applyBorder="1" applyAlignment="1">
      <alignment horizontal="right" wrapText="1"/>
    </xf>
    <xf numFmtId="4" fontId="32" fillId="0" borderId="59" xfId="0" applyNumberFormat="1" applyFont="1" applyBorder="1" applyAlignment="1">
      <alignment horizontal="right" wrapText="1"/>
    </xf>
    <xf numFmtId="4" fontId="117" fillId="0" borderId="43" xfId="0" applyNumberFormat="1" applyFont="1" applyBorder="1" applyAlignment="1">
      <alignment horizontal="right" wrapText="1"/>
    </xf>
    <xf numFmtId="0" fontId="40" fillId="0" borderId="67" xfId="0" applyFont="1" applyBorder="1" applyAlignment="1">
      <alignment vertical="center" wrapText="1"/>
    </xf>
    <xf numFmtId="9" fontId="0" fillId="0" borderId="0" xfId="557" applyFont="1"/>
    <xf numFmtId="0" fontId="28" fillId="0" borderId="0" xfId="0" applyFont="1"/>
    <xf numFmtId="2" fontId="147" fillId="0" borderId="58" xfId="6" applyNumberFormat="1" applyFont="1" applyBorder="1" applyAlignment="1">
      <alignment horizontal="center" vertical="center" wrapText="1"/>
    </xf>
    <xf numFmtId="170" fontId="147" fillId="0" borderId="58" xfId="6" applyNumberFormat="1" applyFont="1" applyBorder="1" applyAlignment="1">
      <alignment horizontal="center" vertical="center" wrapText="1"/>
    </xf>
    <xf numFmtId="2" fontId="147" fillId="0" borderId="1" xfId="6" applyNumberFormat="1" applyFont="1" applyBorder="1" applyAlignment="1">
      <alignment horizontal="center" vertical="center" wrapText="1"/>
    </xf>
    <xf numFmtId="170" fontId="147" fillId="0" borderId="1" xfId="6" applyNumberFormat="1" applyFont="1" applyBorder="1" applyAlignment="1">
      <alignment horizontal="center" vertical="center" wrapText="1"/>
    </xf>
    <xf numFmtId="2" fontId="147" fillId="0" borderId="45" xfId="6" applyNumberFormat="1" applyFont="1" applyBorder="1" applyAlignment="1">
      <alignment horizontal="center" vertical="center" wrapText="1"/>
    </xf>
    <xf numFmtId="170" fontId="147" fillId="0" borderId="45" xfId="6" applyNumberFormat="1" applyFont="1" applyBorder="1" applyAlignment="1">
      <alignment horizontal="center" vertical="center" wrapText="1"/>
    </xf>
    <xf numFmtId="2" fontId="147" fillId="0" borderId="49" xfId="6" applyNumberFormat="1" applyFont="1" applyBorder="1" applyAlignment="1">
      <alignment horizontal="center" vertical="center" wrapText="1"/>
    </xf>
    <xf numFmtId="2" fontId="147" fillId="0" borderId="59" xfId="6" applyNumberFormat="1" applyFont="1" applyBorder="1" applyAlignment="1">
      <alignment horizontal="center" vertical="center" wrapText="1"/>
    </xf>
    <xf numFmtId="2" fontId="147" fillId="0" borderId="40" xfId="6" applyNumberFormat="1" applyFont="1" applyBorder="1" applyAlignment="1">
      <alignment horizontal="center" vertical="center" wrapText="1"/>
    </xf>
    <xf numFmtId="2" fontId="147" fillId="0" borderId="3" xfId="6" applyNumberFormat="1" applyFont="1" applyBorder="1" applyAlignment="1">
      <alignment horizontal="center" vertical="center" wrapText="1"/>
    </xf>
    <xf numFmtId="2" fontId="147" fillId="0" borderId="46" xfId="6" applyNumberFormat="1" applyFont="1" applyBorder="1" applyAlignment="1">
      <alignment horizontal="center" vertical="center" wrapText="1"/>
    </xf>
    <xf numFmtId="2" fontId="147" fillId="0" borderId="43" xfId="6" applyNumberFormat="1" applyFont="1" applyBorder="1" applyAlignment="1">
      <alignment horizontal="center" vertical="center" wrapText="1"/>
    </xf>
    <xf numFmtId="2" fontId="147" fillId="0" borderId="79" xfId="6" applyNumberFormat="1" applyFont="1" applyBorder="1" applyAlignment="1">
      <alignment horizontal="center" vertical="center" wrapText="1"/>
    </xf>
    <xf numFmtId="2" fontId="147" fillId="0" borderId="47" xfId="6" applyNumberFormat="1" applyFont="1" applyBorder="1" applyAlignment="1">
      <alignment horizontal="center" vertical="center" wrapText="1"/>
    </xf>
    <xf numFmtId="2" fontId="124" fillId="0" borderId="58" xfId="6" applyNumberFormat="1" applyFont="1" applyBorder="1" applyAlignment="1">
      <alignment horizontal="center" vertical="center" wrapText="1"/>
    </xf>
    <xf numFmtId="170" fontId="124" fillId="0" borderId="58" xfId="6" applyNumberFormat="1" applyFont="1" applyBorder="1" applyAlignment="1">
      <alignment horizontal="center" vertical="center" wrapText="1"/>
    </xf>
    <xf numFmtId="2" fontId="124" fillId="0" borderId="59" xfId="6" applyNumberFormat="1" applyFont="1" applyBorder="1" applyAlignment="1">
      <alignment horizontal="center" vertical="center" wrapText="1"/>
    </xf>
    <xf numFmtId="49" fontId="31" fillId="0" borderId="0" xfId="555" applyNumberFormat="1" applyFont="1" applyAlignment="1">
      <alignment horizontal="center" vertical="center"/>
    </xf>
    <xf numFmtId="0" fontId="100" fillId="0" borderId="0" xfId="555" applyFont="1" applyAlignment="1">
      <alignment horizontal="left" vertical="center"/>
    </xf>
    <xf numFmtId="0" fontId="32" fillId="0" borderId="0" xfId="555" applyFont="1" applyAlignment="1">
      <alignment vertical="center" wrapText="1"/>
    </xf>
    <xf numFmtId="2" fontId="32" fillId="0" borderId="0" xfId="555" applyNumberFormat="1" applyFont="1" applyAlignment="1">
      <alignment vertical="center" wrapText="1"/>
    </xf>
    <xf numFmtId="0" fontId="120" fillId="0" borderId="0" xfId="555" applyFont="1" applyAlignment="1">
      <alignment horizontal="center" vertical="center"/>
    </xf>
    <xf numFmtId="0" fontId="107" fillId="0" borderId="0" xfId="555" applyFont="1"/>
    <xf numFmtId="2" fontId="107" fillId="0" borderId="0" xfId="555" applyNumberFormat="1" applyFont="1"/>
    <xf numFmtId="0" fontId="105" fillId="0" borderId="0" xfId="555" applyFont="1"/>
    <xf numFmtId="0" fontId="121" fillId="0" borderId="0" xfId="555" applyFont="1"/>
    <xf numFmtId="10" fontId="4" fillId="0" borderId="0" xfId="555" applyNumberFormat="1"/>
    <xf numFmtId="0" fontId="90" fillId="0" borderId="52" xfId="555" applyFont="1" applyBorder="1" applyAlignment="1">
      <alignment horizontal="center" vertical="center" wrapText="1"/>
    </xf>
    <xf numFmtId="0" fontId="90" fillId="0" borderId="53" xfId="555" applyFont="1" applyBorder="1" applyAlignment="1">
      <alignment horizontal="center" vertical="center" wrapText="1"/>
    </xf>
    <xf numFmtId="4" fontId="4" fillId="0" borderId="0" xfId="555" applyNumberFormat="1"/>
    <xf numFmtId="187" fontId="4" fillId="0" borderId="0" xfId="555" applyNumberFormat="1"/>
    <xf numFmtId="187" fontId="107" fillId="0" borderId="0" xfId="555" applyNumberFormat="1" applyFont="1"/>
    <xf numFmtId="187" fontId="104" fillId="0" borderId="0" xfId="555" applyNumberFormat="1" applyFont="1"/>
    <xf numFmtId="2" fontId="122" fillId="0" borderId="39" xfId="555" applyNumberFormat="1" applyFont="1" applyBorder="1" applyAlignment="1">
      <alignment horizontal="center" vertical="center" wrapText="1"/>
    </xf>
    <xf numFmtId="187" fontId="23" fillId="0" borderId="0" xfId="555" applyNumberFormat="1" applyFont="1"/>
    <xf numFmtId="2" fontId="122" fillId="0" borderId="44" xfId="555" applyNumberFormat="1" applyFont="1" applyBorder="1" applyAlignment="1">
      <alignment horizontal="center" vertical="center" wrapText="1"/>
    </xf>
    <xf numFmtId="177" fontId="4" fillId="0" borderId="0" xfId="555" applyNumberFormat="1"/>
    <xf numFmtId="177" fontId="90" fillId="0" borderId="52" xfId="555" applyNumberFormat="1" applyFont="1" applyBorder="1" applyAlignment="1">
      <alignment horizontal="center" vertical="center" wrapText="1"/>
    </xf>
    <xf numFmtId="2" fontId="90" fillId="0" borderId="91" xfId="555" applyNumberFormat="1" applyFont="1" applyBorder="1" applyAlignment="1">
      <alignment horizontal="center" vertical="center" wrapText="1"/>
    </xf>
    <xf numFmtId="49" fontId="40" fillId="0" borderId="60" xfId="555" applyNumberFormat="1" applyFont="1" applyBorder="1" applyAlignment="1">
      <alignment horizontal="center" vertical="center"/>
    </xf>
    <xf numFmtId="2" fontId="122" fillId="0" borderId="48" xfId="555" applyNumberFormat="1" applyFont="1" applyBorder="1" applyAlignment="1">
      <alignment horizontal="center" vertical="center" wrapText="1"/>
    </xf>
    <xf numFmtId="2" fontId="122" fillId="0" borderId="41" xfId="555" applyNumberFormat="1" applyFont="1" applyBorder="1" applyAlignment="1">
      <alignment horizontal="center" vertical="center" wrapText="1"/>
    </xf>
    <xf numFmtId="49" fontId="40" fillId="0" borderId="57" xfId="555" applyNumberFormat="1" applyFont="1" applyBorder="1" applyAlignment="1">
      <alignment horizontal="center" vertical="center"/>
    </xf>
    <xf numFmtId="2" fontId="90" fillId="0" borderId="48" xfId="555" applyNumberFormat="1" applyFont="1" applyBorder="1" applyAlignment="1">
      <alignment horizontal="center" vertical="center" wrapText="1"/>
    </xf>
    <xf numFmtId="49" fontId="40" fillId="0" borderId="91" xfId="555" applyNumberFormat="1" applyFont="1" applyBorder="1" applyAlignment="1">
      <alignment horizontal="center" vertical="center"/>
    </xf>
    <xf numFmtId="49" fontId="40" fillId="0" borderId="6" xfId="555" applyNumberFormat="1" applyFont="1" applyBorder="1" applyAlignment="1">
      <alignment horizontal="center" vertical="center"/>
    </xf>
    <xf numFmtId="49" fontId="40" fillId="0" borderId="33" xfId="555" applyNumberFormat="1" applyFont="1" applyBorder="1" applyAlignment="1">
      <alignment horizontal="center" vertical="center"/>
    </xf>
    <xf numFmtId="49" fontId="40" fillId="0" borderId="71" xfId="555" applyNumberFormat="1" applyFont="1" applyBorder="1" applyAlignment="1">
      <alignment horizontal="center" vertical="center"/>
    </xf>
    <xf numFmtId="49" fontId="40" fillId="0" borderId="67" xfId="555" applyNumberFormat="1" applyFont="1" applyBorder="1" applyAlignment="1">
      <alignment horizontal="center" vertical="center"/>
    </xf>
    <xf numFmtId="49" fontId="31" fillId="0" borderId="68" xfId="555" applyNumberFormat="1" applyFont="1" applyBorder="1" applyAlignment="1">
      <alignment horizontal="center" vertical="center"/>
    </xf>
    <xf numFmtId="49" fontId="31" fillId="0" borderId="48" xfId="555" applyNumberFormat="1" applyFont="1" applyBorder="1" applyAlignment="1">
      <alignment horizontal="center" vertical="center"/>
    </xf>
    <xf numFmtId="4" fontId="4" fillId="0" borderId="27" xfId="555" applyNumberFormat="1" applyBorder="1"/>
    <xf numFmtId="0" fontId="4" fillId="0" borderId="24" xfId="555" applyBorder="1"/>
    <xf numFmtId="2" fontId="90" fillId="0" borderId="42" xfId="555" applyNumberFormat="1" applyFont="1" applyBorder="1" applyAlignment="1">
      <alignment horizontal="center" vertical="center" wrapText="1"/>
    </xf>
    <xf numFmtId="2" fontId="4" fillId="0" borderId="24" xfId="555" applyNumberFormat="1" applyBorder="1"/>
    <xf numFmtId="4" fontId="4" fillId="0" borderId="24" xfId="555" applyNumberFormat="1" applyBorder="1"/>
    <xf numFmtId="49" fontId="31" fillId="0" borderId="71" xfId="555" applyNumberFormat="1" applyFont="1" applyBorder="1" applyAlignment="1">
      <alignment horizontal="center" vertical="center"/>
    </xf>
    <xf numFmtId="2" fontId="4" fillId="0" borderId="56" xfId="555" applyNumberFormat="1" applyBorder="1"/>
    <xf numFmtId="49" fontId="31" fillId="0" borderId="57" xfId="555" applyNumberFormat="1" applyFont="1" applyBorder="1" applyAlignment="1">
      <alignment horizontal="center" vertical="center"/>
    </xf>
    <xf numFmtId="49" fontId="31" fillId="0" borderId="44" xfId="555" applyNumberFormat="1" applyFont="1" applyBorder="1" applyAlignment="1">
      <alignment horizontal="center" vertical="center"/>
    </xf>
    <xf numFmtId="49" fontId="31" fillId="0" borderId="1" xfId="555" applyNumberFormat="1" applyFont="1" applyBorder="1" applyAlignment="1">
      <alignment horizontal="center" vertical="center"/>
    </xf>
    <xf numFmtId="0" fontId="90" fillId="0" borderId="0" xfId="555" applyFont="1" applyAlignment="1">
      <alignment vertical="center" wrapText="1"/>
    </xf>
    <xf numFmtId="0" fontId="90" fillId="0" borderId="0" xfId="555" applyFont="1" applyAlignment="1">
      <alignment horizontal="center" vertical="center" wrapText="1"/>
    </xf>
    <xf numFmtId="2" fontId="90" fillId="0" borderId="0" xfId="555" applyNumberFormat="1" applyFont="1" applyAlignment="1">
      <alignment horizontal="center" vertical="center" wrapText="1"/>
    </xf>
    <xf numFmtId="0" fontId="30" fillId="0" borderId="0" xfId="555" applyFont="1" applyAlignment="1">
      <alignment vertical="center" wrapText="1"/>
    </xf>
    <xf numFmtId="49" fontId="31" fillId="0" borderId="0" xfId="555" applyNumberFormat="1" applyFont="1" applyAlignment="1">
      <alignment horizontal="left" vertical="center"/>
    </xf>
    <xf numFmtId="2" fontId="39" fillId="0" borderId="0" xfId="555" applyNumberFormat="1" applyFont="1" applyAlignment="1">
      <alignment horizontal="left" vertical="center"/>
    </xf>
    <xf numFmtId="9" fontId="4" fillId="0" borderId="0" xfId="557" applyFont="1" applyFill="1"/>
    <xf numFmtId="2" fontId="90" fillId="0" borderId="51" xfId="555" applyNumberFormat="1" applyFont="1" applyBorder="1" applyAlignment="1">
      <alignment horizontal="center" vertical="center" wrapText="1"/>
    </xf>
    <xf numFmtId="4" fontId="36" fillId="73" borderId="1" xfId="240" applyNumberFormat="1" applyFont="1" applyFill="1" applyBorder="1" applyAlignment="1" applyProtection="1">
      <alignment horizontal="center" vertical="center" wrapText="1"/>
      <protection locked="0"/>
    </xf>
    <xf numFmtId="4" fontId="36" fillId="73" borderId="40" xfId="240" applyNumberFormat="1" applyFont="1" applyFill="1" applyBorder="1" applyAlignment="1">
      <alignment horizontal="center" vertical="center" wrapText="1"/>
    </xf>
    <xf numFmtId="4" fontId="36" fillId="73" borderId="1" xfId="240" applyNumberFormat="1" applyFont="1" applyFill="1" applyBorder="1" applyAlignment="1">
      <alignment horizontal="center" vertical="center" wrapText="1"/>
    </xf>
    <xf numFmtId="180" fontId="36" fillId="73" borderId="40" xfId="240" applyNumberFormat="1" applyFont="1" applyFill="1" applyBorder="1" applyAlignment="1">
      <alignment horizontal="center" vertical="center" wrapText="1"/>
    </xf>
    <xf numFmtId="4" fontId="36" fillId="74" borderId="39" xfId="240" applyNumberFormat="1" applyFont="1" applyFill="1" applyBorder="1" applyAlignment="1">
      <alignment horizontal="center" vertical="center" wrapText="1"/>
    </xf>
    <xf numFmtId="4" fontId="36" fillId="74" borderId="1" xfId="240" applyNumberFormat="1" applyFont="1" applyFill="1" applyBorder="1" applyAlignment="1" applyProtection="1">
      <alignment horizontal="center" vertical="center" wrapText="1"/>
      <protection locked="0"/>
    </xf>
    <xf numFmtId="4" fontId="36" fillId="74" borderId="39" xfId="240" applyNumberFormat="1" applyFont="1" applyFill="1" applyBorder="1" applyAlignment="1" applyProtection="1">
      <alignment horizontal="center" vertical="center" wrapText="1"/>
      <protection locked="0"/>
    </xf>
    <xf numFmtId="4" fontId="36" fillId="74" borderId="52" xfId="240" applyNumberFormat="1" applyFont="1" applyFill="1" applyBorder="1" applyAlignment="1" applyProtection="1">
      <alignment horizontal="center" vertical="center" wrapText="1"/>
      <protection locked="0"/>
    </xf>
    <xf numFmtId="0" fontId="90" fillId="0" borderId="0" xfId="0" applyFont="1" applyAlignment="1">
      <alignment horizontal="left"/>
    </xf>
    <xf numFmtId="0" fontId="90" fillId="0" borderId="0" xfId="116" applyFont="1" applyAlignment="1">
      <alignment horizontal="left"/>
    </xf>
    <xf numFmtId="176" fontId="90" fillId="0" borderId="0" xfId="116" applyNumberFormat="1" applyFont="1" applyAlignment="1">
      <alignment horizontal="left"/>
    </xf>
    <xf numFmtId="176" fontId="39" fillId="0" borderId="0" xfId="116" applyNumberFormat="1" applyFont="1" applyAlignment="1">
      <alignment horizontal="center"/>
    </xf>
    <xf numFmtId="0" fontId="140" fillId="0" borderId="101" xfId="116" applyFont="1" applyBorder="1" applyAlignment="1">
      <alignment wrapText="1"/>
    </xf>
    <xf numFmtId="0" fontId="140" fillId="0" borderId="101" xfId="116" applyFont="1" applyBorder="1" applyAlignment="1">
      <alignment vertical="justify" wrapText="1"/>
    </xf>
    <xf numFmtId="0" fontId="140" fillId="0" borderId="101" xfId="116" applyFont="1" applyBorder="1" applyAlignment="1">
      <alignment vertical="center" wrapText="1"/>
    </xf>
    <xf numFmtId="0" fontId="140" fillId="0" borderId="32" xfId="116" applyFont="1" applyBorder="1" applyAlignment="1">
      <alignment wrapText="1"/>
    </xf>
    <xf numFmtId="0" fontId="140" fillId="0" borderId="23" xfId="116" applyFont="1" applyBorder="1" applyAlignment="1">
      <alignment wrapText="1"/>
    </xf>
    <xf numFmtId="1" fontId="134" fillId="0" borderId="67" xfId="554" applyNumberFormat="1" applyFont="1" applyBorder="1" applyAlignment="1">
      <alignment horizontal="center" vertical="top" wrapText="1"/>
    </xf>
    <xf numFmtId="49" fontId="31" fillId="0" borderId="0" xfId="6" applyNumberFormat="1" applyFont="1"/>
    <xf numFmtId="49" fontId="40" fillId="0" borderId="0" xfId="6" applyNumberFormat="1" applyFont="1"/>
    <xf numFmtId="0" fontId="40" fillId="0" borderId="0" xfId="6" applyFont="1"/>
    <xf numFmtId="0" fontId="116" fillId="0" borderId="0" xfId="6" applyFont="1" applyAlignment="1">
      <alignment horizontal="center"/>
    </xf>
    <xf numFmtId="0" fontId="23" fillId="0" borderId="0" xfId="6" applyFont="1"/>
    <xf numFmtId="49" fontId="30" fillId="0" borderId="1" xfId="6" applyNumberFormat="1" applyFont="1" applyBorder="1" applyAlignment="1">
      <alignment horizontal="center" vertical="center" wrapText="1"/>
    </xf>
    <xf numFmtId="2" fontId="21" fillId="0" borderId="0" xfId="6" applyNumberFormat="1"/>
    <xf numFmtId="0" fontId="15" fillId="0" borderId="0" xfId="6" applyFont="1"/>
    <xf numFmtId="170" fontId="29" fillId="0" borderId="1" xfId="6" applyNumberFormat="1" applyFont="1" applyBorder="1" applyAlignment="1" applyProtection="1">
      <alignment horizontal="center" vertical="center" wrapText="1"/>
      <protection locked="0"/>
    </xf>
    <xf numFmtId="170" fontId="29" fillId="0" borderId="1" xfId="6" applyNumberFormat="1" applyFont="1" applyBorder="1" applyAlignment="1">
      <alignment horizontal="center" vertical="center" wrapText="1"/>
    </xf>
    <xf numFmtId="4" fontId="29" fillId="0" borderId="1" xfId="6" applyNumberFormat="1" applyFont="1" applyBorder="1" applyAlignment="1" applyProtection="1">
      <alignment horizontal="center" vertical="center" wrapText="1"/>
      <protection locked="0"/>
    </xf>
    <xf numFmtId="0" fontId="102" fillId="0" borderId="0" xfId="6" applyFont="1"/>
    <xf numFmtId="2" fontId="103" fillId="0" borderId="0" xfId="6" applyNumberFormat="1" applyFont="1" applyAlignment="1">
      <alignment horizontal="center"/>
    </xf>
    <xf numFmtId="49" fontId="30" fillId="0" borderId="79" xfId="6" applyNumberFormat="1" applyFont="1" applyBorder="1" applyAlignment="1">
      <alignment horizontal="right" vertical="center" wrapText="1"/>
    </xf>
    <xf numFmtId="0" fontId="30" fillId="0" borderId="79" xfId="6" applyFont="1" applyBorder="1" applyAlignment="1">
      <alignment vertical="center" wrapText="1"/>
    </xf>
    <xf numFmtId="0" fontId="30" fillId="0" borderId="79" xfId="6" applyFont="1" applyBorder="1" applyAlignment="1">
      <alignment horizontal="center" vertical="center" wrapText="1"/>
    </xf>
    <xf numFmtId="0" fontId="6" fillId="0" borderId="0" xfId="6" applyFont="1"/>
    <xf numFmtId="49" fontId="30" fillId="0" borderId="8" xfId="6" applyNumberFormat="1" applyFont="1" applyBorder="1" applyAlignment="1">
      <alignment horizontal="right" vertical="center" wrapText="1"/>
    </xf>
    <xf numFmtId="0" fontId="38" fillId="0" borderId="95" xfId="0" applyFont="1" applyBorder="1" applyAlignment="1">
      <alignment wrapText="1"/>
    </xf>
    <xf numFmtId="0" fontId="30" fillId="0" borderId="7" xfId="6" applyFont="1" applyBorder="1" applyAlignment="1">
      <alignment horizontal="center" vertical="center" wrapText="1"/>
    </xf>
    <xf numFmtId="0" fontId="30" fillId="0" borderId="3" xfId="6" applyFont="1" applyBorder="1" applyAlignment="1">
      <alignment vertical="center" wrapText="1"/>
    </xf>
    <xf numFmtId="49" fontId="30" fillId="0" borderId="2" xfId="6" applyNumberFormat="1" applyFont="1" applyBorder="1" applyAlignment="1">
      <alignment horizontal="right" vertical="center" wrapText="1"/>
    </xf>
    <xf numFmtId="0" fontId="30" fillId="0" borderId="2" xfId="6" applyFont="1" applyBorder="1" applyAlignment="1">
      <alignment vertical="center" wrapText="1"/>
    </xf>
    <xf numFmtId="0" fontId="30" fillId="0" borderId="2" xfId="6" applyFont="1" applyBorder="1" applyAlignment="1">
      <alignment horizontal="center" vertical="center" wrapText="1"/>
    </xf>
    <xf numFmtId="0" fontId="29" fillId="0" borderId="2" xfId="6" applyFont="1" applyBorder="1" applyAlignment="1" applyProtection="1">
      <alignment horizontal="center" vertical="center" wrapText="1"/>
      <protection locked="0"/>
    </xf>
    <xf numFmtId="49" fontId="30" fillId="0" borderId="0" xfId="6" applyNumberFormat="1" applyFont="1" applyAlignment="1">
      <alignment horizontal="right" vertical="center" wrapText="1"/>
    </xf>
    <xf numFmtId="0" fontId="21" fillId="0" borderId="9" xfId="6" applyBorder="1"/>
    <xf numFmtId="49" fontId="21" fillId="0" borderId="0" xfId="6" applyNumberFormat="1"/>
    <xf numFmtId="0" fontId="92" fillId="0" borderId="0" xfId="6" applyFont="1" applyAlignment="1">
      <alignment horizontal="center" wrapText="1"/>
    </xf>
    <xf numFmtId="0" fontId="31" fillId="0" borderId="0" xfId="6" applyFont="1" applyAlignment="1">
      <alignment horizontal="center" wrapText="1"/>
    </xf>
    <xf numFmtId="0" fontId="31" fillId="0" borderId="0" xfId="6" applyFont="1" applyAlignment="1">
      <alignment horizontal="center" vertical="top" wrapText="1"/>
    </xf>
    <xf numFmtId="0" fontId="2" fillId="0" borderId="0" xfId="6" applyFont="1"/>
    <xf numFmtId="0" fontId="103" fillId="0" borderId="0" xfId="6" applyFont="1" applyAlignment="1">
      <alignment horizontal="left" wrapText="1"/>
    </xf>
    <xf numFmtId="0" fontId="94" fillId="0" borderId="0" xfId="0" applyFont="1" applyAlignment="1">
      <alignment horizontal="justify" wrapText="1"/>
    </xf>
    <xf numFmtId="187" fontId="39" fillId="0" borderId="0" xfId="557" applyNumberFormat="1" applyFont="1" applyFill="1"/>
    <xf numFmtId="0" fontId="191" fillId="0" borderId="101" xfId="116" applyFont="1" applyBorder="1" applyAlignment="1">
      <alignment vertical="justify" wrapText="1"/>
    </xf>
    <xf numFmtId="2" fontId="215" fillId="0" borderId="101" xfId="116" applyNumberFormat="1" applyFont="1" applyBorder="1" applyAlignment="1">
      <alignment horizontal="right" vertical="center"/>
    </xf>
    <xf numFmtId="2" fontId="140" fillId="0" borderId="101" xfId="116" applyNumberFormat="1" applyFont="1" applyBorder="1" applyAlignment="1">
      <alignment horizontal="right" vertical="center"/>
    </xf>
    <xf numFmtId="2" fontId="212" fillId="0" borderId="101" xfId="116" applyNumberFormat="1" applyFont="1" applyBorder="1" applyAlignment="1">
      <alignment horizontal="right" vertical="center"/>
    </xf>
    <xf numFmtId="0" fontId="39" fillId="0" borderId="0" xfId="116" applyFont="1" applyAlignment="1">
      <alignment horizontal="right" vertical="center"/>
    </xf>
    <xf numFmtId="0" fontId="140" fillId="0" borderId="104" xfId="116" applyFont="1" applyBorder="1" applyAlignment="1">
      <alignment vertical="center" wrapText="1"/>
    </xf>
    <xf numFmtId="2" fontId="215" fillId="0" borderId="104" xfId="116" applyNumberFormat="1" applyFont="1" applyBorder="1" applyAlignment="1">
      <alignment horizontal="right" vertical="center"/>
    </xf>
    <xf numFmtId="0" fontId="39" fillId="0" borderId="0" xfId="116" applyFont="1" applyAlignment="1">
      <alignment vertical="center"/>
    </xf>
    <xf numFmtId="0" fontId="32" fillId="0" borderId="39" xfId="505" applyFont="1" applyBorder="1" applyAlignment="1">
      <alignment horizontal="center" vertical="center"/>
    </xf>
    <xf numFmtId="0" fontId="81" fillId="0" borderId="0" xfId="505" applyFont="1" applyAlignment="1">
      <alignment horizontal="center" vertical="center"/>
    </xf>
    <xf numFmtId="0" fontId="32" fillId="0" borderId="0" xfId="505" applyFont="1" applyAlignment="1">
      <alignment horizontal="left" vertical="center" wrapText="1"/>
    </xf>
    <xf numFmtId="0" fontId="81" fillId="0" borderId="0" xfId="505" applyFont="1" applyAlignment="1">
      <alignment horizontal="center" vertical="center" wrapText="1"/>
    </xf>
    <xf numFmtId="0" fontId="81" fillId="0" borderId="0" xfId="505" applyFont="1" applyAlignment="1">
      <alignment vertical="center"/>
    </xf>
    <xf numFmtId="0" fontId="2" fillId="0" borderId="0" xfId="505" applyFont="1"/>
    <xf numFmtId="0" fontId="81" fillId="0" borderId="6" xfId="505" applyFont="1" applyBorder="1" applyAlignment="1">
      <alignment horizontal="center" vertical="center"/>
    </xf>
    <xf numFmtId="0" fontId="81" fillId="0" borderId="34" xfId="505" applyFont="1" applyBorder="1" applyAlignment="1">
      <alignment horizontal="center" vertical="center" wrapText="1"/>
    </xf>
    <xf numFmtId="0" fontId="81" fillId="0" borderId="30" xfId="505" applyFont="1" applyBorder="1" applyAlignment="1">
      <alignment horizontal="center" vertical="center" wrapText="1"/>
    </xf>
    <xf numFmtId="0" fontId="81" fillId="32" borderId="6" xfId="505" applyFont="1" applyFill="1" applyBorder="1" applyAlignment="1">
      <alignment horizontal="center" vertical="center" wrapText="1"/>
    </xf>
    <xf numFmtId="0" fontId="32" fillId="0" borderId="57" xfId="0" applyFont="1" applyBorder="1" applyAlignment="1">
      <alignment horizontal="center" vertical="center"/>
    </xf>
    <xf numFmtId="0" fontId="81" fillId="0" borderId="39" xfId="505" applyFont="1" applyBorder="1" applyAlignment="1">
      <alignment horizontal="center" vertical="center"/>
    </xf>
    <xf numFmtId="0" fontId="81" fillId="0" borderId="1" xfId="505" applyFont="1" applyBorder="1" applyAlignment="1">
      <alignment vertical="top" wrapText="1"/>
    </xf>
    <xf numFmtId="4" fontId="81" fillId="0" borderId="1" xfId="505" applyNumberFormat="1" applyFont="1" applyBorder="1"/>
    <xf numFmtId="0" fontId="32" fillId="0" borderId="44" xfId="505" applyFont="1" applyBorder="1" applyAlignment="1">
      <alignment horizontal="center" vertical="center"/>
    </xf>
    <xf numFmtId="0" fontId="32" fillId="0" borderId="45" xfId="505" applyFont="1" applyBorder="1" applyAlignment="1">
      <alignment vertical="top" wrapText="1"/>
    </xf>
    <xf numFmtId="4" fontId="32" fillId="0" borderId="45" xfId="505" applyNumberFormat="1" applyFont="1" applyBorder="1"/>
    <xf numFmtId="4" fontId="32" fillId="0" borderId="46" xfId="505" applyNumberFormat="1" applyFont="1" applyBorder="1"/>
    <xf numFmtId="177" fontId="147" fillId="0" borderId="1" xfId="6" applyNumberFormat="1" applyFont="1" applyBorder="1" applyAlignment="1">
      <alignment horizontal="center" vertical="center" wrapText="1"/>
    </xf>
    <xf numFmtId="177" fontId="147" fillId="0" borderId="45" xfId="6" applyNumberFormat="1" applyFont="1" applyBorder="1" applyAlignment="1">
      <alignment horizontal="center" vertical="center" wrapText="1"/>
    </xf>
    <xf numFmtId="1" fontId="147" fillId="0" borderId="1" xfId="6" applyNumberFormat="1" applyFont="1" applyBorder="1" applyAlignment="1">
      <alignment horizontal="center" vertical="center" wrapText="1"/>
    </xf>
    <xf numFmtId="1" fontId="147" fillId="0" borderId="45" xfId="6" applyNumberFormat="1" applyFont="1" applyBorder="1" applyAlignment="1">
      <alignment horizontal="center" vertical="center" wrapText="1"/>
    </xf>
    <xf numFmtId="2" fontId="147" fillId="0" borderId="58" xfId="6" applyNumberFormat="1" applyFont="1" applyBorder="1" applyAlignment="1">
      <alignment horizontal="right" vertical="center" wrapText="1"/>
    </xf>
    <xf numFmtId="4" fontId="36" fillId="76" borderId="1" xfId="240" applyNumberFormat="1" applyFont="1" applyFill="1" applyBorder="1" applyAlignment="1" applyProtection="1">
      <alignment horizontal="center" vertical="center" wrapText="1"/>
      <protection locked="0"/>
    </xf>
    <xf numFmtId="2" fontId="40" fillId="0" borderId="101" xfId="0" applyNumberFormat="1" applyFont="1" applyBorder="1" applyAlignment="1">
      <alignment horizontal="center"/>
    </xf>
    <xf numFmtId="0" fontId="102" fillId="0" borderId="0" xfId="555" applyFont="1"/>
    <xf numFmtId="175" fontId="90" fillId="0" borderId="1" xfId="555" applyNumberFormat="1" applyFont="1" applyBorder="1" applyAlignment="1">
      <alignment horizontal="center" vertical="center" wrapText="1"/>
    </xf>
    <xf numFmtId="0" fontId="81" fillId="0" borderId="1" xfId="0" applyFont="1" applyBorder="1"/>
    <xf numFmtId="4" fontId="36" fillId="61" borderId="40" xfId="240" applyNumberFormat="1" applyFont="1" applyFill="1" applyBorder="1" applyAlignment="1">
      <alignment horizontal="center" vertical="center" wrapText="1"/>
    </xf>
    <xf numFmtId="179" fontId="140" fillId="0" borderId="101" xfId="116" applyNumberFormat="1" applyFont="1" applyBorder="1" applyAlignment="1">
      <alignment horizontal="right" vertical="center"/>
    </xf>
    <xf numFmtId="0" fontId="135" fillId="0" borderId="0" xfId="505" applyFont="1" applyAlignment="1">
      <alignment horizontal="center" vertical="top"/>
    </xf>
    <xf numFmtId="2" fontId="39" fillId="0" borderId="0" xfId="448" applyNumberFormat="1" applyFont="1"/>
    <xf numFmtId="188" fontId="147" fillId="34" borderId="1" xfId="444" applyNumberFormat="1" applyFont="1" applyFill="1" applyBorder="1" applyAlignment="1">
      <alignment horizontal="right" vertical="center"/>
    </xf>
    <xf numFmtId="190" fontId="147" fillId="34" borderId="1" xfId="444" applyNumberFormat="1" applyFont="1" applyFill="1" applyBorder="1" applyAlignment="1">
      <alignment horizontal="right" vertical="center"/>
    </xf>
    <xf numFmtId="4" fontId="32" fillId="34" borderId="1" xfId="0" applyNumberFormat="1" applyFont="1" applyFill="1" applyBorder="1"/>
    <xf numFmtId="179" fontId="212" fillId="0" borderId="101" xfId="116" applyNumberFormat="1" applyFont="1" applyBorder="1" applyAlignment="1">
      <alignment horizontal="right" vertical="center"/>
    </xf>
    <xf numFmtId="2" fontId="140" fillId="0" borderId="104" xfId="116" applyNumberFormat="1" applyFont="1" applyBorder="1" applyAlignment="1">
      <alignment horizontal="right" vertical="center"/>
    </xf>
    <xf numFmtId="2" fontId="215" fillId="0" borderId="103" xfId="116" applyNumberFormat="1" applyFont="1" applyBorder="1" applyAlignment="1">
      <alignment horizontal="right" vertical="center"/>
    </xf>
    <xf numFmtId="2" fontId="140" fillId="0" borderId="103" xfId="116" applyNumberFormat="1" applyFont="1" applyBorder="1" applyAlignment="1">
      <alignment horizontal="right" vertical="center"/>
    </xf>
    <xf numFmtId="2" fontId="212" fillId="0" borderId="103" xfId="116" applyNumberFormat="1" applyFont="1" applyBorder="1" applyAlignment="1">
      <alignment horizontal="right" vertical="center"/>
    </xf>
    <xf numFmtId="179" fontId="140" fillId="0" borderId="103" xfId="116" applyNumberFormat="1" applyFont="1" applyBorder="1" applyAlignment="1">
      <alignment horizontal="right" vertical="center"/>
    </xf>
    <xf numFmtId="179" fontId="212" fillId="0" borderId="103" xfId="116" applyNumberFormat="1" applyFont="1" applyBorder="1" applyAlignment="1">
      <alignment horizontal="right" vertical="center"/>
    </xf>
    <xf numFmtId="4" fontId="36" fillId="2" borderId="40" xfId="240" applyNumberFormat="1" applyFont="1" applyFill="1" applyBorder="1" applyAlignment="1">
      <alignment horizontal="center" vertical="center" wrapText="1"/>
    </xf>
    <xf numFmtId="4" fontId="36" fillId="2" borderId="40" xfId="240" applyNumberFormat="1" applyFont="1" applyFill="1" applyBorder="1" applyAlignment="1" applyProtection="1">
      <alignment horizontal="center" vertical="center" wrapText="1"/>
      <protection locked="0"/>
    </xf>
    <xf numFmtId="0" fontId="140" fillId="0" borderId="109" xfId="116" applyFont="1" applyBorder="1" applyAlignment="1">
      <alignment wrapText="1"/>
    </xf>
    <xf numFmtId="2" fontId="215" fillId="0" borderId="109" xfId="116" applyNumberFormat="1" applyFont="1" applyBorder="1" applyAlignment="1">
      <alignment horizontal="right" vertical="center"/>
    </xf>
    <xf numFmtId="2" fontId="140" fillId="0" borderId="109" xfId="116" applyNumberFormat="1" applyFont="1" applyBorder="1" applyAlignment="1">
      <alignment horizontal="right" vertical="center"/>
    </xf>
    <xf numFmtId="2" fontId="212" fillId="0" borderId="109" xfId="116" applyNumberFormat="1" applyFont="1" applyBorder="1" applyAlignment="1">
      <alignment horizontal="right" vertical="center"/>
    </xf>
    <xf numFmtId="179" fontId="140" fillId="0" borderId="109" xfId="116" applyNumberFormat="1" applyFont="1" applyBorder="1" applyAlignment="1">
      <alignment horizontal="right" vertical="center"/>
    </xf>
    <xf numFmtId="179" fontId="212" fillId="0" borderId="109" xfId="116" applyNumberFormat="1" applyFont="1" applyBorder="1" applyAlignment="1">
      <alignment horizontal="right" vertical="center"/>
    </xf>
    <xf numFmtId="0" fontId="144" fillId="0" borderId="6" xfId="116" applyFont="1" applyBorder="1" applyAlignment="1">
      <alignment wrapText="1"/>
    </xf>
    <xf numFmtId="2" fontId="214" fillId="0" borderId="6" xfId="116" applyNumberFormat="1" applyFont="1" applyBorder="1" applyAlignment="1">
      <alignment horizontal="right" vertical="center"/>
    </xf>
    <xf numFmtId="2" fontId="144" fillId="0" borderId="6" xfId="116" applyNumberFormat="1" applyFont="1" applyBorder="1" applyAlignment="1">
      <alignment horizontal="right" vertical="center"/>
    </xf>
    <xf numFmtId="2" fontId="211" fillId="0" borderId="6" xfId="116" applyNumberFormat="1" applyFont="1" applyBorder="1" applyAlignment="1">
      <alignment horizontal="right" vertical="center"/>
    </xf>
    <xf numFmtId="179" fontId="211" fillId="0" borderId="6" xfId="116" applyNumberFormat="1" applyFont="1" applyBorder="1" applyAlignment="1">
      <alignment horizontal="right" vertical="center"/>
    </xf>
    <xf numFmtId="2" fontId="215" fillId="0" borderId="32" xfId="116" applyNumberFormat="1" applyFont="1" applyBorder="1" applyAlignment="1">
      <alignment horizontal="right" vertical="center"/>
    </xf>
    <xf numFmtId="2" fontId="140" fillId="0" borderId="32" xfId="116" applyNumberFormat="1" applyFont="1" applyBorder="1" applyAlignment="1">
      <alignment horizontal="right" vertical="center"/>
    </xf>
    <xf numFmtId="2" fontId="212" fillId="0" borderId="32" xfId="116" applyNumberFormat="1" applyFont="1" applyBorder="1" applyAlignment="1">
      <alignment horizontal="right" vertical="center"/>
    </xf>
    <xf numFmtId="179" fontId="140" fillId="0" borderId="32" xfId="116" applyNumberFormat="1" applyFont="1" applyBorder="1" applyAlignment="1">
      <alignment horizontal="right" vertical="center"/>
    </xf>
    <xf numFmtId="179" fontId="212" fillId="0" borderId="32" xfId="116" applyNumberFormat="1" applyFont="1" applyBorder="1" applyAlignment="1">
      <alignment horizontal="right" vertical="center"/>
    </xf>
    <xf numFmtId="179" fontId="144" fillId="0" borderId="6" xfId="116" applyNumberFormat="1" applyFont="1" applyBorder="1" applyAlignment="1">
      <alignment horizontal="right" vertical="center"/>
    </xf>
    <xf numFmtId="0" fontId="144" fillId="0" borderId="33" xfId="116" applyFont="1" applyBorder="1" applyAlignment="1">
      <alignment vertical="justify" wrapText="1"/>
    </xf>
    <xf numFmtId="2" fontId="144" fillId="0" borderId="33" xfId="116" applyNumberFormat="1" applyFont="1" applyBorder="1" applyAlignment="1">
      <alignment horizontal="right" vertical="center"/>
    </xf>
    <xf numFmtId="2" fontId="211" fillId="0" borderId="33" xfId="116" applyNumberFormat="1" applyFont="1" applyBorder="1" applyAlignment="1">
      <alignment horizontal="right" vertical="center"/>
    </xf>
    <xf numFmtId="179" fontId="144" fillId="0" borderId="33" xfId="116" applyNumberFormat="1" applyFont="1" applyBorder="1" applyAlignment="1">
      <alignment horizontal="right" vertical="center"/>
    </xf>
    <xf numFmtId="179" fontId="211" fillId="0" borderId="33" xfId="116" applyNumberFormat="1" applyFont="1" applyBorder="1" applyAlignment="1">
      <alignment horizontal="right" vertical="center"/>
    </xf>
    <xf numFmtId="0" fontId="140" fillId="0" borderId="109" xfId="116" applyFont="1" applyBorder="1" applyAlignment="1">
      <alignment vertical="top" wrapText="1"/>
    </xf>
    <xf numFmtId="0" fontId="144" fillId="0" borderId="6" xfId="116" applyFont="1" applyBorder="1" applyAlignment="1">
      <alignment vertical="justify" wrapText="1"/>
    </xf>
    <xf numFmtId="2" fontId="177" fillId="0" borderId="0" xfId="6" applyNumberFormat="1" applyFont="1"/>
    <xf numFmtId="179" fontId="30" fillId="0" borderId="1" xfId="6" applyNumberFormat="1" applyFont="1" applyBorder="1" applyAlignment="1">
      <alignment horizontal="center" vertical="center"/>
    </xf>
    <xf numFmtId="49" fontId="32" fillId="0" borderId="30" xfId="555" applyNumberFormat="1" applyFont="1" applyBorder="1" applyAlignment="1">
      <alignment horizontal="center" vertical="center"/>
    </xf>
    <xf numFmtId="9" fontId="32" fillId="0" borderId="0" xfId="557" applyFont="1" applyFill="1" applyBorder="1"/>
    <xf numFmtId="0" fontId="31" fillId="0" borderId="0" xfId="0" applyFont="1" applyAlignment="1">
      <alignment horizontal="left" vertical="top" wrapText="1"/>
    </xf>
    <xf numFmtId="0" fontId="30" fillId="0" borderId="0" xfId="6" applyFont="1" applyAlignment="1">
      <alignment horizontal="center" vertical="center" wrapText="1"/>
    </xf>
    <xf numFmtId="0" fontId="21" fillId="0" borderId="0" xfId="6" applyAlignment="1">
      <alignment horizontal="center" vertical="center" wrapText="1"/>
    </xf>
    <xf numFmtId="1" fontId="147" fillId="0" borderId="58" xfId="6" applyNumberFormat="1" applyFont="1" applyBorder="1" applyAlignment="1">
      <alignment horizontal="center" vertical="center" wrapText="1"/>
    </xf>
    <xf numFmtId="2" fontId="147" fillId="0" borderId="1" xfId="6" applyNumberFormat="1" applyFont="1" applyBorder="1" applyAlignment="1">
      <alignment horizontal="right" vertical="center" wrapText="1"/>
    </xf>
    <xf numFmtId="2" fontId="147" fillId="0" borderId="45" xfId="6" applyNumberFormat="1" applyFont="1" applyBorder="1" applyAlignment="1">
      <alignment horizontal="right" vertical="center" wrapText="1"/>
    </xf>
    <xf numFmtId="0" fontId="23" fillId="0" borderId="0" xfId="6" applyFont="1" applyAlignment="1">
      <alignment horizontal="center" vertical="center" wrapText="1"/>
    </xf>
    <xf numFmtId="0" fontId="31" fillId="0" borderId="1" xfId="6" applyFont="1" applyBorder="1" applyAlignment="1">
      <alignment horizontal="left" vertical="center" wrapText="1"/>
    </xf>
    <xf numFmtId="2" fontId="31" fillId="0" borderId="1" xfId="6" applyNumberFormat="1" applyFont="1" applyBorder="1" applyAlignment="1">
      <alignment horizontal="center" vertical="center" wrapText="1"/>
    </xf>
    <xf numFmtId="9" fontId="31" fillId="0" borderId="1" xfId="557" applyFont="1" applyFill="1" applyBorder="1" applyAlignment="1">
      <alignment horizontal="center" vertical="center" wrapText="1"/>
    </xf>
    <xf numFmtId="0" fontId="103" fillId="0" borderId="1" xfId="6" applyFont="1" applyBorder="1" applyAlignment="1">
      <alignment horizontal="center" vertical="center" wrapText="1"/>
    </xf>
    <xf numFmtId="2" fontId="103" fillId="0" borderId="1" xfId="6" applyNumberFormat="1" applyFont="1" applyBorder="1" applyAlignment="1">
      <alignment horizontal="center" vertical="center" wrapText="1"/>
    </xf>
    <xf numFmtId="9" fontId="103" fillId="0" borderId="1" xfId="557" applyFont="1" applyFill="1" applyBorder="1" applyAlignment="1">
      <alignment horizontal="center" vertical="center" wrapText="1"/>
    </xf>
    <xf numFmtId="2" fontId="30" fillId="0" borderId="45" xfId="6" applyNumberFormat="1" applyFont="1" applyBorder="1" applyAlignment="1">
      <alignment horizontal="center" vertical="center"/>
    </xf>
    <xf numFmtId="2" fontId="38" fillId="0" borderId="1" xfId="6" applyNumberFormat="1" applyFont="1" applyBorder="1" applyAlignment="1">
      <alignment horizontal="center" vertical="center"/>
    </xf>
    <xf numFmtId="2" fontId="30" fillId="0" borderId="3" xfId="6" applyNumberFormat="1" applyFont="1" applyBorder="1" applyAlignment="1">
      <alignment horizontal="center" vertical="center"/>
    </xf>
    <xf numFmtId="0" fontId="83" fillId="0" borderId="0" xfId="6" applyFont="1"/>
    <xf numFmtId="0" fontId="30" fillId="0" borderId="1" xfId="6" applyFont="1" applyBorder="1" applyAlignment="1">
      <alignment horizontal="center" vertical="center"/>
    </xf>
    <xf numFmtId="2" fontId="38" fillId="0" borderId="1" xfId="6" applyNumberFormat="1" applyFont="1" applyBorder="1" applyAlignment="1">
      <alignment horizontal="center" vertical="center" wrapText="1"/>
    </xf>
    <xf numFmtId="2" fontId="123" fillId="0" borderId="1" xfId="6" applyNumberFormat="1" applyFont="1" applyBorder="1" applyAlignment="1">
      <alignment horizontal="center" vertical="center" wrapText="1"/>
    </xf>
    <xf numFmtId="2" fontId="186" fillId="0" borderId="0" xfId="0" applyNumberFormat="1" applyFont="1"/>
    <xf numFmtId="0" fontId="30" fillId="0" borderId="1" xfId="6" applyFont="1" applyBorder="1" applyAlignment="1">
      <alignment horizontal="left" vertical="center" wrapText="1"/>
    </xf>
    <xf numFmtId="175" fontId="38" fillId="0" borderId="1" xfId="6" applyNumberFormat="1" applyFont="1" applyBorder="1" applyAlignment="1">
      <alignment horizontal="center" vertical="center" wrapText="1"/>
    </xf>
    <xf numFmtId="2" fontId="188" fillId="0" borderId="1" xfId="6" applyNumberFormat="1" applyFont="1" applyBorder="1" applyAlignment="1">
      <alignment horizontal="center" vertical="center" wrapText="1"/>
    </xf>
    <xf numFmtId="0" fontId="38" fillId="0" borderId="1" xfId="6" applyFont="1" applyBorder="1" applyAlignment="1">
      <alignment horizontal="center" vertical="center"/>
    </xf>
    <xf numFmtId="2" fontId="189" fillId="0" borderId="1" xfId="6" applyNumberFormat="1" applyFont="1" applyBorder="1" applyAlignment="1">
      <alignment horizontal="center" vertical="center"/>
    </xf>
    <xf numFmtId="179" fontId="38" fillId="0" borderId="1" xfId="6" applyNumberFormat="1" applyFont="1" applyBorder="1" applyAlignment="1">
      <alignment horizontal="center" vertical="center"/>
    </xf>
    <xf numFmtId="177" fontId="188" fillId="0" borderId="1" xfId="6" applyNumberFormat="1" applyFont="1" applyBorder="1" applyAlignment="1">
      <alignment horizontal="center" vertical="center"/>
    </xf>
    <xf numFmtId="2" fontId="83" fillId="0" borderId="0" xfId="6" applyNumberFormat="1" applyFont="1"/>
    <xf numFmtId="2" fontId="190" fillId="0" borderId="1" xfId="6" applyNumberFormat="1" applyFont="1" applyBorder="1" applyAlignment="1">
      <alignment horizontal="center" vertical="center"/>
    </xf>
    <xf numFmtId="0" fontId="30" fillId="0" borderId="8" xfId="6" applyFont="1" applyBorder="1" applyAlignment="1">
      <alignment horizontal="center" vertical="center" wrapText="1"/>
    </xf>
    <xf numFmtId="4" fontId="39" fillId="0" borderId="1" xfId="6" applyNumberFormat="1" applyFont="1" applyBorder="1" applyAlignment="1">
      <alignment horizontal="center" vertical="center"/>
    </xf>
    <xf numFmtId="4" fontId="38" fillId="0" borderId="1" xfId="6" applyNumberFormat="1" applyFont="1" applyBorder="1" applyAlignment="1">
      <alignment horizontal="center" vertical="center"/>
    </xf>
    <xf numFmtId="181" fontId="31" fillId="0" borderId="0" xfId="6" applyNumberFormat="1" applyFont="1"/>
    <xf numFmtId="0" fontId="30" fillId="0" borderId="1" xfId="6" applyFont="1" applyBorder="1" applyAlignment="1">
      <alignment horizontal="left" vertical="center" wrapText="1" indent="1"/>
    </xf>
    <xf numFmtId="2" fontId="30" fillId="0" borderId="1" xfId="6" applyNumberFormat="1" applyFont="1" applyBorder="1" applyAlignment="1">
      <alignment horizontal="center" vertical="center"/>
    </xf>
    <xf numFmtId="177" fontId="31" fillId="0" borderId="0" xfId="6" applyNumberFormat="1" applyFont="1"/>
    <xf numFmtId="177" fontId="30" fillId="0" borderId="1" xfId="6" applyNumberFormat="1" applyFont="1" applyBorder="1" applyAlignment="1">
      <alignment horizontal="center" vertical="center"/>
    </xf>
    <xf numFmtId="179" fontId="177" fillId="0" borderId="0" xfId="6" applyNumberFormat="1" applyFont="1"/>
    <xf numFmtId="177" fontId="189" fillId="0" borderId="1" xfId="6" applyNumberFormat="1" applyFont="1" applyBorder="1" applyAlignment="1">
      <alignment horizontal="center" vertical="center"/>
    </xf>
    <xf numFmtId="0" fontId="84" fillId="0" borderId="0" xfId="6" applyFont="1" applyAlignment="1">
      <alignment vertical="center" wrapText="1"/>
    </xf>
    <xf numFmtId="0" fontId="30" fillId="0" borderId="0" xfId="6" applyFont="1" applyAlignment="1">
      <alignment horizontal="center" vertical="center"/>
    </xf>
    <xf numFmtId="0" fontId="30" fillId="0" borderId="58" xfId="6" applyFont="1" applyBorder="1" applyAlignment="1">
      <alignment horizontal="center" vertical="center" wrapText="1"/>
    </xf>
    <xf numFmtId="0" fontId="30" fillId="0" borderId="44" xfId="6" applyFont="1" applyBorder="1" applyAlignment="1">
      <alignment vertical="center" wrapText="1"/>
    </xf>
    <xf numFmtId="2" fontId="30" fillId="0" borderId="40" xfId="6" applyNumberFormat="1" applyFont="1" applyBorder="1" applyAlignment="1">
      <alignment horizontal="center" vertical="center"/>
    </xf>
    <xf numFmtId="0" fontId="30" fillId="0" borderId="39" xfId="6" applyFont="1" applyBorder="1" applyAlignment="1">
      <alignment horizontal="center" vertical="center"/>
    </xf>
    <xf numFmtId="0" fontId="30" fillId="0" borderId="40" xfId="6" applyFont="1" applyBorder="1" applyAlignment="1">
      <alignment horizontal="center" vertical="center" wrapText="1"/>
    </xf>
    <xf numFmtId="175" fontId="38" fillId="0" borderId="40" xfId="6" applyNumberFormat="1" applyFont="1" applyBorder="1" applyAlignment="1">
      <alignment horizontal="center" vertical="center" wrapText="1"/>
    </xf>
    <xf numFmtId="2" fontId="38" fillId="0" borderId="40" xfId="6" applyNumberFormat="1" applyFont="1" applyBorder="1" applyAlignment="1">
      <alignment horizontal="center" vertical="center" wrapText="1"/>
    </xf>
    <xf numFmtId="0" fontId="38" fillId="0" borderId="40" xfId="6" applyFont="1" applyBorder="1" applyAlignment="1">
      <alignment horizontal="center" vertical="center"/>
    </xf>
    <xf numFmtId="2" fontId="38" fillId="0" borderId="40" xfId="6" applyNumberFormat="1" applyFont="1" applyBorder="1" applyAlignment="1">
      <alignment horizontal="center" vertical="center"/>
    </xf>
    <xf numFmtId="0" fontId="28" fillId="0" borderId="1" xfId="0" applyFont="1" applyBorder="1" applyAlignment="1">
      <alignment horizontal="center" vertical="center"/>
    </xf>
    <xf numFmtId="179" fontId="38" fillId="0" borderId="40" xfId="6" applyNumberFormat="1" applyFont="1" applyBorder="1" applyAlignment="1">
      <alignment horizontal="center" vertical="center"/>
    </xf>
    <xf numFmtId="0" fontId="30" fillId="0" borderId="45" xfId="6" applyFont="1" applyBorder="1" applyAlignment="1">
      <alignment horizontal="center" vertical="center" wrapText="1"/>
    </xf>
    <xf numFmtId="2" fontId="30" fillId="0" borderId="46" xfId="6" applyNumberFormat="1" applyFont="1" applyBorder="1" applyAlignment="1">
      <alignment horizontal="center" vertical="center"/>
    </xf>
    <xf numFmtId="2" fontId="40" fillId="0" borderId="0" xfId="6" applyNumberFormat="1" applyFont="1"/>
    <xf numFmtId="0" fontId="177" fillId="0" borderId="1" xfId="6" applyFont="1" applyBorder="1"/>
    <xf numFmtId="2" fontId="177" fillId="0" borderId="1" xfId="6" applyNumberFormat="1" applyFont="1" applyBorder="1"/>
    <xf numFmtId="0" fontId="186" fillId="0" borderId="1" xfId="6" applyFont="1" applyBorder="1" applyAlignment="1">
      <alignment horizontal="right"/>
    </xf>
    <xf numFmtId="2" fontId="186" fillId="0" borderId="1" xfId="6" applyNumberFormat="1" applyFont="1" applyBorder="1"/>
    <xf numFmtId="177" fontId="177" fillId="0" borderId="1" xfId="6" applyNumberFormat="1" applyFont="1" applyBorder="1"/>
    <xf numFmtId="0" fontId="147" fillId="0" borderId="1" xfId="124" applyFont="1" applyBorder="1" applyAlignment="1">
      <alignment horizontal="center" vertical="center" wrapText="1"/>
    </xf>
    <xf numFmtId="0" fontId="158" fillId="0" borderId="1" xfId="124" applyFont="1" applyBorder="1" applyAlignment="1">
      <alignment horizontal="center" vertical="center" wrapText="1"/>
    </xf>
    <xf numFmtId="0" fontId="158" fillId="0" borderId="8" xfId="124" applyFont="1" applyBorder="1" applyAlignment="1">
      <alignment horizontal="center" vertical="center" wrapText="1"/>
    </xf>
    <xf numFmtId="0" fontId="147" fillId="0" borderId="40" xfId="124" applyFont="1" applyBorder="1" applyAlignment="1">
      <alignment horizontal="center" vertical="center" wrapText="1"/>
    </xf>
    <xf numFmtId="2" fontId="187" fillId="0" borderId="1" xfId="6" applyNumberFormat="1" applyFont="1" applyBorder="1"/>
    <xf numFmtId="0" fontId="90" fillId="0" borderId="37" xfId="555" applyFont="1" applyBorder="1" applyAlignment="1">
      <alignment horizontal="center" vertical="center" wrapText="1"/>
    </xf>
    <xf numFmtId="0" fontId="122" fillId="0" borderId="41" xfId="555" applyFont="1" applyBorder="1" applyAlignment="1">
      <alignment horizontal="left" vertical="center" wrapText="1"/>
    </xf>
    <xf numFmtId="0" fontId="90" fillId="0" borderId="121" xfId="555" applyFont="1" applyBorder="1" applyAlignment="1">
      <alignment horizontal="left" vertical="center" wrapText="1" indent="1"/>
    </xf>
    <xf numFmtId="0" fontId="90" fillId="0" borderId="122" xfId="555" applyFont="1" applyBorder="1" applyAlignment="1">
      <alignment horizontal="center" vertical="center" wrapText="1"/>
    </xf>
    <xf numFmtId="191" fontId="218" fillId="0" borderId="0" xfId="240" applyNumberFormat="1" applyFont="1"/>
    <xf numFmtId="177" fontId="90" fillId="0" borderId="0" xfId="116" applyNumberFormat="1" applyFont="1"/>
    <xf numFmtId="0" fontId="122" fillId="0" borderId="0" xfId="116" applyFont="1"/>
    <xf numFmtId="0" fontId="90" fillId="0" borderId="0" xfId="116" applyFont="1" applyAlignment="1">
      <alignment horizontal="right" vertical="center"/>
    </xf>
    <xf numFmtId="0" fontId="90" fillId="0" borderId="0" xfId="116" applyFont="1" applyAlignment="1">
      <alignment vertical="center"/>
    </xf>
    <xf numFmtId="187" fontId="90" fillId="0" borderId="1" xfId="557" applyNumberFormat="1" applyFont="1" applyFill="1" applyBorder="1"/>
    <xf numFmtId="2" fontId="90" fillId="0" borderId="1" xfId="116" applyNumberFormat="1" applyFont="1" applyBorder="1"/>
    <xf numFmtId="180" fontId="90" fillId="0" borderId="1" xfId="116" applyNumberFormat="1" applyFont="1" applyBorder="1"/>
    <xf numFmtId="0" fontId="90" fillId="0" borderId="1" xfId="116" applyFont="1" applyBorder="1"/>
    <xf numFmtId="2" fontId="90" fillId="0" borderId="1" xfId="116" applyNumberFormat="1" applyFont="1" applyBorder="1" applyAlignment="1">
      <alignment horizontal="right" vertical="center"/>
    </xf>
    <xf numFmtId="2" fontId="90" fillId="0" borderId="1" xfId="116" applyNumberFormat="1" applyFont="1" applyBorder="1" applyAlignment="1">
      <alignment vertical="center"/>
    </xf>
    <xf numFmtId="180" fontId="206" fillId="0" borderId="1" xfId="116" applyNumberFormat="1" applyFont="1" applyBorder="1"/>
    <xf numFmtId="0" fontId="206" fillId="0" borderId="1" xfId="116" applyFont="1" applyBorder="1"/>
    <xf numFmtId="2" fontId="206" fillId="0" borderId="1" xfId="116" applyNumberFormat="1" applyFont="1" applyBorder="1"/>
    <xf numFmtId="0" fontId="219" fillId="0" borderId="1" xfId="116" applyFont="1" applyBorder="1"/>
    <xf numFmtId="0" fontId="206" fillId="0" borderId="1" xfId="116" applyFont="1" applyBorder="1" applyAlignment="1">
      <alignment horizontal="right" vertical="center"/>
    </xf>
    <xf numFmtId="0" fontId="206" fillId="0" borderId="1" xfId="116" applyFont="1" applyBorder="1" applyAlignment="1">
      <alignment vertical="center"/>
    </xf>
    <xf numFmtId="4" fontId="144" fillId="0" borderId="0" xfId="116" applyNumberFormat="1" applyFont="1"/>
    <xf numFmtId="4" fontId="152" fillId="0" borderId="0" xfId="116" applyNumberFormat="1" applyFont="1"/>
    <xf numFmtId="4" fontId="144" fillId="0" borderId="0" xfId="116" applyNumberFormat="1" applyFont="1" applyAlignment="1">
      <alignment horizontal="right"/>
    </xf>
    <xf numFmtId="4" fontId="140" fillId="0" borderId="0" xfId="116" applyNumberFormat="1" applyFont="1" applyAlignment="1">
      <alignment horizontal="right"/>
    </xf>
    <xf numFmtId="4" fontId="140" fillId="0" borderId="101" xfId="116" applyNumberFormat="1" applyFont="1" applyBorder="1" applyAlignment="1">
      <alignment horizontal="right" vertical="center"/>
    </xf>
    <xf numFmtId="4" fontId="140" fillId="0" borderId="104" xfId="116" applyNumberFormat="1" applyFont="1" applyBorder="1" applyAlignment="1">
      <alignment horizontal="right" wrapText="1"/>
    </xf>
    <xf numFmtId="4" fontId="140" fillId="0" borderId="103" xfId="116" applyNumberFormat="1" applyFont="1" applyBorder="1" applyAlignment="1">
      <alignment horizontal="right"/>
    </xf>
    <xf numFmtId="4" fontId="84" fillId="0" borderId="0" xfId="116" applyNumberFormat="1" applyFont="1"/>
    <xf numFmtId="4" fontId="140" fillId="0" borderId="0" xfId="116" applyNumberFormat="1" applyFont="1"/>
    <xf numFmtId="4" fontId="140" fillId="0" borderId="0" xfId="116" applyNumberFormat="1" applyFont="1" applyAlignment="1">
      <alignment horizontal="center"/>
    </xf>
    <xf numFmtId="0" fontId="122" fillId="0" borderId="42" xfId="555" applyFont="1" applyBorder="1" applyAlignment="1">
      <alignment horizontal="left" vertical="center" wrapText="1"/>
    </xf>
    <xf numFmtId="0" fontId="90" fillId="0" borderId="43" xfId="555" applyFont="1" applyBorder="1" applyAlignment="1">
      <alignment horizontal="center" vertical="center" wrapText="1"/>
    </xf>
    <xf numFmtId="0" fontId="90" fillId="0" borderId="60" xfId="555" applyFont="1" applyBorder="1" applyAlignment="1">
      <alignment horizontal="center" vertical="center" wrapText="1"/>
    </xf>
    <xf numFmtId="177" fontId="30" fillId="0" borderId="1" xfId="0" applyNumberFormat="1" applyFont="1" applyBorder="1"/>
    <xf numFmtId="4" fontId="40" fillId="0" borderId="0" xfId="0" applyNumberFormat="1" applyFont="1"/>
    <xf numFmtId="181" fontId="90" fillId="35" borderId="40" xfId="555" applyNumberFormat="1" applyFont="1" applyFill="1" applyBorder="1" applyAlignment="1">
      <alignment horizontal="center" vertical="center" wrapText="1"/>
    </xf>
    <xf numFmtId="181" fontId="90" fillId="70" borderId="79" xfId="555" applyNumberFormat="1" applyFont="1" applyFill="1" applyBorder="1" applyAlignment="1">
      <alignment horizontal="center" vertical="center" wrapText="1"/>
    </xf>
    <xf numFmtId="2" fontId="212" fillId="0" borderId="104" xfId="116" applyNumberFormat="1" applyFont="1" applyBorder="1" applyAlignment="1">
      <alignment horizontal="right" vertical="center"/>
    </xf>
    <xf numFmtId="2" fontId="144" fillId="0" borderId="104" xfId="116" applyNumberFormat="1" applyFont="1" applyBorder="1" applyAlignment="1">
      <alignment horizontal="right" vertical="center"/>
    </xf>
    <xf numFmtId="179" fontId="144" fillId="0" borderId="104" xfId="116" applyNumberFormat="1" applyFont="1" applyBorder="1" applyAlignment="1">
      <alignment horizontal="right" vertical="center"/>
    </xf>
    <xf numFmtId="179" fontId="212" fillId="0" borderId="104" xfId="116" applyNumberFormat="1" applyFont="1" applyBorder="1" applyAlignment="1">
      <alignment horizontal="right" vertical="center"/>
    </xf>
    <xf numFmtId="0" fontId="90" fillId="0" borderId="1" xfId="116" applyFont="1" applyBorder="1" applyAlignment="1">
      <alignment vertical="center"/>
    </xf>
    <xf numFmtId="177" fontId="122" fillId="0" borderId="1" xfId="555" applyNumberFormat="1" applyFont="1" applyBorder="1" applyAlignment="1">
      <alignment horizontal="center" vertical="center" wrapText="1"/>
    </xf>
    <xf numFmtId="177" fontId="90" fillId="0" borderId="45" xfId="555" applyNumberFormat="1" applyFont="1" applyBorder="1" applyAlignment="1">
      <alignment horizontal="center" vertical="center" wrapText="1"/>
    </xf>
    <xf numFmtId="0" fontId="90" fillId="0" borderId="73" xfId="555" applyFont="1" applyBorder="1" applyAlignment="1">
      <alignment horizontal="center" vertical="center" wrapText="1"/>
    </xf>
    <xf numFmtId="2" fontId="90" fillId="0" borderId="52" xfId="555" applyNumberFormat="1" applyFont="1" applyBorder="1" applyAlignment="1">
      <alignment horizontal="center" vertical="center" wrapText="1"/>
    </xf>
    <xf numFmtId="177" fontId="90" fillId="0" borderId="73" xfId="555" applyNumberFormat="1" applyFont="1" applyBorder="1" applyAlignment="1">
      <alignment horizontal="center" vertical="center" wrapText="1"/>
    </xf>
    <xf numFmtId="2" fontId="90" fillId="0" borderId="9" xfId="555" applyNumberFormat="1" applyFont="1" applyBorder="1" applyAlignment="1">
      <alignment horizontal="center" vertical="center" wrapText="1"/>
    </xf>
    <xf numFmtId="0" fontId="122" fillId="0" borderId="37" xfId="555" applyFont="1" applyBorder="1" applyAlignment="1">
      <alignment vertical="center" wrapText="1"/>
    </xf>
    <xf numFmtId="0" fontId="90" fillId="0" borderId="38" xfId="555" applyFont="1" applyBorder="1" applyAlignment="1">
      <alignment horizontal="center" vertical="center" wrapText="1"/>
    </xf>
    <xf numFmtId="2" fontId="90" fillId="0" borderId="37" xfId="555" applyNumberFormat="1" applyFont="1" applyBorder="1" applyAlignment="1">
      <alignment horizontal="center" vertical="center" wrapText="1"/>
    </xf>
    <xf numFmtId="177" fontId="90" fillId="0" borderId="38" xfId="555" applyNumberFormat="1" applyFont="1" applyBorder="1" applyAlignment="1">
      <alignment horizontal="center" vertical="center" wrapText="1"/>
    </xf>
    <xf numFmtId="177" fontId="90" fillId="0" borderId="3" xfId="555" applyNumberFormat="1" applyFont="1" applyBorder="1" applyAlignment="1">
      <alignment horizontal="center" vertical="center" wrapText="1"/>
    </xf>
    <xf numFmtId="2" fontId="90" fillId="0" borderId="5" xfId="555" applyNumberFormat="1" applyFont="1" applyBorder="1" applyAlignment="1">
      <alignment horizontal="center" vertical="center" wrapText="1"/>
    </xf>
    <xf numFmtId="0" fontId="122" fillId="0" borderId="52" xfId="555" applyFont="1" applyBorder="1" applyAlignment="1">
      <alignment vertical="center" wrapText="1"/>
    </xf>
    <xf numFmtId="0" fontId="90" fillId="0" borderId="45" xfId="555" applyFont="1" applyBorder="1" applyAlignment="1">
      <alignment horizontal="center" vertical="center" wrapText="1"/>
    </xf>
    <xf numFmtId="0" fontId="90" fillId="0" borderId="72" xfId="555" applyFont="1" applyBorder="1" applyAlignment="1">
      <alignment horizontal="center" vertical="center" wrapText="1"/>
    </xf>
    <xf numFmtId="2" fontId="90" fillId="0" borderId="53" xfId="555" applyNumberFormat="1" applyFont="1" applyBorder="1" applyAlignment="1">
      <alignment horizontal="center" vertical="center" wrapText="1"/>
    </xf>
    <xf numFmtId="177" fontId="90" fillId="0" borderId="72" xfId="555" applyNumberFormat="1" applyFont="1" applyBorder="1" applyAlignment="1">
      <alignment horizontal="center" vertical="center" wrapText="1"/>
    </xf>
    <xf numFmtId="2" fontId="90" fillId="0" borderId="80" xfId="555" applyNumberFormat="1" applyFont="1" applyBorder="1" applyAlignment="1">
      <alignment horizontal="center" vertical="center" wrapText="1"/>
    </xf>
    <xf numFmtId="2" fontId="90" fillId="0" borderId="65" xfId="555" applyNumberFormat="1" applyFont="1" applyBorder="1" applyAlignment="1">
      <alignment horizontal="center" vertical="center" wrapText="1"/>
    </xf>
    <xf numFmtId="2" fontId="122" fillId="0" borderId="1" xfId="555" applyNumberFormat="1" applyFont="1" applyBorder="1" applyAlignment="1">
      <alignment horizontal="center" vertical="center" wrapText="1"/>
    </xf>
    <xf numFmtId="2" fontId="122" fillId="0" borderId="40" xfId="555" applyNumberFormat="1" applyFont="1" applyBorder="1" applyAlignment="1">
      <alignment horizontal="center" vertical="center" wrapText="1"/>
    </xf>
    <xf numFmtId="2" fontId="122" fillId="0" borderId="45" xfId="555" applyNumberFormat="1" applyFont="1" applyBorder="1" applyAlignment="1">
      <alignment horizontal="center" vertical="center" wrapText="1"/>
    </xf>
    <xf numFmtId="2" fontId="122" fillId="0" borderId="46" xfId="555" applyNumberFormat="1" applyFont="1" applyBorder="1" applyAlignment="1">
      <alignment horizontal="center" vertical="center" wrapText="1"/>
    </xf>
    <xf numFmtId="177" fontId="90" fillId="0" borderId="43" xfId="555" applyNumberFormat="1" applyFont="1" applyBorder="1" applyAlignment="1">
      <alignment horizontal="center" vertical="center" wrapText="1"/>
    </xf>
    <xf numFmtId="177" fontId="90" fillId="0" borderId="8" xfId="555" applyNumberFormat="1" applyFont="1" applyBorder="1" applyAlignment="1">
      <alignment horizontal="center" vertical="center" wrapText="1"/>
    </xf>
    <xf numFmtId="2" fontId="90" fillId="0" borderId="79" xfId="555" applyNumberFormat="1" applyFont="1" applyBorder="1" applyAlignment="1">
      <alignment horizontal="center" vertical="center" wrapText="1"/>
    </xf>
    <xf numFmtId="0" fontId="90" fillId="0" borderId="1" xfId="0" applyFont="1" applyBorder="1" applyAlignment="1">
      <alignment vertical="center" wrapText="1"/>
    </xf>
    <xf numFmtId="177" fontId="90" fillId="0" borderId="55" xfId="555" applyNumberFormat="1" applyFont="1" applyBorder="1" applyAlignment="1">
      <alignment horizontal="center" vertical="center" wrapText="1"/>
    </xf>
    <xf numFmtId="0" fontId="122" fillId="0" borderId="107" xfId="555" applyFont="1" applyBorder="1" applyAlignment="1">
      <alignment horizontal="center" vertical="center" wrapText="1"/>
    </xf>
    <xf numFmtId="2" fontId="122" fillId="0" borderId="49" xfId="555" applyNumberFormat="1" applyFont="1" applyBorder="1" applyAlignment="1">
      <alignment horizontal="center" vertical="center" wrapText="1"/>
    </xf>
    <xf numFmtId="2" fontId="122" fillId="0" borderId="107" xfId="555" applyNumberFormat="1" applyFont="1" applyBorder="1" applyAlignment="1">
      <alignment horizontal="center" vertical="center" wrapText="1"/>
    </xf>
    <xf numFmtId="2" fontId="122" fillId="0" borderId="47" xfId="555" applyNumberFormat="1" applyFont="1" applyBorder="1" applyAlignment="1">
      <alignment horizontal="center" vertical="center" wrapText="1"/>
    </xf>
    <xf numFmtId="2" fontId="122" fillId="0" borderId="79" xfId="555" applyNumberFormat="1" applyFont="1" applyBorder="1" applyAlignment="1">
      <alignment horizontal="center" vertical="center" wrapText="1"/>
    </xf>
    <xf numFmtId="2" fontId="90" fillId="0" borderId="78" xfId="555" applyNumberFormat="1" applyFont="1" applyBorder="1" applyAlignment="1">
      <alignment horizontal="center" vertical="center" wrapText="1"/>
    </xf>
    <xf numFmtId="177" fontId="90" fillId="0" borderId="58" xfId="555" applyNumberFormat="1" applyFont="1" applyBorder="1" applyAlignment="1">
      <alignment horizontal="center" vertical="center" wrapText="1"/>
    </xf>
    <xf numFmtId="177" fontId="90" fillId="0" borderId="59" xfId="555" applyNumberFormat="1" applyFont="1" applyBorder="1" applyAlignment="1">
      <alignment horizontal="center" vertical="center" wrapText="1"/>
    </xf>
    <xf numFmtId="0" fontId="122" fillId="0" borderId="90" xfId="555" applyFont="1" applyBorder="1" applyAlignment="1">
      <alignment vertical="center" wrapText="1"/>
    </xf>
    <xf numFmtId="0" fontId="122" fillId="0" borderId="78" xfId="555" applyFont="1" applyBorder="1" applyAlignment="1">
      <alignment vertical="center" wrapText="1"/>
    </xf>
    <xf numFmtId="0" fontId="90" fillId="0" borderId="7" xfId="555" applyFont="1" applyBorder="1" applyAlignment="1">
      <alignment vertical="center" wrapText="1"/>
    </xf>
    <xf numFmtId="0" fontId="90" fillId="0" borderId="54" xfId="555" applyFont="1" applyBorder="1" applyAlignment="1">
      <alignment vertical="center" wrapText="1"/>
    </xf>
    <xf numFmtId="2" fontId="90" fillId="0" borderId="64" xfId="555" applyNumberFormat="1" applyFont="1" applyBorder="1" applyAlignment="1">
      <alignment horizontal="center" vertical="center" wrapText="1"/>
    </xf>
    <xf numFmtId="2" fontId="90" fillId="0" borderId="8" xfId="555" applyNumberFormat="1" applyFont="1" applyBorder="1" applyAlignment="1">
      <alignment horizontal="center" vertical="center" wrapText="1"/>
    </xf>
    <xf numFmtId="2" fontId="90" fillId="0" borderId="7" xfId="555" applyNumberFormat="1" applyFont="1" applyBorder="1" applyAlignment="1">
      <alignment horizontal="center" vertical="center" wrapText="1"/>
    </xf>
    <xf numFmtId="2" fontId="90" fillId="0" borderId="3" xfId="555" applyNumberFormat="1" applyFont="1" applyBorder="1" applyAlignment="1">
      <alignment horizontal="center" vertical="center" wrapText="1"/>
    </xf>
    <xf numFmtId="2" fontId="90" fillId="0" borderId="10" xfId="555" applyNumberFormat="1" applyFont="1" applyBorder="1" applyAlignment="1">
      <alignment horizontal="center" vertical="center" wrapText="1"/>
    </xf>
    <xf numFmtId="2" fontId="90" fillId="0" borderId="43" xfId="555" applyNumberFormat="1" applyFont="1" applyBorder="1" applyAlignment="1">
      <alignment horizontal="center" vertical="center" wrapText="1"/>
    </xf>
    <xf numFmtId="2" fontId="90" fillId="0" borderId="69" xfId="555" applyNumberFormat="1" applyFont="1" applyBorder="1" applyAlignment="1">
      <alignment horizontal="center" vertical="center" wrapText="1"/>
    </xf>
    <xf numFmtId="2" fontId="122" fillId="0" borderId="96" xfId="555" applyNumberFormat="1" applyFont="1" applyBorder="1" applyAlignment="1">
      <alignment horizontal="center" vertical="center" wrapText="1"/>
    </xf>
    <xf numFmtId="2" fontId="122" fillId="0" borderId="78" xfId="555" applyNumberFormat="1" applyFont="1" applyBorder="1" applyAlignment="1">
      <alignment horizontal="center" vertical="center" wrapText="1"/>
    </xf>
    <xf numFmtId="2" fontId="122" fillId="0" borderId="8" xfId="555" applyNumberFormat="1" applyFont="1" applyBorder="1" applyAlignment="1">
      <alignment horizontal="center" vertical="center" wrapText="1"/>
    </xf>
    <xf numFmtId="2" fontId="122" fillId="0" borderId="7" xfId="555" applyNumberFormat="1" applyFont="1" applyBorder="1" applyAlignment="1">
      <alignment horizontal="center" vertical="center" wrapText="1"/>
    </xf>
    <xf numFmtId="2" fontId="122" fillId="0" borderId="55" xfId="555" applyNumberFormat="1" applyFont="1" applyBorder="1" applyAlignment="1">
      <alignment horizontal="center" vertical="center" wrapText="1"/>
    </xf>
    <xf numFmtId="2" fontId="122" fillId="0" borderId="54" xfId="555" applyNumberFormat="1" applyFont="1" applyBorder="1" applyAlignment="1">
      <alignment horizontal="center" vertical="center" wrapText="1"/>
    </xf>
    <xf numFmtId="0" fontId="122" fillId="0" borderId="49" xfId="555" applyFont="1" applyBorder="1" applyAlignment="1">
      <alignment vertical="center" wrapText="1"/>
    </xf>
    <xf numFmtId="177" fontId="90" fillId="0" borderId="64" xfId="555" applyNumberFormat="1" applyFont="1" applyBorder="1" applyAlignment="1">
      <alignment horizontal="center" vertical="center" wrapText="1"/>
    </xf>
    <xf numFmtId="0" fontId="122" fillId="0" borderId="79" xfId="555" applyFont="1" applyBorder="1" applyAlignment="1">
      <alignment vertical="center" wrapText="1"/>
    </xf>
    <xf numFmtId="177" fontId="90" fillId="0" borderId="7" xfId="555" applyNumberFormat="1" applyFont="1" applyBorder="1" applyAlignment="1">
      <alignment horizontal="center" vertical="center" wrapText="1"/>
    </xf>
    <xf numFmtId="2" fontId="90" fillId="0" borderId="96" xfId="555" applyNumberFormat="1" applyFont="1" applyBorder="1" applyAlignment="1">
      <alignment horizontal="center" vertical="center" wrapText="1"/>
    </xf>
    <xf numFmtId="2" fontId="90" fillId="0" borderId="54" xfId="555" applyNumberFormat="1" applyFont="1" applyBorder="1" applyAlignment="1">
      <alignment horizontal="center" vertical="center" wrapText="1"/>
    </xf>
    <xf numFmtId="2" fontId="90" fillId="0" borderId="55" xfId="555" applyNumberFormat="1" applyFont="1" applyBorder="1" applyAlignment="1">
      <alignment horizontal="center" vertical="center" wrapText="1"/>
    </xf>
    <xf numFmtId="0" fontId="122" fillId="0" borderId="65" xfId="555" applyFont="1" applyBorder="1" applyAlignment="1">
      <alignment vertical="center" wrapText="1"/>
    </xf>
    <xf numFmtId="0" fontId="90" fillId="0" borderId="59" xfId="555" applyFont="1" applyBorder="1" applyAlignment="1">
      <alignment horizontal="center" vertical="center" wrapText="1"/>
    </xf>
    <xf numFmtId="0" fontId="122" fillId="0" borderId="7" xfId="555" applyFont="1" applyBorder="1" applyAlignment="1">
      <alignment vertical="center" wrapText="1"/>
    </xf>
    <xf numFmtId="0" fontId="90" fillId="0" borderId="62" xfId="555" applyFont="1" applyBorder="1" applyAlignment="1">
      <alignment horizontal="center" vertical="center" wrapText="1"/>
    </xf>
    <xf numFmtId="0" fontId="90" fillId="0" borderId="61" xfId="555" applyFont="1" applyBorder="1" applyAlignment="1">
      <alignment horizontal="center" vertical="center" wrapText="1"/>
    </xf>
    <xf numFmtId="2" fontId="90" fillId="0" borderId="60" xfId="555" applyNumberFormat="1" applyFont="1" applyBorder="1" applyAlignment="1">
      <alignment horizontal="center" vertical="center" wrapText="1"/>
    </xf>
    <xf numFmtId="0" fontId="122" fillId="0" borderId="53" xfId="555" applyFont="1" applyBorder="1" applyAlignment="1">
      <alignment vertical="center" wrapText="1"/>
    </xf>
    <xf numFmtId="0" fontId="1" fillId="0" borderId="0" xfId="6" applyFont="1"/>
    <xf numFmtId="170" fontId="42" fillId="0" borderId="1" xfId="6" applyNumberFormat="1" applyFont="1" applyBorder="1" applyAlignment="1">
      <alignment horizontal="center" vertical="center" wrapText="1"/>
    </xf>
    <xf numFmtId="181" fontId="31" fillId="0" borderId="1" xfId="0" applyNumberFormat="1" applyFont="1" applyBorder="1" applyAlignment="1">
      <alignment horizontal="center" vertical="center" wrapText="1"/>
    </xf>
    <xf numFmtId="2" fontId="94" fillId="0" borderId="0" xfId="0" applyNumberFormat="1" applyFont="1"/>
    <xf numFmtId="4" fontId="144" fillId="0" borderId="6" xfId="116" applyNumberFormat="1" applyFont="1" applyBorder="1" applyAlignment="1">
      <alignment horizontal="center" vertical="center" wrapText="1"/>
    </xf>
    <xf numFmtId="1" fontId="144" fillId="0" borderId="6" xfId="116" applyNumberFormat="1" applyFont="1" applyBorder="1" applyAlignment="1">
      <alignment horizontal="center" vertical="center" wrapText="1"/>
    </xf>
    <xf numFmtId="4" fontId="39" fillId="0" borderId="6" xfId="116" applyNumberFormat="1" applyFont="1" applyBorder="1" applyAlignment="1">
      <alignment horizontal="center" vertical="center" wrapText="1"/>
    </xf>
    <xf numFmtId="4" fontId="146" fillId="0" borderId="6" xfId="116" applyNumberFormat="1" applyFont="1" applyBorder="1" applyAlignment="1">
      <alignment horizontal="center" vertical="center" wrapText="1"/>
    </xf>
    <xf numFmtId="0" fontId="144" fillId="0" borderId="28" xfId="116" applyFont="1" applyBorder="1" applyAlignment="1">
      <alignment horizontal="left" vertical="center"/>
    </xf>
    <xf numFmtId="4" fontId="144" fillId="0" borderId="33" xfId="116" applyNumberFormat="1" applyFont="1" applyBorder="1" applyAlignment="1">
      <alignment horizontal="center" vertical="center" wrapText="1"/>
    </xf>
    <xf numFmtId="4" fontId="145" fillId="0" borderId="33" xfId="116" applyNumberFormat="1" applyFont="1" applyBorder="1" applyAlignment="1">
      <alignment horizontal="center" vertical="center" wrapText="1"/>
    </xf>
    <xf numFmtId="187" fontId="144" fillId="0" borderId="33" xfId="557" applyNumberFormat="1" applyFont="1" applyFill="1" applyBorder="1" applyAlignment="1">
      <alignment horizontal="center" vertical="center" wrapText="1"/>
    </xf>
    <xf numFmtId="187" fontId="146" fillId="0" borderId="33" xfId="557" applyNumberFormat="1" applyFont="1" applyFill="1" applyBorder="1" applyAlignment="1">
      <alignment horizontal="center" vertical="center" wrapText="1"/>
    </xf>
    <xf numFmtId="0" fontId="140" fillId="0" borderId="104" xfId="116" applyFont="1" applyBorder="1" applyAlignment="1">
      <alignment horizontal="left" vertical="justify" wrapText="1" indent="1"/>
    </xf>
    <xf numFmtId="4" fontId="176" fillId="0" borderId="0" xfId="555" applyNumberFormat="1" applyFont="1"/>
    <xf numFmtId="49" fontId="131" fillId="0" borderId="39" xfId="555" applyNumberFormat="1" applyFont="1" applyBorder="1" applyAlignment="1">
      <alignment horizontal="center" vertical="center"/>
    </xf>
    <xf numFmtId="0" fontId="39" fillId="0" borderId="39" xfId="0" applyFont="1" applyBorder="1" applyAlignment="1">
      <alignment horizontal="left" vertical="center" wrapText="1" indent="1"/>
    </xf>
    <xf numFmtId="2" fontId="176" fillId="0" borderId="0" xfId="555" applyNumberFormat="1" applyFont="1"/>
    <xf numFmtId="0" fontId="176" fillId="0" borderId="0" xfId="555" applyFont="1"/>
    <xf numFmtId="0" fontId="90" fillId="0" borderId="32" xfId="0" applyFont="1" applyBorder="1" applyAlignment="1">
      <alignment horizontal="left" indent="1"/>
    </xf>
    <xf numFmtId="0" fontId="90" fillId="0" borderId="32" xfId="0" applyFont="1" applyBorder="1" applyAlignment="1">
      <alignment horizontal="center" wrapText="1"/>
    </xf>
    <xf numFmtId="2" fontId="90" fillId="0" borderId="32" xfId="0" applyNumberFormat="1" applyFont="1" applyBorder="1" applyAlignment="1">
      <alignment horizontal="center"/>
    </xf>
    <xf numFmtId="181" fontId="90" fillId="0" borderId="39" xfId="555" applyNumberFormat="1" applyFont="1" applyBorder="1" applyAlignment="1">
      <alignment horizontal="center" vertical="center" wrapText="1"/>
    </xf>
    <xf numFmtId="181" fontId="90" fillId="71" borderId="1" xfId="555" applyNumberFormat="1" applyFont="1" applyFill="1" applyBorder="1" applyAlignment="1">
      <alignment horizontal="center" vertical="center" wrapText="1"/>
    </xf>
    <xf numFmtId="181" fontId="90" fillId="0" borderId="40" xfId="555" applyNumberFormat="1" applyFont="1" applyBorder="1" applyAlignment="1">
      <alignment horizontal="center" vertical="center" wrapText="1"/>
    </xf>
    <xf numFmtId="181" fontId="90" fillId="0" borderId="1" xfId="555" applyNumberFormat="1" applyFont="1" applyBorder="1" applyAlignment="1">
      <alignment horizontal="center" vertical="center" wrapText="1"/>
    </xf>
    <xf numFmtId="181" fontId="122" fillId="0" borderId="39" xfId="555" applyNumberFormat="1" applyFont="1" applyBorder="1" applyAlignment="1">
      <alignment horizontal="center" vertical="center" wrapText="1"/>
    </xf>
    <xf numFmtId="181" fontId="122" fillId="0" borderId="1" xfId="555" applyNumberFormat="1" applyFont="1" applyBorder="1" applyAlignment="1">
      <alignment horizontal="center" vertical="center" wrapText="1"/>
    </xf>
    <xf numFmtId="181" fontId="122" fillId="0" borderId="42" xfId="555" applyNumberFormat="1" applyFont="1" applyBorder="1" applyAlignment="1">
      <alignment horizontal="center" vertical="center" wrapText="1"/>
    </xf>
    <xf numFmtId="181" fontId="122" fillId="0" borderId="3" xfId="555" applyNumberFormat="1" applyFont="1" applyBorder="1" applyAlignment="1">
      <alignment horizontal="center" vertical="center" wrapText="1"/>
    </xf>
    <xf numFmtId="181" fontId="122" fillId="0" borderId="43" xfId="555" applyNumberFormat="1" applyFont="1" applyBorder="1" applyAlignment="1">
      <alignment horizontal="center" vertical="center" wrapText="1"/>
    </xf>
    <xf numFmtId="181" fontId="4" fillId="0" borderId="0" xfId="555" applyNumberFormat="1"/>
    <xf numFmtId="181" fontId="90" fillId="0" borderId="44" xfId="555" applyNumberFormat="1" applyFont="1" applyBorder="1" applyAlignment="1">
      <alignment horizontal="center" vertical="center" wrapText="1"/>
    </xf>
    <xf numFmtId="181" fontId="90" fillId="0" borderId="45" xfId="555" applyNumberFormat="1" applyFont="1" applyBorder="1" applyAlignment="1">
      <alignment horizontal="center" vertical="center" wrapText="1"/>
    </xf>
    <xf numFmtId="181" fontId="90" fillId="0" borderId="46" xfId="555" applyNumberFormat="1" applyFont="1" applyBorder="1" applyAlignment="1">
      <alignment horizontal="center" vertical="center" wrapText="1"/>
    </xf>
    <xf numFmtId="181" fontId="90" fillId="70" borderId="41" xfId="555" applyNumberFormat="1" applyFont="1" applyFill="1" applyBorder="1" applyAlignment="1">
      <alignment horizontal="center" vertical="center" wrapText="1"/>
    </xf>
    <xf numFmtId="181" fontId="90" fillId="0" borderId="79" xfId="555" applyNumberFormat="1" applyFont="1" applyBorder="1" applyAlignment="1">
      <alignment horizontal="center" vertical="center" wrapText="1"/>
    </xf>
    <xf numFmtId="181" fontId="90" fillId="0" borderId="47" xfId="555" applyNumberFormat="1" applyFont="1" applyBorder="1" applyAlignment="1">
      <alignment horizontal="center" vertical="center" wrapText="1"/>
    </xf>
    <xf numFmtId="181" fontId="90" fillId="0" borderId="41" xfId="555" applyNumberFormat="1" applyFont="1" applyBorder="1" applyAlignment="1">
      <alignment horizontal="center" vertical="center" wrapText="1"/>
    </xf>
    <xf numFmtId="181" fontId="90" fillId="0" borderId="9" xfId="555" applyNumberFormat="1" applyFont="1" applyBorder="1" applyAlignment="1">
      <alignment horizontal="center" vertical="center" wrapText="1"/>
    </xf>
    <xf numFmtId="181" fontId="90" fillId="0" borderId="73" xfId="555" applyNumberFormat="1" applyFont="1" applyBorder="1" applyAlignment="1">
      <alignment horizontal="center" vertical="center" wrapText="1"/>
    </xf>
    <xf numFmtId="181" fontId="90" fillId="0" borderId="52" xfId="555" applyNumberFormat="1" applyFont="1" applyBorder="1" applyAlignment="1">
      <alignment horizontal="center" vertical="center" wrapText="1"/>
    </xf>
    <xf numFmtId="181" fontId="90" fillId="0" borderId="125" xfId="555" applyNumberFormat="1" applyFont="1" applyBorder="1" applyAlignment="1">
      <alignment horizontal="center" vertical="center" wrapText="1"/>
    </xf>
    <xf numFmtId="181" fontId="90" fillId="0" borderId="123" xfId="555" applyNumberFormat="1" applyFont="1" applyBorder="1" applyAlignment="1">
      <alignment horizontal="center" vertical="center" wrapText="1"/>
    </xf>
    <xf numFmtId="181" fontId="90" fillId="0" borderId="124" xfId="555" applyNumberFormat="1" applyFont="1" applyBorder="1" applyAlignment="1">
      <alignment horizontal="center" vertical="center" wrapText="1"/>
    </xf>
    <xf numFmtId="2" fontId="118" fillId="0" borderId="67" xfId="0" applyNumberFormat="1" applyFont="1" applyBorder="1" applyAlignment="1">
      <alignment horizontal="center"/>
    </xf>
    <xf numFmtId="0" fontId="83" fillId="0" borderId="0" xfId="0" applyFont="1"/>
    <xf numFmtId="4" fontId="94" fillId="70" borderId="0" xfId="0" applyNumberFormat="1" applyFont="1" applyFill="1" applyAlignment="1">
      <alignment horizontal="center" vertical="center"/>
    </xf>
    <xf numFmtId="0" fontId="200" fillId="0" borderId="0" xfId="0" applyFont="1"/>
    <xf numFmtId="0" fontId="94" fillId="0" borderId="0" xfId="0" applyFont="1" applyAlignment="1">
      <alignment vertical="center"/>
    </xf>
    <xf numFmtId="0" fontId="199" fillId="0" borderId="0" xfId="0" applyFont="1" applyAlignment="1">
      <alignment horizontal="left" vertical="center" wrapText="1"/>
    </xf>
    <xf numFmtId="4" fontId="199" fillId="0" borderId="0" xfId="0" applyNumberFormat="1" applyFont="1" applyAlignment="1">
      <alignment horizontal="right" wrapText="1"/>
    </xf>
    <xf numFmtId="0" fontId="117" fillId="0" borderId="60" xfId="0" applyFont="1" applyBorder="1" applyAlignment="1">
      <alignment horizontal="center" vertical="center" wrapText="1"/>
    </xf>
    <xf numFmtId="0" fontId="117" fillId="0" borderId="61" xfId="0" applyFont="1" applyBorder="1" applyAlignment="1">
      <alignment horizontal="center" vertical="center" wrapText="1"/>
    </xf>
    <xf numFmtId="0" fontId="117" fillId="0" borderId="62" xfId="0" applyFont="1" applyBorder="1" applyAlignment="1">
      <alignment horizontal="center" vertical="center" wrapText="1"/>
    </xf>
    <xf numFmtId="0" fontId="38" fillId="0" borderId="61" xfId="0" applyFont="1" applyBorder="1" applyAlignment="1">
      <alignment horizontal="center" vertical="center" wrapText="1"/>
    </xf>
    <xf numFmtId="0" fontId="38" fillId="0" borderId="63" xfId="0" applyFont="1" applyBorder="1" applyAlignment="1">
      <alignment horizontal="center" vertical="center" wrapText="1"/>
    </xf>
    <xf numFmtId="49" fontId="31" fillId="0" borderId="39" xfId="555" applyNumberFormat="1" applyFont="1" applyBorder="1" applyAlignment="1">
      <alignment horizontal="center" vertical="center"/>
    </xf>
    <xf numFmtId="0" fontId="39" fillId="0" borderId="0" xfId="555" applyFont="1" applyAlignment="1">
      <alignment horizontal="center" vertical="center" wrapText="1"/>
    </xf>
    <xf numFmtId="0" fontId="90" fillId="0" borderId="1" xfId="555" applyFont="1" applyBorder="1" applyAlignment="1">
      <alignment horizontal="center" vertical="center" wrapText="1"/>
    </xf>
    <xf numFmtId="0" fontId="90" fillId="0" borderId="40" xfId="555" applyFont="1" applyBorder="1" applyAlignment="1">
      <alignment horizontal="center" vertical="center" wrapText="1"/>
    </xf>
    <xf numFmtId="0" fontId="122" fillId="0" borderId="47" xfId="555" applyFont="1" applyBorder="1" applyAlignment="1">
      <alignment horizontal="center" vertical="center" wrapText="1"/>
    </xf>
    <xf numFmtId="49" fontId="31" fillId="0" borderId="42" xfId="555" applyNumberFormat="1" applyFont="1" applyBorder="1" applyAlignment="1">
      <alignment horizontal="center" vertical="center"/>
    </xf>
    <xf numFmtId="2" fontId="90" fillId="0" borderId="39" xfId="555" applyNumberFormat="1" applyFont="1" applyBorder="1" applyAlignment="1">
      <alignment horizontal="center" vertical="center" wrapText="1"/>
    </xf>
    <xf numFmtId="2" fontId="90" fillId="0" borderId="41" xfId="555" applyNumberFormat="1" applyFont="1" applyBorder="1" applyAlignment="1">
      <alignment horizontal="center" vertical="center" wrapText="1"/>
    </xf>
    <xf numFmtId="49" fontId="39" fillId="0" borderId="0" xfId="555" applyNumberFormat="1" applyFont="1" applyAlignment="1">
      <alignment horizontal="left" vertical="center"/>
    </xf>
    <xf numFmtId="0" fontId="90" fillId="0" borderId="47" xfId="555" applyFont="1" applyBorder="1" applyAlignment="1">
      <alignment horizontal="center" vertical="center" wrapText="1"/>
    </xf>
    <xf numFmtId="181" fontId="30" fillId="0" borderId="1" xfId="0" applyNumberFormat="1" applyFont="1" applyBorder="1" applyAlignment="1">
      <alignment horizontal="right" vertical="center"/>
    </xf>
    <xf numFmtId="4" fontId="30" fillId="0" borderId="1" xfId="240" applyNumberFormat="1" applyFont="1" applyBorder="1" applyAlignment="1">
      <alignment horizontal="center" vertical="center" wrapText="1"/>
    </xf>
    <xf numFmtId="4" fontId="35" fillId="0" borderId="1" xfId="240" applyNumberFormat="1" applyFont="1" applyBorder="1" applyAlignment="1">
      <alignment horizontal="center" vertical="center" wrapText="1"/>
    </xf>
    <xf numFmtId="4" fontId="30" fillId="0" borderId="1" xfId="240" applyNumberFormat="1" applyFont="1" applyBorder="1" applyAlignment="1" applyProtection="1">
      <alignment horizontal="center" vertical="center" wrapText="1"/>
      <protection locked="0"/>
    </xf>
    <xf numFmtId="2" fontId="30" fillId="0" borderId="1" xfId="240" applyNumberFormat="1" applyFont="1" applyBorder="1" applyAlignment="1">
      <alignment horizontal="center" vertical="center" wrapText="1"/>
    </xf>
    <xf numFmtId="0" fontId="32" fillId="0" borderId="79" xfId="0" applyFont="1" applyBorder="1" applyAlignment="1">
      <alignment horizontal="center" vertical="center"/>
    </xf>
    <xf numFmtId="0" fontId="29" fillId="0" borderId="0" xfId="0" applyFont="1"/>
    <xf numFmtId="0" fontId="118" fillId="0" borderId="32" xfId="0" applyFont="1" applyBorder="1" applyAlignment="1">
      <alignment horizontal="left" wrapText="1"/>
    </xf>
    <xf numFmtId="0" fontId="31" fillId="0" borderId="32" xfId="0" applyFont="1" applyBorder="1" applyAlignment="1">
      <alignment horizontal="center" wrapText="1"/>
    </xf>
    <xf numFmtId="0" fontId="81" fillId="0" borderId="6" xfId="0" applyFont="1" applyBorder="1" applyAlignment="1">
      <alignment horizontal="center" wrapText="1"/>
    </xf>
    <xf numFmtId="0" fontId="81" fillId="0" borderId="6" xfId="0" applyFont="1" applyBorder="1" applyAlignment="1">
      <alignment wrapText="1"/>
    </xf>
    <xf numFmtId="0" fontId="183" fillId="0" borderId="32" xfId="0" applyFont="1" applyBorder="1" applyAlignment="1">
      <alignment horizontal="left" indent="1"/>
    </xf>
    <xf numFmtId="0" fontId="183" fillId="0" borderId="32" xfId="0" applyFont="1" applyBorder="1" applyAlignment="1">
      <alignment horizontal="center" wrapText="1"/>
    </xf>
    <xf numFmtId="2" fontId="183" fillId="0" borderId="32" xfId="0" applyNumberFormat="1" applyFont="1" applyBorder="1" applyAlignment="1">
      <alignment horizontal="center"/>
    </xf>
    <xf numFmtId="0" fontId="183" fillId="0" borderId="32" xfId="0" applyFont="1" applyBorder="1"/>
    <xf numFmtId="0" fontId="193" fillId="0" borderId="32" xfId="0" applyFont="1" applyBorder="1"/>
    <xf numFmtId="177" fontId="32" fillId="0" borderId="0" xfId="0" applyNumberFormat="1" applyFont="1"/>
    <xf numFmtId="0" fontId="183" fillId="0" borderId="32" xfId="0" applyFont="1" applyBorder="1" applyAlignment="1">
      <alignment wrapText="1"/>
    </xf>
    <xf numFmtId="0" fontId="193" fillId="0" borderId="32" xfId="0" applyFont="1" applyBorder="1" applyAlignment="1">
      <alignment horizontal="center" wrapText="1"/>
    </xf>
    <xf numFmtId="179" fontId="32" fillId="0" borderId="0" xfId="0" applyNumberFormat="1" applyFont="1"/>
    <xf numFmtId="9" fontId="32" fillId="0" borderId="23" xfId="0" applyNumberFormat="1" applyFont="1" applyBorder="1" applyAlignment="1">
      <alignment horizontal="center"/>
    </xf>
    <xf numFmtId="2" fontId="81" fillId="0" borderId="32" xfId="0" applyNumberFormat="1" applyFont="1" applyBorder="1" applyAlignment="1">
      <alignment horizontal="center"/>
    </xf>
    <xf numFmtId="170" fontId="32" fillId="0" borderId="32" xfId="0" applyNumberFormat="1" applyFont="1" applyBorder="1" applyAlignment="1">
      <alignment horizontal="center" wrapText="1"/>
    </xf>
    <xf numFmtId="10" fontId="32" fillId="0" borderId="36" xfId="0" applyNumberFormat="1" applyFont="1" applyBorder="1" applyAlignment="1">
      <alignment horizontal="center"/>
    </xf>
    <xf numFmtId="176" fontId="32" fillId="0" borderId="6" xfId="0" applyNumberFormat="1" applyFont="1" applyBorder="1" applyAlignment="1">
      <alignment horizontal="center" vertical="center"/>
    </xf>
    <xf numFmtId="0" fontId="32" fillId="0" borderId="31" xfId="0" applyFont="1" applyBorder="1" applyAlignment="1">
      <alignment vertical="center" wrapText="1"/>
    </xf>
    <xf numFmtId="4" fontId="36" fillId="76" borderId="40" xfId="240" applyNumberFormat="1" applyFont="1" applyFill="1" applyBorder="1" applyAlignment="1">
      <alignment horizontal="center" vertical="center" wrapText="1"/>
    </xf>
    <xf numFmtId="0" fontId="122" fillId="0" borderId="40" xfId="555" applyFont="1" applyBorder="1" applyAlignment="1">
      <alignment horizontal="center" vertical="center" wrapText="1"/>
    </xf>
    <xf numFmtId="0" fontId="90" fillId="0" borderId="39" xfId="555" applyFont="1" applyBorder="1" applyAlignment="1">
      <alignment horizontal="center" vertical="center" wrapText="1"/>
    </xf>
    <xf numFmtId="0" fontId="39" fillId="0" borderId="0" xfId="116" applyFont="1" applyAlignment="1">
      <alignment horizontal="center"/>
    </xf>
    <xf numFmtId="0" fontId="34" fillId="0" borderId="1" xfId="0" applyFont="1" applyBorder="1" applyAlignment="1">
      <alignment vertical="center" wrapText="1"/>
    </xf>
    <xf numFmtId="2" fontId="211" fillId="0" borderId="32" xfId="116" applyNumberFormat="1" applyFont="1" applyBorder="1" applyAlignment="1">
      <alignment horizontal="right" vertical="center"/>
    </xf>
    <xf numFmtId="0" fontId="140" fillId="0" borderId="101" xfId="116" applyFont="1" applyBorder="1" applyAlignment="1">
      <alignment horizontal="left" vertical="center" wrapText="1"/>
    </xf>
    <xf numFmtId="2" fontId="39" fillId="0" borderId="1" xfId="0" applyNumberFormat="1" applyFont="1" applyBorder="1"/>
    <xf numFmtId="10" fontId="39" fillId="0" borderId="1" xfId="557" applyNumberFormat="1" applyFont="1" applyFill="1" applyBorder="1"/>
    <xf numFmtId="0" fontId="30" fillId="0" borderId="32" xfId="552" applyFont="1" applyBorder="1" applyAlignment="1">
      <alignment horizontal="left" textRotation="90" wrapText="1"/>
    </xf>
    <xf numFmtId="170" fontId="123" fillId="0" borderId="88" xfId="554" applyNumberFormat="1" applyFont="1" applyBorder="1" applyAlignment="1">
      <alignment horizontal="center" vertical="top" wrapText="1"/>
    </xf>
    <xf numFmtId="180" fontId="36" fillId="61" borderId="40" xfId="240" applyNumberFormat="1" applyFont="1" applyFill="1" applyBorder="1" applyAlignment="1">
      <alignment horizontal="center" vertical="center" wrapText="1"/>
    </xf>
    <xf numFmtId="0" fontId="34" fillId="0" borderId="1" xfId="240" applyFont="1" applyBorder="1" applyAlignment="1">
      <alignment vertical="center" wrapText="1"/>
    </xf>
    <xf numFmtId="0" fontId="29" fillId="0" borderId="1" xfId="240" applyFont="1" applyBorder="1" applyAlignment="1">
      <alignment horizontal="center" vertical="center" wrapText="1"/>
    </xf>
    <xf numFmtId="0" fontId="29" fillId="0" borderId="0" xfId="240" applyFont="1" applyAlignment="1">
      <alignment horizontal="center" vertical="center" wrapText="1"/>
    </xf>
    <xf numFmtId="2" fontId="38" fillId="69" borderId="1" xfId="6" applyNumberFormat="1" applyFont="1" applyFill="1" applyBorder="1" applyAlignment="1">
      <alignment horizontal="center" vertical="center" wrapText="1"/>
    </xf>
    <xf numFmtId="0" fontId="149" fillId="0" borderId="1" xfId="505" applyFont="1" applyBorder="1" applyAlignment="1" applyProtection="1">
      <alignment horizontal="right" vertical="center" wrapText="1"/>
      <protection hidden="1"/>
    </xf>
    <xf numFmtId="0" fontId="138" fillId="0" borderId="1" xfId="505" applyFont="1" applyBorder="1" applyAlignment="1" applyProtection="1">
      <alignment horizontal="right" vertical="center" wrapText="1"/>
      <protection hidden="1"/>
    </xf>
    <xf numFmtId="2" fontId="29" fillId="63" borderId="1" xfId="6" applyNumberFormat="1" applyFont="1" applyFill="1" applyBorder="1" applyAlignment="1">
      <alignment horizontal="center" vertical="center" wrapText="1"/>
    </xf>
    <xf numFmtId="2" fontId="29" fillId="63" borderId="1" xfId="6" applyNumberFormat="1" applyFont="1" applyFill="1" applyBorder="1" applyAlignment="1" applyProtection="1">
      <alignment horizontal="center" vertical="center" wrapText="1"/>
      <protection locked="0"/>
    </xf>
    <xf numFmtId="2" fontId="29" fillId="74" borderId="1" xfId="6" applyNumberFormat="1" applyFont="1" applyFill="1" applyBorder="1" applyAlignment="1" applyProtection="1">
      <alignment horizontal="center" vertical="center" wrapText="1"/>
      <protection locked="0"/>
    </xf>
    <xf numFmtId="2" fontId="29" fillId="74" borderId="1" xfId="6" applyNumberFormat="1" applyFont="1" applyFill="1" applyBorder="1" applyAlignment="1">
      <alignment horizontal="center" vertical="center" wrapText="1"/>
    </xf>
    <xf numFmtId="2" fontId="104" fillId="0" borderId="0" xfId="6" applyNumberFormat="1" applyFont="1" applyAlignment="1">
      <alignment horizontal="center" vertical="center" wrapText="1"/>
    </xf>
    <xf numFmtId="0" fontId="30" fillId="0" borderId="8" xfId="0" applyFont="1" applyBorder="1" applyAlignment="1">
      <alignment horizontal="center" vertical="center"/>
    </xf>
    <xf numFmtId="190" fontId="147" fillId="34" borderId="37" xfId="444" applyNumberFormat="1" applyFont="1" applyFill="1" applyBorder="1" applyAlignment="1">
      <alignment horizontal="right" vertical="center"/>
    </xf>
    <xf numFmtId="190" fontId="147" fillId="34" borderId="39" xfId="444" applyNumberFormat="1" applyFont="1" applyFill="1" applyBorder="1" applyAlignment="1">
      <alignment horizontal="right" vertical="center"/>
    </xf>
    <xf numFmtId="188" fontId="147" fillId="34" borderId="40" xfId="444" applyNumberFormat="1" applyFont="1" applyFill="1" applyBorder="1" applyAlignment="1">
      <alignment horizontal="right" vertical="center"/>
    </xf>
    <xf numFmtId="188" fontId="147" fillId="34" borderId="39" xfId="444" applyNumberFormat="1" applyFont="1" applyFill="1" applyBorder="1" applyAlignment="1">
      <alignment horizontal="right" vertical="center"/>
    </xf>
    <xf numFmtId="190" fontId="147" fillId="34" borderId="40" xfId="444" applyNumberFormat="1" applyFont="1" applyFill="1" applyBorder="1" applyAlignment="1">
      <alignment horizontal="right" vertical="center"/>
    </xf>
    <xf numFmtId="190" fontId="42" fillId="34" borderId="44" xfId="444" applyNumberFormat="1" applyFont="1" applyFill="1" applyBorder="1" applyAlignment="1">
      <alignment horizontal="right" vertical="center"/>
    </xf>
    <xf numFmtId="1" fontId="90" fillId="0" borderId="1" xfId="555" applyNumberFormat="1" applyFont="1" applyBorder="1" applyAlignment="1">
      <alignment horizontal="center" vertical="center" wrapText="1"/>
    </xf>
    <xf numFmtId="170" fontId="90" fillId="0" borderId="1" xfId="555" applyNumberFormat="1" applyFont="1" applyBorder="1" applyAlignment="1">
      <alignment horizontal="center" vertical="center" wrapText="1"/>
    </xf>
    <xf numFmtId="175" fontId="38" fillId="0" borderId="1" xfId="6" applyNumberFormat="1" applyFont="1" applyBorder="1" applyAlignment="1">
      <alignment horizontal="center" vertical="center"/>
    </xf>
    <xf numFmtId="0" fontId="31" fillId="34" borderId="1" xfId="0" applyFont="1" applyFill="1" applyBorder="1"/>
    <xf numFmtId="4" fontId="31" fillId="34" borderId="1" xfId="0" applyNumberFormat="1" applyFont="1" applyFill="1" applyBorder="1"/>
    <xf numFmtId="49" fontId="90" fillId="0" borderId="0" xfId="555" applyNumberFormat="1" applyFont="1" applyAlignment="1">
      <alignment horizontal="center" vertical="center"/>
    </xf>
    <xf numFmtId="49" fontId="122" fillId="0" borderId="39" xfId="555" applyNumberFormat="1" applyFont="1" applyBorder="1" applyAlignment="1">
      <alignment horizontal="center" vertical="center"/>
    </xf>
    <xf numFmtId="49" fontId="90" fillId="0" borderId="39" xfId="555" applyNumberFormat="1" applyFont="1" applyBorder="1" applyAlignment="1">
      <alignment horizontal="center" vertical="center"/>
    </xf>
    <xf numFmtId="0" fontId="90" fillId="0" borderId="1" xfId="555" applyFont="1" applyBorder="1" applyAlignment="1">
      <alignment horizontal="left" vertical="center" wrapText="1"/>
    </xf>
    <xf numFmtId="0" fontId="32" fillId="0" borderId="0" xfId="555" applyFont="1" applyAlignment="1">
      <alignment horizontal="center" vertical="center" wrapText="1"/>
    </xf>
    <xf numFmtId="2" fontId="3" fillId="0" borderId="0" xfId="555" applyNumberFormat="1" applyFont="1"/>
    <xf numFmtId="179" fontId="90" fillId="0" borderId="1" xfId="555" applyNumberFormat="1" applyFont="1" applyBorder="1" applyAlignment="1">
      <alignment horizontal="center" vertical="center" wrapText="1"/>
    </xf>
    <xf numFmtId="170" fontId="90" fillId="0" borderId="40" xfId="555" applyNumberFormat="1" applyFont="1" applyBorder="1" applyAlignment="1">
      <alignment horizontal="center" vertical="center" wrapText="1"/>
    </xf>
    <xf numFmtId="0" fontId="104" fillId="0" borderId="0" xfId="555" applyFont="1"/>
    <xf numFmtId="2" fontId="32" fillId="0" borderId="117" xfId="0" applyNumberFormat="1" applyFont="1" applyBorder="1" applyAlignment="1">
      <alignment horizontal="center" vertical="center" wrapText="1"/>
    </xf>
    <xf numFmtId="4" fontId="90" fillId="0" borderId="1" xfId="555" applyNumberFormat="1" applyFont="1" applyBorder="1" applyAlignment="1">
      <alignment horizontal="center" vertical="center" wrapText="1"/>
    </xf>
    <xf numFmtId="1" fontId="90" fillId="0" borderId="40" xfId="555" applyNumberFormat="1" applyFont="1" applyBorder="1" applyAlignment="1">
      <alignment horizontal="center" vertical="center" wrapText="1"/>
    </xf>
    <xf numFmtId="0" fontId="1" fillId="0" borderId="0" xfId="555" applyFont="1" applyAlignment="1">
      <alignment horizontal="center"/>
    </xf>
    <xf numFmtId="49" fontId="122" fillId="0" borderId="44" xfId="555" applyNumberFormat="1" applyFont="1" applyBorder="1" applyAlignment="1">
      <alignment horizontal="center" vertical="center"/>
    </xf>
    <xf numFmtId="0" fontId="122" fillId="0" borderId="45" xfId="555" applyFont="1" applyBorder="1" applyAlignment="1">
      <alignment horizontal="left" vertical="center" wrapText="1"/>
    </xf>
    <xf numFmtId="0" fontId="39" fillId="0" borderId="45" xfId="555" applyFont="1" applyBorder="1" applyAlignment="1">
      <alignment horizontal="center" vertical="center" wrapText="1"/>
    </xf>
    <xf numFmtId="49" fontId="122" fillId="0" borderId="3" xfId="555" applyNumberFormat="1" applyFont="1" applyBorder="1" applyAlignment="1">
      <alignment horizontal="center" vertical="center"/>
    </xf>
    <xf numFmtId="0" fontId="122" fillId="0" borderId="3" xfId="555" applyFont="1" applyBorder="1" applyAlignment="1">
      <alignment vertical="center" wrapText="1"/>
    </xf>
    <xf numFmtId="49" fontId="122" fillId="0" borderId="1" xfId="555" applyNumberFormat="1" applyFont="1" applyBorder="1" applyAlignment="1">
      <alignment horizontal="center" vertical="center"/>
    </xf>
    <xf numFmtId="0" fontId="172" fillId="0" borderId="0" xfId="555" applyFont="1" applyAlignment="1">
      <alignment horizontal="center" vertical="center"/>
    </xf>
    <xf numFmtId="0" fontId="90" fillId="0" borderId="0" xfId="555" applyFont="1" applyAlignment="1">
      <alignment vertical="center"/>
    </xf>
    <xf numFmtId="0" fontId="39" fillId="0" borderId="0" xfId="555" applyFont="1" applyAlignment="1">
      <alignment vertical="center"/>
    </xf>
    <xf numFmtId="0" fontId="42" fillId="0" borderId="0" xfId="555" applyFont="1" applyAlignment="1">
      <alignment vertical="center"/>
    </xf>
    <xf numFmtId="0" fontId="123" fillId="0" borderId="0" xfId="555" applyFont="1" applyAlignment="1">
      <alignment vertical="center"/>
    </xf>
    <xf numFmtId="0" fontId="122" fillId="0" borderId="0" xfId="555" applyFont="1" applyAlignment="1">
      <alignment vertical="center"/>
    </xf>
    <xf numFmtId="0" fontId="173" fillId="0" borderId="0" xfId="555" applyFont="1" applyAlignment="1">
      <alignment vertical="center"/>
    </xf>
    <xf numFmtId="49" fontId="32" fillId="0" borderId="0" xfId="555" applyNumberFormat="1" applyFont="1" applyAlignment="1">
      <alignment horizontal="center" vertical="center"/>
    </xf>
    <xf numFmtId="179" fontId="177" fillId="0" borderId="1" xfId="6" applyNumberFormat="1" applyFont="1" applyBorder="1"/>
    <xf numFmtId="2" fontId="169" fillId="0" borderId="3" xfId="6" applyNumberFormat="1" applyFont="1" applyBorder="1"/>
    <xf numFmtId="0" fontId="30" fillId="0" borderId="65" xfId="6" applyFont="1" applyBorder="1" applyAlignment="1">
      <alignment horizontal="center" vertical="center" wrapText="1"/>
    </xf>
    <xf numFmtId="0" fontId="30" fillId="0" borderId="54" xfId="6" applyFont="1" applyBorder="1" applyAlignment="1">
      <alignment horizontal="center" vertical="center" wrapText="1"/>
    </xf>
    <xf numFmtId="0" fontId="147" fillId="0" borderId="0" xfId="124" applyFont="1" applyAlignment="1">
      <alignment horizontal="center" vertical="center" wrapText="1"/>
    </xf>
    <xf numFmtId="177" fontId="31" fillId="0" borderId="1" xfId="6" applyNumberFormat="1" applyFont="1" applyBorder="1"/>
    <xf numFmtId="0" fontId="186" fillId="0" borderId="1" xfId="6" applyFont="1" applyBorder="1" applyAlignment="1">
      <alignment horizontal="center"/>
    </xf>
    <xf numFmtId="0" fontId="186" fillId="0" borderId="1" xfId="0" applyFont="1" applyBorder="1" applyAlignment="1">
      <alignment horizontal="right"/>
    </xf>
    <xf numFmtId="0" fontId="186" fillId="0" borderId="3" xfId="0" applyFont="1" applyBorder="1" applyAlignment="1">
      <alignment horizontal="right"/>
    </xf>
    <xf numFmtId="2" fontId="188" fillId="70" borderId="1" xfId="6" applyNumberFormat="1" applyFont="1" applyFill="1" applyBorder="1" applyAlignment="1">
      <alignment horizontal="center" vertical="center" wrapText="1"/>
    </xf>
    <xf numFmtId="2" fontId="188" fillId="70" borderId="1" xfId="6" applyNumberFormat="1" applyFont="1" applyFill="1" applyBorder="1" applyAlignment="1">
      <alignment horizontal="center" vertical="center"/>
    </xf>
    <xf numFmtId="0" fontId="84" fillId="0" borderId="7" xfId="0" applyFont="1" applyBorder="1" applyAlignment="1">
      <alignment horizontal="center" vertical="center" wrapText="1"/>
    </xf>
    <xf numFmtId="0" fontId="224" fillId="0" borderId="0" xfId="0" applyFont="1"/>
    <xf numFmtId="0" fontId="147" fillId="0" borderId="1" xfId="0" applyFont="1" applyBorder="1" applyAlignment="1">
      <alignment horizontal="center" vertical="center" wrapText="1"/>
    </xf>
    <xf numFmtId="0" fontId="202" fillId="0" borderId="3" xfId="6" applyFont="1" applyBorder="1"/>
    <xf numFmtId="0" fontId="220" fillId="0" borderId="3" xfId="6" applyFont="1" applyBorder="1" applyAlignment="1">
      <alignment horizontal="center" vertical="center" wrapText="1"/>
    </xf>
    <xf numFmtId="2" fontId="202" fillId="0" borderId="1" xfId="6" applyNumberFormat="1" applyFont="1" applyBorder="1"/>
    <xf numFmtId="0" fontId="92" fillId="0" borderId="0" xfId="6" applyFont="1"/>
    <xf numFmtId="0" fontId="205" fillId="0" borderId="0" xfId="6" applyFont="1"/>
    <xf numFmtId="0" fontId="225" fillId="0" borderId="7" xfId="124" applyFont="1" applyBorder="1" applyAlignment="1">
      <alignment vertical="center" wrapText="1"/>
    </xf>
    <xf numFmtId="0" fontId="226" fillId="0" borderId="1" xfId="6" applyFont="1" applyBorder="1" applyAlignment="1">
      <alignment horizontal="right"/>
    </xf>
    <xf numFmtId="0" fontId="227" fillId="0" borderId="1" xfId="6" applyFont="1" applyBorder="1" applyAlignment="1">
      <alignment horizontal="center" vertical="center" wrapText="1"/>
    </xf>
    <xf numFmtId="2" fontId="228" fillId="0" borderId="1" xfId="6" applyNumberFormat="1" applyFont="1" applyBorder="1"/>
    <xf numFmtId="177" fontId="30" fillId="0" borderId="45" xfId="6" applyNumberFormat="1" applyFont="1" applyBorder="1" applyAlignment="1">
      <alignment horizontal="center" vertical="center"/>
    </xf>
    <xf numFmtId="2" fontId="229" fillId="0" borderId="0" xfId="6" applyNumberFormat="1" applyFont="1"/>
    <xf numFmtId="0" fontId="177" fillId="0" borderId="0" xfId="6" applyFont="1"/>
    <xf numFmtId="0" fontId="84" fillId="0" borderId="0" xfId="6" applyFont="1" applyAlignment="1">
      <alignment horizontal="center" vertical="center" wrapText="1"/>
    </xf>
    <xf numFmtId="0" fontId="207" fillId="0" borderId="0" xfId="6" applyFont="1"/>
    <xf numFmtId="0" fontId="230" fillId="0" borderId="0" xfId="6" applyFont="1" applyAlignment="1">
      <alignment horizontal="center" vertical="center" wrapText="1"/>
    </xf>
    <xf numFmtId="2" fontId="231" fillId="0" borderId="0" xfId="6" applyNumberFormat="1" applyFont="1"/>
    <xf numFmtId="0" fontId="231" fillId="0" borderId="1" xfId="6" applyFont="1" applyBorder="1"/>
    <xf numFmtId="2" fontId="231" fillId="0" borderId="1" xfId="6" applyNumberFormat="1" applyFont="1" applyBorder="1"/>
    <xf numFmtId="0" fontId="232" fillId="0" borderId="1" xfId="6" applyFont="1" applyBorder="1" applyAlignment="1">
      <alignment horizontal="right"/>
    </xf>
    <xf numFmtId="0" fontId="233" fillId="0" borderId="0" xfId="6" applyFont="1"/>
    <xf numFmtId="0" fontId="234" fillId="0" borderId="0" xfId="6" applyFont="1" applyAlignment="1">
      <alignment horizontal="center" vertical="center" wrapText="1"/>
    </xf>
    <xf numFmtId="2" fontId="187" fillId="0" borderId="0" xfId="6" applyNumberFormat="1" applyFont="1"/>
    <xf numFmtId="0" fontId="187" fillId="0" borderId="1" xfId="6" applyFont="1" applyBorder="1"/>
    <xf numFmtId="0" fontId="235" fillId="0" borderId="1" xfId="6" applyFont="1" applyBorder="1" applyAlignment="1">
      <alignment horizontal="right"/>
    </xf>
    <xf numFmtId="2" fontId="187" fillId="31" borderId="1" xfId="6" applyNumberFormat="1" applyFont="1" applyFill="1" applyBorder="1"/>
    <xf numFmtId="0" fontId="30" fillId="0" borderId="23" xfId="0" applyFont="1" applyBorder="1" applyAlignment="1">
      <alignment vertical="top" wrapText="1"/>
    </xf>
    <xf numFmtId="0" fontId="237" fillId="0" borderId="23" xfId="0" applyFont="1" applyBorder="1" applyAlignment="1">
      <alignment vertical="top" wrapText="1"/>
    </xf>
    <xf numFmtId="0" fontId="239" fillId="0" borderId="0" xfId="0" applyFont="1"/>
    <xf numFmtId="177" fontId="239" fillId="0" borderId="0" xfId="0" applyNumberFormat="1" applyFont="1"/>
    <xf numFmtId="0" fontId="0" fillId="0" borderId="6" xfId="0" applyBorder="1" applyAlignment="1">
      <alignment horizontal="center" vertical="center"/>
    </xf>
    <xf numFmtId="0" fontId="30" fillId="68" borderId="23" xfId="0" applyFont="1" applyFill="1" applyBorder="1" applyAlignment="1">
      <alignment vertical="top" wrapText="1"/>
    </xf>
    <xf numFmtId="0" fontId="30" fillId="0" borderId="0" xfId="0" applyFont="1" applyAlignment="1">
      <alignment horizontal="center"/>
    </xf>
    <xf numFmtId="2" fontId="30" fillId="0" borderId="0" xfId="0" applyNumberFormat="1" applyFont="1" applyAlignment="1">
      <alignment horizontal="center" vertical="top" wrapText="1"/>
    </xf>
    <xf numFmtId="177" fontId="30" fillId="0" borderId="0" xfId="0" applyNumberFormat="1" applyFont="1" applyAlignment="1">
      <alignment horizontal="center" vertical="top" wrapText="1"/>
    </xf>
    <xf numFmtId="177" fontId="237" fillId="0" borderId="0" xfId="0" applyNumberFormat="1" applyFont="1" applyAlignment="1">
      <alignment horizontal="center" vertical="top" wrapText="1"/>
    </xf>
    <xf numFmtId="0" fontId="30" fillId="0" borderId="0" xfId="0" applyFont="1" applyAlignment="1">
      <alignment horizontal="center" vertical="top" wrapText="1"/>
    </xf>
    <xf numFmtId="0" fontId="0" fillId="0" borderId="0" xfId="0" applyAlignment="1">
      <alignment horizontal="center" vertical="center"/>
    </xf>
    <xf numFmtId="177" fontId="0" fillId="0" borderId="0" xfId="0" applyNumberFormat="1"/>
    <xf numFmtId="175" fontId="0" fillId="0" borderId="0" xfId="0" applyNumberFormat="1"/>
    <xf numFmtId="170" fontId="30" fillId="0" borderId="0" xfId="0" applyNumberFormat="1" applyFont="1" applyAlignment="1">
      <alignment horizontal="center" vertical="top" wrapText="1"/>
    </xf>
    <xf numFmtId="177" fontId="30" fillId="68" borderId="0" xfId="0" applyNumberFormat="1" applyFont="1" applyFill="1" applyAlignment="1">
      <alignment horizontal="center" vertical="top" wrapText="1"/>
    </xf>
    <xf numFmtId="0" fontId="28" fillId="0" borderId="0" xfId="0" applyFont="1" applyAlignment="1">
      <alignment horizontal="center" vertical="top" wrapText="1"/>
    </xf>
    <xf numFmtId="0" fontId="170" fillId="0" borderId="0" xfId="0" applyFont="1"/>
    <xf numFmtId="0" fontId="30" fillId="0" borderId="0" xfId="0" applyFont="1" applyAlignment="1">
      <alignment vertical="top" wrapText="1"/>
    </xf>
    <xf numFmtId="0" fontId="236" fillId="0" borderId="0" xfId="0" applyFont="1" applyAlignment="1">
      <alignment vertical="top" wrapText="1"/>
    </xf>
    <xf numFmtId="0" fontId="169" fillId="70" borderId="3" xfId="6" applyFont="1" applyFill="1" applyBorder="1"/>
    <xf numFmtId="177" fontId="169" fillId="70" borderId="3" xfId="6" applyNumberFormat="1" applyFont="1" applyFill="1" applyBorder="1"/>
    <xf numFmtId="177" fontId="231" fillId="0" borderId="0" xfId="6" applyNumberFormat="1" applyFont="1"/>
    <xf numFmtId="175" fontId="187" fillId="0" borderId="1" xfId="6" applyNumberFormat="1" applyFont="1" applyBorder="1"/>
    <xf numFmtId="0" fontId="28" fillId="0" borderId="56" xfId="0" applyFont="1" applyBorder="1" applyAlignment="1">
      <alignment horizontal="center" vertical="center" wrapText="1"/>
    </xf>
    <xf numFmtId="0" fontId="30" fillId="0" borderId="8" xfId="6" applyFont="1" applyBorder="1" applyAlignment="1">
      <alignment horizontal="center" vertical="center"/>
    </xf>
    <xf numFmtId="0" fontId="30" fillId="0" borderId="9" xfId="6" applyFont="1" applyBorder="1" applyAlignment="1">
      <alignment horizontal="center" vertical="center" wrapText="1"/>
    </xf>
    <xf numFmtId="0" fontId="30" fillId="0" borderId="56" xfId="0" applyFont="1" applyBorder="1" applyAlignment="1">
      <alignment horizontal="center" vertical="center" wrapText="1"/>
    </xf>
    <xf numFmtId="0" fontId="239" fillId="0" borderId="0" xfId="0" applyFont="1" applyAlignment="1">
      <alignment vertical="center"/>
    </xf>
    <xf numFmtId="0" fontId="237" fillId="0" borderId="23" xfId="0" applyFont="1" applyBorder="1" applyAlignment="1">
      <alignment vertical="center" wrapText="1"/>
    </xf>
    <xf numFmtId="0" fontId="238" fillId="0" borderId="56" xfId="0" applyFont="1" applyBorder="1" applyAlignment="1">
      <alignment horizontal="center" vertical="center" wrapText="1"/>
    </xf>
    <xf numFmtId="2" fontId="237" fillId="0" borderId="56" xfId="0" applyNumberFormat="1" applyFont="1" applyBorder="1" applyAlignment="1">
      <alignment horizontal="center" vertical="center" wrapText="1"/>
    </xf>
    <xf numFmtId="2" fontId="237" fillId="0" borderId="0" xfId="0" applyNumberFormat="1" applyFont="1" applyAlignment="1">
      <alignment horizontal="center" vertical="center" wrapText="1"/>
    </xf>
    <xf numFmtId="0" fontId="32" fillId="70" borderId="1" xfId="505" applyFont="1" applyFill="1" applyBorder="1" applyAlignment="1">
      <alignment vertical="top" wrapText="1"/>
    </xf>
    <xf numFmtId="0" fontId="32" fillId="70" borderId="58" xfId="505" applyFont="1" applyFill="1" applyBorder="1" applyAlignment="1">
      <alignment horizontal="left" vertical="center" wrapText="1"/>
    </xf>
    <xf numFmtId="0" fontId="123" fillId="0" borderId="0" xfId="505" applyFont="1" applyAlignment="1">
      <alignment horizontal="center"/>
    </xf>
    <xf numFmtId="4" fontId="144" fillId="0" borderId="111" xfId="116" applyNumberFormat="1" applyFont="1" applyBorder="1" applyAlignment="1">
      <alignment horizontal="right"/>
    </xf>
    <xf numFmtId="4" fontId="140" fillId="0" borderId="111" xfId="116" applyNumberFormat="1" applyFont="1" applyBorder="1" applyAlignment="1">
      <alignment horizontal="right"/>
    </xf>
    <xf numFmtId="4" fontId="140" fillId="0" borderId="111" xfId="116" applyNumberFormat="1" applyFont="1" applyBorder="1"/>
    <xf numFmtId="4" fontId="144" fillId="0" borderId="111" xfId="116" applyNumberFormat="1" applyFont="1" applyBorder="1"/>
    <xf numFmtId="4" fontId="140" fillId="0" borderId="111" xfId="116" applyNumberFormat="1" applyFont="1" applyBorder="1" applyAlignment="1">
      <alignment horizontal="right" wrapText="1"/>
    </xf>
    <xf numFmtId="4" fontId="140" fillId="0" borderId="120" xfId="116" applyNumberFormat="1" applyFont="1" applyBorder="1"/>
    <xf numFmtId="4" fontId="140" fillId="0" borderId="112" xfId="116" applyNumberFormat="1" applyFont="1" applyBorder="1"/>
    <xf numFmtId="4" fontId="39" fillId="0" borderId="32" xfId="116" applyNumberFormat="1" applyFont="1" applyBorder="1"/>
    <xf numFmtId="4" fontId="191" fillId="0" borderId="111" xfId="116" applyNumberFormat="1" applyFont="1" applyBorder="1"/>
    <xf numFmtId="0" fontId="122" fillId="0" borderId="0" xfId="448" applyFont="1" applyAlignment="1">
      <alignment horizontal="center"/>
    </xf>
    <xf numFmtId="0" fontId="39" fillId="31" borderId="30" xfId="448" applyFont="1" applyFill="1" applyBorder="1" applyAlignment="1">
      <alignment horizontal="center" vertical="center"/>
    </xf>
    <xf numFmtId="0" fontId="39" fillId="31" borderId="6" xfId="448" applyFont="1" applyFill="1" applyBorder="1" applyAlignment="1">
      <alignment horizontal="center" vertical="center" wrapText="1"/>
    </xf>
    <xf numFmtId="0" fontId="149" fillId="0" borderId="1" xfId="505" applyFont="1" applyBorder="1" applyAlignment="1" applyProtection="1">
      <alignment horizontal="left" vertical="center" wrapText="1"/>
      <protection hidden="1"/>
    </xf>
    <xf numFmtId="0" fontId="149" fillId="0" borderId="3" xfId="505" applyFont="1" applyBorder="1" applyAlignment="1" applyProtection="1">
      <alignment horizontal="center" vertical="center" wrapText="1"/>
      <protection hidden="1"/>
    </xf>
    <xf numFmtId="4" fontId="137" fillId="0" borderId="0" xfId="505" applyNumberFormat="1" applyFont="1" applyAlignment="1" applyProtection="1">
      <alignment horizontal="right" vertical="center" wrapText="1"/>
      <protection hidden="1"/>
    </xf>
    <xf numFmtId="0" fontId="137" fillId="0" borderId="0" xfId="505" applyFont="1" applyAlignment="1" applyProtection="1">
      <alignment horizontal="right" vertical="center" wrapText="1"/>
      <protection hidden="1"/>
    </xf>
    <xf numFmtId="0" fontId="31" fillId="0" borderId="0" xfId="505" applyFont="1" applyAlignment="1" applyProtection="1">
      <alignment horizontal="center" vertical="center" wrapText="1"/>
      <protection hidden="1"/>
    </xf>
    <xf numFmtId="4" fontId="31" fillId="0" borderId="0" xfId="505" applyNumberFormat="1" applyFont="1" applyAlignment="1" applyProtection="1">
      <alignment horizontal="right" vertical="center" wrapText="1"/>
      <protection hidden="1"/>
    </xf>
    <xf numFmtId="0" fontId="31" fillId="0" borderId="0" xfId="505" applyFont="1" applyAlignment="1" applyProtection="1">
      <alignment horizontal="right" vertical="center" wrapText="1"/>
      <protection hidden="1"/>
    </xf>
    <xf numFmtId="0" fontId="149" fillId="0" borderId="0" xfId="505" applyFont="1" applyAlignment="1" applyProtection="1">
      <alignment vertical="center" wrapText="1"/>
      <protection locked="0"/>
    </xf>
    <xf numFmtId="0" fontId="142" fillId="0" borderId="0" xfId="505" applyFont="1" applyAlignment="1" applyProtection="1">
      <alignment vertical="center" wrapText="1"/>
      <protection locked="0"/>
    </xf>
    <xf numFmtId="0" fontId="142" fillId="0" borderId="0" xfId="505" applyFont="1" applyAlignment="1" applyProtection="1">
      <alignment horizontal="center" vertical="center" wrapText="1"/>
      <protection locked="0"/>
    </xf>
    <xf numFmtId="4" fontId="142" fillId="0" borderId="5" xfId="505" applyNumberFormat="1" applyFont="1" applyBorder="1" applyAlignment="1" applyProtection="1">
      <alignment horizontal="right" vertical="center" wrapText="1"/>
      <protection locked="0"/>
    </xf>
    <xf numFmtId="0" fontId="142" fillId="0" borderId="0" xfId="505" applyFont="1" applyAlignment="1" applyProtection="1">
      <alignment horizontal="right" vertical="center" wrapText="1"/>
      <protection locked="0"/>
    </xf>
    <xf numFmtId="0" fontId="32" fillId="0" borderId="6" xfId="505" applyFont="1" applyBorder="1" applyAlignment="1" applyProtection="1">
      <alignment vertical="center" wrapText="1"/>
      <protection hidden="1"/>
    </xf>
    <xf numFmtId="14" fontId="32" fillId="0" borderId="45" xfId="505" applyNumberFormat="1" applyFont="1" applyBorder="1" applyAlignment="1" applyProtection="1">
      <alignment horizontal="center" vertical="center" textRotation="90" wrapText="1"/>
      <protection hidden="1"/>
    </xf>
    <xf numFmtId="14" fontId="32" fillId="0" borderId="46" xfId="505" applyNumberFormat="1" applyFont="1" applyBorder="1" applyAlignment="1" applyProtection="1">
      <alignment horizontal="center" vertical="center" textRotation="90" wrapText="1"/>
      <protection hidden="1"/>
    </xf>
    <xf numFmtId="0" fontId="132" fillId="0" borderId="0" xfId="505" applyFont="1" applyAlignment="1" applyProtection="1">
      <alignment horizontal="center" vertical="center" wrapText="1"/>
      <protection hidden="1"/>
    </xf>
    <xf numFmtId="0" fontId="143" fillId="0" borderId="0" xfId="505" applyFont="1" applyAlignment="1" applyProtection="1">
      <alignment horizontal="center" vertical="center" wrapText="1"/>
      <protection hidden="1"/>
    </xf>
    <xf numFmtId="4" fontId="118" fillId="0" borderId="1" xfId="0" applyNumberFormat="1" applyFont="1" applyBorder="1" applyAlignment="1">
      <alignment horizontal="right" vertical="center"/>
    </xf>
    <xf numFmtId="2" fontId="139" fillId="0" borderId="0" xfId="505" applyNumberFormat="1" applyFont="1" applyAlignment="1" applyProtection="1">
      <alignment horizontal="center" vertical="center" wrapText="1"/>
      <protection hidden="1"/>
    </xf>
    <xf numFmtId="0" fontId="136" fillId="0" borderId="0" xfId="505" applyFont="1" applyAlignment="1">
      <alignment horizontal="left" vertical="center"/>
    </xf>
    <xf numFmtId="0" fontId="138" fillId="0" borderId="0" xfId="505" applyFont="1" applyAlignment="1">
      <alignment horizontal="center" vertical="center"/>
    </xf>
    <xf numFmtId="0" fontId="135" fillId="0" borderId="0" xfId="505" applyFont="1" applyAlignment="1">
      <alignment horizontal="left" vertical="top"/>
    </xf>
    <xf numFmtId="2" fontId="137" fillId="0" borderId="0" xfId="505" applyNumberFormat="1" applyFont="1" applyAlignment="1" applyProtection="1">
      <alignment horizontal="right" vertical="center" wrapText="1"/>
      <protection hidden="1"/>
    </xf>
    <xf numFmtId="0" fontId="138" fillId="0" borderId="0" xfId="505" applyFont="1" applyAlignment="1" applyProtection="1">
      <alignment horizontal="left" vertical="top" wrapText="1"/>
      <protection hidden="1"/>
    </xf>
    <xf numFmtId="0" fontId="137" fillId="0" borderId="0" xfId="505" applyFont="1" applyAlignment="1" applyProtection="1">
      <alignment horizontal="left" vertical="top" wrapText="1"/>
      <protection hidden="1"/>
    </xf>
    <xf numFmtId="4" fontId="137" fillId="0" borderId="0" xfId="505" applyNumberFormat="1" applyFont="1" applyAlignment="1" applyProtection="1">
      <alignment horizontal="right" vertical="top" wrapText="1"/>
      <protection hidden="1"/>
    </xf>
    <xf numFmtId="0" fontId="137" fillId="0" borderId="0" xfId="505" applyFont="1" applyAlignment="1" applyProtection="1">
      <alignment horizontal="right" vertical="top" wrapText="1"/>
      <protection hidden="1"/>
    </xf>
    <xf numFmtId="0" fontId="137" fillId="70" borderId="0" xfId="505" applyFont="1" applyFill="1" applyAlignment="1" applyProtection="1">
      <alignment horizontal="center" vertical="center" wrapText="1"/>
      <protection hidden="1"/>
    </xf>
    <xf numFmtId="0" fontId="39" fillId="0" borderId="0" xfId="116" applyFont="1" applyAlignment="1">
      <alignment horizontal="center" vertical="center"/>
    </xf>
    <xf numFmtId="179" fontId="147" fillId="0" borderId="58" xfId="6" applyNumberFormat="1" applyFont="1" applyBorder="1" applyAlignment="1">
      <alignment horizontal="center" vertical="center" wrapText="1"/>
    </xf>
    <xf numFmtId="179" fontId="147" fillId="0" borderId="1" xfId="6" applyNumberFormat="1" applyFont="1" applyBorder="1" applyAlignment="1">
      <alignment horizontal="center" vertical="center" wrapText="1"/>
    </xf>
    <xf numFmtId="179" fontId="147" fillId="0" borderId="45" xfId="6" applyNumberFormat="1" applyFont="1" applyBorder="1" applyAlignment="1">
      <alignment horizontal="center" vertical="center" wrapText="1"/>
    </xf>
    <xf numFmtId="181" fontId="147" fillId="0" borderId="49" xfId="6" applyNumberFormat="1" applyFont="1" applyBorder="1" applyAlignment="1">
      <alignment horizontal="center" vertical="center" wrapText="1"/>
    </xf>
    <xf numFmtId="181" fontId="147" fillId="0" borderId="1" xfId="6" applyNumberFormat="1" applyFont="1" applyBorder="1" applyAlignment="1">
      <alignment horizontal="center" vertical="center" wrapText="1"/>
    </xf>
    <xf numFmtId="181" fontId="147" fillId="0" borderId="3" xfId="6" applyNumberFormat="1" applyFont="1" applyBorder="1" applyAlignment="1">
      <alignment horizontal="center" vertical="center" wrapText="1"/>
    </xf>
    <xf numFmtId="177" fontId="239" fillId="0" borderId="6" xfId="0" applyNumberFormat="1" applyFont="1" applyBorder="1" applyAlignment="1">
      <alignment horizontal="center" vertical="center"/>
    </xf>
    <xf numFmtId="0" fontId="202" fillId="0" borderId="32" xfId="0" applyFont="1" applyBorder="1"/>
    <xf numFmtId="2" fontId="30" fillId="0" borderId="56" xfId="0" applyNumberFormat="1" applyFont="1" applyBorder="1" applyAlignment="1">
      <alignment horizontal="center" vertical="center" wrapText="1"/>
    </xf>
    <xf numFmtId="177" fontId="30" fillId="0" borderId="56" xfId="0" applyNumberFormat="1" applyFont="1" applyBorder="1" applyAlignment="1">
      <alignment horizontal="center" vertical="center" wrapText="1"/>
    </xf>
    <xf numFmtId="177" fontId="237" fillId="0" borderId="56" xfId="0" applyNumberFormat="1" applyFont="1" applyBorder="1" applyAlignment="1">
      <alignment horizontal="center" vertical="center" wrapText="1"/>
    </xf>
    <xf numFmtId="170" fontId="30" fillId="0" borderId="56" xfId="0" applyNumberFormat="1" applyFont="1" applyBorder="1" applyAlignment="1">
      <alignment horizontal="center" vertical="center" wrapText="1"/>
    </xf>
    <xf numFmtId="0" fontId="28" fillId="68" borderId="56" xfId="0" applyFont="1" applyFill="1" applyBorder="1" applyAlignment="1">
      <alignment horizontal="center" vertical="center" wrapText="1"/>
    </xf>
    <xf numFmtId="177" fontId="30" fillId="68" borderId="56" xfId="0" applyNumberFormat="1" applyFont="1" applyFill="1" applyBorder="1" applyAlignment="1">
      <alignment horizontal="center" vertical="center" wrapText="1"/>
    </xf>
    <xf numFmtId="177" fontId="0" fillId="0" borderId="6" xfId="0" applyNumberFormat="1" applyBorder="1" applyAlignment="1">
      <alignment horizontal="center" vertical="center"/>
    </xf>
    <xf numFmtId="175" fontId="0" fillId="0" borderId="6" xfId="0" applyNumberFormat="1" applyBorder="1" applyAlignment="1">
      <alignment horizontal="center" vertical="center"/>
    </xf>
    <xf numFmtId="0" fontId="147" fillId="0" borderId="56" xfId="0" applyFont="1" applyBorder="1" applyAlignment="1">
      <alignment horizontal="center" vertical="center" wrapText="1"/>
    </xf>
    <xf numFmtId="2" fontId="39" fillId="0" borderId="56" xfId="0" applyNumberFormat="1" applyFont="1" applyBorder="1" applyAlignment="1">
      <alignment horizontal="center" vertical="center" wrapText="1"/>
    </xf>
    <xf numFmtId="177" fontId="39" fillId="0" borderId="56" xfId="0" applyNumberFormat="1" applyFont="1" applyBorder="1" applyAlignment="1">
      <alignment horizontal="center" vertical="center" wrapText="1"/>
    </xf>
    <xf numFmtId="177" fontId="107" fillId="0" borderId="6" xfId="0" applyNumberFormat="1" applyFont="1" applyBorder="1" applyAlignment="1">
      <alignment horizontal="center" vertical="center"/>
    </xf>
    <xf numFmtId="2" fontId="39" fillId="69" borderId="1" xfId="6" applyNumberFormat="1" applyFont="1" applyFill="1" applyBorder="1" applyAlignment="1">
      <alignment horizontal="center" vertical="center" wrapText="1"/>
    </xf>
    <xf numFmtId="0" fontId="39" fillId="0" borderId="56" xfId="0" applyFont="1" applyBorder="1" applyAlignment="1">
      <alignment horizontal="center" vertical="center" wrapText="1"/>
    </xf>
    <xf numFmtId="0" fontId="240" fillId="0" borderId="6" xfId="0" applyFont="1" applyBorder="1" applyAlignment="1">
      <alignment horizontal="center" vertical="center"/>
    </xf>
    <xf numFmtId="177" fontId="240" fillId="0" borderId="6" xfId="0" applyNumberFormat="1" applyFont="1" applyBorder="1" applyAlignment="1">
      <alignment horizontal="center" vertical="center"/>
    </xf>
    <xf numFmtId="175" fontId="240" fillId="0" borderId="6" xfId="0" applyNumberFormat="1" applyFont="1" applyBorder="1" applyAlignment="1">
      <alignment horizontal="center" vertical="center"/>
    </xf>
    <xf numFmtId="170" fontId="39" fillId="0" borderId="56" xfId="0" applyNumberFormat="1" applyFont="1" applyBorder="1" applyAlignment="1">
      <alignment horizontal="center" vertical="center" wrapText="1"/>
    </xf>
    <xf numFmtId="0" fontId="147" fillId="68" borderId="56" xfId="0" applyFont="1" applyFill="1" applyBorder="1" applyAlignment="1">
      <alignment horizontal="center" vertical="center" wrapText="1"/>
    </xf>
    <xf numFmtId="177" fontId="39" fillId="68" borderId="56" xfId="0" applyNumberFormat="1" applyFont="1" applyFill="1" applyBorder="1" applyAlignment="1">
      <alignment horizontal="center" vertical="center" wrapText="1"/>
    </xf>
    <xf numFmtId="0" fontId="241" fillId="0" borderId="1" xfId="6" applyFont="1" applyBorder="1" applyAlignment="1">
      <alignment horizontal="center" vertical="center" wrapText="1"/>
    </xf>
    <xf numFmtId="2" fontId="242" fillId="0" borderId="1" xfId="6" applyNumberFormat="1" applyFont="1" applyBorder="1"/>
    <xf numFmtId="0" fontId="242" fillId="0" borderId="1" xfId="6" applyFont="1" applyBorder="1" applyAlignment="1">
      <alignment horizontal="right"/>
    </xf>
    <xf numFmtId="2" fontId="243" fillId="0" borderId="0" xfId="6" applyNumberFormat="1" applyFont="1"/>
    <xf numFmtId="0" fontId="244" fillId="0" borderId="0" xfId="6" applyFont="1"/>
    <xf numFmtId="0" fontId="242" fillId="0" borderId="0" xfId="6" applyFont="1"/>
    <xf numFmtId="2" fontId="242" fillId="0" borderId="0" xfId="6" applyNumberFormat="1" applyFont="1"/>
    <xf numFmtId="2" fontId="242" fillId="75" borderId="1" xfId="6" applyNumberFormat="1" applyFont="1" applyFill="1" applyBorder="1"/>
    <xf numFmtId="179" fontId="39" fillId="69" borderId="1" xfId="6" applyNumberFormat="1" applyFont="1" applyFill="1" applyBorder="1" applyAlignment="1">
      <alignment horizontal="center" vertical="center" wrapText="1"/>
    </xf>
    <xf numFmtId="175" fontId="202" fillId="0" borderId="1" xfId="6" applyNumberFormat="1" applyFont="1" applyBorder="1"/>
    <xf numFmtId="0" fontId="81" fillId="0" borderId="0" xfId="0" applyFont="1" applyAlignment="1">
      <alignment horizontal="center" vertical="center"/>
    </xf>
    <xf numFmtId="0" fontId="81" fillId="0" borderId="0" xfId="0" applyFont="1" applyAlignment="1">
      <alignment horizontal="center"/>
    </xf>
    <xf numFmtId="0" fontId="237" fillId="0" borderId="0" xfId="0" applyFont="1" applyAlignment="1">
      <alignment vertical="top" wrapText="1"/>
    </xf>
    <xf numFmtId="0" fontId="245" fillId="0" borderId="0" xfId="0" applyFont="1" applyAlignment="1">
      <alignment horizontal="center" vertical="center" wrapText="1"/>
    </xf>
    <xf numFmtId="0" fontId="32" fillId="0" borderId="0" xfId="0" applyFont="1" applyAlignment="1">
      <alignment vertical="top"/>
    </xf>
    <xf numFmtId="0" fontId="98" fillId="0" borderId="0" xfId="0" applyFont="1" applyAlignment="1">
      <alignment vertical="center" wrapText="1"/>
    </xf>
    <xf numFmtId="0" fontId="32" fillId="2" borderId="0" xfId="0" applyFont="1" applyFill="1"/>
    <xf numFmtId="0" fontId="81" fillId="2" borderId="0" xfId="0" applyFont="1" applyFill="1" applyAlignment="1">
      <alignment horizontal="center" vertical="center"/>
    </xf>
    <xf numFmtId="0" fontId="245" fillId="0" borderId="0" xfId="0" applyFont="1" applyAlignment="1">
      <alignment horizontal="left" vertical="center" wrapText="1"/>
    </xf>
    <xf numFmtId="0" fontId="246" fillId="0" borderId="0" xfId="0" applyFont="1" applyAlignment="1">
      <alignment vertical="top" wrapText="1"/>
    </xf>
    <xf numFmtId="0" fontId="122" fillId="0" borderId="0" xfId="532" applyFont="1" applyAlignment="1">
      <alignment horizontal="center" vertical="center" wrapText="1"/>
    </xf>
    <xf numFmtId="0" fontId="141" fillId="0" borderId="0" xfId="532" applyFont="1" applyAlignment="1">
      <alignment horizontal="center" vertical="center"/>
    </xf>
    <xf numFmtId="0" fontId="90" fillId="0" borderId="0" xfId="532" applyFont="1" applyAlignment="1">
      <alignment horizontal="center" vertical="center"/>
    </xf>
    <xf numFmtId="0" fontId="118" fillId="0" borderId="108" xfId="448" applyFont="1" applyBorder="1" applyAlignment="1">
      <alignment wrapText="1"/>
    </xf>
    <xf numFmtId="181" fontId="98" fillId="2" borderId="1" xfId="0" applyNumberFormat="1" applyFont="1" applyFill="1" applyBorder="1"/>
    <xf numFmtId="0" fontId="183" fillId="0" borderId="0" xfId="0" applyFont="1" applyAlignment="1">
      <alignment horizontal="center" vertical="center"/>
    </xf>
    <xf numFmtId="0" fontId="0" fillId="59" borderId="1" xfId="0" applyFill="1" applyBorder="1" applyAlignment="1">
      <alignment horizontal="center" vertical="center"/>
    </xf>
    <xf numFmtId="4" fontId="32" fillId="59" borderId="64" xfId="0" applyNumberFormat="1" applyFont="1" applyFill="1" applyBorder="1" applyAlignment="1">
      <alignment vertical="center"/>
    </xf>
    <xf numFmtId="4" fontId="32" fillId="59" borderId="10" xfId="0" applyNumberFormat="1" applyFont="1" applyFill="1" applyBorder="1" applyAlignment="1">
      <alignment vertical="center"/>
    </xf>
    <xf numFmtId="4" fontId="32" fillId="59" borderId="3" xfId="0" applyNumberFormat="1" applyFont="1" applyFill="1" applyBorder="1" applyAlignment="1">
      <alignment vertical="center"/>
    </xf>
    <xf numFmtId="4" fontId="32" fillId="59" borderId="40" xfId="505" applyNumberFormat="1" applyFont="1" applyFill="1" applyBorder="1"/>
    <xf numFmtId="4" fontId="32" fillId="59" borderId="1" xfId="505" applyNumberFormat="1" applyFont="1" applyFill="1" applyBorder="1"/>
    <xf numFmtId="0" fontId="247" fillId="59" borderId="0" xfId="505" applyFont="1" applyFill="1" applyAlignment="1">
      <alignment vertical="center"/>
    </xf>
    <xf numFmtId="2" fontId="118" fillId="59" borderId="99" xfId="448" applyNumberFormat="1" applyFont="1" applyFill="1" applyBorder="1" applyAlignment="1">
      <alignment horizontal="center"/>
    </xf>
    <xf numFmtId="2" fontId="118" fillId="59" borderId="110" xfId="448" applyNumberFormat="1" applyFont="1" applyFill="1" applyBorder="1" applyAlignment="1">
      <alignment horizontal="center"/>
    </xf>
    <xf numFmtId="0" fontId="118" fillId="59" borderId="98" xfId="448" applyFont="1" applyFill="1" applyBorder="1"/>
    <xf numFmtId="0" fontId="118" fillId="59" borderId="99" xfId="448" applyFont="1" applyFill="1" applyBorder="1"/>
    <xf numFmtId="2" fontId="118" fillId="59" borderId="109" xfId="448" applyNumberFormat="1" applyFont="1" applyFill="1" applyBorder="1" applyAlignment="1">
      <alignment horizontal="center"/>
    </xf>
    <xf numFmtId="2" fontId="118" fillId="59" borderId="126" xfId="448" applyNumberFormat="1" applyFont="1" applyFill="1" applyBorder="1" applyAlignment="1">
      <alignment horizontal="center"/>
    </xf>
    <xf numFmtId="0" fontId="118" fillId="59" borderId="108" xfId="448" applyFont="1" applyFill="1" applyBorder="1"/>
    <xf numFmtId="0" fontId="118" fillId="59" borderId="109" xfId="448" applyFont="1" applyFill="1" applyBorder="1"/>
    <xf numFmtId="2" fontId="118" fillId="59" borderId="101" xfId="448" applyNumberFormat="1" applyFont="1" applyFill="1" applyBorder="1" applyAlignment="1">
      <alignment horizontal="center"/>
    </xf>
    <xf numFmtId="2" fontId="118" fillId="59" borderId="111" xfId="448" applyNumberFormat="1" applyFont="1" applyFill="1" applyBorder="1" applyAlignment="1">
      <alignment horizontal="center"/>
    </xf>
    <xf numFmtId="0" fontId="118" fillId="59" borderId="100" xfId="448" applyFont="1" applyFill="1" applyBorder="1"/>
    <xf numFmtId="0" fontId="118" fillId="59" borderId="101" xfId="448" applyFont="1" applyFill="1" applyBorder="1"/>
    <xf numFmtId="0" fontId="140" fillId="59" borderId="0" xfId="448" applyFont="1" applyFill="1" applyAlignment="1">
      <alignment horizontal="center" vertical="center"/>
    </xf>
    <xf numFmtId="0" fontId="170" fillId="0" borderId="0" xfId="554" applyFont="1" applyAlignment="1">
      <alignment horizontal="center" vertical="top"/>
    </xf>
    <xf numFmtId="4" fontId="149" fillId="2" borderId="1" xfId="505" applyNumberFormat="1" applyFont="1" applyFill="1" applyBorder="1" applyAlignment="1" applyProtection="1">
      <alignment horizontal="right" vertical="center" wrapText="1"/>
      <protection hidden="1"/>
    </xf>
    <xf numFmtId="0" fontId="94" fillId="2" borderId="0" xfId="505" applyFont="1" applyFill="1" applyAlignment="1" applyProtection="1">
      <alignment horizontal="center" vertical="center" wrapText="1"/>
      <protection hidden="1"/>
    </xf>
    <xf numFmtId="4" fontId="36" fillId="0" borderId="73" xfId="240" applyNumberFormat="1" applyFont="1" applyBorder="1" applyAlignment="1">
      <alignment horizontal="center" vertical="center" wrapText="1"/>
    </xf>
    <xf numFmtId="49" fontId="29" fillId="0" borderId="8" xfId="240" applyNumberFormat="1" applyFont="1" applyBorder="1" applyAlignment="1">
      <alignment vertical="center" wrapText="1"/>
    </xf>
    <xf numFmtId="0" fontId="29" fillId="0" borderId="41" xfId="240" applyFont="1" applyBorder="1" applyAlignment="1">
      <alignment horizontal="center" vertical="center" wrapText="1"/>
    </xf>
    <xf numFmtId="0" fontId="29" fillId="0" borderId="79" xfId="240" applyFont="1" applyBorder="1" applyAlignment="1">
      <alignment horizontal="center" vertical="center" wrapText="1"/>
    </xf>
    <xf numFmtId="0" fontId="29" fillId="0" borderId="40" xfId="240" applyFont="1" applyBorder="1" applyAlignment="1">
      <alignment horizontal="center" vertical="center" wrapText="1"/>
    </xf>
    <xf numFmtId="4" fontId="36" fillId="0" borderId="9" xfId="240" applyNumberFormat="1" applyFont="1" applyBorder="1" applyAlignment="1">
      <alignment horizontal="center" vertical="center" wrapText="1"/>
    </xf>
    <xf numFmtId="0" fontId="118" fillId="0" borderId="0" xfId="116" applyFont="1"/>
    <xf numFmtId="0" fontId="144" fillId="0" borderId="31" xfId="116" applyFont="1" applyBorder="1" applyAlignment="1">
      <alignment vertical="center" wrapText="1"/>
    </xf>
    <xf numFmtId="0" fontId="144" fillId="0" borderId="31" xfId="116" applyFont="1" applyBorder="1" applyAlignment="1">
      <alignment horizontal="center" vertical="center" wrapText="1"/>
    </xf>
    <xf numFmtId="2" fontId="39" fillId="0" borderId="0" xfId="116" applyNumberFormat="1" applyFont="1" applyAlignment="1">
      <alignment horizontal="right" vertical="center"/>
    </xf>
    <xf numFmtId="4" fontId="118" fillId="0" borderId="0" xfId="116" applyNumberFormat="1" applyFont="1" applyAlignment="1">
      <alignment horizontal="right"/>
    </xf>
    <xf numFmtId="2" fontId="39" fillId="0" borderId="0" xfId="116" applyNumberFormat="1" applyFont="1" applyAlignment="1">
      <alignment horizontal="left"/>
    </xf>
    <xf numFmtId="2" fontId="123" fillId="0" borderId="0" xfId="116" applyNumberFormat="1" applyFont="1" applyAlignment="1">
      <alignment horizontal="left"/>
    </xf>
    <xf numFmtId="2" fontId="123" fillId="0" borderId="0" xfId="116" applyNumberFormat="1" applyFont="1"/>
    <xf numFmtId="0" fontId="140" fillId="0" borderId="101" xfId="116" applyFont="1" applyBorder="1" applyAlignment="1">
      <alignment horizontal="left" vertical="justify" wrapText="1" indent="2"/>
    </xf>
    <xf numFmtId="0" fontId="144" fillId="0" borderId="1" xfId="116" applyFont="1" applyBorder="1" applyAlignment="1">
      <alignment horizontal="left" wrapText="1"/>
    </xf>
    <xf numFmtId="4" fontId="123" fillId="0" borderId="0" xfId="116" applyNumberFormat="1" applyFont="1"/>
    <xf numFmtId="0" fontId="140" fillId="0" borderId="104" xfId="116" applyFont="1" applyBorder="1" applyAlignment="1">
      <alignment horizontal="left" wrapText="1" indent="1"/>
    </xf>
    <xf numFmtId="2" fontId="140" fillId="0" borderId="104" xfId="116" applyNumberFormat="1" applyFont="1" applyBorder="1"/>
    <xf numFmtId="179" fontId="140" fillId="0" borderId="0" xfId="116" applyNumberFormat="1" applyFont="1"/>
    <xf numFmtId="0" fontId="118" fillId="0" borderId="0" xfId="116" applyFont="1" applyAlignment="1">
      <alignment horizontal="left"/>
    </xf>
    <xf numFmtId="2" fontId="191" fillId="0" borderId="103" xfId="116" applyNumberFormat="1" applyFont="1" applyBorder="1"/>
    <xf numFmtId="0" fontId="81" fillId="0" borderId="30" xfId="0" applyFont="1" applyBorder="1" applyAlignment="1">
      <alignment horizontal="left" wrapText="1"/>
    </xf>
    <xf numFmtId="0" fontId="32" fillId="0" borderId="30" xfId="0" applyFont="1" applyBorder="1"/>
    <xf numFmtId="0" fontId="94" fillId="0" borderId="32" xfId="0" applyFont="1" applyBorder="1" applyAlignment="1">
      <alignment horizontal="center"/>
    </xf>
    <xf numFmtId="0" fontId="177" fillId="0" borderId="32" xfId="0" applyFont="1" applyBorder="1"/>
    <xf numFmtId="0" fontId="96" fillId="0" borderId="0" xfId="239" quotePrefix="1" applyFill="1" applyAlignment="1">
      <alignment vertical="center"/>
    </xf>
    <xf numFmtId="0" fontId="177" fillId="0" borderId="32" xfId="0" applyFont="1" applyBorder="1" applyAlignment="1">
      <alignment horizontal="left" wrapText="1"/>
    </xf>
    <xf numFmtId="0" fontId="32" fillId="0" borderId="32" xfId="0" applyFont="1" applyBorder="1" applyAlignment="1">
      <alignment horizontal="left" vertical="top" wrapText="1" indent="1"/>
    </xf>
    <xf numFmtId="0" fontId="94" fillId="0" borderId="0" xfId="0" applyFont="1" applyAlignment="1">
      <alignment horizontal="center" vertical="center" wrapText="1"/>
    </xf>
    <xf numFmtId="179" fontId="94" fillId="0" borderId="32" xfId="0" applyNumberFormat="1" applyFont="1" applyBorder="1" applyAlignment="1">
      <alignment horizontal="center" vertical="center"/>
    </xf>
    <xf numFmtId="0" fontId="247" fillId="30" borderId="0" xfId="0" applyFont="1" applyFill="1"/>
    <xf numFmtId="49" fontId="143" fillId="34" borderId="39" xfId="224" applyNumberFormat="1" applyFont="1" applyFill="1" applyBorder="1" applyAlignment="1">
      <alignment horizontal="center" vertical="center" wrapText="1"/>
    </xf>
    <xf numFmtId="0" fontId="221" fillId="34" borderId="1" xfId="224" applyFont="1" applyFill="1" applyBorder="1" applyAlignment="1">
      <alignment vertical="center" wrapText="1"/>
    </xf>
    <xf numFmtId="0" fontId="135" fillId="34" borderId="7" xfId="224" applyFont="1" applyFill="1" applyBorder="1" applyAlignment="1">
      <alignment horizontal="center" vertical="center"/>
    </xf>
    <xf numFmtId="4" fontId="133" fillId="34" borderId="8" xfId="224" applyNumberFormat="1" applyFont="1" applyFill="1" applyBorder="1" applyAlignment="1">
      <alignment horizontal="center" vertical="center" wrapText="1"/>
    </xf>
    <xf numFmtId="4" fontId="221" fillId="34" borderId="8" xfId="224" applyNumberFormat="1" applyFont="1" applyFill="1" applyBorder="1" applyAlignment="1">
      <alignment horizontal="center" vertical="center" wrapText="1"/>
    </xf>
    <xf numFmtId="4" fontId="221" fillId="34" borderId="40" xfId="224" applyNumberFormat="1" applyFont="1" applyFill="1" applyBorder="1" applyAlignment="1">
      <alignment horizontal="center" vertical="center" wrapText="1"/>
    </xf>
    <xf numFmtId="0" fontId="134" fillId="34" borderId="1" xfId="224" applyFont="1" applyFill="1" applyBorder="1" applyAlignment="1">
      <alignment vertical="center" wrapText="1"/>
    </xf>
    <xf numFmtId="4" fontId="135" fillId="34" borderId="1" xfId="224" applyNumberFormat="1" applyFont="1" applyFill="1" applyBorder="1" applyAlignment="1">
      <alignment horizontal="center" vertical="center" wrapText="1"/>
    </xf>
    <xf numFmtId="4" fontId="135" fillId="34" borderId="8" xfId="224" applyNumberFormat="1" applyFont="1" applyFill="1" applyBorder="1" applyAlignment="1">
      <alignment horizontal="center" vertical="center" wrapText="1"/>
    </xf>
    <xf numFmtId="4" fontId="135" fillId="34" borderId="40" xfId="224" applyNumberFormat="1" applyFont="1" applyFill="1" applyBorder="1" applyAlignment="1">
      <alignment horizontal="center" vertical="center" wrapText="1"/>
    </xf>
    <xf numFmtId="49" fontId="137" fillId="34" borderId="94" xfId="224" applyNumberFormat="1" applyFont="1" applyFill="1" applyBorder="1" applyAlignment="1">
      <alignment horizontal="center" vertical="center" wrapText="1"/>
    </xf>
    <xf numFmtId="0" fontId="134" fillId="34" borderId="86" xfId="224" applyFont="1" applyFill="1" applyBorder="1" applyAlignment="1">
      <alignment horizontal="left" vertical="center" wrapText="1"/>
    </xf>
    <xf numFmtId="0" fontId="135" fillId="34" borderId="86" xfId="224" applyFont="1" applyFill="1" applyBorder="1" applyAlignment="1">
      <alignment horizontal="center" vertical="center"/>
    </xf>
    <xf numFmtId="4" fontId="135" fillId="34" borderId="105" xfId="224" applyNumberFormat="1" applyFont="1" applyFill="1" applyBorder="1" applyAlignment="1">
      <alignment horizontal="center" vertical="center" wrapText="1"/>
    </xf>
    <xf numFmtId="4" fontId="135" fillId="34" borderId="127" xfId="224" applyNumberFormat="1" applyFont="1" applyFill="1" applyBorder="1" applyAlignment="1">
      <alignment horizontal="center" vertical="center" wrapText="1"/>
    </xf>
    <xf numFmtId="49" fontId="143" fillId="34" borderId="42" xfId="224" applyNumberFormat="1" applyFont="1" applyFill="1" applyBorder="1" applyAlignment="1">
      <alignment horizontal="center" vertical="center" wrapText="1"/>
    </xf>
    <xf numFmtId="0" fontId="221" fillId="34" borderId="3" xfId="224" applyFont="1" applyFill="1" applyBorder="1" applyAlignment="1">
      <alignment vertical="center" wrapText="1"/>
    </xf>
    <xf numFmtId="0" fontId="133" fillId="34" borderId="69" xfId="224" applyFont="1" applyFill="1" applyBorder="1" applyAlignment="1">
      <alignment horizontal="center" vertical="center"/>
    </xf>
    <xf numFmtId="193" fontId="133" fillId="34" borderId="3" xfId="224" applyNumberFormat="1" applyFont="1" applyFill="1" applyBorder="1" applyAlignment="1">
      <alignment horizontal="center" vertical="center" wrapText="1"/>
    </xf>
    <xf numFmtId="193" fontId="133" fillId="34" borderId="10" xfId="224" applyNumberFormat="1" applyFont="1" applyFill="1" applyBorder="1" applyAlignment="1">
      <alignment horizontal="center" vertical="center" wrapText="1"/>
    </xf>
    <xf numFmtId="4" fontId="133" fillId="34" borderId="10" xfId="224" applyNumberFormat="1" applyFont="1" applyFill="1" applyBorder="1" applyAlignment="1">
      <alignment horizontal="center" vertical="center" wrapText="1"/>
    </xf>
    <xf numFmtId="4" fontId="133" fillId="34" borderId="43" xfId="224" applyNumberFormat="1" applyFont="1" applyFill="1" applyBorder="1" applyAlignment="1">
      <alignment horizontal="center" vertical="center" wrapText="1"/>
    </xf>
    <xf numFmtId="0" fontId="135" fillId="34" borderId="4" xfId="224" applyFont="1" applyFill="1" applyBorder="1" applyAlignment="1">
      <alignment vertical="center" wrapText="1"/>
    </xf>
    <xf numFmtId="0" fontId="134" fillId="34" borderId="1" xfId="224" applyFont="1" applyFill="1" applyBorder="1" applyAlignment="1">
      <alignment horizontal="left" vertical="center" wrapText="1"/>
    </xf>
    <xf numFmtId="0" fontId="135" fillId="34" borderId="78" xfId="224" applyFont="1" applyFill="1" applyBorder="1" applyAlignment="1">
      <alignment horizontal="center" vertical="center"/>
    </xf>
    <xf numFmtId="4" fontId="135" fillId="34" borderId="79" xfId="224" applyNumberFormat="1" applyFont="1" applyFill="1" applyBorder="1" applyAlignment="1">
      <alignment horizontal="center" vertical="center" wrapText="1"/>
    </xf>
    <xf numFmtId="4" fontId="135" fillId="34" borderId="96" xfId="224" applyNumberFormat="1" applyFont="1" applyFill="1" applyBorder="1" applyAlignment="1">
      <alignment horizontal="center" vertical="center" wrapText="1"/>
    </xf>
    <xf numFmtId="0" fontId="134" fillId="34" borderId="3" xfId="224" applyFont="1" applyFill="1" applyBorder="1" applyAlignment="1">
      <alignment vertical="center" wrapText="1"/>
    </xf>
    <xf numFmtId="0" fontId="135" fillId="34" borderId="1" xfId="224" applyFont="1" applyFill="1" applyBorder="1" applyAlignment="1">
      <alignment horizontal="center" vertical="center"/>
    </xf>
    <xf numFmtId="4" fontId="143" fillId="34" borderId="1" xfId="224" applyNumberFormat="1" applyFont="1" applyFill="1" applyBorder="1" applyAlignment="1">
      <alignment horizontal="center" vertical="center" wrapText="1"/>
    </xf>
    <xf numFmtId="4" fontId="143" fillId="34" borderId="40" xfId="224" applyNumberFormat="1" applyFont="1" applyFill="1" applyBorder="1" applyAlignment="1">
      <alignment horizontal="center" vertical="center" wrapText="1"/>
    </xf>
    <xf numFmtId="0" fontId="135" fillId="34" borderId="3" xfId="224" applyFont="1" applyFill="1" applyBorder="1" applyAlignment="1">
      <alignment vertical="center" wrapText="1"/>
    </xf>
    <xf numFmtId="0" fontId="135" fillId="34" borderId="45" xfId="224" applyFont="1" applyFill="1" applyBorder="1" applyAlignment="1">
      <alignment horizontal="center" vertical="center"/>
    </xf>
    <xf numFmtId="4" fontId="135" fillId="34" borderId="45" xfId="224" applyNumberFormat="1" applyFont="1" applyFill="1" applyBorder="1" applyAlignment="1">
      <alignment horizontal="center" vertical="center" wrapText="1"/>
    </xf>
    <xf numFmtId="4" fontId="135" fillId="34" borderId="3" xfId="224" applyNumberFormat="1" applyFont="1" applyFill="1" applyBorder="1" applyAlignment="1">
      <alignment horizontal="center" vertical="center" wrapText="1"/>
    </xf>
    <xf numFmtId="4" fontId="135" fillId="34" borderId="46" xfId="224" applyNumberFormat="1" applyFont="1" applyFill="1" applyBorder="1" applyAlignment="1">
      <alignment horizontal="center" vertical="center" wrapText="1"/>
    </xf>
    <xf numFmtId="49" fontId="137" fillId="34" borderId="57" xfId="224" applyNumberFormat="1" applyFont="1" applyFill="1" applyBorder="1" applyAlignment="1">
      <alignment horizontal="center" vertical="center" wrapText="1"/>
    </xf>
    <xf numFmtId="0" fontId="221" fillId="34" borderId="58" xfId="224" applyFont="1" applyFill="1" applyBorder="1" applyAlignment="1">
      <alignment vertical="center" wrapText="1"/>
    </xf>
    <xf numFmtId="0" fontId="135" fillId="34" borderId="69" xfId="224" applyFont="1" applyFill="1" applyBorder="1" applyAlignment="1">
      <alignment horizontal="center" vertical="center"/>
    </xf>
    <xf numFmtId="4" fontId="124" fillId="34" borderId="3" xfId="0" applyNumberFormat="1" applyFont="1" applyFill="1" applyBorder="1" applyAlignment="1">
      <alignment horizontal="center"/>
    </xf>
    <xf numFmtId="4" fontId="135" fillId="34" borderId="49" xfId="224" applyNumberFormat="1" applyFont="1" applyFill="1" applyBorder="1" applyAlignment="1">
      <alignment horizontal="center" vertical="center" wrapText="1"/>
    </xf>
    <xf numFmtId="4" fontId="124" fillId="34" borderId="43" xfId="0" applyNumberFormat="1" applyFont="1" applyFill="1" applyBorder="1" applyAlignment="1">
      <alignment horizontal="center"/>
    </xf>
    <xf numFmtId="180" fontId="135" fillId="34" borderId="1" xfId="224" applyNumberFormat="1" applyFont="1" applyFill="1" applyBorder="1" applyAlignment="1">
      <alignment horizontal="center" vertical="center" wrapText="1"/>
    </xf>
    <xf numFmtId="4" fontId="42" fillId="34" borderId="1" xfId="0" applyNumberFormat="1" applyFont="1" applyFill="1" applyBorder="1" applyAlignment="1">
      <alignment horizontal="center"/>
    </xf>
    <xf numFmtId="4" fontId="42" fillId="34" borderId="40" xfId="0" applyNumberFormat="1" applyFont="1" applyFill="1" applyBorder="1" applyAlignment="1">
      <alignment horizontal="center"/>
    </xf>
    <xf numFmtId="4" fontId="42" fillId="34" borderId="45" xfId="0" applyNumberFormat="1" applyFont="1" applyFill="1" applyBorder="1" applyAlignment="1">
      <alignment horizontal="center"/>
    </xf>
    <xf numFmtId="4" fontId="133" fillId="34" borderId="93" xfId="224" applyNumberFormat="1" applyFont="1" applyFill="1" applyBorder="1" applyAlignment="1">
      <alignment horizontal="center" vertical="center"/>
    </xf>
    <xf numFmtId="4" fontId="133" fillId="34" borderId="46" xfId="224" applyNumberFormat="1" applyFont="1" applyFill="1" applyBorder="1" applyAlignment="1">
      <alignment horizontal="center" vertical="center"/>
    </xf>
    <xf numFmtId="4" fontId="42" fillId="34" borderId="3" xfId="0" applyNumberFormat="1" applyFont="1" applyFill="1" applyBorder="1" applyAlignment="1">
      <alignment horizontal="center"/>
    </xf>
    <xf numFmtId="4" fontId="135" fillId="34" borderId="58" xfId="224" applyNumberFormat="1" applyFont="1" applyFill="1" applyBorder="1" applyAlignment="1">
      <alignment horizontal="center" vertical="center" wrapText="1"/>
    </xf>
    <xf numFmtId="4" fontId="42" fillId="34" borderId="43" xfId="0" applyNumberFormat="1" applyFont="1" applyFill="1" applyBorder="1" applyAlignment="1">
      <alignment horizontal="center"/>
    </xf>
    <xf numFmtId="4" fontId="42" fillId="34" borderId="46" xfId="0" applyNumberFormat="1" applyFont="1" applyFill="1" applyBorder="1" applyAlignment="1">
      <alignment horizontal="center"/>
    </xf>
    <xf numFmtId="0" fontId="134" fillId="34" borderId="45" xfId="224" applyFont="1" applyFill="1" applyBorder="1" applyAlignment="1">
      <alignment horizontal="left" vertical="center" wrapText="1"/>
    </xf>
    <xf numFmtId="0" fontId="135" fillId="34" borderId="58" xfId="224" applyFont="1" applyFill="1" applyBorder="1" applyAlignment="1">
      <alignment horizontal="center" vertical="center"/>
    </xf>
    <xf numFmtId="4" fontId="42" fillId="34" borderId="58" xfId="0" applyNumberFormat="1" applyFont="1" applyFill="1" applyBorder="1" applyAlignment="1">
      <alignment horizontal="center"/>
    </xf>
    <xf numFmtId="4" fontId="42" fillId="34" borderId="59" xfId="0" applyNumberFormat="1" applyFont="1" applyFill="1" applyBorder="1" applyAlignment="1">
      <alignment horizontal="center"/>
    </xf>
    <xf numFmtId="180" fontId="135" fillId="34" borderId="3" xfId="224" applyNumberFormat="1" applyFont="1" applyFill="1" applyBorder="1" applyAlignment="1">
      <alignment horizontal="center" vertical="center" wrapText="1"/>
    </xf>
    <xf numFmtId="180" fontId="135" fillId="34" borderId="45" xfId="224" applyNumberFormat="1" applyFont="1" applyFill="1" applyBorder="1" applyAlignment="1">
      <alignment horizontal="center" vertical="center" wrapText="1"/>
    </xf>
    <xf numFmtId="180" fontId="135" fillId="34" borderId="4" xfId="224" applyNumberFormat="1" applyFont="1" applyFill="1" applyBorder="1" applyAlignment="1">
      <alignment horizontal="center" vertical="center" wrapText="1"/>
    </xf>
    <xf numFmtId="4" fontId="42" fillId="34" borderId="4" xfId="0" applyNumberFormat="1" applyFont="1" applyFill="1" applyBorder="1" applyAlignment="1">
      <alignment horizontal="center"/>
    </xf>
    <xf numFmtId="4" fontId="42" fillId="34" borderId="70" xfId="0" applyNumberFormat="1" applyFont="1" applyFill="1" applyBorder="1" applyAlignment="1">
      <alignment horizontal="center"/>
    </xf>
    <xf numFmtId="0" fontId="42" fillId="34" borderId="58" xfId="224" applyFont="1" applyFill="1" applyBorder="1" applyAlignment="1">
      <alignment horizontal="left" vertical="center" wrapText="1"/>
    </xf>
    <xf numFmtId="0" fontId="135" fillId="34" borderId="65" xfId="224" applyFont="1" applyFill="1" applyBorder="1" applyAlignment="1">
      <alignment horizontal="center" vertical="center"/>
    </xf>
    <xf numFmtId="4" fontId="135" fillId="34" borderId="59" xfId="224" applyNumberFormat="1" applyFont="1" applyFill="1" applyBorder="1" applyAlignment="1">
      <alignment horizontal="center" vertical="center" wrapText="1"/>
    </xf>
    <xf numFmtId="0" fontId="42" fillId="34" borderId="1" xfId="224" applyFont="1" applyFill="1" applyBorder="1" applyAlignment="1">
      <alignment vertical="center" wrapText="1"/>
    </xf>
    <xf numFmtId="4" fontId="133" fillId="34" borderId="1" xfId="224" applyNumberFormat="1" applyFont="1" applyFill="1" applyBorder="1" applyAlignment="1">
      <alignment horizontal="center" vertical="center"/>
    </xf>
    <xf numFmtId="4" fontId="133" fillId="34" borderId="40" xfId="224" applyNumberFormat="1" applyFont="1" applyFill="1" applyBorder="1" applyAlignment="1">
      <alignment horizontal="center" vertical="center"/>
    </xf>
    <xf numFmtId="49" fontId="137" fillId="34" borderId="51" xfId="224" applyNumberFormat="1" applyFont="1" applyFill="1" applyBorder="1" applyAlignment="1">
      <alignment horizontal="center" vertical="center" wrapText="1"/>
    </xf>
    <xf numFmtId="0" fontId="42" fillId="34" borderId="86" xfId="224" applyFont="1" applyFill="1" applyBorder="1" applyAlignment="1">
      <alignment horizontal="left" vertical="center" wrapText="1"/>
    </xf>
    <xf numFmtId="4" fontId="133" fillId="34" borderId="45" xfId="224" applyNumberFormat="1" applyFont="1" applyFill="1" applyBorder="1" applyAlignment="1">
      <alignment horizontal="center" vertical="center"/>
    </xf>
    <xf numFmtId="4" fontId="133" fillId="34" borderId="4" xfId="224" applyNumberFormat="1" applyFont="1" applyFill="1" applyBorder="1" applyAlignment="1">
      <alignment horizontal="center" vertical="center"/>
    </xf>
    <xf numFmtId="4" fontId="133" fillId="34" borderId="70" xfId="224" applyNumberFormat="1" applyFont="1" applyFill="1" applyBorder="1" applyAlignment="1">
      <alignment horizontal="center" vertical="center"/>
    </xf>
    <xf numFmtId="49" fontId="137" fillId="34" borderId="48" xfId="224" applyNumberFormat="1" applyFont="1" applyFill="1" applyBorder="1" applyAlignment="1">
      <alignment horizontal="center" vertical="center" wrapText="1"/>
    </xf>
    <xf numFmtId="0" fontId="221" fillId="34" borderId="49" xfId="224" applyFont="1" applyFill="1" applyBorder="1" applyAlignment="1">
      <alignment vertical="center" wrapText="1"/>
    </xf>
    <xf numFmtId="0" fontId="135" fillId="34" borderId="87" xfId="224" applyFont="1" applyFill="1" applyBorder="1" applyAlignment="1">
      <alignment horizontal="center" vertical="center"/>
    </xf>
    <xf numFmtId="2" fontId="221" fillId="34" borderId="4" xfId="224" applyNumberFormat="1" applyFont="1" applyFill="1" applyBorder="1" applyAlignment="1">
      <alignment horizontal="center" vertical="center"/>
    </xf>
    <xf numFmtId="4" fontId="123" fillId="34" borderId="49" xfId="224" applyNumberFormat="1" applyFont="1" applyFill="1" applyBorder="1" applyAlignment="1">
      <alignment horizontal="center" vertical="center"/>
    </xf>
    <xf numFmtId="170" fontId="123" fillId="34" borderId="49" xfId="224" applyNumberFormat="1" applyFont="1" applyFill="1" applyBorder="1" applyAlignment="1">
      <alignment horizontal="center" vertical="center"/>
    </xf>
    <xf numFmtId="4" fontId="133" fillId="34" borderId="49" xfId="224" applyNumberFormat="1" applyFont="1" applyFill="1" applyBorder="1" applyAlignment="1">
      <alignment horizontal="center" vertical="center"/>
    </xf>
    <xf numFmtId="4" fontId="221" fillId="34" borderId="49" xfId="224" applyNumberFormat="1" applyFont="1" applyFill="1" applyBorder="1" applyAlignment="1">
      <alignment horizontal="center" vertical="center"/>
    </xf>
    <xf numFmtId="4" fontId="221" fillId="34" borderId="107" xfId="224" applyNumberFormat="1" applyFont="1" applyFill="1" applyBorder="1" applyAlignment="1">
      <alignment horizontal="center" vertical="center"/>
    </xf>
    <xf numFmtId="0" fontId="39" fillId="34" borderId="58" xfId="0" applyFont="1" applyFill="1" applyBorder="1"/>
    <xf numFmtId="2" fontId="134" fillId="34" borderId="58" xfId="224" applyNumberFormat="1" applyFont="1" applyFill="1" applyBorder="1" applyAlignment="1">
      <alignment horizontal="center" vertical="center"/>
    </xf>
    <xf numFmtId="170" fontId="39" fillId="34" borderId="58" xfId="224" applyNumberFormat="1" applyFont="1" applyFill="1" applyBorder="1" applyAlignment="1">
      <alignment horizontal="center" vertical="center"/>
    </xf>
    <xf numFmtId="170" fontId="123" fillId="34" borderId="58" xfId="224" applyNumberFormat="1" applyFont="1" applyFill="1" applyBorder="1" applyAlignment="1">
      <alignment horizontal="center" vertical="center"/>
    </xf>
    <xf numFmtId="170" fontId="123" fillId="34" borderId="59" xfId="224" applyNumberFormat="1" applyFont="1" applyFill="1" applyBorder="1" applyAlignment="1">
      <alignment horizontal="center" vertical="center"/>
    </xf>
    <xf numFmtId="49" fontId="137" fillId="34" borderId="3" xfId="224" applyNumberFormat="1" applyFont="1" applyFill="1" applyBorder="1" applyAlignment="1">
      <alignment horizontal="center" vertical="center" wrapText="1"/>
    </xf>
    <xf numFmtId="0" fontId="39" fillId="34" borderId="3" xfId="0" applyFont="1" applyFill="1" applyBorder="1" applyAlignment="1">
      <alignment horizontal="left"/>
    </xf>
    <xf numFmtId="0" fontId="135" fillId="34" borderId="3" xfId="224" applyFont="1" applyFill="1" applyBorder="1" applyAlignment="1">
      <alignment horizontal="center" vertical="center"/>
    </xf>
    <xf numFmtId="2" fontId="134" fillId="34" borderId="3" xfId="224" applyNumberFormat="1" applyFont="1" applyFill="1" applyBorder="1" applyAlignment="1">
      <alignment horizontal="center" vertical="center"/>
    </xf>
    <xf numFmtId="170" fontId="39" fillId="34" borderId="3" xfId="224" applyNumberFormat="1" applyFont="1" applyFill="1" applyBorder="1" applyAlignment="1">
      <alignment horizontal="center" vertical="center"/>
    </xf>
    <xf numFmtId="170" fontId="123" fillId="34" borderId="3" xfId="224" applyNumberFormat="1" applyFont="1" applyFill="1" applyBorder="1" applyAlignment="1">
      <alignment horizontal="center" vertical="center"/>
    </xf>
    <xf numFmtId="170" fontId="123" fillId="34" borderId="43" xfId="224" applyNumberFormat="1" applyFont="1" applyFill="1" applyBorder="1" applyAlignment="1">
      <alignment horizontal="center" vertical="center"/>
    </xf>
    <xf numFmtId="49" fontId="137" fillId="34" borderId="42" xfId="224" applyNumberFormat="1" applyFont="1" applyFill="1" applyBorder="1" applyAlignment="1">
      <alignment horizontal="center" vertical="center" wrapText="1"/>
    </xf>
    <xf numFmtId="2" fontId="221" fillId="34" borderId="3" xfId="224" applyNumberFormat="1" applyFont="1" applyFill="1" applyBorder="1" applyAlignment="1">
      <alignment horizontal="center" vertical="center"/>
    </xf>
    <xf numFmtId="177" fontId="221" fillId="34" borderId="10" xfId="224" applyNumberFormat="1" applyFont="1" applyFill="1" applyBorder="1" applyAlignment="1">
      <alignment horizontal="center" vertical="center"/>
    </xf>
    <xf numFmtId="170" fontId="132" fillId="34" borderId="3" xfId="224" applyNumberFormat="1" applyFont="1" applyFill="1" applyBorder="1" applyAlignment="1">
      <alignment horizontal="center" vertical="center"/>
    </xf>
    <xf numFmtId="2" fontId="133" fillId="34" borderId="3" xfId="224" applyNumberFormat="1" applyFont="1" applyFill="1" applyBorder="1" applyAlignment="1">
      <alignment horizontal="center" vertical="center"/>
    </xf>
    <xf numFmtId="2" fontId="133" fillId="34" borderId="43" xfId="224" applyNumberFormat="1" applyFont="1" applyFill="1" applyBorder="1" applyAlignment="1">
      <alignment horizontal="center" vertical="center"/>
    </xf>
    <xf numFmtId="49" fontId="137" fillId="34" borderId="39" xfId="224" applyNumberFormat="1" applyFont="1" applyFill="1" applyBorder="1" applyAlignment="1">
      <alignment horizontal="center" vertical="center" wrapText="1"/>
    </xf>
    <xf numFmtId="170" fontId="221" fillId="34" borderId="1" xfId="224" applyNumberFormat="1" applyFont="1" applyFill="1" applyBorder="1" applyAlignment="1">
      <alignment horizontal="center" vertical="center"/>
    </xf>
    <xf numFmtId="2" fontId="221" fillId="34" borderId="1" xfId="224" applyNumberFormat="1" applyFont="1" applyFill="1" applyBorder="1" applyAlignment="1">
      <alignment horizontal="center" vertical="center"/>
    </xf>
    <xf numFmtId="2" fontId="133" fillId="34" borderId="1" xfId="224" applyNumberFormat="1" applyFont="1" applyFill="1" applyBorder="1" applyAlignment="1">
      <alignment horizontal="center" vertical="center"/>
    </xf>
    <xf numFmtId="2" fontId="133" fillId="34" borderId="40" xfId="224" applyNumberFormat="1" applyFont="1" applyFill="1" applyBorder="1" applyAlignment="1">
      <alignment horizontal="center" vertical="center"/>
    </xf>
    <xf numFmtId="0" fontId="134" fillId="34" borderId="7" xfId="224" applyFont="1" applyFill="1" applyBorder="1" applyAlignment="1">
      <alignment horizontal="left" vertical="center" wrapText="1"/>
    </xf>
    <xf numFmtId="2" fontId="221" fillId="34" borderId="8" xfId="224" applyNumberFormat="1" applyFont="1" applyFill="1" applyBorder="1" applyAlignment="1">
      <alignment horizontal="center" vertical="center"/>
    </xf>
    <xf numFmtId="170" fontId="132" fillId="34" borderId="1" xfId="224" applyNumberFormat="1" applyFont="1" applyFill="1" applyBorder="1" applyAlignment="1">
      <alignment horizontal="center" vertical="center"/>
    </xf>
    <xf numFmtId="0" fontId="221" fillId="34" borderId="69" xfId="224" applyFont="1" applyFill="1" applyBorder="1" applyAlignment="1">
      <alignment horizontal="left" vertical="center" wrapText="1"/>
    </xf>
    <xf numFmtId="0" fontId="42" fillId="34" borderId="87" xfId="224" applyFont="1" applyFill="1" applyBorder="1" applyAlignment="1">
      <alignment horizontal="center" vertical="center"/>
    </xf>
    <xf numFmtId="2" fontId="39" fillId="34" borderId="1" xfId="224" applyNumberFormat="1" applyFont="1" applyFill="1" applyBorder="1" applyAlignment="1">
      <alignment horizontal="center" vertical="center"/>
    </xf>
    <xf numFmtId="2" fontId="39" fillId="34" borderId="8" xfId="224" applyNumberFormat="1" applyFont="1" applyFill="1" applyBorder="1" applyAlignment="1">
      <alignment horizontal="center" vertical="center"/>
    </xf>
    <xf numFmtId="170" fontId="118" fillId="34" borderId="1" xfId="224" applyNumberFormat="1" applyFont="1" applyFill="1" applyBorder="1" applyAlignment="1">
      <alignment horizontal="center" vertical="center"/>
    </xf>
    <xf numFmtId="2" fontId="133" fillId="34" borderId="8" xfId="224" applyNumberFormat="1" applyFont="1" applyFill="1" applyBorder="1" applyAlignment="1">
      <alignment horizontal="center" vertical="center"/>
    </xf>
    <xf numFmtId="2" fontId="30" fillId="34" borderId="1" xfId="224" applyNumberFormat="1" applyFont="1" applyFill="1" applyBorder="1" applyAlignment="1">
      <alignment horizontal="center" vertical="center"/>
    </xf>
    <xf numFmtId="2" fontId="134" fillId="34" borderId="8" xfId="224" applyNumberFormat="1" applyFont="1" applyFill="1" applyBorder="1" applyAlignment="1">
      <alignment horizontal="center" vertical="center"/>
    </xf>
    <xf numFmtId="170" fontId="139" fillId="34" borderId="1" xfId="224" applyNumberFormat="1" applyFont="1" applyFill="1" applyBorder="1" applyAlignment="1">
      <alignment horizontal="center" vertical="center"/>
    </xf>
    <xf numFmtId="2" fontId="134" fillId="34" borderId="1" xfId="224" applyNumberFormat="1" applyFont="1" applyFill="1" applyBorder="1" applyAlignment="1">
      <alignment horizontal="center" vertical="center"/>
    </xf>
    <xf numFmtId="0" fontId="221" fillId="34" borderId="1" xfId="224" applyFont="1" applyFill="1" applyBorder="1" applyAlignment="1">
      <alignment horizontal="left" vertical="center" wrapText="1"/>
    </xf>
    <xf numFmtId="2" fontId="139" fillId="34" borderId="1" xfId="224" applyNumberFormat="1" applyFont="1" applyFill="1" applyBorder="1" applyAlignment="1">
      <alignment horizontal="center" vertical="center"/>
    </xf>
    <xf numFmtId="2" fontId="135" fillId="34" borderId="1" xfId="224" applyNumberFormat="1" applyFont="1" applyFill="1" applyBorder="1" applyAlignment="1">
      <alignment horizontal="center" vertical="center"/>
    </xf>
    <xf numFmtId="2" fontId="135" fillId="34" borderId="40" xfId="224" applyNumberFormat="1" applyFont="1" applyFill="1" applyBorder="1" applyAlignment="1">
      <alignment horizontal="center" vertical="center"/>
    </xf>
    <xf numFmtId="0" fontId="134" fillId="34" borderId="69" xfId="224" applyFont="1" applyFill="1" applyBorder="1" applyAlignment="1">
      <alignment horizontal="left" vertical="center" wrapText="1"/>
    </xf>
    <xf numFmtId="170" fontId="134" fillId="34" borderId="1" xfId="224" applyNumberFormat="1" applyFont="1" applyFill="1" applyBorder="1" applyAlignment="1">
      <alignment horizontal="center" vertical="center"/>
    </xf>
    <xf numFmtId="170" fontId="134" fillId="34" borderId="40" xfId="224" applyNumberFormat="1" applyFont="1" applyFill="1" applyBorder="1" applyAlignment="1">
      <alignment horizontal="center" vertical="center"/>
    </xf>
    <xf numFmtId="170" fontId="221" fillId="34" borderId="8" xfId="224" applyNumberFormat="1" applyFont="1" applyFill="1" applyBorder="1" applyAlignment="1">
      <alignment horizontal="center" vertical="center"/>
    </xf>
    <xf numFmtId="2" fontId="221" fillId="34" borderId="40" xfId="224" applyNumberFormat="1" applyFont="1" applyFill="1" applyBorder="1" applyAlignment="1">
      <alignment horizontal="center" vertical="center"/>
    </xf>
    <xf numFmtId="0" fontId="221" fillId="34" borderId="78" xfId="224" applyFont="1" applyFill="1" applyBorder="1" applyAlignment="1">
      <alignment horizontal="left" vertical="center" wrapText="1"/>
    </xf>
    <xf numFmtId="49" fontId="137" fillId="34" borderId="41" xfId="224" applyNumberFormat="1" applyFont="1" applyFill="1" applyBorder="1" applyAlignment="1">
      <alignment horizontal="center" vertical="center" wrapText="1"/>
    </xf>
    <xf numFmtId="49" fontId="137" fillId="34" borderId="1" xfId="224" applyNumberFormat="1" applyFont="1" applyFill="1" applyBorder="1" applyAlignment="1">
      <alignment horizontal="center" vertical="center" wrapText="1"/>
    </xf>
    <xf numFmtId="0" fontId="134" fillId="34" borderId="1" xfId="224" applyFont="1" applyFill="1" applyBorder="1" applyAlignment="1">
      <alignment horizontal="center" vertical="center" wrapText="1"/>
    </xf>
    <xf numFmtId="170" fontId="221" fillId="34" borderId="3" xfId="224" applyNumberFormat="1" applyFont="1" applyFill="1" applyBorder="1" applyAlignment="1">
      <alignment horizontal="center" vertical="center"/>
    </xf>
    <xf numFmtId="49" fontId="134" fillId="34" borderId="1" xfId="224" applyNumberFormat="1" applyFont="1" applyFill="1" applyBorder="1" applyAlignment="1">
      <alignment horizontal="center" vertical="center" wrapText="1"/>
    </xf>
    <xf numFmtId="0" fontId="221" fillId="34" borderId="5" xfId="224" applyFont="1" applyFill="1" applyBorder="1" applyAlignment="1">
      <alignment vertical="center" wrapText="1"/>
    </xf>
    <xf numFmtId="170" fontId="133" fillId="34" borderId="1" xfId="224" applyNumberFormat="1" applyFont="1" applyFill="1" applyBorder="1" applyAlignment="1">
      <alignment horizontal="center" vertical="center"/>
    </xf>
    <xf numFmtId="0" fontId="221" fillId="34" borderId="5" xfId="224" applyFont="1" applyFill="1" applyBorder="1" applyAlignment="1">
      <alignment horizontal="justify" vertical="center"/>
    </xf>
    <xf numFmtId="0" fontId="134" fillId="34" borderId="3" xfId="224" applyFont="1" applyFill="1" applyBorder="1" applyAlignment="1">
      <alignment horizontal="center" vertical="center"/>
    </xf>
    <xf numFmtId="4" fontId="221" fillId="34" borderId="3" xfId="224" applyNumberFormat="1" applyFont="1" applyFill="1" applyBorder="1" applyAlignment="1">
      <alignment horizontal="center" vertical="center"/>
    </xf>
    <xf numFmtId="4" fontId="132" fillId="34" borderId="3" xfId="224" applyNumberFormat="1" applyFont="1" applyFill="1" applyBorder="1" applyAlignment="1">
      <alignment horizontal="center" vertical="center"/>
    </xf>
    <xf numFmtId="4" fontId="221" fillId="34" borderId="43" xfId="224" applyNumberFormat="1" applyFont="1" applyFill="1" applyBorder="1" applyAlignment="1">
      <alignment horizontal="center" vertical="center"/>
    </xf>
    <xf numFmtId="0" fontId="135" fillId="34" borderId="1" xfId="224" applyFont="1" applyFill="1" applyBorder="1" applyAlignment="1">
      <alignment vertical="center" wrapText="1"/>
    </xf>
    <xf numFmtId="4" fontId="135" fillId="34" borderId="3" xfId="224" applyNumberFormat="1" applyFont="1" applyFill="1" applyBorder="1" applyAlignment="1">
      <alignment horizontal="center" vertical="center"/>
    </xf>
    <xf numFmtId="170" fontId="134" fillId="34" borderId="3" xfId="224" applyNumberFormat="1" applyFont="1" applyFill="1" applyBorder="1" applyAlignment="1">
      <alignment horizontal="center" vertical="center"/>
    </xf>
    <xf numFmtId="4" fontId="134" fillId="34" borderId="3" xfId="224" applyNumberFormat="1" applyFont="1" applyFill="1" applyBorder="1" applyAlignment="1">
      <alignment horizontal="center" vertical="center"/>
    </xf>
    <xf numFmtId="4" fontId="139" fillId="34" borderId="1" xfId="224" applyNumberFormat="1" applyFont="1" applyFill="1" applyBorder="1" applyAlignment="1">
      <alignment horizontal="center" vertical="center"/>
    </xf>
    <xf numFmtId="4" fontId="135" fillId="34" borderId="1" xfId="224" applyNumberFormat="1" applyFont="1" applyFill="1" applyBorder="1" applyAlignment="1">
      <alignment horizontal="center" vertical="center"/>
    </xf>
    <xf numFmtId="4" fontId="135" fillId="34" borderId="40" xfId="224" applyNumberFormat="1" applyFont="1" applyFill="1" applyBorder="1" applyAlignment="1">
      <alignment horizontal="center" vertical="center"/>
    </xf>
    <xf numFmtId="49" fontId="134" fillId="34" borderId="45" xfId="224" applyNumberFormat="1" applyFont="1" applyFill="1" applyBorder="1" applyAlignment="1">
      <alignment horizontal="center" vertical="center" wrapText="1"/>
    </xf>
    <xf numFmtId="0" fontId="135" fillId="34" borderId="86" xfId="224" applyFont="1" applyFill="1" applyBorder="1" applyAlignment="1">
      <alignment horizontal="left" vertical="center" wrapText="1"/>
    </xf>
    <xf numFmtId="170" fontId="135" fillId="34" borderId="3" xfId="224" applyNumberFormat="1" applyFont="1" applyFill="1" applyBorder="1" applyAlignment="1">
      <alignment horizontal="center" vertical="center"/>
    </xf>
    <xf numFmtId="4" fontId="135" fillId="34" borderId="45" xfId="224" applyNumberFormat="1" applyFont="1" applyFill="1" applyBorder="1" applyAlignment="1">
      <alignment horizontal="center" vertical="center"/>
    </xf>
    <xf numFmtId="49" fontId="221" fillId="34" borderId="58" xfId="224" applyNumberFormat="1" applyFont="1" applyFill="1" applyBorder="1" applyAlignment="1">
      <alignment vertical="center" wrapText="1"/>
    </xf>
    <xf numFmtId="0" fontId="221" fillId="34" borderId="65" xfId="224" applyFont="1" applyFill="1" applyBorder="1" applyAlignment="1">
      <alignment horizontal="center" vertical="center"/>
    </xf>
    <xf numFmtId="170" fontId="221" fillId="34" borderId="58" xfId="224" applyNumberFormat="1" applyFont="1" applyFill="1" applyBorder="1" applyAlignment="1">
      <alignment horizontal="center" vertical="center"/>
    </xf>
    <xf numFmtId="4" fontId="221" fillId="34" borderId="64" xfId="224" applyNumberFormat="1" applyFont="1" applyFill="1" applyBorder="1" applyAlignment="1">
      <alignment horizontal="center" vertical="center"/>
    </xf>
    <xf numFmtId="193" fontId="123" fillId="34" borderId="3" xfId="0" applyNumberFormat="1" applyFont="1" applyFill="1" applyBorder="1" applyAlignment="1">
      <alignment horizontal="center" vertical="center"/>
    </xf>
    <xf numFmtId="193" fontId="123" fillId="34" borderId="59" xfId="0" applyNumberFormat="1" applyFont="1" applyFill="1" applyBorder="1" applyAlignment="1">
      <alignment horizontal="center" vertical="center"/>
    </xf>
    <xf numFmtId="0" fontId="123" fillId="34" borderId="7" xfId="0" applyFont="1" applyFill="1" applyBorder="1"/>
    <xf numFmtId="170" fontId="221" fillId="34" borderId="1" xfId="224" applyNumberFormat="1" applyFont="1" applyFill="1" applyBorder="1" applyAlignment="1">
      <alignment horizontal="center" vertical="center" wrapText="1"/>
    </xf>
    <xf numFmtId="4" fontId="39" fillId="34" borderId="8" xfId="0" applyNumberFormat="1" applyFont="1" applyFill="1" applyBorder="1" applyAlignment="1">
      <alignment horizontal="center"/>
    </xf>
    <xf numFmtId="193" fontId="42" fillId="34" borderId="1" xfId="0" applyNumberFormat="1" applyFont="1" applyFill="1" applyBorder="1" applyAlignment="1">
      <alignment horizontal="center"/>
    </xf>
    <xf numFmtId="4" fontId="39" fillId="34" borderId="1" xfId="0" applyNumberFormat="1" applyFont="1" applyFill="1" applyBorder="1" applyAlignment="1">
      <alignment horizontal="center"/>
    </xf>
    <xf numFmtId="193" fontId="39" fillId="34" borderId="1" xfId="0" applyNumberFormat="1" applyFont="1" applyFill="1" applyBorder="1" applyAlignment="1">
      <alignment horizontal="center"/>
    </xf>
    <xf numFmtId="4" fontId="147" fillId="34" borderId="40" xfId="0" applyNumberFormat="1" applyFont="1" applyFill="1" applyBorder="1" applyAlignment="1">
      <alignment horizontal="center"/>
    </xf>
    <xf numFmtId="0" fontId="0" fillId="34" borderId="0" xfId="0" applyFill="1"/>
    <xf numFmtId="176" fontId="135" fillId="34" borderId="1" xfId="192" applyNumberFormat="1" applyFont="1" applyFill="1" applyBorder="1" applyAlignment="1">
      <alignment horizontal="center" vertical="center" wrapText="1"/>
    </xf>
    <xf numFmtId="4" fontId="120" fillId="34" borderId="40" xfId="0" applyNumberFormat="1" applyFont="1" applyFill="1" applyBorder="1" applyAlignment="1">
      <alignment horizontal="center" vertical="center"/>
    </xf>
    <xf numFmtId="170" fontId="134" fillId="34" borderId="1" xfId="224" applyNumberFormat="1" applyFont="1" applyFill="1" applyBorder="1" applyAlignment="1">
      <alignment horizontal="center" vertical="center" wrapText="1"/>
    </xf>
    <xf numFmtId="4" fontId="134" fillId="34" borderId="3" xfId="224" applyNumberFormat="1" applyFont="1" applyFill="1" applyBorder="1" applyAlignment="1">
      <alignment horizontal="center" vertical="center" wrapText="1"/>
    </xf>
    <xf numFmtId="4" fontId="137" fillId="34" borderId="3" xfId="224" applyNumberFormat="1" applyFont="1" applyFill="1" applyBorder="1" applyAlignment="1">
      <alignment horizontal="center" vertical="center" wrapText="1"/>
    </xf>
    <xf numFmtId="4" fontId="143" fillId="34" borderId="3" xfId="224" applyNumberFormat="1" applyFont="1" applyFill="1" applyBorder="1" applyAlignment="1">
      <alignment horizontal="center" vertical="center" wrapText="1"/>
    </xf>
    <xf numFmtId="4" fontId="143" fillId="34" borderId="43" xfId="224" applyNumberFormat="1" applyFont="1" applyFill="1" applyBorder="1" applyAlignment="1">
      <alignment horizontal="center" vertical="center" wrapText="1"/>
    </xf>
    <xf numFmtId="0" fontId="123" fillId="34" borderId="7" xfId="0" applyFont="1" applyFill="1" applyBorder="1" applyAlignment="1">
      <alignment horizontal="left"/>
    </xf>
    <xf numFmtId="0" fontId="133" fillId="34" borderId="7" xfId="224" applyFont="1" applyFill="1" applyBorder="1" applyAlignment="1">
      <alignment horizontal="center" vertical="center"/>
    </xf>
    <xf numFmtId="4" fontId="221" fillId="34" borderId="1" xfId="224" applyNumberFormat="1" applyFont="1" applyFill="1" applyBorder="1" applyAlignment="1">
      <alignment horizontal="center" vertical="center" wrapText="1"/>
    </xf>
    <xf numFmtId="4" fontId="133" fillId="34" borderId="1" xfId="224" applyNumberFormat="1" applyFont="1" applyFill="1" applyBorder="1" applyAlignment="1">
      <alignment horizontal="center" vertical="center" wrapText="1"/>
    </xf>
    <xf numFmtId="4" fontId="120" fillId="34" borderId="1" xfId="0" applyNumberFormat="1" applyFont="1" applyFill="1" applyBorder="1" applyAlignment="1">
      <alignment horizontal="center"/>
    </xf>
    <xf numFmtId="0" fontId="39" fillId="34" borderId="7" xfId="0" applyFont="1" applyFill="1" applyBorder="1" applyAlignment="1">
      <alignment horizontal="left"/>
    </xf>
    <xf numFmtId="170" fontId="135" fillId="34" borderId="1" xfId="192" applyNumberFormat="1" applyFont="1" applyFill="1" applyBorder="1" applyAlignment="1">
      <alignment horizontal="center" vertical="center" wrapText="1"/>
    </xf>
    <xf numFmtId="180" fontId="135" fillId="34" borderId="40" xfId="224" applyNumberFormat="1" applyFont="1" applyFill="1" applyBorder="1" applyAlignment="1">
      <alignment horizontal="center" vertical="center" wrapText="1"/>
    </xf>
    <xf numFmtId="170" fontId="134" fillId="34" borderId="3" xfId="224" applyNumberFormat="1" applyFont="1" applyFill="1" applyBorder="1" applyAlignment="1">
      <alignment horizontal="center" vertical="center" wrapText="1"/>
    </xf>
    <xf numFmtId="0" fontId="39" fillId="34" borderId="69" xfId="0" applyFont="1" applyFill="1" applyBorder="1" applyAlignment="1">
      <alignment horizontal="left"/>
    </xf>
    <xf numFmtId="4" fontId="134" fillId="34" borderId="1" xfId="224" applyNumberFormat="1" applyFont="1" applyFill="1" applyBorder="1" applyAlignment="1">
      <alignment horizontal="center" vertical="center" wrapText="1"/>
    </xf>
    <xf numFmtId="180" fontId="134" fillId="34" borderId="3" xfId="224" applyNumberFormat="1" applyFont="1" applyFill="1" applyBorder="1" applyAlignment="1">
      <alignment horizontal="center" vertical="center" wrapText="1"/>
    </xf>
    <xf numFmtId="180" fontId="135" fillId="34" borderId="43" xfId="224" applyNumberFormat="1" applyFont="1" applyFill="1" applyBorder="1" applyAlignment="1">
      <alignment horizontal="center" vertical="center" wrapText="1"/>
    </xf>
    <xf numFmtId="0" fontId="123" fillId="34" borderId="78" xfId="0" applyFont="1" applyFill="1" applyBorder="1" applyAlignment="1">
      <alignment horizontal="left"/>
    </xf>
    <xf numFmtId="180" fontId="221" fillId="34" borderId="3" xfId="224" applyNumberFormat="1" applyFont="1" applyFill="1" applyBorder="1" applyAlignment="1">
      <alignment horizontal="center" vertical="center" wrapText="1"/>
    </xf>
    <xf numFmtId="180" fontId="133" fillId="34" borderId="3" xfId="224" applyNumberFormat="1" applyFont="1" applyFill="1" applyBorder="1" applyAlignment="1">
      <alignment horizontal="center" vertical="center" wrapText="1"/>
    </xf>
    <xf numFmtId="180" fontId="133" fillId="34" borderId="40" xfId="224" applyNumberFormat="1" applyFont="1" applyFill="1" applyBorder="1" applyAlignment="1">
      <alignment horizontal="center" vertical="center" wrapText="1"/>
    </xf>
    <xf numFmtId="49" fontId="134" fillId="34" borderId="79" xfId="224" applyNumberFormat="1" applyFont="1" applyFill="1" applyBorder="1" applyAlignment="1">
      <alignment horizontal="center" vertical="center" wrapText="1"/>
    </xf>
    <xf numFmtId="49" fontId="221" fillId="34" borderId="79" xfId="224" applyNumberFormat="1" applyFont="1" applyFill="1" applyBorder="1" applyAlignment="1">
      <alignment vertical="center" wrapText="1"/>
    </xf>
    <xf numFmtId="4" fontId="39" fillId="34" borderId="40" xfId="0" applyNumberFormat="1" applyFont="1" applyFill="1" applyBorder="1" applyAlignment="1">
      <alignment horizontal="center"/>
    </xf>
    <xf numFmtId="0" fontId="30" fillId="34" borderId="4" xfId="0" applyFont="1" applyFill="1" applyBorder="1" applyAlignment="1">
      <alignment vertical="top" wrapText="1"/>
    </xf>
    <xf numFmtId="10" fontId="134" fillId="34" borderId="1" xfId="192" applyNumberFormat="1" applyFont="1" applyFill="1" applyBorder="1" applyAlignment="1">
      <alignment horizontal="center" vertical="center" wrapText="1"/>
    </xf>
    <xf numFmtId="170" fontId="135" fillId="34" borderId="1" xfId="224" applyNumberFormat="1" applyFont="1" applyFill="1" applyBorder="1" applyAlignment="1">
      <alignment horizontal="center" vertical="center" wrapText="1"/>
    </xf>
    <xf numFmtId="3" fontId="135" fillId="34" borderId="1" xfId="224" applyNumberFormat="1" applyFont="1" applyFill="1" applyBorder="1" applyAlignment="1">
      <alignment horizontal="center" vertical="center" wrapText="1"/>
    </xf>
    <xf numFmtId="3" fontId="135" fillId="34" borderId="40" xfId="224" applyNumberFormat="1" applyFont="1" applyFill="1" applyBorder="1" applyAlignment="1">
      <alignment horizontal="center" vertical="center" wrapText="1"/>
    </xf>
    <xf numFmtId="2" fontId="135" fillId="34" borderId="1" xfId="224" applyNumberFormat="1" applyFont="1" applyFill="1" applyBorder="1" applyAlignment="1">
      <alignment horizontal="center" vertical="center" wrapText="1"/>
    </xf>
    <xf numFmtId="49" fontId="221" fillId="34" borderId="4" xfId="224" applyNumberFormat="1" applyFont="1" applyFill="1" applyBorder="1" applyAlignment="1">
      <alignment vertical="center" wrapText="1"/>
    </xf>
    <xf numFmtId="49" fontId="134" fillId="34" borderId="3" xfId="224" applyNumberFormat="1" applyFont="1" applyFill="1" applyBorder="1" applyAlignment="1">
      <alignment horizontal="center" vertical="center" wrapText="1"/>
    </xf>
    <xf numFmtId="0" fontId="30" fillId="34" borderId="3" xfId="0" applyFont="1" applyFill="1" applyBorder="1" applyAlignment="1">
      <alignment vertical="top" wrapText="1"/>
    </xf>
    <xf numFmtId="49" fontId="221" fillId="34" borderId="1" xfId="224" applyNumberFormat="1" applyFont="1" applyFill="1" applyBorder="1" applyAlignment="1">
      <alignment vertical="center" wrapText="1"/>
    </xf>
    <xf numFmtId="176" fontId="135" fillId="34" borderId="79" xfId="192" applyNumberFormat="1" applyFont="1" applyFill="1" applyBorder="1" applyAlignment="1">
      <alignment horizontal="center" vertical="center" wrapText="1"/>
    </xf>
    <xf numFmtId="180" fontId="221" fillId="34" borderId="1" xfId="224" applyNumberFormat="1" applyFont="1" applyFill="1" applyBorder="1" applyAlignment="1">
      <alignment horizontal="center" vertical="center" wrapText="1"/>
    </xf>
    <xf numFmtId="0" fontId="135" fillId="34" borderId="54" xfId="224" applyFont="1" applyFill="1" applyBorder="1" applyAlignment="1">
      <alignment horizontal="center" vertical="center"/>
    </xf>
    <xf numFmtId="170" fontId="221" fillId="34" borderId="45" xfId="224" applyNumberFormat="1" applyFont="1" applyFill="1" applyBorder="1" applyAlignment="1">
      <alignment horizontal="center" vertical="center" wrapText="1"/>
    </xf>
    <xf numFmtId="170" fontId="221" fillId="34" borderId="93" xfId="224" applyNumberFormat="1" applyFont="1" applyFill="1" applyBorder="1" applyAlignment="1">
      <alignment horizontal="center" vertical="center" wrapText="1"/>
    </xf>
    <xf numFmtId="180" fontId="221" fillId="34" borderId="45" xfId="224" applyNumberFormat="1" applyFont="1" applyFill="1" applyBorder="1" applyAlignment="1">
      <alignment horizontal="center" vertical="center" wrapText="1"/>
    </xf>
    <xf numFmtId="4" fontId="133" fillId="34" borderId="45" xfId="224" applyNumberFormat="1" applyFont="1" applyFill="1" applyBorder="1" applyAlignment="1">
      <alignment horizontal="center" vertical="center" wrapText="1"/>
    </xf>
    <xf numFmtId="0" fontId="134" fillId="34" borderId="3" xfId="224" applyFont="1" applyFill="1" applyBorder="1" applyAlignment="1">
      <alignment horizontal="center" vertical="center" wrapText="1"/>
    </xf>
    <xf numFmtId="0" fontId="221" fillId="34" borderId="69" xfId="224" applyFont="1" applyFill="1" applyBorder="1" applyAlignment="1">
      <alignment vertical="center" wrapText="1"/>
    </xf>
    <xf numFmtId="0" fontId="133" fillId="34" borderId="3" xfId="224" applyFont="1" applyFill="1" applyBorder="1" applyAlignment="1">
      <alignment horizontal="center" vertical="center"/>
    </xf>
    <xf numFmtId="193" fontId="221" fillId="34" borderId="3" xfId="224" applyNumberFormat="1" applyFont="1" applyFill="1" applyBorder="1" applyAlignment="1">
      <alignment horizontal="center" vertical="center" wrapText="1"/>
    </xf>
    <xf numFmtId="182" fontId="221" fillId="34" borderId="3" xfId="224" applyNumberFormat="1" applyFont="1" applyFill="1" applyBorder="1" applyAlignment="1">
      <alignment horizontal="center" vertical="center" wrapText="1"/>
    </xf>
    <xf numFmtId="182" fontId="221" fillId="34" borderId="59" xfId="224" applyNumberFormat="1" applyFont="1" applyFill="1" applyBorder="1" applyAlignment="1">
      <alignment horizontal="center" vertical="center" wrapText="1"/>
    </xf>
    <xf numFmtId="49" fontId="39" fillId="34" borderId="1" xfId="0" applyNumberFormat="1" applyFont="1" applyFill="1" applyBorder="1" applyAlignment="1">
      <alignment horizontal="center"/>
    </xf>
    <xf numFmtId="180" fontId="134" fillId="34" borderId="1" xfId="224" applyNumberFormat="1" applyFont="1" applyFill="1" applyBorder="1" applyAlignment="1">
      <alignment horizontal="center" vertical="center" wrapText="1"/>
    </xf>
    <xf numFmtId="194" fontId="134" fillId="34" borderId="1" xfId="224" applyNumberFormat="1" applyFont="1" applyFill="1" applyBorder="1" applyAlignment="1">
      <alignment horizontal="center" vertical="center" wrapText="1"/>
    </xf>
    <xf numFmtId="194" fontId="135" fillId="34" borderId="1" xfId="224" applyNumberFormat="1" applyFont="1" applyFill="1" applyBorder="1" applyAlignment="1">
      <alignment horizontal="center" vertical="center" wrapText="1"/>
    </xf>
    <xf numFmtId="194" fontId="135" fillId="34" borderId="40" xfId="224" applyNumberFormat="1" applyFont="1" applyFill="1" applyBorder="1" applyAlignment="1">
      <alignment horizontal="center" vertical="center"/>
    </xf>
    <xf numFmtId="2" fontId="39" fillId="34" borderId="1" xfId="0" applyNumberFormat="1" applyFont="1" applyFill="1" applyBorder="1" applyAlignment="1">
      <alignment horizontal="center"/>
    </xf>
    <xf numFmtId="194" fontId="133" fillId="34" borderId="40" xfId="224" applyNumberFormat="1" applyFont="1" applyFill="1" applyBorder="1" applyAlignment="1">
      <alignment horizontal="center" vertical="center"/>
    </xf>
    <xf numFmtId="180" fontId="42" fillId="34" borderId="1" xfId="224" applyNumberFormat="1" applyFont="1" applyFill="1" applyBorder="1" applyAlignment="1">
      <alignment horizontal="center" vertical="center" wrapText="1"/>
    </xf>
    <xf numFmtId="194" fontId="135" fillId="34" borderId="40" xfId="224" applyNumberFormat="1" applyFont="1" applyFill="1" applyBorder="1" applyAlignment="1">
      <alignment horizontal="center" vertical="center" wrapText="1"/>
    </xf>
    <xf numFmtId="182" fontId="135" fillId="34" borderId="1" xfId="224" applyNumberFormat="1" applyFont="1" applyFill="1" applyBorder="1" applyAlignment="1">
      <alignment horizontal="center" vertical="center" wrapText="1"/>
    </xf>
    <xf numFmtId="191" fontId="135" fillId="34" borderId="1" xfId="224" applyNumberFormat="1" applyFont="1" applyFill="1" applyBorder="1" applyAlignment="1">
      <alignment horizontal="center" vertical="center" wrapText="1"/>
    </xf>
    <xf numFmtId="191" fontId="135" fillId="34" borderId="40" xfId="224" applyNumberFormat="1" applyFont="1" applyFill="1" applyBorder="1" applyAlignment="1">
      <alignment horizontal="center" vertical="center" wrapText="1"/>
    </xf>
    <xf numFmtId="191" fontId="133" fillId="34" borderId="1" xfId="224" applyNumberFormat="1" applyFont="1" applyFill="1" applyBorder="1" applyAlignment="1">
      <alignment horizontal="center" vertical="center" wrapText="1"/>
    </xf>
    <xf numFmtId="191" fontId="42" fillId="34" borderId="1" xfId="224" applyNumberFormat="1" applyFont="1" applyFill="1" applyBorder="1" applyAlignment="1">
      <alignment horizontal="center" vertical="center" wrapText="1"/>
    </xf>
    <xf numFmtId="196" fontId="135" fillId="34" borderId="1" xfId="224" applyNumberFormat="1" applyFont="1" applyFill="1" applyBorder="1" applyAlignment="1">
      <alignment horizontal="center" vertical="center" wrapText="1"/>
    </xf>
    <xf numFmtId="0" fontId="221" fillId="34" borderId="7" xfId="224" applyFont="1" applyFill="1" applyBorder="1" applyAlignment="1">
      <alignment vertical="center" wrapText="1"/>
    </xf>
    <xf numFmtId="194" fontId="123" fillId="34" borderId="1" xfId="224" applyNumberFormat="1" applyFont="1" applyFill="1" applyBorder="1" applyAlignment="1">
      <alignment horizontal="center" vertical="center" wrapText="1"/>
    </xf>
    <xf numFmtId="194" fontId="221" fillId="34" borderId="1" xfId="224" applyNumberFormat="1" applyFont="1" applyFill="1" applyBorder="1" applyAlignment="1">
      <alignment horizontal="center" vertical="center" wrapText="1"/>
    </xf>
    <xf numFmtId="194" fontId="221" fillId="34" borderId="40" xfId="224" applyNumberFormat="1" applyFont="1" applyFill="1" applyBorder="1" applyAlignment="1">
      <alignment horizontal="center" vertical="center" wrapText="1"/>
    </xf>
    <xf numFmtId="3" fontId="42" fillId="34" borderId="1" xfId="224" applyNumberFormat="1" applyFont="1" applyFill="1" applyBorder="1" applyAlignment="1">
      <alignment horizontal="center" vertical="center" wrapText="1"/>
    </xf>
    <xf numFmtId="3" fontId="133" fillId="34" borderId="40" xfId="224" applyNumberFormat="1" applyFont="1" applyFill="1" applyBorder="1" applyAlignment="1">
      <alignment horizontal="center" vertical="center"/>
    </xf>
    <xf numFmtId="182" fontId="42" fillId="34" borderId="1" xfId="224" applyNumberFormat="1" applyFont="1" applyFill="1" applyBorder="1" applyAlignment="1">
      <alignment horizontal="center" vertical="center" wrapText="1"/>
    </xf>
    <xf numFmtId="180" fontId="133" fillId="34" borderId="40" xfId="224" applyNumberFormat="1" applyFont="1" applyFill="1" applyBorder="1" applyAlignment="1">
      <alignment horizontal="center" vertical="center"/>
    </xf>
    <xf numFmtId="0" fontId="135" fillId="34" borderId="79" xfId="224" applyFont="1" applyFill="1" applyBorder="1" applyAlignment="1">
      <alignment horizontal="center" vertical="center"/>
    </xf>
    <xf numFmtId="194" fontId="135" fillId="34" borderId="79" xfId="224" applyNumberFormat="1" applyFont="1" applyFill="1" applyBorder="1" applyAlignment="1">
      <alignment horizontal="center" vertical="center" wrapText="1"/>
    </xf>
    <xf numFmtId="194" fontId="42" fillId="34" borderId="79" xfId="224" applyNumberFormat="1" applyFont="1" applyFill="1" applyBorder="1" applyAlignment="1">
      <alignment horizontal="center" vertical="center" wrapText="1"/>
    </xf>
    <xf numFmtId="194" fontId="135" fillId="34" borderId="47" xfId="224" applyNumberFormat="1" applyFont="1" applyFill="1" applyBorder="1" applyAlignment="1">
      <alignment horizontal="center" vertical="center" wrapText="1"/>
    </xf>
    <xf numFmtId="0" fontId="123" fillId="34" borderId="87" xfId="0" applyFont="1" applyFill="1" applyBorder="1"/>
    <xf numFmtId="179" fontId="39" fillId="34" borderId="79" xfId="0" applyNumberFormat="1" applyFont="1" applyFill="1" applyBorder="1" applyAlignment="1">
      <alignment horizontal="center"/>
    </xf>
    <xf numFmtId="194" fontId="39" fillId="34" borderId="79" xfId="0" applyNumberFormat="1" applyFont="1" applyFill="1" applyBorder="1" applyAlignment="1">
      <alignment horizontal="center"/>
    </xf>
    <xf numFmtId="194" fontId="39" fillId="34" borderId="40" xfId="0" applyNumberFormat="1" applyFont="1" applyFill="1" applyBorder="1" applyAlignment="1">
      <alignment horizontal="center"/>
    </xf>
    <xf numFmtId="179" fontId="42" fillId="34" borderId="1" xfId="0" applyNumberFormat="1" applyFont="1" applyFill="1" applyBorder="1" applyAlignment="1">
      <alignment horizontal="center"/>
    </xf>
    <xf numFmtId="194" fontId="42" fillId="34" borderId="1" xfId="0" applyNumberFormat="1" applyFont="1" applyFill="1" applyBorder="1" applyAlignment="1">
      <alignment horizontal="center"/>
    </xf>
    <xf numFmtId="194" fontId="42" fillId="34" borderId="40" xfId="0" applyNumberFormat="1" applyFont="1" applyFill="1" applyBorder="1" applyAlignment="1">
      <alignment horizontal="center"/>
    </xf>
    <xf numFmtId="179" fontId="42" fillId="34" borderId="79" xfId="0" applyNumberFormat="1" applyFont="1" applyFill="1" applyBorder="1" applyAlignment="1">
      <alignment horizontal="center"/>
    </xf>
    <xf numFmtId="194" fontId="42" fillId="34" borderId="79" xfId="0" applyNumberFormat="1" applyFont="1" applyFill="1" applyBorder="1" applyAlignment="1">
      <alignment horizontal="center"/>
    </xf>
    <xf numFmtId="194" fontId="42" fillId="34" borderId="47" xfId="0" applyNumberFormat="1" applyFont="1" applyFill="1" applyBorder="1" applyAlignment="1">
      <alignment horizontal="center"/>
    </xf>
    <xf numFmtId="0" fontId="123" fillId="34" borderId="69" xfId="0" applyFont="1" applyFill="1" applyBorder="1" applyAlignment="1">
      <alignment horizontal="left"/>
    </xf>
    <xf numFmtId="191" fontId="39" fillId="34" borderId="1" xfId="0" applyNumberFormat="1" applyFont="1" applyFill="1" applyBorder="1" applyAlignment="1">
      <alignment horizontal="center"/>
    </xf>
    <xf numFmtId="191" fontId="39" fillId="34" borderId="40" xfId="0" applyNumberFormat="1" applyFont="1" applyFill="1" applyBorder="1" applyAlignment="1">
      <alignment horizontal="center"/>
    </xf>
    <xf numFmtId="49" fontId="134" fillId="34" borderId="4" xfId="224" applyNumberFormat="1" applyFont="1" applyFill="1" applyBorder="1" applyAlignment="1">
      <alignment horizontal="center" vertical="center" wrapText="1"/>
    </xf>
    <xf numFmtId="191" fontId="39" fillId="34" borderId="4" xfId="0" applyNumberFormat="1" applyFont="1" applyFill="1" applyBorder="1" applyAlignment="1">
      <alignment horizontal="center"/>
    </xf>
    <xf numFmtId="191" fontId="39" fillId="34" borderId="70" xfId="0" applyNumberFormat="1" applyFont="1" applyFill="1" applyBorder="1" applyAlignment="1">
      <alignment horizontal="center"/>
    </xf>
    <xf numFmtId="193" fontId="39" fillId="34" borderId="45" xfId="0" applyNumberFormat="1" applyFont="1" applyFill="1" applyBorder="1" applyAlignment="1">
      <alignment horizontal="center"/>
    </xf>
    <xf numFmtId="193" fontId="39" fillId="34" borderId="46" xfId="0" applyNumberFormat="1" applyFont="1" applyFill="1" applyBorder="1" applyAlignment="1">
      <alignment horizontal="center"/>
    </xf>
    <xf numFmtId="0" fontId="134" fillId="34" borderId="61" xfId="224" applyFont="1" applyFill="1" applyBorder="1" applyAlignment="1">
      <alignment horizontal="center" vertical="center" wrapText="1"/>
    </xf>
    <xf numFmtId="0" fontId="123" fillId="34" borderId="63" xfId="0" applyFont="1" applyFill="1" applyBorder="1" applyAlignment="1">
      <alignment horizontal="justify" vertical="center"/>
    </xf>
    <xf numFmtId="0" fontId="133" fillId="34" borderId="61" xfId="224" applyFont="1" applyFill="1" applyBorder="1" applyAlignment="1">
      <alignment horizontal="center" vertical="center"/>
    </xf>
    <xf numFmtId="2" fontId="123" fillId="34" borderId="61" xfId="0" applyNumberFormat="1" applyFont="1" applyFill="1" applyBorder="1" applyAlignment="1">
      <alignment horizontal="center" vertical="center"/>
    </xf>
    <xf numFmtId="2" fontId="123" fillId="34" borderId="62" xfId="0" applyNumberFormat="1" applyFont="1" applyFill="1" applyBorder="1" applyAlignment="1">
      <alignment horizontal="center" vertical="center"/>
    </xf>
    <xf numFmtId="49" fontId="39" fillId="34" borderId="3" xfId="0" applyNumberFormat="1" applyFont="1" applyFill="1" applyBorder="1" applyAlignment="1">
      <alignment horizontal="center"/>
    </xf>
    <xf numFmtId="193" fontId="39" fillId="34" borderId="3" xfId="0" applyNumberFormat="1" applyFont="1" applyFill="1" applyBorder="1" applyAlignment="1">
      <alignment horizontal="center"/>
    </xf>
    <xf numFmtId="4" fontId="39" fillId="34" borderId="3" xfId="0" applyNumberFormat="1" applyFont="1" applyFill="1" applyBorder="1" applyAlignment="1">
      <alignment horizontal="center"/>
    </xf>
    <xf numFmtId="4" fontId="39" fillId="34" borderId="43" xfId="0" applyNumberFormat="1" applyFont="1" applyFill="1" applyBorder="1" applyAlignment="1">
      <alignment horizontal="center"/>
    </xf>
    <xf numFmtId="180" fontId="39" fillId="34" borderId="1" xfId="0" applyNumberFormat="1" applyFont="1" applyFill="1" applyBorder="1" applyAlignment="1">
      <alignment horizontal="center"/>
    </xf>
    <xf numFmtId="4" fontId="123" fillId="34" borderId="1" xfId="0" applyNumberFormat="1" applyFont="1" applyFill="1" applyBorder="1" applyAlignment="1">
      <alignment horizontal="center"/>
    </xf>
    <xf numFmtId="4" fontId="123" fillId="34" borderId="40" xfId="0" applyNumberFormat="1" applyFont="1" applyFill="1" applyBorder="1" applyAlignment="1">
      <alignment horizontal="center"/>
    </xf>
    <xf numFmtId="193" fontId="39" fillId="34" borderId="40" xfId="0" applyNumberFormat="1" applyFont="1" applyFill="1" applyBorder="1" applyAlignment="1">
      <alignment horizontal="center"/>
    </xf>
    <xf numFmtId="49" fontId="39" fillId="34" borderId="79" xfId="0" applyNumberFormat="1" applyFont="1" applyFill="1" applyBorder="1" applyAlignment="1">
      <alignment horizontal="center"/>
    </xf>
    <xf numFmtId="49" fontId="39" fillId="34" borderId="45" xfId="0" applyNumberFormat="1" applyFont="1" applyFill="1" applyBorder="1" applyAlignment="1">
      <alignment horizontal="center"/>
    </xf>
    <xf numFmtId="4" fontId="39" fillId="34" borderId="45" xfId="0" applyNumberFormat="1" applyFont="1" applyFill="1" applyBorder="1" applyAlignment="1">
      <alignment horizontal="center"/>
    </xf>
    <xf numFmtId="49" fontId="42" fillId="34" borderId="3" xfId="0" applyNumberFormat="1" applyFont="1" applyFill="1" applyBorder="1" applyAlignment="1">
      <alignment horizontal="center"/>
    </xf>
    <xf numFmtId="0" fontId="120" fillId="34" borderId="69" xfId="0" applyFont="1" applyFill="1" applyBorder="1" applyAlignment="1">
      <alignment horizontal="justify" vertical="center"/>
    </xf>
    <xf numFmtId="193" fontId="42" fillId="34" borderId="3" xfId="0" applyNumberFormat="1" applyFont="1" applyFill="1" applyBorder="1" applyAlignment="1">
      <alignment horizontal="center"/>
    </xf>
    <xf numFmtId="193" fontId="42" fillId="34" borderId="43" xfId="0" applyNumberFormat="1" applyFont="1" applyFill="1" applyBorder="1" applyAlignment="1">
      <alignment horizontal="center"/>
    </xf>
    <xf numFmtId="2" fontId="42" fillId="34" borderId="1" xfId="0" applyNumberFormat="1" applyFont="1" applyFill="1" applyBorder="1" applyAlignment="1">
      <alignment horizontal="center"/>
    </xf>
    <xf numFmtId="0" fontId="42" fillId="34" borderId="7" xfId="0" applyFont="1" applyFill="1" applyBorder="1"/>
    <xf numFmtId="193" fontId="42" fillId="34" borderId="40" xfId="0" applyNumberFormat="1" applyFont="1" applyFill="1" applyBorder="1" applyAlignment="1">
      <alignment horizontal="center"/>
    </xf>
    <xf numFmtId="0" fontId="135" fillId="34" borderId="1" xfId="224" applyFont="1" applyFill="1" applyBorder="1" applyAlignment="1">
      <alignment horizontal="left" vertical="center" wrapText="1"/>
    </xf>
    <xf numFmtId="0" fontId="42" fillId="34" borderId="69" xfId="0" applyFont="1" applyFill="1" applyBorder="1"/>
    <xf numFmtId="49" fontId="42" fillId="34" borderId="1" xfId="0" applyNumberFormat="1" applyFont="1" applyFill="1" applyBorder="1" applyAlignment="1">
      <alignment horizontal="center"/>
    </xf>
    <xf numFmtId="49" fontId="42" fillId="34" borderId="79" xfId="0" applyNumberFormat="1" applyFont="1" applyFill="1" applyBorder="1" applyAlignment="1">
      <alignment horizontal="center"/>
    </xf>
    <xf numFmtId="0" fontId="135" fillId="34" borderId="79" xfId="224" applyFont="1" applyFill="1" applyBorder="1" applyAlignment="1">
      <alignment vertical="center" wrapText="1"/>
    </xf>
    <xf numFmtId="49" fontId="42" fillId="34" borderId="45" xfId="0" applyNumberFormat="1" applyFont="1" applyFill="1" applyBorder="1" applyAlignment="1">
      <alignment horizontal="center"/>
    </xf>
    <xf numFmtId="193" fontId="42" fillId="34" borderId="45" xfId="0" applyNumberFormat="1" applyFont="1" applyFill="1" applyBorder="1" applyAlignment="1">
      <alignment horizontal="center"/>
    </xf>
    <xf numFmtId="193" fontId="42" fillId="34" borderId="46" xfId="0" applyNumberFormat="1" applyFont="1" applyFill="1" applyBorder="1" applyAlignment="1">
      <alignment horizontal="center"/>
    </xf>
    <xf numFmtId="0" fontId="39" fillId="34" borderId="0" xfId="0" applyFont="1" applyFill="1"/>
    <xf numFmtId="0" fontId="39" fillId="34" borderId="27" xfId="0" applyFont="1" applyFill="1" applyBorder="1"/>
    <xf numFmtId="0" fontId="123" fillId="34" borderId="34" xfId="0" applyFont="1" applyFill="1" applyBorder="1"/>
    <xf numFmtId="0" fontId="39" fillId="34" borderId="34" xfId="0" applyFont="1" applyFill="1" applyBorder="1"/>
    <xf numFmtId="0" fontId="39" fillId="34" borderId="1" xfId="0" applyFont="1" applyFill="1" applyBorder="1"/>
    <xf numFmtId="0" fontId="39" fillId="34" borderId="1" xfId="0" applyFont="1" applyFill="1" applyBorder="1" applyAlignment="1">
      <alignment horizontal="center"/>
    </xf>
    <xf numFmtId="170" fontId="39" fillId="34" borderId="1" xfId="0" applyNumberFormat="1" applyFont="1" applyFill="1" applyBorder="1" applyAlignment="1">
      <alignment horizontal="center"/>
    </xf>
    <xf numFmtId="170" fontId="39" fillId="34" borderId="40" xfId="0" applyNumberFormat="1" applyFont="1" applyFill="1" applyBorder="1" applyAlignment="1">
      <alignment horizontal="center"/>
    </xf>
    <xf numFmtId="177" fontId="39" fillId="34" borderId="1" xfId="0" applyNumberFormat="1" applyFont="1" applyFill="1" applyBorder="1" applyAlignment="1">
      <alignment horizontal="center"/>
    </xf>
    <xf numFmtId="177" fontId="39" fillId="34" borderId="40" xfId="0" applyNumberFormat="1" applyFont="1" applyFill="1" applyBorder="1" applyAlignment="1">
      <alignment horizontal="center"/>
    </xf>
    <xf numFmtId="0" fontId="39" fillId="34" borderId="45" xfId="0" applyFont="1" applyFill="1" applyBorder="1"/>
    <xf numFmtId="0" fontId="39" fillId="34" borderId="45" xfId="0" applyFont="1" applyFill="1" applyBorder="1" applyAlignment="1">
      <alignment horizontal="center"/>
    </xf>
    <xf numFmtId="170" fontId="39" fillId="34" borderId="45" xfId="0" applyNumberFormat="1" applyFont="1" applyFill="1" applyBorder="1" applyAlignment="1">
      <alignment horizontal="center"/>
    </xf>
    <xf numFmtId="170" fontId="39" fillId="34" borderId="46" xfId="0" applyNumberFormat="1" applyFont="1" applyFill="1" applyBorder="1" applyAlignment="1">
      <alignment horizontal="center"/>
    </xf>
    <xf numFmtId="0" fontId="39" fillId="34" borderId="40" xfId="0" applyFont="1" applyFill="1" applyBorder="1" applyAlignment="1">
      <alignment horizontal="center"/>
    </xf>
    <xf numFmtId="0" fontId="39" fillId="34" borderId="46" xfId="0" applyFont="1" applyFill="1" applyBorder="1" applyAlignment="1">
      <alignment horizontal="center"/>
    </xf>
    <xf numFmtId="0" fontId="0" fillId="34" borderId="45" xfId="0" applyFill="1" applyBorder="1" applyAlignment="1">
      <alignment horizontal="center"/>
    </xf>
    <xf numFmtId="180" fontId="39" fillId="34" borderId="45" xfId="0" applyNumberFormat="1" applyFont="1" applyFill="1" applyBorder="1" applyAlignment="1">
      <alignment horizontal="center"/>
    </xf>
    <xf numFmtId="0" fontId="0" fillId="34" borderId="1" xfId="0" applyFill="1" applyBorder="1" applyAlignment="1">
      <alignment horizontal="center"/>
    </xf>
    <xf numFmtId="0" fontId="0" fillId="34" borderId="40" xfId="0" applyFill="1" applyBorder="1" applyAlignment="1">
      <alignment horizontal="center"/>
    </xf>
    <xf numFmtId="177" fontId="39" fillId="34" borderId="45" xfId="0" applyNumberFormat="1" applyFont="1" applyFill="1" applyBorder="1" applyAlignment="1">
      <alignment horizontal="center"/>
    </xf>
    <xf numFmtId="177" fontId="39" fillId="34" borderId="46" xfId="0" applyNumberFormat="1" applyFont="1" applyFill="1" applyBorder="1" applyAlignment="1">
      <alignment horizontal="center"/>
    </xf>
    <xf numFmtId="0" fontId="39" fillId="0" borderId="0" xfId="0" applyFont="1"/>
    <xf numFmtId="0" fontId="83" fillId="0" borderId="5" xfId="554" applyFont="1" applyBorder="1"/>
    <xf numFmtId="0" fontId="1" fillId="0" borderId="0" xfId="554" applyFont="1"/>
    <xf numFmtId="0" fontId="1" fillId="0" borderId="0" xfId="554" applyFont="1" applyAlignment="1">
      <alignment horizontal="left"/>
    </xf>
    <xf numFmtId="0" fontId="123" fillId="0" borderId="0" xfId="0" applyFont="1"/>
    <xf numFmtId="180" fontId="0" fillId="0" borderId="0" xfId="0" applyNumberFormat="1"/>
    <xf numFmtId="0" fontId="251" fillId="0" borderId="0" xfId="0" applyFont="1"/>
    <xf numFmtId="0" fontId="106" fillId="0" borderId="0" xfId="0" applyFont="1"/>
    <xf numFmtId="178" fontId="0" fillId="0" borderId="0" xfId="0" applyNumberFormat="1"/>
    <xf numFmtId="4" fontId="123" fillId="0" borderId="0" xfId="0" applyNumberFormat="1" applyFont="1"/>
    <xf numFmtId="170" fontId="252" fillId="34" borderId="0" xfId="0" applyNumberFormat="1" applyFont="1" applyFill="1"/>
    <xf numFmtId="4" fontId="0" fillId="0" borderId="0" xfId="0" applyNumberFormat="1"/>
    <xf numFmtId="0" fontId="42" fillId="0" borderId="0" xfId="0" applyFont="1"/>
    <xf numFmtId="180" fontId="253" fillId="0" borderId="0" xfId="0" applyNumberFormat="1" applyFont="1"/>
    <xf numFmtId="0" fontId="135" fillId="62" borderId="79" xfId="224" applyFont="1" applyFill="1" applyBorder="1" applyAlignment="1">
      <alignment horizontal="center" vertical="center" wrapText="1"/>
    </xf>
    <xf numFmtId="0" fontId="135" fillId="62" borderId="45" xfId="224" applyFont="1" applyFill="1" applyBorder="1" applyAlignment="1">
      <alignment horizontal="center" vertical="center" wrapText="1"/>
    </xf>
    <xf numFmtId="0" fontId="135" fillId="62" borderId="47" xfId="224" applyFont="1" applyFill="1" applyBorder="1" applyAlignment="1">
      <alignment horizontal="center" vertical="center" wrapText="1"/>
    </xf>
    <xf numFmtId="49" fontId="137" fillId="62" borderId="57" xfId="224" applyNumberFormat="1" applyFont="1" applyFill="1" applyBorder="1" applyAlignment="1">
      <alignment horizontal="center" vertical="center" wrapText="1"/>
    </xf>
    <xf numFmtId="0" fontId="135" fillId="62" borderId="58" xfId="224" applyFont="1" applyFill="1" applyBorder="1" applyAlignment="1">
      <alignment horizontal="center" vertical="center"/>
    </xf>
    <xf numFmtId="0" fontId="135" fillId="62" borderId="69" xfId="224" applyFont="1" applyFill="1" applyBorder="1" applyAlignment="1">
      <alignment horizontal="center" vertical="center"/>
    </xf>
    <xf numFmtId="0" fontId="135" fillId="34" borderId="3" xfId="224" applyFont="1" applyFill="1" applyBorder="1" applyAlignment="1">
      <alignment horizontal="center" vertical="center" wrapText="1"/>
    </xf>
    <xf numFmtId="0" fontId="135" fillId="62" borderId="10" xfId="224" applyFont="1" applyFill="1" applyBorder="1" applyAlignment="1">
      <alignment horizontal="center" vertical="center" wrapText="1"/>
    </xf>
    <xf numFmtId="0" fontId="42" fillId="0" borderId="58" xfId="0" applyFont="1" applyBorder="1" applyAlignment="1">
      <alignment horizontal="center"/>
    </xf>
    <xf numFmtId="0" fontId="42" fillId="0" borderId="3" xfId="0" applyFont="1" applyBorder="1" applyAlignment="1">
      <alignment horizontal="center"/>
    </xf>
    <xf numFmtId="0" fontId="42" fillId="0" borderId="59" xfId="0" applyFont="1" applyBorder="1" applyAlignment="1">
      <alignment horizontal="center"/>
    </xf>
    <xf numFmtId="0" fontId="177" fillId="0" borderId="32" xfId="0" applyFont="1" applyBorder="1" applyAlignment="1">
      <alignment horizontal="center" wrapText="1"/>
    </xf>
    <xf numFmtId="0" fontId="92" fillId="0" borderId="0" xfId="240" applyFont="1" applyAlignment="1" applyProtection="1">
      <alignment horizontal="center" wrapText="1"/>
      <protection locked="0"/>
    </xf>
    <xf numFmtId="0" fontId="90" fillId="0" borderId="1" xfId="0" applyFont="1" applyBorder="1" applyAlignment="1">
      <alignment horizontal="center"/>
    </xf>
    <xf numFmtId="0" fontId="35" fillId="0" borderId="30" xfId="6" applyFont="1" applyBorder="1" applyAlignment="1">
      <alignment horizontal="center" vertical="center" wrapText="1"/>
    </xf>
    <xf numFmtId="0" fontId="35" fillId="0" borderId="36" xfId="6" applyFont="1" applyBorder="1" applyAlignment="1">
      <alignment horizontal="center" vertical="center" wrapText="1"/>
    </xf>
    <xf numFmtId="0" fontId="35" fillId="0" borderId="31" xfId="6" applyFont="1" applyBorder="1" applyAlignment="1">
      <alignment horizontal="center" vertical="center" wrapText="1"/>
    </xf>
    <xf numFmtId="0" fontId="0" fillId="0" borderId="36" xfId="0" applyBorder="1"/>
    <xf numFmtId="0" fontId="0" fillId="0" borderId="31" xfId="0" applyBorder="1"/>
    <xf numFmtId="0" fontId="35" fillId="0" borderId="29" xfId="6" applyFont="1" applyBorder="1" applyAlignment="1">
      <alignment horizontal="center" vertical="center" wrapText="1"/>
    </xf>
    <xf numFmtId="0" fontId="35" fillId="0" borderId="35" xfId="6" applyFont="1" applyBorder="1" applyAlignment="1">
      <alignment horizontal="center" vertical="center" wrapText="1"/>
    </xf>
    <xf numFmtId="0" fontId="35" fillId="0" borderId="56" xfId="6" applyFont="1" applyBorder="1" applyAlignment="1">
      <alignment horizontal="center" vertical="center" wrapText="1"/>
    </xf>
    <xf numFmtId="0" fontId="28" fillId="0" borderId="0" xfId="0" applyFont="1" applyAlignment="1">
      <alignment horizontal="left" vertical="top" wrapText="1"/>
    </xf>
    <xf numFmtId="0" fontId="40" fillId="0" borderId="0" xfId="6" applyFont="1" applyAlignment="1">
      <alignment horizontal="center"/>
    </xf>
    <xf numFmtId="0" fontId="80" fillId="0" borderId="0" xfId="0" applyFont="1" applyAlignment="1">
      <alignment horizontal="center" vertical="center" wrapText="1"/>
    </xf>
    <xf numFmtId="0" fontId="28" fillId="0" borderId="0" xfId="6" applyFont="1" applyAlignment="1">
      <alignment horizontal="right"/>
    </xf>
    <xf numFmtId="0" fontId="168" fillId="0" borderId="0" xfId="0" applyFont="1" applyAlignment="1">
      <alignment horizontal="right"/>
    </xf>
    <xf numFmtId="0" fontId="118" fillId="0" borderId="1" xfId="134" applyFont="1" applyBorder="1" applyAlignment="1">
      <alignment horizontal="center" vertical="center"/>
    </xf>
    <xf numFmtId="0" fontId="123" fillId="34" borderId="7" xfId="0" applyFont="1" applyFill="1" applyBorder="1" applyAlignment="1">
      <alignment horizontal="left" wrapText="1"/>
    </xf>
    <xf numFmtId="170" fontId="131" fillId="31" borderId="67" xfId="532" applyNumberFormat="1" applyFont="1" applyFill="1" applyBorder="1" applyAlignment="1">
      <alignment horizontal="center" vertical="center"/>
    </xf>
    <xf numFmtId="1" fontId="131" fillId="31" borderId="67" xfId="532" applyNumberFormat="1" applyFont="1" applyFill="1" applyBorder="1" applyAlignment="1">
      <alignment horizontal="center" vertical="center"/>
    </xf>
    <xf numFmtId="0" fontId="138" fillId="0" borderId="0" xfId="505" applyFont="1" applyAlignment="1">
      <alignment horizontal="center" vertical="top"/>
    </xf>
    <xf numFmtId="0" fontId="31" fillId="0" borderId="99" xfId="0" applyFont="1" applyBorder="1" applyAlignment="1">
      <alignment vertical="top" wrapText="1"/>
    </xf>
    <xf numFmtId="4" fontId="144" fillId="0" borderId="110" xfId="116" applyNumberFormat="1" applyFont="1" applyBorder="1"/>
    <xf numFmtId="0" fontId="216" fillId="0" borderId="101" xfId="116" applyFont="1" applyBorder="1" applyAlignment="1">
      <alignment horizontal="left" vertical="justify" wrapText="1" indent="1"/>
    </xf>
    <xf numFmtId="2" fontId="90" fillId="0" borderId="0" xfId="116" applyNumberFormat="1" applyFont="1"/>
    <xf numFmtId="0" fontId="144" fillId="0" borderId="26" xfId="116" applyFont="1" applyBorder="1" applyAlignment="1">
      <alignment horizontal="center" vertical="center" wrapText="1"/>
    </xf>
    <xf numFmtId="0" fontId="213" fillId="0" borderId="23" xfId="116" applyFont="1" applyBorder="1" applyAlignment="1">
      <alignment horizontal="center" vertical="center" wrapText="1"/>
    </xf>
    <xf numFmtId="0" fontId="214" fillId="0" borderId="23" xfId="116" applyFont="1" applyBorder="1" applyAlignment="1">
      <alignment horizontal="center" vertical="center" wrapText="1"/>
    </xf>
    <xf numFmtId="0" fontId="146" fillId="0" borderId="31" xfId="116" applyFont="1" applyBorder="1" applyAlignment="1">
      <alignment horizontal="center" vertical="center" wrapText="1"/>
    </xf>
    <xf numFmtId="0" fontId="122" fillId="0" borderId="29" xfId="116" applyFont="1" applyBorder="1" applyAlignment="1">
      <alignment horizontal="center" vertical="center" wrapText="1"/>
    </xf>
    <xf numFmtId="0" fontId="122" fillId="0" borderId="23" xfId="116" applyFont="1" applyBorder="1" applyAlignment="1">
      <alignment horizontal="center" vertical="center" wrapText="1"/>
    </xf>
    <xf numFmtId="0" fontId="140" fillId="0" borderId="30" xfId="116" applyFont="1" applyBorder="1"/>
    <xf numFmtId="187" fontId="213" fillId="0" borderId="31" xfId="557" applyNumberFormat="1" applyFont="1" applyFill="1" applyBorder="1" applyAlignment="1">
      <alignment horizontal="center" vertical="center" wrapText="1"/>
    </xf>
    <xf numFmtId="187" fontId="214" fillId="0" borderId="6" xfId="557" applyNumberFormat="1" applyFont="1" applyFill="1" applyBorder="1" applyAlignment="1">
      <alignment horizontal="center" vertical="center" wrapText="1"/>
    </xf>
    <xf numFmtId="187" fontId="145" fillId="0" borderId="6" xfId="557" applyNumberFormat="1" applyFont="1" applyFill="1" applyBorder="1" applyAlignment="1">
      <alignment horizontal="center" vertical="center" wrapText="1"/>
    </xf>
    <xf numFmtId="187" fontId="146" fillId="0" borderId="31" xfId="557" applyNumberFormat="1" applyFont="1" applyFill="1" applyBorder="1" applyAlignment="1">
      <alignment horizontal="center" vertical="center" wrapText="1"/>
    </xf>
    <xf numFmtId="187" fontId="122" fillId="0" borderId="30" xfId="557" applyNumberFormat="1" applyFont="1" applyFill="1" applyBorder="1" applyAlignment="1">
      <alignment horizontal="center" vertical="center" wrapText="1"/>
    </xf>
    <xf numFmtId="187" fontId="122" fillId="0" borderId="6" xfId="557" applyNumberFormat="1" applyFont="1" applyFill="1" applyBorder="1" applyAlignment="1">
      <alignment horizontal="center" vertical="center" wrapText="1"/>
    </xf>
    <xf numFmtId="182" fontId="90" fillId="0" borderId="1" xfId="557" applyNumberFormat="1" applyFont="1" applyFill="1" applyBorder="1"/>
    <xf numFmtId="182" fontId="90" fillId="0" borderId="0" xfId="557" applyNumberFormat="1" applyFont="1" applyFill="1"/>
    <xf numFmtId="0" fontId="140" fillId="0" borderId="28" xfId="116" applyFont="1" applyBorder="1"/>
    <xf numFmtId="187" fontId="213" fillId="0" borderId="24" xfId="557" applyNumberFormat="1" applyFont="1" applyFill="1" applyBorder="1" applyAlignment="1">
      <alignment horizontal="center" vertical="center" wrapText="1"/>
    </xf>
    <xf numFmtId="187" fontId="214" fillId="0" borderId="32" xfId="557" applyNumberFormat="1" applyFont="1" applyFill="1" applyBorder="1" applyAlignment="1">
      <alignment horizontal="center" vertical="center" wrapText="1"/>
    </xf>
    <xf numFmtId="187" fontId="145" fillId="0" borderId="32" xfId="557" applyNumberFormat="1" applyFont="1" applyFill="1" applyBorder="1" applyAlignment="1">
      <alignment horizontal="center" vertical="center" wrapText="1"/>
    </xf>
    <xf numFmtId="187" fontId="146" fillId="0" borderId="24" xfId="557" applyNumberFormat="1" applyFont="1" applyFill="1" applyBorder="1" applyAlignment="1">
      <alignment horizontal="center" vertical="center" wrapText="1"/>
    </xf>
    <xf numFmtId="187" fontId="122" fillId="0" borderId="28" xfId="557" applyNumberFormat="1" applyFont="1" applyFill="1" applyBorder="1" applyAlignment="1">
      <alignment horizontal="center" vertical="center" wrapText="1"/>
    </xf>
    <xf numFmtId="187" fontId="122" fillId="0" borderId="32" xfId="557" applyNumberFormat="1" applyFont="1" applyFill="1" applyBorder="1" applyAlignment="1">
      <alignment horizontal="center" vertical="center" wrapText="1"/>
    </xf>
    <xf numFmtId="187" fontId="146" fillId="0" borderId="6" xfId="557" applyNumberFormat="1" applyFont="1" applyFill="1" applyBorder="1" applyAlignment="1">
      <alignment horizontal="center" vertical="center" wrapText="1"/>
    </xf>
    <xf numFmtId="187" fontId="90" fillId="0" borderId="0" xfId="557" applyNumberFormat="1" applyFont="1" applyFill="1"/>
    <xf numFmtId="2" fontId="214" fillId="0" borderId="33" xfId="116" applyNumberFormat="1" applyFont="1" applyBorder="1" applyAlignment="1">
      <alignment horizontal="right" vertical="center"/>
    </xf>
    <xf numFmtId="10" fontId="30" fillId="0" borderId="1" xfId="557" applyNumberFormat="1" applyFont="1" applyFill="1" applyBorder="1"/>
    <xf numFmtId="0" fontId="32" fillId="0" borderId="1" xfId="0" applyFont="1" applyBorder="1" applyAlignment="1">
      <alignment wrapText="1"/>
    </xf>
    <xf numFmtId="9" fontId="35" fillId="0" borderId="1" xfId="0" applyNumberFormat="1" applyFont="1" applyBorder="1"/>
    <xf numFmtId="0" fontId="150" fillId="0" borderId="0" xfId="0" applyFont="1"/>
    <xf numFmtId="2" fontId="140" fillId="0" borderId="100" xfId="116" applyNumberFormat="1" applyFont="1" applyBorder="1" applyAlignment="1">
      <alignment horizontal="right"/>
    </xf>
    <xf numFmtId="2" fontId="140" fillId="0" borderId="111" xfId="116" applyNumberFormat="1" applyFont="1" applyBorder="1" applyAlignment="1">
      <alignment horizontal="right"/>
    </xf>
    <xf numFmtId="2" fontId="140" fillId="0" borderId="109" xfId="116" applyNumberFormat="1" applyFont="1" applyBorder="1" applyAlignment="1">
      <alignment horizontal="right"/>
    </xf>
    <xf numFmtId="2" fontId="140" fillId="0" borderId="102" xfId="116" applyNumberFormat="1" applyFont="1" applyBorder="1" applyAlignment="1">
      <alignment horizontal="right"/>
    </xf>
    <xf numFmtId="2" fontId="140" fillId="0" borderId="112" xfId="116" applyNumberFormat="1" applyFont="1" applyBorder="1" applyAlignment="1">
      <alignment horizontal="right"/>
    </xf>
    <xf numFmtId="0" fontId="144" fillId="0" borderId="6" xfId="116" applyFont="1" applyBorder="1" applyAlignment="1">
      <alignment horizontal="center" vertical="center" wrapText="1"/>
    </xf>
    <xf numFmtId="0" fontId="145" fillId="0" borderId="6" xfId="116" applyFont="1" applyBorder="1" applyAlignment="1">
      <alignment horizontal="center" vertical="center" wrapText="1"/>
    </xf>
    <xf numFmtId="0" fontId="146" fillId="0" borderId="6" xfId="116" applyFont="1" applyBorder="1" applyAlignment="1">
      <alignment horizontal="center" vertical="center" wrapText="1"/>
    </xf>
    <xf numFmtId="2" fontId="136" fillId="0" borderId="0" xfId="505" applyNumberFormat="1" applyFont="1" applyAlignment="1" applyProtection="1">
      <alignment horizontal="center" vertical="center" wrapText="1"/>
      <protection hidden="1"/>
    </xf>
    <xf numFmtId="0" fontId="136" fillId="0" borderId="0" xfId="505" applyFont="1" applyAlignment="1">
      <alignment horizontal="center" vertical="top"/>
    </xf>
    <xf numFmtId="176" fontId="90" fillId="0" borderId="0" xfId="116" applyNumberFormat="1" applyFont="1"/>
    <xf numFmtId="0" fontId="144" fillId="0" borderId="23" xfId="116" applyFont="1" applyBorder="1" applyAlignment="1">
      <alignment horizontal="center" vertical="center" wrapText="1"/>
    </xf>
    <xf numFmtId="187" fontId="212" fillId="0" borderId="31" xfId="116" applyNumberFormat="1" applyFont="1" applyBorder="1" applyAlignment="1">
      <alignment horizontal="center" vertical="center"/>
    </xf>
    <xf numFmtId="187" fontId="254" fillId="0" borderId="31" xfId="557" applyNumberFormat="1" applyFont="1" applyFill="1" applyBorder="1" applyAlignment="1">
      <alignment horizontal="center" vertical="center" wrapText="1"/>
    </xf>
    <xf numFmtId="187" fontId="254" fillId="0" borderId="6" xfId="557" applyNumberFormat="1" applyFont="1" applyFill="1" applyBorder="1" applyAlignment="1">
      <alignment horizontal="center" vertical="center" wrapText="1"/>
    </xf>
    <xf numFmtId="187" fontId="178" fillId="0" borderId="0" xfId="116" applyNumberFormat="1" applyFont="1" applyAlignment="1">
      <alignment horizontal="right"/>
    </xf>
    <xf numFmtId="187" fontId="212" fillId="0" borderId="0" xfId="116" applyNumberFormat="1" applyFont="1" applyAlignment="1">
      <alignment horizontal="right"/>
    </xf>
    <xf numFmtId="0" fontId="255" fillId="0" borderId="0" xfId="116" applyFont="1"/>
    <xf numFmtId="4" fontId="144" fillId="0" borderId="0" xfId="116" applyNumberFormat="1" applyFont="1" applyAlignment="1">
      <alignment horizontal="center"/>
    </xf>
    <xf numFmtId="4" fontId="144" fillId="0" borderId="0" xfId="116" applyNumberFormat="1" applyFont="1" applyAlignment="1">
      <alignment horizontal="center" vertical="center"/>
    </xf>
    <xf numFmtId="0" fontId="0" fillId="0" borderId="0" xfId="0" applyAlignment="1">
      <alignment wrapText="1"/>
    </xf>
    <xf numFmtId="187" fontId="30" fillId="0" borderId="1" xfId="557" applyNumberFormat="1" applyFont="1" applyFill="1" applyBorder="1" applyAlignment="1" applyProtection="1">
      <alignment vertical="center" wrapText="1"/>
    </xf>
    <xf numFmtId="49" fontId="35" fillId="0" borderId="1" xfId="240" applyNumberFormat="1" applyFont="1" applyBorder="1" applyAlignment="1">
      <alignment horizontal="right" vertical="center" wrapText="1"/>
    </xf>
    <xf numFmtId="4" fontId="23" fillId="0" borderId="0" xfId="240" applyNumberFormat="1" applyFont="1"/>
    <xf numFmtId="4" fontId="35" fillId="0" borderId="1" xfId="240" applyNumberFormat="1" applyFont="1" applyBorder="1" applyAlignment="1" applyProtection="1">
      <alignment horizontal="center" vertical="center" wrapText="1"/>
      <protection locked="0"/>
    </xf>
    <xf numFmtId="2" fontId="35" fillId="0" borderId="1" xfId="240" applyNumberFormat="1" applyFont="1" applyBorder="1" applyAlignment="1" applyProtection="1">
      <alignment horizontal="center" vertical="center" wrapText="1"/>
      <protection locked="0"/>
    </xf>
    <xf numFmtId="175" fontId="161" fillId="0" borderId="0" xfId="240" applyNumberFormat="1" applyFont="1"/>
    <xf numFmtId="175" fontId="102" fillId="0" borderId="0" xfId="240" applyNumberFormat="1" applyFont="1"/>
    <xf numFmtId="0" fontId="182" fillId="0" borderId="0" xfId="240" applyFont="1"/>
    <xf numFmtId="176" fontId="161" fillId="0" borderId="0" xfId="240" applyNumberFormat="1" applyFont="1"/>
    <xf numFmtId="2" fontId="35" fillId="0" borderId="1" xfId="240" applyNumberFormat="1" applyFont="1" applyBorder="1" applyAlignment="1">
      <alignment horizontal="center" vertical="center" wrapText="1"/>
    </xf>
    <xf numFmtId="0" fontId="30" fillId="0" borderId="1" xfId="240" applyFont="1" applyBorder="1" applyAlignment="1" applyProtection="1">
      <alignment horizontal="center" vertical="center" wrapText="1"/>
      <protection locked="0"/>
    </xf>
    <xf numFmtId="49" fontId="30" fillId="0" borderId="9" xfId="240" applyNumberFormat="1" applyFont="1" applyBorder="1" applyAlignment="1">
      <alignment horizontal="right" vertical="center" wrapText="1"/>
    </xf>
    <xf numFmtId="0" fontId="30" fillId="0" borderId="9" xfId="240" applyFont="1" applyBorder="1" applyAlignment="1">
      <alignment vertical="center" wrapText="1"/>
    </xf>
    <xf numFmtId="0" fontId="29" fillId="0" borderId="0" xfId="240" applyFont="1" applyAlignment="1" applyProtection="1">
      <alignment horizontal="center" vertical="center" wrapText="1"/>
      <protection locked="0"/>
    </xf>
    <xf numFmtId="0" fontId="28" fillId="0" borderId="0" xfId="240" applyFont="1" applyAlignment="1">
      <alignment vertical="center"/>
    </xf>
    <xf numFmtId="0" fontId="162" fillId="0" borderId="0" xfId="240" applyFont="1"/>
    <xf numFmtId="49" fontId="28" fillId="0" borderId="0" xfId="240" applyNumberFormat="1" applyFont="1"/>
    <xf numFmtId="0" fontId="28" fillId="0" borderId="0" xfId="240" applyFont="1" applyAlignment="1">
      <alignment horizontal="center" vertical="top" wrapText="1"/>
    </xf>
    <xf numFmtId="2" fontId="17" fillId="0" borderId="0" xfId="240" applyNumberFormat="1"/>
    <xf numFmtId="0" fontId="5" fillId="0" borderId="0" xfId="240" applyFont="1"/>
    <xf numFmtId="2" fontId="17" fillId="0" borderId="0" xfId="240" applyNumberFormat="1" applyAlignment="1">
      <alignment horizontal="center"/>
    </xf>
    <xf numFmtId="4" fontId="140" fillId="0" borderId="104" xfId="116" applyNumberFormat="1" applyFont="1" applyBorder="1" applyAlignment="1">
      <alignment horizontal="right"/>
    </xf>
    <xf numFmtId="0" fontId="84" fillId="0" borderId="0" xfId="116" applyFont="1" applyAlignment="1">
      <alignment horizontal="right"/>
    </xf>
    <xf numFmtId="0" fontId="94" fillId="0" borderId="0" xfId="116" applyFont="1" applyAlignment="1">
      <alignment horizontal="left"/>
    </xf>
    <xf numFmtId="0" fontId="84" fillId="0" borderId="0" xfId="116" applyFont="1" applyAlignment="1">
      <alignment horizontal="center"/>
    </xf>
    <xf numFmtId="0" fontId="140" fillId="0" borderId="109" xfId="116" applyFont="1" applyBorder="1" applyAlignment="1">
      <alignment horizontal="left" vertical="justify" wrapText="1" indent="1"/>
    </xf>
    <xf numFmtId="4" fontId="140" fillId="0" borderId="109" xfId="116" applyNumberFormat="1" applyFont="1" applyBorder="1" applyAlignment="1">
      <alignment horizontal="right"/>
    </xf>
    <xf numFmtId="4" fontId="140" fillId="0" borderId="126" xfId="116" applyNumberFormat="1" applyFont="1" applyBorder="1" applyAlignment="1">
      <alignment horizontal="right"/>
    </xf>
    <xf numFmtId="0" fontId="140" fillId="0" borderId="103" xfId="116" applyFont="1" applyBorder="1" applyAlignment="1">
      <alignment horizontal="left" vertical="justify" wrapText="1" indent="1"/>
    </xf>
    <xf numFmtId="2" fontId="0" fillId="0" borderId="1" xfId="0" applyNumberFormat="1" applyBorder="1"/>
    <xf numFmtId="4" fontId="0" fillId="0" borderId="1" xfId="0" applyNumberFormat="1" applyBorder="1"/>
    <xf numFmtId="0" fontId="0" fillId="0" borderId="57" xfId="0" applyBorder="1"/>
    <xf numFmtId="0" fontId="0" fillId="0" borderId="58" xfId="0" applyBorder="1"/>
    <xf numFmtId="0" fontId="0" fillId="0" borderId="39" xfId="0" applyBorder="1"/>
    <xf numFmtId="4" fontId="0" fillId="0" borderId="40" xfId="0" applyNumberFormat="1" applyBorder="1"/>
    <xf numFmtId="187" fontId="0" fillId="0" borderId="45" xfId="557" applyNumberFormat="1" applyFont="1" applyBorder="1"/>
    <xf numFmtId="187" fontId="0" fillId="0" borderId="46" xfId="557" applyNumberFormat="1" applyFont="1" applyBorder="1"/>
    <xf numFmtId="2" fontId="118" fillId="0" borderId="0" xfId="116" applyNumberFormat="1" applyFont="1" applyAlignment="1">
      <alignment horizontal="left"/>
    </xf>
    <xf numFmtId="2" fontId="118" fillId="0" borderId="0" xfId="116" applyNumberFormat="1" applyFont="1"/>
    <xf numFmtId="0" fontId="140" fillId="0" borderId="101" xfId="116" applyFont="1" applyBorder="1" applyAlignment="1">
      <alignment horizontal="left" vertical="center" wrapText="1" indent="2"/>
    </xf>
    <xf numFmtId="0" fontId="118" fillId="0" borderId="0" xfId="116" applyFont="1" applyAlignment="1">
      <alignment horizontal="right"/>
    </xf>
    <xf numFmtId="2" fontId="140" fillId="0" borderId="109" xfId="116" applyNumberFormat="1" applyFont="1" applyBorder="1"/>
    <xf numFmtId="2" fontId="177" fillId="0" borderId="0" xfId="116" applyNumberFormat="1" applyFont="1"/>
    <xf numFmtId="2" fontId="84" fillId="0" borderId="0" xfId="116" applyNumberFormat="1" applyFont="1" applyAlignment="1">
      <alignment horizontal="left"/>
    </xf>
    <xf numFmtId="2" fontId="185" fillId="0" borderId="0" xfId="116" applyNumberFormat="1" applyFont="1" applyAlignment="1">
      <alignment horizontal="left"/>
    </xf>
    <xf numFmtId="2" fontId="185" fillId="0" borderId="0" xfId="116" applyNumberFormat="1" applyFont="1"/>
    <xf numFmtId="4" fontId="177" fillId="0" borderId="0" xfId="116" applyNumberFormat="1" applyFont="1"/>
    <xf numFmtId="4" fontId="177" fillId="0" borderId="0" xfId="116" applyNumberFormat="1" applyFont="1" applyAlignment="1">
      <alignment horizontal="right"/>
    </xf>
    <xf numFmtId="0" fontId="255" fillId="0" borderId="77" xfId="116" applyFont="1" applyBorder="1"/>
    <xf numFmtId="0" fontId="255" fillId="0" borderId="78" xfId="116" applyFont="1" applyBorder="1"/>
    <xf numFmtId="187" fontId="178" fillId="0" borderId="7" xfId="557" applyNumberFormat="1" applyFont="1" applyFill="1" applyBorder="1" applyAlignment="1">
      <alignment horizontal="center" vertical="center"/>
    </xf>
    <xf numFmtId="0" fontId="119" fillId="0" borderId="0" xfId="116" applyFont="1" applyAlignment="1">
      <alignment horizontal="left"/>
    </xf>
    <xf numFmtId="2" fontId="184" fillId="0" borderId="0" xfId="116" applyNumberFormat="1" applyFont="1"/>
    <xf numFmtId="0" fontId="184" fillId="0" borderId="0" xfId="116" applyFont="1"/>
    <xf numFmtId="192" fontId="119" fillId="0" borderId="0" xfId="116" applyNumberFormat="1" applyFont="1" applyAlignment="1">
      <alignment horizontal="left"/>
    </xf>
    <xf numFmtId="192" fontId="186" fillId="0" borderId="0" xfId="116" applyNumberFormat="1" applyFont="1" applyAlignment="1">
      <alignment horizontal="left"/>
    </xf>
    <xf numFmtId="0" fontId="256" fillId="0" borderId="101" xfId="0" applyFont="1" applyBorder="1" applyAlignment="1">
      <alignment wrapText="1"/>
    </xf>
    <xf numFmtId="179" fontId="144" fillId="0" borderId="6" xfId="116" applyNumberFormat="1" applyFont="1" applyBorder="1" applyAlignment="1">
      <alignment horizontal="center" vertical="center" wrapText="1"/>
    </xf>
    <xf numFmtId="9" fontId="248" fillId="0" borderId="0" xfId="557" applyFont="1" applyFill="1" applyAlignment="1">
      <alignment horizontal="center" vertical="center"/>
    </xf>
    <xf numFmtId="170" fontId="119" fillId="0" borderId="0" xfId="116" applyNumberFormat="1" applyFont="1"/>
    <xf numFmtId="2" fontId="255" fillId="0" borderId="0" xfId="116" applyNumberFormat="1" applyFont="1"/>
    <xf numFmtId="0" fontId="255" fillId="0" borderId="80" xfId="116" applyFont="1" applyBorder="1"/>
    <xf numFmtId="2" fontId="255" fillId="0" borderId="80" xfId="116" applyNumberFormat="1" applyFont="1" applyBorder="1"/>
    <xf numFmtId="0" fontId="255" fillId="0" borderId="54" xfId="116" applyFont="1" applyBorder="1"/>
    <xf numFmtId="0" fontId="212" fillId="0" borderId="55" xfId="116" applyFont="1" applyBorder="1"/>
    <xf numFmtId="10" fontId="212" fillId="0" borderId="79" xfId="557" applyNumberFormat="1" applyFont="1" applyFill="1" applyBorder="1" applyAlignment="1">
      <alignment horizontal="right"/>
    </xf>
    <xf numFmtId="10" fontId="212" fillId="0" borderId="79" xfId="116" applyNumberFormat="1" applyFont="1" applyBorder="1" applyAlignment="1">
      <alignment horizontal="right"/>
    </xf>
    <xf numFmtId="0" fontId="255" fillId="0" borderId="87" xfId="116" applyFont="1" applyBorder="1"/>
    <xf numFmtId="187" fontId="212" fillId="0" borderId="78" xfId="116" applyNumberFormat="1" applyFont="1" applyBorder="1" applyAlignment="1">
      <alignment horizontal="center" vertical="center"/>
    </xf>
    <xf numFmtId="187" fontId="212" fillId="0" borderId="79" xfId="116" applyNumberFormat="1" applyFont="1" applyBorder="1" applyAlignment="1">
      <alignment horizontal="right"/>
    </xf>
    <xf numFmtId="0" fontId="98" fillId="77" borderId="8" xfId="0" applyFont="1" applyFill="1" applyBorder="1"/>
    <xf numFmtId="181" fontId="98" fillId="77" borderId="1" xfId="0" applyNumberFormat="1" applyFont="1" applyFill="1" applyBorder="1"/>
    <xf numFmtId="177" fontId="147" fillId="0" borderId="58" xfId="6" applyNumberFormat="1" applyFont="1" applyBorder="1" applyAlignment="1">
      <alignment horizontal="center" vertical="center" wrapText="1"/>
    </xf>
    <xf numFmtId="175" fontId="147" fillId="0" borderId="1" xfId="6" applyNumberFormat="1" applyFont="1" applyBorder="1" applyAlignment="1">
      <alignment horizontal="center" vertical="center" wrapText="1"/>
    </xf>
    <xf numFmtId="177" fontId="147" fillId="0" borderId="1" xfId="6" applyNumberFormat="1" applyFont="1" applyBorder="1" applyAlignment="1">
      <alignment horizontal="right" vertical="center" wrapText="1"/>
    </xf>
    <xf numFmtId="175" fontId="147" fillId="0" borderId="45" xfId="6" applyNumberFormat="1" applyFont="1" applyBorder="1" applyAlignment="1">
      <alignment horizontal="center" vertical="center" wrapText="1"/>
    </xf>
    <xf numFmtId="177" fontId="147" fillId="0" borderId="49" xfId="6" applyNumberFormat="1" applyFont="1" applyBorder="1" applyAlignment="1">
      <alignment horizontal="center" vertical="center" wrapText="1"/>
    </xf>
    <xf numFmtId="0" fontId="31" fillId="0" borderId="0" xfId="6" applyFont="1" applyAlignment="1">
      <alignment horizontal="left" vertical="center" wrapText="1"/>
    </xf>
    <xf numFmtId="175" fontId="147" fillId="0" borderId="1" xfId="0" applyNumberFormat="1" applyFont="1" applyBorder="1" applyAlignment="1">
      <alignment horizontal="center" vertical="center" wrapText="1"/>
    </xf>
    <xf numFmtId="2" fontId="147" fillId="0" borderId="4" xfId="6" applyNumberFormat="1" applyFont="1" applyBorder="1" applyAlignment="1">
      <alignment horizontal="center" vertical="center" wrapText="1"/>
    </xf>
    <xf numFmtId="175" fontId="147" fillId="0" borderId="58" xfId="6" applyNumberFormat="1" applyFont="1" applyBorder="1" applyAlignment="1">
      <alignment horizontal="center" vertical="center" wrapText="1"/>
    </xf>
    <xf numFmtId="2" fontId="147" fillId="0" borderId="58" xfId="0" applyNumberFormat="1" applyFont="1" applyBorder="1" applyAlignment="1">
      <alignment horizontal="center" vertical="center" wrapText="1"/>
    </xf>
    <xf numFmtId="2" fontId="147" fillId="0" borderId="49" xfId="0" applyNumberFormat="1" applyFont="1" applyBorder="1" applyAlignment="1">
      <alignment horizontal="center" vertical="center" wrapText="1"/>
    </xf>
    <xf numFmtId="2" fontId="147" fillId="0" borderId="1" xfId="0" applyNumberFormat="1" applyFont="1" applyBorder="1" applyAlignment="1">
      <alignment horizontal="center" vertical="center" wrapText="1"/>
    </xf>
    <xf numFmtId="2" fontId="147" fillId="0" borderId="93" xfId="6" applyNumberFormat="1" applyFont="1" applyBorder="1" applyAlignment="1">
      <alignment horizontal="center" vertical="center" wrapText="1"/>
    </xf>
    <xf numFmtId="0" fontId="84" fillId="0" borderId="61" xfId="6" applyFont="1" applyBorder="1" applyAlignment="1">
      <alignment horizontal="center" vertical="center" wrapText="1"/>
    </xf>
    <xf numFmtId="0" fontId="84" fillId="0" borderId="61"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2" xfId="6" applyFont="1" applyBorder="1" applyAlignment="1">
      <alignment horizontal="center" vertical="center" wrapText="1"/>
    </xf>
    <xf numFmtId="170" fontId="147" fillId="0" borderId="1" xfId="0" applyNumberFormat="1" applyFont="1" applyBorder="1" applyAlignment="1">
      <alignment horizontal="center" vertical="center" wrapText="1"/>
    </xf>
    <xf numFmtId="0" fontId="90" fillId="0" borderId="6" xfId="0" applyFont="1" applyBorder="1" applyAlignment="1">
      <alignment horizontal="center" wrapText="1"/>
    </xf>
    <xf numFmtId="0" fontId="257" fillId="0" borderId="117" xfId="0" applyFont="1" applyBorder="1" applyAlignment="1">
      <alignment wrapText="1"/>
    </xf>
    <xf numFmtId="0" fontId="257" fillId="0" borderId="117" xfId="0" applyFont="1" applyBorder="1" applyAlignment="1">
      <alignment horizontal="center" wrapText="1"/>
    </xf>
    <xf numFmtId="0" fontId="257" fillId="0" borderId="117" xfId="0" applyFont="1" applyBorder="1" applyAlignment="1">
      <alignment horizontal="center"/>
    </xf>
    <xf numFmtId="0" fontId="257" fillId="0" borderId="117" xfId="0" applyFont="1" applyBorder="1"/>
    <xf numFmtId="0" fontId="0" fillId="0" borderId="117" xfId="0" applyBorder="1"/>
    <xf numFmtId="1" fontId="257" fillId="0" borderId="117" xfId="0" applyNumberFormat="1" applyFont="1" applyBorder="1" applyAlignment="1">
      <alignment horizontal="center"/>
    </xf>
    <xf numFmtId="2" fontId="257" fillId="0" borderId="117" xfId="0" applyNumberFormat="1" applyFont="1" applyBorder="1" applyAlignment="1">
      <alignment horizontal="center"/>
    </xf>
    <xf numFmtId="0" fontId="0" fillId="0" borderId="117" xfId="0" applyBorder="1" applyAlignment="1">
      <alignment horizontal="center"/>
    </xf>
    <xf numFmtId="2" fontId="0" fillId="0" borderId="117" xfId="0" applyNumberFormat="1" applyBorder="1"/>
    <xf numFmtId="0" fontId="257" fillId="0" borderId="0" xfId="0" applyFont="1" applyAlignment="1">
      <alignment horizontal="center"/>
    </xf>
    <xf numFmtId="0" fontId="257" fillId="0" borderId="116" xfId="0" applyFont="1" applyBorder="1" applyAlignment="1">
      <alignment horizontal="center"/>
    </xf>
    <xf numFmtId="0" fontId="0" fillId="0" borderId="128" xfId="0" applyBorder="1" applyAlignment="1">
      <alignment horizontal="center"/>
    </xf>
    <xf numFmtId="0" fontId="257" fillId="0" borderId="129" xfId="0" applyFont="1" applyBorder="1"/>
    <xf numFmtId="0" fontId="257" fillId="0" borderId="130" xfId="0" applyFont="1" applyBorder="1"/>
    <xf numFmtId="2" fontId="23" fillId="0" borderId="0" xfId="0" applyNumberFormat="1" applyFont="1"/>
    <xf numFmtId="2" fontId="84" fillId="69" borderId="1" xfId="6" applyNumberFormat="1" applyFont="1" applyFill="1" applyBorder="1" applyAlignment="1">
      <alignment horizontal="center" vertical="center" wrapText="1"/>
    </xf>
    <xf numFmtId="2" fontId="38" fillId="30" borderId="1" xfId="6" applyNumberFormat="1" applyFont="1" applyFill="1" applyBorder="1" applyAlignment="1">
      <alignment horizontal="center" vertical="center" wrapText="1"/>
    </xf>
    <xf numFmtId="179" fontId="259" fillId="78" borderId="32" xfId="0" applyNumberFormat="1" applyFont="1" applyFill="1" applyBorder="1" applyAlignment="1">
      <alignment horizontal="center"/>
    </xf>
    <xf numFmtId="179" fontId="260" fillId="0" borderId="32" xfId="0" applyNumberFormat="1" applyFont="1" applyBorder="1" applyAlignment="1">
      <alignment horizontal="center"/>
    </xf>
    <xf numFmtId="191" fontId="222" fillId="0" borderId="0" xfId="240" applyNumberFormat="1" applyFont="1"/>
    <xf numFmtId="187" fontId="0" fillId="0" borderId="44" xfId="0" applyNumberFormat="1" applyBorder="1"/>
    <xf numFmtId="0" fontId="0" fillId="0" borderId="58" xfId="0" applyBorder="1" applyAlignment="1">
      <alignment wrapText="1"/>
    </xf>
    <xf numFmtId="187" fontId="0" fillId="0" borderId="41" xfId="0" applyNumberFormat="1" applyBorder="1"/>
    <xf numFmtId="187" fontId="0" fillId="0" borderId="79" xfId="557" applyNumberFormat="1" applyFont="1" applyBorder="1"/>
    <xf numFmtId="187" fontId="0" fillId="0" borderId="47" xfId="557" applyNumberFormat="1" applyFont="1" applyBorder="1"/>
    <xf numFmtId="180" fontId="0" fillId="0" borderId="1" xfId="0" applyNumberFormat="1" applyBorder="1"/>
    <xf numFmtId="194" fontId="0" fillId="0" borderId="1" xfId="0" applyNumberFormat="1" applyBorder="1"/>
    <xf numFmtId="177" fontId="0" fillId="0" borderId="1" xfId="0" applyNumberFormat="1" applyBorder="1"/>
    <xf numFmtId="0" fontId="35" fillId="0" borderId="1" xfId="240" applyFont="1" applyBorder="1" applyAlignment="1">
      <alignment horizontal="center" vertical="center" wrapText="1"/>
    </xf>
    <xf numFmtId="0" fontId="8" fillId="0" borderId="0" xfId="240" applyFont="1"/>
    <xf numFmtId="2" fontId="23" fillId="0" borderId="0" xfId="240" applyNumberFormat="1" applyFont="1"/>
    <xf numFmtId="10" fontId="17" fillId="0" borderId="0" xfId="240" applyNumberFormat="1"/>
    <xf numFmtId="4" fontId="104" fillId="0" borderId="0" xfId="240" applyNumberFormat="1" applyFont="1"/>
    <xf numFmtId="0" fontId="30" fillId="0" borderId="0" xfId="240" applyFont="1" applyAlignment="1">
      <alignment horizontal="center" vertical="top" wrapText="1"/>
    </xf>
    <xf numFmtId="0" fontId="17" fillId="0" borderId="0" xfId="240" applyAlignment="1">
      <alignment horizontal="center" vertical="center"/>
    </xf>
    <xf numFmtId="49" fontId="210" fillId="0" borderId="0" xfId="240" applyNumberFormat="1" applyFont="1" applyAlignment="1">
      <alignment horizontal="center"/>
    </xf>
    <xf numFmtId="0" fontId="261" fillId="0" borderId="0" xfId="240" applyFont="1" applyAlignment="1">
      <alignment horizontal="center" vertical="top"/>
    </xf>
    <xf numFmtId="0" fontId="105" fillId="0" borderId="0" xfId="240" applyFont="1" applyAlignment="1">
      <alignment horizontal="center"/>
    </xf>
    <xf numFmtId="2" fontId="40" fillId="0" borderId="1" xfId="240" applyNumberFormat="1" applyFont="1" applyBorder="1" applyAlignment="1">
      <alignment horizontal="center" vertical="center" wrapText="1"/>
    </xf>
    <xf numFmtId="2" fontId="31" fillId="0" borderId="1" xfId="240" applyNumberFormat="1" applyFont="1" applyBorder="1" applyAlignment="1">
      <alignment horizontal="center" vertical="center" wrapText="1"/>
    </xf>
    <xf numFmtId="4" fontId="31" fillId="0" borderId="1" xfId="240" applyNumberFormat="1" applyFont="1" applyBorder="1" applyAlignment="1">
      <alignment horizontal="center" vertical="center" wrapText="1"/>
    </xf>
    <xf numFmtId="10" fontId="31" fillId="0" borderId="1" xfId="240" applyNumberFormat="1" applyFont="1" applyBorder="1" applyAlignment="1">
      <alignment horizontal="center" vertical="center" wrapText="1"/>
    </xf>
    <xf numFmtId="4" fontId="104" fillId="0" borderId="0" xfId="555" applyNumberFormat="1" applyFont="1"/>
    <xf numFmtId="187" fontId="212" fillId="0" borderId="79" xfId="557" applyNumberFormat="1" applyFont="1" applyFill="1" applyBorder="1" applyAlignment="1">
      <alignment horizontal="right"/>
    </xf>
    <xf numFmtId="2" fontId="169" fillId="0" borderId="0" xfId="0" applyNumberFormat="1" applyFont="1" applyAlignment="1">
      <alignment horizontal="right"/>
    </xf>
    <xf numFmtId="0" fontId="24" fillId="0" borderId="0" xfId="134"/>
    <xf numFmtId="0" fontId="262" fillId="0" borderId="0" xfId="134" applyFont="1"/>
    <xf numFmtId="0" fontId="263" fillId="0" borderId="0" xfId="134" applyFont="1"/>
    <xf numFmtId="188" fontId="263" fillId="0" borderId="0" xfId="134" applyNumberFormat="1" applyFont="1"/>
    <xf numFmtId="189" fontId="24" fillId="0" borderId="0" xfId="134" applyNumberFormat="1"/>
    <xf numFmtId="188" fontId="264" fillId="0" borderId="0" xfId="134" applyNumberFormat="1" applyFont="1" applyAlignment="1">
      <alignment horizontal="center"/>
    </xf>
    <xf numFmtId="4" fontId="265" fillId="0" borderId="0" xfId="134" applyNumberFormat="1" applyFont="1"/>
    <xf numFmtId="189" fontId="263" fillId="0" borderId="0" xfId="134" applyNumberFormat="1" applyFont="1"/>
    <xf numFmtId="4" fontId="24" fillId="0" borderId="0" xfId="134" applyNumberFormat="1"/>
    <xf numFmtId="190" fontId="263" fillId="0" borderId="0" xfId="134" applyNumberFormat="1" applyFont="1"/>
    <xf numFmtId="0" fontId="24" fillId="0" borderId="26" xfId="134" applyBorder="1"/>
    <xf numFmtId="0" fontId="24" fillId="0" borderId="34" xfId="134" applyBorder="1"/>
    <xf numFmtId="0" fontId="24" fillId="0" borderId="34" xfId="134" applyBorder="1" applyAlignment="1">
      <alignment horizontal="right"/>
    </xf>
    <xf numFmtId="0" fontId="24" fillId="0" borderId="27" xfId="134" applyBorder="1"/>
    <xf numFmtId="0" fontId="24" fillId="0" borderId="28" xfId="134" applyBorder="1"/>
    <xf numFmtId="0" fontId="24" fillId="0" borderId="24" xfId="134" applyBorder="1"/>
    <xf numFmtId="178" fontId="24" fillId="0" borderId="0" xfId="134" applyNumberFormat="1"/>
    <xf numFmtId="180" fontId="24" fillId="0" borderId="5" xfId="134" applyNumberFormat="1" applyBorder="1"/>
    <xf numFmtId="0" fontId="265" fillId="0" borderId="0" xfId="134" applyFont="1"/>
    <xf numFmtId="10" fontId="24" fillId="0" borderId="28" xfId="547" applyNumberFormat="1" applyFont="1" applyBorder="1"/>
    <xf numFmtId="10" fontId="24" fillId="0" borderId="0" xfId="547" applyNumberFormat="1" applyFont="1" applyBorder="1"/>
    <xf numFmtId="10" fontId="24" fillId="0" borderId="29" xfId="547" applyNumberFormat="1" applyFont="1" applyBorder="1"/>
    <xf numFmtId="0" fontId="24" fillId="0" borderId="35" xfId="134" applyBorder="1"/>
    <xf numFmtId="10" fontId="24" fillId="0" borderId="35" xfId="547" applyNumberFormat="1" applyFont="1" applyBorder="1"/>
    <xf numFmtId="0" fontId="24" fillId="0" borderId="56" xfId="134" applyBorder="1"/>
    <xf numFmtId="0" fontId="258" fillId="62" borderId="1" xfId="0" applyFont="1" applyFill="1" applyBorder="1" applyAlignment="1">
      <alignment horizontal="center" wrapText="1"/>
    </xf>
    <xf numFmtId="0" fontId="258" fillId="62" borderId="3" xfId="0" applyFont="1" applyFill="1" applyBorder="1" applyAlignment="1">
      <alignment horizontal="center" wrapText="1"/>
    </xf>
    <xf numFmtId="0" fontId="147" fillId="0" borderId="1" xfId="134" applyFont="1" applyBorder="1" applyAlignment="1">
      <alignment horizontal="center" wrapText="1"/>
    </xf>
    <xf numFmtId="0" fontId="147" fillId="0" borderId="8" xfId="134" applyFont="1" applyBorder="1" applyAlignment="1">
      <alignment horizontal="center" wrapText="1"/>
    </xf>
    <xf numFmtId="0" fontId="24" fillId="0" borderId="1" xfId="134" applyBorder="1"/>
    <xf numFmtId="0" fontId="24" fillId="0" borderId="1" xfId="134" applyBorder="1" applyAlignment="1">
      <alignment horizontal="center" vertical="center"/>
    </xf>
    <xf numFmtId="0" fontId="24" fillId="0" borderId="8" xfId="134" applyBorder="1" applyAlignment="1">
      <alignment horizontal="center" vertical="center"/>
    </xf>
    <xf numFmtId="0" fontId="147" fillId="62" borderId="60" xfId="134" applyFont="1" applyFill="1" applyBorder="1" applyAlignment="1">
      <alignment wrapText="1"/>
    </xf>
    <xf numFmtId="0" fontId="147" fillId="62" borderId="61" xfId="134" applyFont="1" applyFill="1" applyBorder="1" applyAlignment="1">
      <alignment wrapText="1"/>
    </xf>
    <xf numFmtId="0" fontId="155" fillId="62" borderId="97" xfId="134" applyFont="1" applyFill="1" applyBorder="1" applyAlignment="1">
      <alignment horizontal="center" wrapText="1"/>
    </xf>
    <xf numFmtId="3" fontId="147" fillId="34" borderId="60" xfId="134" applyNumberFormat="1" applyFont="1" applyFill="1" applyBorder="1" applyAlignment="1">
      <alignment horizontal="center" vertical="center"/>
    </xf>
    <xf numFmtId="193" fontId="147" fillId="34" borderId="60" xfId="134" applyNumberFormat="1" applyFont="1" applyFill="1" applyBorder="1" applyAlignment="1">
      <alignment horizontal="center" vertical="center"/>
    </xf>
    <xf numFmtId="4" fontId="147" fillId="34" borderId="97" xfId="134" applyNumberFormat="1" applyFont="1" applyFill="1" applyBorder="1" applyAlignment="1">
      <alignment horizontal="right" vertical="center"/>
    </xf>
    <xf numFmtId="2" fontId="24" fillId="0" borderId="1" xfId="134" applyNumberFormat="1" applyBorder="1"/>
    <xf numFmtId="10" fontId="24" fillId="0" borderId="1" xfId="193" applyNumberFormat="1" applyFont="1" applyBorder="1"/>
    <xf numFmtId="0" fontId="147" fillId="34" borderId="42" xfId="134" applyFont="1" applyFill="1" applyBorder="1" applyAlignment="1">
      <alignment wrapText="1"/>
    </xf>
    <xf numFmtId="0" fontId="147" fillId="62" borderId="3" xfId="134" applyFont="1" applyFill="1" applyBorder="1" applyAlignment="1">
      <alignment wrapText="1"/>
    </xf>
    <xf numFmtId="0" fontId="155" fillId="62" borderId="10" xfId="134" applyFont="1" applyFill="1" applyBorder="1" applyAlignment="1">
      <alignment horizontal="center" wrapText="1"/>
    </xf>
    <xf numFmtId="3" fontId="147" fillId="34" borderId="57" xfId="134" applyNumberFormat="1" applyFont="1" applyFill="1" applyBorder="1" applyAlignment="1">
      <alignment horizontal="center" vertical="center"/>
    </xf>
    <xf numFmtId="4" fontId="147" fillId="34" borderId="57" xfId="134" applyNumberFormat="1" applyFont="1" applyFill="1" applyBorder="1" applyAlignment="1">
      <alignment horizontal="right" vertical="center"/>
    </xf>
    <xf numFmtId="193" fontId="147" fillId="34" borderId="69" xfId="134" applyNumberFormat="1" applyFont="1" applyFill="1" applyBorder="1" applyAlignment="1">
      <alignment horizontal="right" vertical="center"/>
    </xf>
    <xf numFmtId="180" fontId="147" fillId="2" borderId="69" xfId="134" applyNumberFormat="1" applyFont="1" applyFill="1" applyBorder="1" applyAlignment="1">
      <alignment horizontal="right" vertical="center"/>
    </xf>
    <xf numFmtId="4" fontId="147" fillId="34" borderId="10" xfId="134" applyNumberFormat="1" applyFont="1" applyFill="1" applyBorder="1" applyAlignment="1">
      <alignment horizontal="right" vertical="center"/>
    </xf>
    <xf numFmtId="0" fontId="147" fillId="0" borderId="39" xfId="134" applyFont="1" applyBorder="1" applyAlignment="1">
      <alignment wrapText="1"/>
    </xf>
    <xf numFmtId="0" fontId="147" fillId="0" borderId="1" xfId="134" applyFont="1" applyBorder="1" applyAlignment="1">
      <alignment wrapText="1"/>
    </xf>
    <xf numFmtId="0" fontId="155" fillId="0" borderId="8" xfId="134" applyFont="1" applyBorder="1" applyAlignment="1">
      <alignment horizontal="center" wrapText="1"/>
    </xf>
    <xf numFmtId="4" fontId="147" fillId="34" borderId="8" xfId="134" applyNumberFormat="1" applyFont="1" applyFill="1" applyBorder="1" applyAlignment="1">
      <alignment horizontal="right"/>
    </xf>
    <xf numFmtId="193" fontId="147" fillId="34" borderId="1" xfId="134" applyNumberFormat="1" applyFont="1" applyFill="1" applyBorder="1" applyAlignment="1">
      <alignment horizontal="right"/>
    </xf>
    <xf numFmtId="4" fontId="147" fillId="34" borderId="1" xfId="134" applyNumberFormat="1" applyFont="1" applyFill="1" applyBorder="1" applyAlignment="1">
      <alignment horizontal="right"/>
    </xf>
    <xf numFmtId="180" fontId="147" fillId="2" borderId="7" xfId="134" applyNumberFormat="1" applyFont="1" applyFill="1" applyBorder="1" applyAlignment="1">
      <alignment horizontal="right" vertical="center"/>
    </xf>
    <xf numFmtId="4" fontId="147" fillId="34" borderId="8" xfId="134" applyNumberFormat="1" applyFont="1" applyFill="1" applyBorder="1" applyAlignment="1">
      <alignment horizontal="center" vertical="center"/>
    </xf>
    <xf numFmtId="191" fontId="147" fillId="34" borderId="1" xfId="134" applyNumberFormat="1" applyFont="1" applyFill="1" applyBorder="1" applyAlignment="1">
      <alignment horizontal="right" vertical="center"/>
    </xf>
    <xf numFmtId="4" fontId="24" fillId="0" borderId="1" xfId="134" applyNumberFormat="1" applyBorder="1"/>
    <xf numFmtId="0" fontId="24" fillId="34" borderId="0" xfId="134" applyFill="1"/>
    <xf numFmtId="4" fontId="147" fillId="34" borderId="7" xfId="134" applyNumberFormat="1" applyFont="1" applyFill="1" applyBorder="1" applyAlignment="1">
      <alignment horizontal="right" vertical="center"/>
    </xf>
    <xf numFmtId="0" fontId="147" fillId="0" borderId="41" xfId="134" applyFont="1" applyBorder="1" applyAlignment="1">
      <alignment wrapText="1"/>
    </xf>
    <xf numFmtId="0" fontId="147" fillId="0" borderId="79" xfId="134" applyFont="1" applyBorder="1" applyAlignment="1">
      <alignment wrapText="1"/>
    </xf>
    <xf numFmtId="4" fontId="147" fillId="34" borderId="41" xfId="134" applyNumberFormat="1" applyFont="1" applyFill="1" applyBorder="1" applyAlignment="1">
      <alignment horizontal="right"/>
    </xf>
    <xf numFmtId="4" fontId="147" fillId="34" borderId="96" xfId="134" applyNumberFormat="1" applyFont="1" applyFill="1" applyBorder="1" applyAlignment="1">
      <alignment horizontal="right"/>
    </xf>
    <xf numFmtId="0" fontId="147" fillId="34" borderId="41" xfId="134" applyFont="1" applyFill="1" applyBorder="1" applyAlignment="1">
      <alignment horizontal="left" wrapText="1"/>
    </xf>
    <xf numFmtId="0" fontId="155" fillId="0" borderId="96" xfId="134" applyFont="1" applyBorder="1" applyAlignment="1">
      <alignment horizontal="center" wrapText="1"/>
    </xf>
    <xf numFmtId="4" fontId="147" fillId="34" borderId="96" xfId="134" applyNumberFormat="1" applyFont="1" applyFill="1" applyBorder="1" applyAlignment="1">
      <alignment horizontal="right" vertical="center"/>
    </xf>
    <xf numFmtId="4" fontId="147" fillId="34" borderId="55" xfId="134" applyNumberFormat="1" applyFont="1" applyFill="1" applyBorder="1" applyAlignment="1">
      <alignment horizontal="right" vertical="center"/>
    </xf>
    <xf numFmtId="193" fontId="147" fillId="34" borderId="45" xfId="134" applyNumberFormat="1" applyFont="1" applyFill="1" applyBorder="1" applyAlignment="1">
      <alignment horizontal="right" vertical="center"/>
    </xf>
    <xf numFmtId="4" fontId="147" fillId="34" borderId="45" xfId="134" applyNumberFormat="1" applyFont="1" applyFill="1" applyBorder="1" applyAlignment="1">
      <alignment horizontal="right" vertical="center"/>
    </xf>
    <xf numFmtId="0" fontId="147" fillId="0" borderId="48" xfId="134" applyFont="1" applyBorder="1" applyAlignment="1">
      <alignment wrapText="1"/>
    </xf>
    <xf numFmtId="0" fontId="147" fillId="0" borderId="49" xfId="134" applyFont="1" applyBorder="1" applyAlignment="1">
      <alignment wrapText="1"/>
    </xf>
    <xf numFmtId="0" fontId="155" fillId="0" borderId="50" xfId="134" applyFont="1" applyBorder="1" applyAlignment="1">
      <alignment horizontal="center" wrapText="1"/>
    </xf>
    <xf numFmtId="4" fontId="147" fillId="34" borderId="48" xfId="134" applyNumberFormat="1" applyFont="1" applyFill="1" applyBorder="1" applyAlignment="1">
      <alignment horizontal="right" vertical="center"/>
    </xf>
    <xf numFmtId="4" fontId="147" fillId="34" borderId="107" xfId="134" applyNumberFormat="1" applyFont="1" applyFill="1" applyBorder="1" applyAlignment="1">
      <alignment horizontal="center" vertical="center"/>
    </xf>
    <xf numFmtId="4" fontId="147" fillId="34" borderId="51" xfId="134" applyNumberFormat="1" applyFont="1" applyFill="1" applyBorder="1" applyAlignment="1">
      <alignment horizontal="right" vertical="center"/>
    </xf>
    <xf numFmtId="4" fontId="147" fillId="34" borderId="25" xfId="134" applyNumberFormat="1" applyFont="1" applyFill="1" applyBorder="1" applyAlignment="1">
      <alignment horizontal="center" vertical="center"/>
    </xf>
    <xf numFmtId="4" fontId="147" fillId="34" borderId="4" xfId="134" applyNumberFormat="1" applyFont="1" applyFill="1" applyBorder="1" applyAlignment="1">
      <alignment horizontal="center" vertical="center"/>
    </xf>
    <xf numFmtId="4" fontId="147" fillId="2" borderId="90" xfId="134" applyNumberFormat="1" applyFont="1" applyFill="1" applyBorder="1" applyAlignment="1">
      <alignment horizontal="right" vertical="center"/>
    </xf>
    <xf numFmtId="4" fontId="147" fillId="34" borderId="50" xfId="134" applyNumberFormat="1" applyFont="1" applyFill="1" applyBorder="1" applyAlignment="1">
      <alignment horizontal="center" vertical="center"/>
    </xf>
    <xf numFmtId="4" fontId="147" fillId="34" borderId="49" xfId="134" applyNumberFormat="1" applyFont="1" applyFill="1" applyBorder="1" applyAlignment="1">
      <alignment horizontal="right" vertical="center"/>
    </xf>
    <xf numFmtId="4" fontId="147" fillId="34" borderId="49" xfId="134" applyNumberFormat="1" applyFont="1" applyFill="1" applyBorder="1" applyAlignment="1">
      <alignment horizontal="center" vertical="center"/>
    </xf>
    <xf numFmtId="0" fontId="24" fillId="0" borderId="7" xfId="134" applyBorder="1"/>
    <xf numFmtId="0" fontId="147" fillId="0" borderId="42" xfId="134" applyFont="1" applyBorder="1" applyAlignment="1">
      <alignment vertical="top" wrapText="1"/>
    </xf>
    <xf numFmtId="0" fontId="147" fillId="0" borderId="3" xfId="134" applyFont="1" applyBorder="1" applyAlignment="1">
      <alignment wrapText="1"/>
    </xf>
    <xf numFmtId="0" fontId="155" fillId="0" borderId="43" xfId="134" applyFont="1" applyBorder="1" applyAlignment="1">
      <alignment horizontal="center" wrapText="1"/>
    </xf>
    <xf numFmtId="190" fontId="147" fillId="34" borderId="42" xfId="444" applyNumberFormat="1" applyFont="1" applyFill="1" applyBorder="1" applyAlignment="1">
      <alignment horizontal="center" vertical="center"/>
    </xf>
    <xf numFmtId="197" fontId="147" fillId="34" borderId="43" xfId="444" applyNumberFormat="1" applyFont="1" applyFill="1" applyBorder="1" applyAlignment="1">
      <alignment horizontal="center" vertical="center"/>
    </xf>
    <xf numFmtId="190" fontId="147" fillId="34" borderId="42" xfId="444" applyNumberFormat="1" applyFont="1" applyFill="1" applyBorder="1" applyAlignment="1">
      <alignment horizontal="right" vertical="center"/>
    </xf>
    <xf numFmtId="190" fontId="147" fillId="34" borderId="10" xfId="444" applyNumberFormat="1" applyFont="1" applyFill="1" applyBorder="1" applyAlignment="1">
      <alignment horizontal="right" vertical="center"/>
    </xf>
    <xf numFmtId="195" fontId="147" fillId="34" borderId="3" xfId="444" applyNumberFormat="1" applyFont="1" applyFill="1" applyBorder="1" applyAlignment="1">
      <alignment horizontal="right" vertical="center"/>
    </xf>
    <xf numFmtId="190" fontId="147" fillId="34" borderId="3" xfId="444" applyNumberFormat="1" applyFont="1" applyFill="1" applyBorder="1" applyAlignment="1">
      <alignment horizontal="right" vertical="center"/>
    </xf>
    <xf numFmtId="190" fontId="147" fillId="34" borderId="69" xfId="444" applyNumberFormat="1" applyFont="1" applyFill="1" applyBorder="1" applyAlignment="1">
      <alignment horizontal="right" vertical="center"/>
    </xf>
    <xf numFmtId="190" fontId="147" fillId="34" borderId="43" xfId="444" applyNumberFormat="1" applyFont="1" applyFill="1" applyBorder="1" applyAlignment="1">
      <alignment horizontal="right" vertical="center"/>
    </xf>
    <xf numFmtId="190" fontId="24" fillId="0" borderId="0" xfId="134" applyNumberFormat="1"/>
    <xf numFmtId="0" fontId="147" fillId="0" borderId="39" xfId="134" applyFont="1" applyBorder="1" applyAlignment="1">
      <alignment vertical="top" wrapText="1"/>
    </xf>
    <xf numFmtId="0" fontId="155" fillId="0" borderId="40" xfId="134" applyFont="1" applyBorder="1" applyAlignment="1">
      <alignment horizontal="center" wrapText="1"/>
    </xf>
    <xf numFmtId="190" fontId="147" fillId="34" borderId="39" xfId="444" applyNumberFormat="1" applyFont="1" applyFill="1" applyBorder="1" applyAlignment="1">
      <alignment horizontal="center" vertical="center"/>
    </xf>
    <xf numFmtId="190" fontId="147" fillId="34" borderId="40" xfId="444" applyNumberFormat="1" applyFont="1" applyFill="1" applyBorder="1" applyAlignment="1">
      <alignment horizontal="center" vertical="center"/>
    </xf>
    <xf numFmtId="188" fontId="147" fillId="66" borderId="7" xfId="444" applyNumberFormat="1" applyFont="1" applyFill="1" applyBorder="1" applyAlignment="1">
      <alignment horizontal="right" vertical="center"/>
    </xf>
    <xf numFmtId="188" fontId="147" fillId="66" borderId="1" xfId="444" applyNumberFormat="1" applyFont="1" applyFill="1" applyBorder="1" applyAlignment="1">
      <alignment horizontal="right" vertical="center"/>
    </xf>
    <xf numFmtId="0" fontId="24" fillId="62" borderId="0" xfId="134" applyFill="1"/>
    <xf numFmtId="16" fontId="147" fillId="62" borderId="39" xfId="134" applyNumberFormat="1" applyFont="1" applyFill="1" applyBorder="1" applyAlignment="1">
      <alignment vertical="top" wrapText="1"/>
    </xf>
    <xf numFmtId="0" fontId="155" fillId="62" borderId="40" xfId="134" applyFont="1" applyFill="1" applyBorder="1" applyAlignment="1">
      <alignment horizontal="center" wrapText="1"/>
    </xf>
    <xf numFmtId="188" fontId="147" fillId="34" borderId="39" xfId="444" applyNumberFormat="1" applyFont="1" applyFill="1" applyBorder="1" applyAlignment="1">
      <alignment horizontal="center" vertical="center"/>
    </xf>
    <xf numFmtId="188" fontId="147" fillId="34" borderId="40" xfId="444" applyNumberFormat="1" applyFont="1" applyFill="1" applyBorder="1" applyAlignment="1">
      <alignment horizontal="center" vertical="center"/>
    </xf>
    <xf numFmtId="188" fontId="147" fillId="34" borderId="8" xfId="444" applyNumberFormat="1" applyFont="1" applyFill="1" applyBorder="1" applyAlignment="1">
      <alignment horizontal="center" vertical="center"/>
    </xf>
    <xf numFmtId="188" fontId="147" fillId="34" borderId="1" xfId="444" applyNumberFormat="1" applyFont="1" applyFill="1" applyBorder="1" applyAlignment="1">
      <alignment horizontal="center" vertical="center"/>
    </xf>
    <xf numFmtId="190" fontId="147" fillId="34" borderId="7" xfId="444" applyNumberFormat="1" applyFont="1" applyFill="1" applyBorder="1" applyAlignment="1">
      <alignment horizontal="right" vertical="center"/>
    </xf>
    <xf numFmtId="0" fontId="24" fillId="34" borderId="7" xfId="134" applyFill="1" applyBorder="1"/>
    <xf numFmtId="0" fontId="24" fillId="34" borderId="1" xfId="134" applyFill="1" applyBorder="1"/>
    <xf numFmtId="188" fontId="24" fillId="62" borderId="0" xfId="134" applyNumberFormat="1" applyFill="1"/>
    <xf numFmtId="0" fontId="147" fillId="66" borderId="39" xfId="134" applyFont="1" applyFill="1" applyBorder="1" applyAlignment="1">
      <alignment wrapText="1"/>
    </xf>
    <xf numFmtId="190" fontId="147" fillId="34" borderId="52" xfId="444" applyNumberFormat="1" applyFont="1" applyFill="1" applyBorder="1" applyAlignment="1">
      <alignment horizontal="right" vertical="center"/>
    </xf>
    <xf numFmtId="195" fontId="147" fillId="34" borderId="1" xfId="444" applyNumberFormat="1" applyFont="1" applyFill="1" applyBorder="1" applyAlignment="1">
      <alignment horizontal="right" vertical="center"/>
    </xf>
    <xf numFmtId="197" fontId="147" fillId="34" borderId="39" xfId="444" applyNumberFormat="1" applyFont="1" applyFill="1" applyBorder="1" applyAlignment="1">
      <alignment horizontal="center" vertical="center"/>
    </xf>
    <xf numFmtId="190" fontId="147" fillId="66" borderId="7" xfId="444" applyNumberFormat="1" applyFont="1" applyFill="1" applyBorder="1" applyAlignment="1">
      <alignment horizontal="right" vertical="center"/>
    </xf>
    <xf numFmtId="0" fontId="147" fillId="62" borderId="39" xfId="134" applyFont="1" applyFill="1" applyBorder="1" applyAlignment="1">
      <alignment wrapText="1"/>
    </xf>
    <xf numFmtId="188" fontId="158" fillId="34" borderId="39" xfId="444" applyNumberFormat="1" applyFont="1" applyFill="1" applyBorder="1" applyAlignment="1">
      <alignment horizontal="right" vertical="center"/>
    </xf>
    <xf numFmtId="188" fontId="158" fillId="34" borderId="8" xfId="444" applyNumberFormat="1" applyFont="1" applyFill="1" applyBorder="1" applyAlignment="1">
      <alignment horizontal="right" vertical="center"/>
    </xf>
    <xf numFmtId="188" fontId="147" fillId="34" borderId="7" xfId="444" applyNumberFormat="1" applyFont="1" applyFill="1" applyBorder="1" applyAlignment="1">
      <alignment horizontal="right" vertical="center"/>
    </xf>
    <xf numFmtId="188" fontId="158" fillId="34" borderId="1" xfId="444" applyNumberFormat="1" applyFont="1" applyFill="1" applyBorder="1" applyAlignment="1">
      <alignment horizontal="right" vertical="center"/>
    </xf>
    <xf numFmtId="190" fontId="147" fillId="34" borderId="8" xfId="444" applyNumberFormat="1" applyFont="1" applyFill="1" applyBorder="1" applyAlignment="1">
      <alignment horizontal="center" vertical="center"/>
    </xf>
    <xf numFmtId="190" fontId="147" fillId="34" borderId="1" xfId="444" applyNumberFormat="1" applyFont="1" applyFill="1" applyBorder="1" applyAlignment="1">
      <alignment horizontal="center" vertical="center"/>
    </xf>
    <xf numFmtId="0" fontId="158" fillId="62" borderId="39" xfId="134" applyFont="1" applyFill="1" applyBorder="1" applyAlignment="1">
      <alignment wrapText="1"/>
    </xf>
    <xf numFmtId="198" fontId="147" fillId="34" borderId="40" xfId="444" applyNumberFormat="1" applyFont="1" applyFill="1" applyBorder="1" applyAlignment="1">
      <alignment horizontal="center" vertical="center"/>
    </xf>
    <xf numFmtId="0" fontId="147" fillId="67" borderId="39" xfId="134" applyFont="1" applyFill="1" applyBorder="1" applyAlignment="1">
      <alignment wrapText="1"/>
    </xf>
    <xf numFmtId="190" fontId="147" fillId="34" borderId="8" xfId="444" applyNumberFormat="1" applyFont="1" applyFill="1" applyBorder="1" applyAlignment="1">
      <alignment horizontal="right" vertical="center"/>
    </xf>
    <xf numFmtId="190" fontId="147" fillId="68" borderId="40" xfId="444" applyNumberFormat="1" applyFont="1" applyFill="1" applyBorder="1" applyAlignment="1">
      <alignment horizontal="right" vertical="center"/>
    </xf>
    <xf numFmtId="190" fontId="147" fillId="65" borderId="40" xfId="444" applyNumberFormat="1" applyFont="1" applyFill="1" applyBorder="1" applyAlignment="1">
      <alignment horizontal="right" vertical="center"/>
    </xf>
    <xf numFmtId="0" fontId="147" fillId="62" borderId="41" xfId="134" applyFont="1" applyFill="1" applyBorder="1" applyAlignment="1">
      <alignment wrapText="1"/>
    </xf>
    <xf numFmtId="0" fontId="155" fillId="62" borderId="47" xfId="134" applyFont="1" applyFill="1" applyBorder="1" applyAlignment="1">
      <alignment horizontal="center" wrapText="1"/>
    </xf>
    <xf numFmtId="190" fontId="147" fillId="34" borderId="41" xfId="444" applyNumberFormat="1" applyFont="1" applyFill="1" applyBorder="1" applyAlignment="1">
      <alignment horizontal="right" vertical="center"/>
    </xf>
    <xf numFmtId="190" fontId="147" fillId="34" borderId="47" xfId="444" applyNumberFormat="1" applyFont="1" applyFill="1" applyBorder="1" applyAlignment="1">
      <alignment horizontal="right" vertical="center"/>
    </xf>
    <xf numFmtId="190" fontId="147" fillId="34" borderId="96" xfId="444" applyNumberFormat="1" applyFont="1" applyFill="1" applyBorder="1" applyAlignment="1">
      <alignment horizontal="right" vertical="center"/>
    </xf>
    <xf numFmtId="190" fontId="147" fillId="34" borderId="78" xfId="444" applyNumberFormat="1" applyFont="1" applyFill="1" applyBorder="1" applyAlignment="1">
      <alignment horizontal="right" vertical="center"/>
    </xf>
    <xf numFmtId="190" fontId="147" fillId="34" borderId="79" xfId="444" applyNumberFormat="1" applyFont="1" applyFill="1" applyBorder="1" applyAlignment="1">
      <alignment horizontal="right" vertical="center"/>
    </xf>
    <xf numFmtId="190" fontId="147" fillId="62" borderId="47" xfId="444" applyNumberFormat="1" applyFont="1" applyFill="1" applyBorder="1" applyAlignment="1">
      <alignment horizontal="right" vertical="center"/>
    </xf>
    <xf numFmtId="190" fontId="147" fillId="68" borderId="39" xfId="444" applyNumberFormat="1" applyFont="1" applyFill="1" applyBorder="1" applyAlignment="1">
      <alignment horizontal="right" vertical="center"/>
    </xf>
    <xf numFmtId="0" fontId="147" fillId="62" borderId="39" xfId="134" applyFont="1" applyFill="1" applyBorder="1" applyAlignment="1">
      <alignment vertical="top" wrapText="1"/>
    </xf>
    <xf numFmtId="188" fontId="147" fillId="34" borderId="52" xfId="444" applyNumberFormat="1" applyFont="1" applyFill="1" applyBorder="1" applyAlignment="1">
      <alignment horizontal="center" vertical="center"/>
    </xf>
    <xf numFmtId="0" fontId="147" fillId="34" borderId="42" xfId="134" applyFont="1" applyFill="1" applyBorder="1" applyAlignment="1">
      <alignment vertical="top" wrapText="1"/>
    </xf>
    <xf numFmtId="0" fontId="147" fillId="34" borderId="3" xfId="134" applyFont="1" applyFill="1" applyBorder="1" applyAlignment="1">
      <alignment wrapText="1"/>
    </xf>
    <xf numFmtId="188" fontId="147" fillId="34" borderId="42" xfId="444" applyNumberFormat="1" applyFont="1" applyFill="1" applyBorder="1" applyAlignment="1">
      <alignment horizontal="right" vertical="center"/>
    </xf>
    <xf numFmtId="188" fontId="147" fillId="34" borderId="69" xfId="444" applyNumberFormat="1" applyFont="1" applyFill="1" applyBorder="1" applyAlignment="1">
      <alignment horizontal="right" vertical="center"/>
    </xf>
    <xf numFmtId="189" fontId="147" fillId="34" borderId="42" xfId="444" applyNumberFormat="1" applyFont="1" applyFill="1" applyBorder="1" applyAlignment="1">
      <alignment horizontal="right" vertical="center"/>
    </xf>
    <xf numFmtId="0" fontId="147" fillId="34" borderId="44" xfId="134" applyFont="1" applyFill="1" applyBorder="1" applyAlignment="1">
      <alignment vertical="top" wrapText="1"/>
    </xf>
    <xf numFmtId="0" fontId="147" fillId="34" borderId="45" xfId="134" applyFont="1" applyFill="1" applyBorder="1" applyAlignment="1">
      <alignment wrapText="1"/>
    </xf>
    <xf numFmtId="190" fontId="147" fillId="34" borderId="44" xfId="444" applyNumberFormat="1" applyFont="1" applyFill="1" applyBorder="1" applyAlignment="1">
      <alignment horizontal="right" vertical="center"/>
    </xf>
    <xf numFmtId="190" fontId="42" fillId="34" borderId="53" xfId="444" applyNumberFormat="1" applyFont="1" applyFill="1" applyBorder="1" applyAlignment="1">
      <alignment horizontal="right" vertical="center"/>
    </xf>
    <xf numFmtId="190" fontId="42" fillId="34" borderId="1" xfId="444" applyNumberFormat="1" applyFont="1" applyFill="1" applyBorder="1" applyAlignment="1">
      <alignment horizontal="right" vertical="center"/>
    </xf>
    <xf numFmtId="0" fontId="147" fillId="62" borderId="57" xfId="134" applyFont="1" applyFill="1" applyBorder="1" applyAlignment="1">
      <alignment wrapText="1"/>
    </xf>
    <xf numFmtId="0" fontId="265" fillId="62" borderId="44" xfId="134" applyFont="1" applyFill="1" applyBorder="1"/>
    <xf numFmtId="0" fontId="262" fillId="62" borderId="0" xfId="134" applyFont="1" applyFill="1"/>
    <xf numFmtId="0" fontId="24" fillId="0" borderId="0" xfId="134" applyAlignment="1">
      <alignment horizontal="center"/>
    </xf>
    <xf numFmtId="4" fontId="268" fillId="0" borderId="0" xfId="134" applyNumberFormat="1" applyFont="1"/>
    <xf numFmtId="0" fontId="268" fillId="0" borderId="0" xfId="134" applyFont="1"/>
    <xf numFmtId="0" fontId="269" fillId="0" borderId="0" xfId="134" applyFont="1"/>
    <xf numFmtId="0" fontId="270" fillId="0" borderId="0" xfId="134" applyFont="1"/>
    <xf numFmtId="188" fontId="147" fillId="70" borderId="1" xfId="444" applyNumberFormat="1" applyFont="1" applyFill="1" applyBorder="1" applyAlignment="1">
      <alignment horizontal="right" vertical="center"/>
    </xf>
    <xf numFmtId="190" fontId="147" fillId="70" borderId="1" xfId="444" applyNumberFormat="1" applyFont="1" applyFill="1" applyBorder="1" applyAlignment="1">
      <alignment horizontal="right" vertical="center"/>
    </xf>
    <xf numFmtId="190" fontId="147" fillId="72" borderId="1" xfId="444" applyNumberFormat="1" applyFont="1" applyFill="1" applyBorder="1" applyAlignment="1">
      <alignment horizontal="right" vertical="center"/>
    </xf>
    <xf numFmtId="190" fontId="147" fillId="79" borderId="1" xfId="444" applyNumberFormat="1" applyFont="1" applyFill="1" applyBorder="1" applyAlignment="1">
      <alignment horizontal="right" vertical="center"/>
    </xf>
    <xf numFmtId="188" fontId="147" fillId="79" borderId="1" xfId="444" applyNumberFormat="1" applyFont="1" applyFill="1" applyBorder="1" applyAlignment="1">
      <alignment horizontal="right" vertical="center"/>
    </xf>
    <xf numFmtId="2" fontId="191" fillId="0" borderId="0" xfId="116" applyNumberFormat="1" applyFont="1" applyAlignment="1">
      <alignment horizontal="center"/>
    </xf>
    <xf numFmtId="4" fontId="31" fillId="0" borderId="101" xfId="0" applyNumberFormat="1" applyFont="1" applyBorder="1" applyAlignment="1">
      <alignment horizontal="center"/>
    </xf>
    <xf numFmtId="2" fontId="31" fillId="30" borderId="101" xfId="0" applyNumberFormat="1" applyFont="1" applyFill="1" applyBorder="1" applyAlignment="1">
      <alignment horizontal="center"/>
    </xf>
    <xf numFmtId="0" fontId="272" fillId="0" borderId="0" xfId="0" applyFont="1" applyAlignment="1">
      <alignment horizontal="center"/>
    </xf>
    <xf numFmtId="0" fontId="271" fillId="0" borderId="1" xfId="0" applyFont="1" applyBorder="1" applyAlignment="1">
      <alignment horizontal="center" wrapText="1"/>
    </xf>
    <xf numFmtId="0" fontId="0" fillId="0" borderId="1" xfId="0" applyBorder="1" applyAlignment="1">
      <alignment wrapText="1"/>
    </xf>
    <xf numFmtId="0" fontId="271" fillId="0" borderId="1" xfId="0" applyFont="1" applyBorder="1" applyAlignment="1">
      <alignment horizontal="left" wrapText="1"/>
    </xf>
    <xf numFmtId="2" fontId="26" fillId="0" borderId="1" xfId="0" applyNumberFormat="1" applyFont="1" applyBorder="1" applyAlignment="1">
      <alignment wrapText="1"/>
    </xf>
    <xf numFmtId="0" fontId="26" fillId="0" borderId="1" xfId="0" applyFont="1" applyBorder="1" applyAlignment="1">
      <alignment horizontal="left" wrapText="1" indent="1"/>
    </xf>
    <xf numFmtId="170" fontId="26" fillId="0" borderId="1" xfId="0" applyNumberFormat="1" applyFont="1" applyBorder="1" applyAlignment="1">
      <alignment horizontal="right"/>
    </xf>
    <xf numFmtId="0" fontId="272" fillId="0" borderId="0" xfId="0" applyFont="1"/>
    <xf numFmtId="0" fontId="272" fillId="0" borderId="1" xfId="0" applyFont="1" applyBorder="1"/>
    <xf numFmtId="170" fontId="0" fillId="0" borderId="0" xfId="0" applyNumberFormat="1"/>
    <xf numFmtId="170" fontId="131" fillId="31" borderId="88" xfId="532" applyNumberFormat="1" applyFont="1" applyFill="1" applyBorder="1" applyAlignment="1">
      <alignment horizontal="center" vertical="center" wrapText="1"/>
    </xf>
    <xf numFmtId="170" fontId="131" fillId="0" borderId="88" xfId="177" applyNumberFormat="1" applyFont="1" applyBorder="1" applyAlignment="1">
      <alignment horizontal="center" vertical="center" wrapText="1"/>
    </xf>
    <xf numFmtId="170" fontId="118" fillId="0" borderId="88" xfId="177" applyNumberFormat="1" applyFont="1" applyBorder="1" applyAlignment="1">
      <alignment horizontal="center" vertical="center" wrapText="1"/>
    </xf>
    <xf numFmtId="0" fontId="271" fillId="0" borderId="4" xfId="0" applyFont="1" applyBorder="1" applyAlignment="1">
      <alignment horizontal="center" wrapText="1"/>
    </xf>
    <xf numFmtId="0" fontId="185" fillId="0" borderId="0" xfId="505" applyFont="1"/>
    <xf numFmtId="0" fontId="30" fillId="0" borderId="33" xfId="554"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2" fontId="31" fillId="0" borderId="39" xfId="0" applyNumberFormat="1" applyFont="1" applyBorder="1" applyAlignment="1">
      <alignment horizontal="center" vertical="center" wrapText="1"/>
    </xf>
    <xf numFmtId="2" fontId="31" fillId="0" borderId="1" xfId="0" applyNumberFormat="1" applyFont="1" applyBorder="1" applyAlignment="1">
      <alignment horizontal="center" vertical="center" wrapText="1"/>
    </xf>
    <xf numFmtId="2" fontId="31" fillId="0" borderId="40" xfId="0" applyNumberFormat="1" applyFont="1" applyBorder="1" applyAlignment="1">
      <alignment horizontal="center" vertical="center" wrapText="1"/>
    </xf>
    <xf numFmtId="0" fontId="32" fillId="0" borderId="1" xfId="0" applyFont="1" applyBorder="1" applyAlignment="1">
      <alignment horizontal="center" vertical="center"/>
    </xf>
    <xf numFmtId="0" fontId="39" fillId="0" borderId="0" xfId="555" applyFont="1" applyAlignment="1">
      <alignment horizontal="center" vertical="top" wrapText="1"/>
    </xf>
    <xf numFmtId="0" fontId="140" fillId="0" borderId="5" xfId="555" applyFont="1" applyBorder="1" applyAlignment="1">
      <alignment horizontal="center" vertical="center" wrapText="1"/>
    </xf>
    <xf numFmtId="180" fontId="4" fillId="0" borderId="0" xfId="555" applyNumberFormat="1"/>
    <xf numFmtId="0" fontId="273" fillId="0" borderId="0" xfId="555" applyFont="1"/>
    <xf numFmtId="10" fontId="104" fillId="0" borderId="0" xfId="555" applyNumberFormat="1" applyFont="1"/>
    <xf numFmtId="2" fontId="104" fillId="0" borderId="0" xfId="555" applyNumberFormat="1" applyFont="1"/>
    <xf numFmtId="177" fontId="104" fillId="0" borderId="0" xfId="555" applyNumberFormat="1" applyFont="1"/>
    <xf numFmtId="2" fontId="194" fillId="0" borderId="0" xfId="555" applyNumberFormat="1" applyFont="1"/>
    <xf numFmtId="180" fontId="104" fillId="0" borderId="0" xfId="555" applyNumberFormat="1" applyFont="1"/>
    <xf numFmtId="180" fontId="122" fillId="0" borderId="42" xfId="555" applyNumberFormat="1" applyFont="1" applyBorder="1" applyAlignment="1">
      <alignment horizontal="center" vertical="center" wrapText="1"/>
    </xf>
    <xf numFmtId="180" fontId="90" fillId="0" borderId="3" xfId="555" applyNumberFormat="1" applyFont="1" applyBorder="1" applyAlignment="1">
      <alignment horizontal="center" vertical="center" wrapText="1"/>
    </xf>
    <xf numFmtId="180" fontId="122" fillId="0" borderId="43" xfId="555" applyNumberFormat="1" applyFont="1" applyBorder="1" applyAlignment="1">
      <alignment horizontal="center" vertical="center" wrapText="1"/>
    </xf>
    <xf numFmtId="180" fontId="90" fillId="0" borderId="39" xfId="555" applyNumberFormat="1" applyFont="1" applyBorder="1" applyAlignment="1">
      <alignment horizontal="center" vertical="center" wrapText="1"/>
    </xf>
    <xf numFmtId="180" fontId="90" fillId="0" borderId="1" xfId="555" applyNumberFormat="1" applyFont="1" applyBorder="1" applyAlignment="1">
      <alignment horizontal="center" vertical="center" wrapText="1"/>
    </xf>
    <xf numFmtId="180" fontId="90" fillId="0" borderId="40" xfId="555" applyNumberFormat="1" applyFont="1" applyBorder="1" applyAlignment="1">
      <alignment horizontal="center" vertical="center" wrapText="1"/>
    </xf>
    <xf numFmtId="180" fontId="122" fillId="0" borderId="39" xfId="555" applyNumberFormat="1" applyFont="1" applyBorder="1" applyAlignment="1">
      <alignment horizontal="center" vertical="center" wrapText="1"/>
    </xf>
    <xf numFmtId="180" fontId="122" fillId="0" borderId="40" xfId="555" applyNumberFormat="1" applyFont="1" applyBorder="1" applyAlignment="1">
      <alignment horizontal="center" vertical="center" wrapText="1"/>
    </xf>
    <xf numFmtId="180" fontId="122" fillId="0" borderId="1" xfId="555" applyNumberFormat="1" applyFont="1" applyBorder="1" applyAlignment="1">
      <alignment horizontal="center" vertical="center" wrapText="1"/>
    </xf>
    <xf numFmtId="180" fontId="90" fillId="0" borderId="41" xfId="555" applyNumberFormat="1" applyFont="1" applyBorder="1" applyAlignment="1">
      <alignment horizontal="center" vertical="center" wrapText="1"/>
    </xf>
    <xf numFmtId="180" fontId="90" fillId="0" borderId="78" xfId="555" applyNumberFormat="1" applyFont="1" applyBorder="1" applyAlignment="1">
      <alignment horizontal="center" vertical="center" wrapText="1"/>
    </xf>
    <xf numFmtId="180" fontId="122" fillId="0" borderId="41" xfId="555" applyNumberFormat="1" applyFont="1" applyBorder="1" applyAlignment="1">
      <alignment horizontal="center" vertical="center" wrapText="1"/>
    </xf>
    <xf numFmtId="180" fontId="90" fillId="0" borderId="79" xfId="555" applyNumberFormat="1" applyFont="1" applyBorder="1" applyAlignment="1">
      <alignment horizontal="center" vertical="center" wrapText="1"/>
    </xf>
    <xf numFmtId="180" fontId="122" fillId="0" borderId="47" xfId="555" applyNumberFormat="1" applyFont="1" applyBorder="1" applyAlignment="1">
      <alignment horizontal="center" vertical="center" wrapText="1"/>
    </xf>
    <xf numFmtId="177" fontId="90" fillId="0" borderId="65" xfId="555" applyNumberFormat="1" applyFont="1" applyBorder="1" applyAlignment="1">
      <alignment horizontal="center" vertical="center" wrapText="1"/>
    </xf>
    <xf numFmtId="177" fontId="90" fillId="0" borderId="49" xfId="555" applyNumberFormat="1" applyFont="1" applyBorder="1" applyAlignment="1">
      <alignment horizontal="center" vertical="center" wrapText="1"/>
    </xf>
    <xf numFmtId="177" fontId="90" fillId="0" borderId="57" xfId="555" applyNumberFormat="1" applyFont="1" applyBorder="1" applyAlignment="1">
      <alignment horizontal="center" vertical="center" wrapText="1"/>
    </xf>
    <xf numFmtId="177" fontId="122" fillId="0" borderId="39" xfId="555" applyNumberFormat="1" applyFont="1" applyBorder="1" applyAlignment="1">
      <alignment horizontal="center" vertical="center" wrapText="1"/>
    </xf>
    <xf numFmtId="177" fontId="122" fillId="0" borderId="40" xfId="555" applyNumberFormat="1" applyFont="1" applyBorder="1" applyAlignment="1">
      <alignment horizontal="center" vertical="center" wrapText="1"/>
    </xf>
    <xf numFmtId="177" fontId="122" fillId="0" borderId="8" xfId="555" applyNumberFormat="1" applyFont="1" applyBorder="1" applyAlignment="1">
      <alignment horizontal="center" vertical="center" wrapText="1"/>
    </xf>
    <xf numFmtId="177" fontId="122" fillId="0" borderId="73" xfId="555" applyNumberFormat="1" applyFont="1" applyBorder="1" applyAlignment="1">
      <alignment horizontal="center" vertical="center" wrapText="1"/>
    </xf>
    <xf numFmtId="177" fontId="122" fillId="0" borderId="52" xfId="555" applyNumberFormat="1" applyFont="1" applyBorder="1" applyAlignment="1">
      <alignment horizontal="center" vertical="center" wrapText="1"/>
    </xf>
    <xf numFmtId="177" fontId="90" fillId="0" borderId="91" xfId="555" applyNumberFormat="1" applyFont="1" applyBorder="1" applyAlignment="1">
      <alignment horizontal="center" vertical="center" wrapText="1"/>
    </xf>
    <xf numFmtId="177" fontId="90" fillId="0" borderId="78" xfId="555" applyNumberFormat="1" applyFont="1" applyBorder="1" applyAlignment="1">
      <alignment horizontal="center" vertical="center" wrapText="1"/>
    </xf>
    <xf numFmtId="177" fontId="90" fillId="0" borderId="41" xfId="555" applyNumberFormat="1" applyFont="1" applyBorder="1" applyAlignment="1">
      <alignment horizontal="center" vertical="center" wrapText="1"/>
    </xf>
    <xf numFmtId="177" fontId="122" fillId="0" borderId="44" xfId="555" applyNumberFormat="1" applyFont="1" applyBorder="1" applyAlignment="1">
      <alignment horizontal="center" vertical="center" wrapText="1"/>
    </xf>
    <xf numFmtId="177" fontId="122" fillId="0" borderId="45" xfId="555" applyNumberFormat="1" applyFont="1" applyBorder="1" applyAlignment="1">
      <alignment horizontal="center" vertical="center" wrapText="1"/>
    </xf>
    <xf numFmtId="177" fontId="122" fillId="0" borderId="46" xfId="555" applyNumberFormat="1" applyFont="1" applyBorder="1" applyAlignment="1">
      <alignment horizontal="center" vertical="center" wrapText="1"/>
    </xf>
    <xf numFmtId="177" fontId="122" fillId="0" borderId="53" xfId="555" applyNumberFormat="1" applyFont="1" applyBorder="1" applyAlignment="1">
      <alignment horizontal="center" vertical="center" wrapText="1"/>
    </xf>
    <xf numFmtId="177" fontId="122" fillId="0" borderId="54" xfId="555" applyNumberFormat="1" applyFont="1" applyBorder="1" applyAlignment="1">
      <alignment horizontal="center" vertical="center" wrapText="1"/>
    </xf>
    <xf numFmtId="177" fontId="90" fillId="0" borderId="131" xfId="555" applyNumberFormat="1" applyFont="1" applyBorder="1" applyAlignment="1">
      <alignment horizontal="center" vertical="center" wrapText="1"/>
    </xf>
    <xf numFmtId="177" fontId="122" fillId="0" borderId="72" xfId="555" applyNumberFormat="1" applyFont="1" applyBorder="1" applyAlignment="1">
      <alignment horizontal="center" vertical="center" wrapText="1"/>
    </xf>
    <xf numFmtId="49" fontId="177" fillId="0" borderId="0" xfId="555" applyNumberFormat="1" applyFont="1" applyAlignment="1">
      <alignment horizontal="center" vertical="center"/>
    </xf>
    <xf numFmtId="0" fontId="104" fillId="0" borderId="1" xfId="555" applyFont="1" applyBorder="1"/>
    <xf numFmtId="0" fontId="1" fillId="0" borderId="1" xfId="555" applyFont="1" applyBorder="1"/>
    <xf numFmtId="0" fontId="4" fillId="0" borderId="1" xfId="555" applyBorder="1"/>
    <xf numFmtId="177" fontId="104" fillId="0" borderId="1" xfId="555" applyNumberFormat="1" applyFont="1" applyBorder="1"/>
    <xf numFmtId="0" fontId="1" fillId="0" borderId="0" xfId="240" applyFont="1"/>
    <xf numFmtId="2" fontId="183" fillId="69" borderId="32" xfId="0" applyNumberFormat="1" applyFont="1" applyFill="1" applyBorder="1" applyAlignment="1">
      <alignment horizontal="center"/>
    </xf>
    <xf numFmtId="2" fontId="90" fillId="69" borderId="32" xfId="0" applyNumberFormat="1" applyFont="1" applyFill="1" applyBorder="1" applyAlignment="1">
      <alignment horizontal="center"/>
    </xf>
    <xf numFmtId="2" fontId="94" fillId="69" borderId="32" xfId="0" applyNumberFormat="1" applyFont="1" applyFill="1" applyBorder="1" applyAlignment="1">
      <alignment horizontal="center"/>
    </xf>
    <xf numFmtId="2" fontId="32" fillId="69" borderId="32" xfId="0" applyNumberFormat="1" applyFont="1" applyFill="1" applyBorder="1" applyAlignment="1">
      <alignment horizontal="center"/>
    </xf>
    <xf numFmtId="179" fontId="94" fillId="69" borderId="32" xfId="0" applyNumberFormat="1" applyFont="1" applyFill="1" applyBorder="1" applyAlignment="1">
      <alignment horizontal="center" vertical="center"/>
    </xf>
    <xf numFmtId="179" fontId="94" fillId="69" borderId="32" xfId="0" applyNumberFormat="1" applyFont="1" applyFill="1" applyBorder="1" applyAlignment="1">
      <alignment horizontal="center"/>
    </xf>
    <xf numFmtId="177" fontId="94" fillId="69" borderId="32" xfId="0" applyNumberFormat="1" applyFont="1" applyFill="1" applyBorder="1" applyAlignment="1">
      <alignment horizontal="center"/>
    </xf>
    <xf numFmtId="183" fontId="90" fillId="30" borderId="32" xfId="0" applyNumberFormat="1" applyFont="1" applyFill="1" applyBorder="1" applyAlignment="1">
      <alignment horizontal="center"/>
    </xf>
    <xf numFmtId="179" fontId="98" fillId="80" borderId="8" xfId="0" applyNumberFormat="1" applyFont="1" applyFill="1" applyBorder="1"/>
    <xf numFmtId="0" fontId="274" fillId="0" borderId="1" xfId="0" applyFont="1" applyBorder="1" applyAlignment="1">
      <alignment horizontal="center" wrapText="1"/>
    </xf>
    <xf numFmtId="0" fontId="275" fillId="0" borderId="1" xfId="0" applyFont="1" applyBorder="1"/>
    <xf numFmtId="4" fontId="148" fillId="80" borderId="1" xfId="505" applyNumberFormat="1" applyFont="1" applyFill="1" applyBorder="1" applyAlignment="1" applyProtection="1">
      <alignment horizontal="right" vertical="center" wrapText="1"/>
      <protection hidden="1"/>
    </xf>
    <xf numFmtId="4" fontId="98" fillId="80" borderId="1" xfId="505" applyNumberFormat="1" applyFont="1" applyFill="1" applyBorder="1" applyAlignment="1" applyProtection="1">
      <alignment horizontal="right" vertical="center" wrapText="1"/>
      <protection hidden="1"/>
    </xf>
    <xf numFmtId="177" fontId="144" fillId="0" borderId="101" xfId="116" applyNumberFormat="1" applyFont="1" applyBorder="1"/>
    <xf numFmtId="177" fontId="144" fillId="0" borderId="99" xfId="116" applyNumberFormat="1" applyFont="1" applyBorder="1"/>
    <xf numFmtId="177" fontId="144" fillId="0" borderId="101" xfId="116" applyNumberFormat="1" applyFont="1" applyBorder="1" applyAlignment="1">
      <alignment horizontal="right"/>
    </xf>
    <xf numFmtId="177" fontId="140" fillId="0" borderId="101" xfId="116" applyNumberFormat="1" applyFont="1" applyBorder="1" applyAlignment="1">
      <alignment wrapText="1"/>
    </xf>
    <xf numFmtId="177" fontId="140" fillId="0" borderId="101" xfId="116" applyNumberFormat="1" applyFont="1" applyBorder="1" applyAlignment="1">
      <alignment horizontal="right"/>
    </xf>
    <xf numFmtId="177" fontId="140" fillId="0" borderId="101" xfId="116" applyNumberFormat="1" applyFont="1" applyBorder="1" applyAlignment="1">
      <alignment horizontal="right" wrapText="1"/>
    </xf>
    <xf numFmtId="177" fontId="84" fillId="0" borderId="0" xfId="116" applyNumberFormat="1" applyFont="1" applyAlignment="1">
      <alignment horizontal="right"/>
    </xf>
    <xf numFmtId="0" fontId="0" fillId="0" borderId="132" xfId="0" applyBorder="1" applyAlignment="1">
      <alignment horizontal="center" vertical="center"/>
    </xf>
    <xf numFmtId="0" fontId="0" fillId="0" borderId="133" xfId="0" applyBorder="1" applyAlignment="1">
      <alignment horizontal="center" vertical="center"/>
    </xf>
    <xf numFmtId="0" fontId="0" fillId="0" borderId="134" xfId="0" applyBorder="1" applyAlignment="1">
      <alignment horizontal="center" vertical="center"/>
    </xf>
    <xf numFmtId="0" fontId="0" fillId="0" borderId="136" xfId="0" applyBorder="1" applyAlignment="1">
      <alignment horizontal="center" vertical="center"/>
    </xf>
    <xf numFmtId="0" fontId="0" fillId="0" borderId="137" xfId="0" applyBorder="1" applyAlignment="1">
      <alignment horizontal="center" vertical="center"/>
    </xf>
    <xf numFmtId="0" fontId="0" fillId="0" borderId="137" xfId="0" applyBorder="1" applyAlignment="1">
      <alignment horizontal="center" vertical="center" wrapText="1"/>
    </xf>
    <xf numFmtId="0" fontId="0" fillId="0" borderId="115" xfId="0" applyBorder="1" applyAlignment="1">
      <alignment horizontal="center" vertical="center"/>
    </xf>
    <xf numFmtId="0" fontId="0" fillId="0" borderId="135" xfId="0" applyBorder="1" applyAlignment="1">
      <alignment horizontal="center" vertical="center"/>
    </xf>
    <xf numFmtId="0" fontId="276" fillId="0" borderId="0" xfId="0" applyFont="1"/>
    <xf numFmtId="0" fontId="277" fillId="81" borderId="0" xfId="0" applyFont="1" applyFill="1"/>
    <xf numFmtId="0" fontId="0" fillId="81" borderId="0" xfId="0" applyFill="1"/>
    <xf numFmtId="0" fontId="0" fillId="82" borderId="0" xfId="0" applyFill="1"/>
    <xf numFmtId="0" fontId="0" fillId="77" borderId="117" xfId="0" applyFill="1" applyBorder="1"/>
    <xf numFmtId="177" fontId="144" fillId="0" borderId="98" xfId="116" applyNumberFormat="1" applyFont="1" applyBorder="1"/>
    <xf numFmtId="177" fontId="144" fillId="0" borderId="110" xfId="116" applyNumberFormat="1" applyFont="1" applyBorder="1"/>
    <xf numFmtId="177" fontId="144" fillId="0" borderId="100" xfId="116" applyNumberFormat="1" applyFont="1" applyBorder="1" applyAlignment="1">
      <alignment horizontal="right"/>
    </xf>
    <xf numFmtId="177" fontId="144" fillId="0" borderId="104" xfId="116" applyNumberFormat="1" applyFont="1" applyBorder="1" applyAlignment="1">
      <alignment horizontal="right"/>
    </xf>
    <xf numFmtId="177" fontId="144" fillId="0" borderId="111" xfId="116" applyNumberFormat="1" applyFont="1" applyBorder="1" applyAlignment="1">
      <alignment horizontal="right"/>
    </xf>
    <xf numFmtId="177" fontId="140" fillId="0" borderId="100" xfId="116" applyNumberFormat="1" applyFont="1" applyBorder="1" applyAlignment="1">
      <alignment horizontal="right"/>
    </xf>
    <xf numFmtId="177" fontId="140" fillId="0" borderId="32" xfId="116" applyNumberFormat="1" applyFont="1" applyBorder="1" applyAlignment="1">
      <alignment horizontal="right"/>
    </xf>
    <xf numFmtId="177" fontId="140" fillId="0" borderId="111" xfId="116" applyNumberFormat="1" applyFont="1" applyBorder="1" applyAlignment="1">
      <alignment horizontal="right"/>
    </xf>
    <xf numFmtId="177" fontId="140" fillId="0" borderId="109" xfId="116" applyNumberFormat="1" applyFont="1" applyBorder="1" applyAlignment="1">
      <alignment horizontal="right"/>
    </xf>
    <xf numFmtId="177" fontId="90" fillId="0" borderId="101" xfId="116" applyNumberFormat="1" applyFont="1" applyBorder="1"/>
    <xf numFmtId="177" fontId="144" fillId="0" borderId="100" xfId="116" applyNumberFormat="1" applyFont="1" applyBorder="1"/>
    <xf numFmtId="177" fontId="144" fillId="0" borderId="111" xfId="116" applyNumberFormat="1" applyFont="1" applyBorder="1"/>
    <xf numFmtId="4" fontId="37" fillId="70" borderId="40" xfId="240" applyNumberFormat="1" applyFont="1" applyFill="1" applyBorder="1" applyAlignment="1">
      <alignment horizontal="center" vertical="center" wrapText="1"/>
    </xf>
    <xf numFmtId="0" fontId="30" fillId="0" borderId="0" xfId="6" applyFont="1" applyAlignment="1">
      <alignment horizontal="center" vertical="top" wrapText="1"/>
    </xf>
    <xf numFmtId="0" fontId="30" fillId="0" borderId="0" xfId="6" applyFont="1" applyAlignment="1">
      <alignment horizontal="left" vertical="top" wrapText="1"/>
    </xf>
    <xf numFmtId="0" fontId="21" fillId="0" borderId="0" xfId="6" applyAlignment="1">
      <alignment horizontal="center" vertical="top" wrapText="1"/>
    </xf>
    <xf numFmtId="0" fontId="30" fillId="0" borderId="0" xfId="6" applyFont="1" applyAlignment="1">
      <alignment horizontal="justify" wrapText="1"/>
    </xf>
    <xf numFmtId="0" fontId="21" fillId="0" borderId="0" xfId="6" applyAlignment="1">
      <alignment horizontal="center" wrapText="1"/>
    </xf>
    <xf numFmtId="0" fontId="30" fillId="0" borderId="0" xfId="6" applyFont="1" applyAlignment="1">
      <alignment horizontal="center" wrapText="1"/>
    </xf>
    <xf numFmtId="0" fontId="30" fillId="0" borderId="5" xfId="6" applyFont="1" applyBorder="1" applyAlignment="1">
      <alignment horizontal="center" wrapText="1"/>
    </xf>
    <xf numFmtId="0" fontId="39" fillId="0" borderId="8" xfId="555" applyFont="1" applyBorder="1" applyAlignment="1">
      <alignment horizontal="center" vertical="center" wrapText="1"/>
    </xf>
    <xf numFmtId="4" fontId="122" fillId="0" borderId="1" xfId="555" applyNumberFormat="1" applyFont="1" applyBorder="1" applyAlignment="1">
      <alignment horizontal="center" vertical="center" wrapText="1"/>
    </xf>
    <xf numFmtId="0" fontId="30" fillId="0" borderId="33" xfId="552" applyFont="1" applyBorder="1" applyAlignment="1">
      <alignment horizontal="center" vertical="center" wrapText="1"/>
    </xf>
    <xf numFmtId="0" fontId="39" fillId="0" borderId="79" xfId="0" applyFont="1" applyBorder="1" applyAlignment="1">
      <alignment vertical="center" wrapText="1"/>
    </xf>
    <xf numFmtId="0" fontId="39" fillId="34" borderId="79" xfId="0" applyFont="1" applyFill="1" applyBorder="1" applyAlignment="1">
      <alignment vertical="center" wrapText="1"/>
    </xf>
    <xf numFmtId="0" fontId="30" fillId="0" borderId="6" xfId="554" applyFont="1" applyBorder="1" applyAlignment="1">
      <alignment horizontal="center" vertical="center" wrapText="1"/>
    </xf>
    <xf numFmtId="0" fontId="30" fillId="34" borderId="6" xfId="554" applyFont="1" applyFill="1" applyBorder="1" applyAlignment="1">
      <alignment horizontal="center" vertical="center" wrapText="1"/>
    </xf>
    <xf numFmtId="16" fontId="30" fillId="0" borderId="6" xfId="554" applyNumberFormat="1" applyFont="1" applyBorder="1" applyAlignment="1">
      <alignment horizontal="center" vertical="center" wrapText="1"/>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34" borderId="49" xfId="0" applyFont="1" applyFill="1" applyBorder="1" applyAlignment="1">
      <alignment horizontal="center" vertical="center"/>
    </xf>
    <xf numFmtId="0" fontId="30" fillId="34" borderId="33" xfId="554" applyFont="1" applyFill="1" applyBorder="1" applyAlignment="1">
      <alignment horizontal="center" vertical="center" wrapText="1"/>
    </xf>
    <xf numFmtId="16" fontId="30" fillId="0" borderId="33" xfId="554" applyNumberFormat="1" applyFont="1" applyBorder="1" applyAlignment="1">
      <alignment horizontal="center" vertical="center" wrapText="1"/>
    </xf>
    <xf numFmtId="0" fontId="32" fillId="0" borderId="33" xfId="554" applyFont="1" applyBorder="1" applyAlignment="1">
      <alignment vertical="top" wrapText="1"/>
    </xf>
    <xf numFmtId="3" fontId="39" fillId="0" borderId="33" xfId="554" applyNumberFormat="1" applyFont="1" applyBorder="1" applyAlignment="1">
      <alignment horizontal="center" vertical="top" wrapText="1"/>
    </xf>
    <xf numFmtId="0" fontId="0" fillId="0" borderId="0" xfId="0" applyAlignment="1">
      <alignment horizontal="right"/>
    </xf>
    <xf numFmtId="0" fontId="30" fillId="0" borderId="58" xfId="554" applyFont="1" applyBorder="1" applyAlignment="1">
      <alignment horizontal="center"/>
    </xf>
    <xf numFmtId="0" fontId="30" fillId="0" borderId="33" xfId="554" applyFont="1" applyBorder="1" applyAlignment="1">
      <alignment vertical="top" wrapText="1"/>
    </xf>
    <xf numFmtId="0" fontId="32" fillId="34" borderId="33" xfId="554" applyFont="1" applyFill="1" applyBorder="1" applyAlignment="1">
      <alignment horizontal="left" vertical="top" wrapText="1"/>
    </xf>
    <xf numFmtId="0" fontId="39" fillId="0" borderId="57" xfId="0" applyFont="1" applyBorder="1" applyAlignment="1">
      <alignment horizontal="center" vertical="center"/>
    </xf>
    <xf numFmtId="0" fontId="39" fillId="0" borderId="58" xfId="0" applyFont="1" applyBorder="1" applyAlignment="1">
      <alignment horizontal="center" vertical="center"/>
    </xf>
    <xf numFmtId="0" fontId="39" fillId="34" borderId="58" xfId="0" applyFont="1" applyFill="1" applyBorder="1" applyAlignment="1">
      <alignment horizontal="center" vertical="center"/>
    </xf>
    <xf numFmtId="170" fontId="123" fillId="34" borderId="88" xfId="554" applyNumberFormat="1" applyFont="1" applyFill="1" applyBorder="1" applyAlignment="1">
      <alignment horizontal="center" vertical="top" wrapText="1"/>
    </xf>
    <xf numFmtId="181" fontId="123" fillId="0" borderId="88" xfId="554" applyNumberFormat="1" applyFont="1" applyBorder="1" applyAlignment="1">
      <alignment horizontal="center" vertical="top" wrapText="1"/>
    </xf>
    <xf numFmtId="179" fontId="123" fillId="0" borderId="88" xfId="554" applyNumberFormat="1" applyFont="1" applyBorder="1" applyAlignment="1">
      <alignment horizontal="center" vertical="top" wrapText="1"/>
    </xf>
    <xf numFmtId="170" fontId="134" fillId="0" borderId="67" xfId="554" applyNumberFormat="1" applyFont="1" applyBorder="1" applyAlignment="1">
      <alignment horizontal="center" vertical="top" wrapText="1"/>
    </xf>
    <xf numFmtId="0" fontId="221" fillId="0" borderId="67" xfId="554" applyFont="1" applyBorder="1" applyAlignment="1">
      <alignment horizontal="center" vertical="top" wrapText="1"/>
    </xf>
    <xf numFmtId="0" fontId="221" fillId="0" borderId="67" xfId="554" applyFont="1" applyBorder="1" applyAlignment="1">
      <alignment vertical="top" wrapText="1"/>
    </xf>
    <xf numFmtId="0" fontId="221" fillId="0" borderId="67" xfId="554" applyFont="1" applyBorder="1" applyAlignment="1">
      <alignment horizontal="left" vertical="top" wrapText="1"/>
    </xf>
    <xf numFmtId="1" fontId="123" fillId="0" borderId="67" xfId="554" applyNumberFormat="1" applyFont="1" applyBorder="1" applyAlignment="1">
      <alignment horizontal="center" vertical="top" wrapText="1"/>
    </xf>
    <xf numFmtId="170" fontId="123" fillId="0" borderId="67" xfId="554" applyNumberFormat="1" applyFont="1" applyBorder="1" applyAlignment="1">
      <alignment horizontal="center" vertical="top" wrapText="1"/>
    </xf>
    <xf numFmtId="0" fontId="134" fillId="34" borderId="67" xfId="554" applyFont="1" applyFill="1" applyBorder="1" applyAlignment="1">
      <alignment horizontal="center" vertical="top" wrapText="1"/>
    </xf>
    <xf numFmtId="0" fontId="134" fillId="34" borderId="67" xfId="554" applyFont="1" applyFill="1" applyBorder="1" applyAlignment="1">
      <alignment horizontal="left" vertical="top" wrapText="1"/>
    </xf>
    <xf numFmtId="0" fontId="39" fillId="34" borderId="67" xfId="554" applyFont="1" applyFill="1" applyBorder="1" applyAlignment="1">
      <alignment horizontal="center" vertical="top" wrapText="1"/>
    </xf>
    <xf numFmtId="3" fontId="39" fillId="0" borderId="67" xfId="554" applyNumberFormat="1" applyFont="1" applyBorder="1" applyAlignment="1">
      <alignment horizontal="center" vertical="top" wrapText="1"/>
    </xf>
    <xf numFmtId="193" fontId="39" fillId="0" borderId="67" xfId="554" applyNumberFormat="1" applyFont="1" applyBorder="1" applyAlignment="1">
      <alignment horizontal="center" vertical="top" wrapText="1"/>
    </xf>
    <xf numFmtId="3" fontId="134" fillId="0" borderId="67" xfId="554" applyNumberFormat="1" applyFont="1" applyBorder="1" applyAlignment="1">
      <alignment horizontal="center" vertical="top" wrapText="1"/>
    </xf>
    <xf numFmtId="0" fontId="148" fillId="0" borderId="5" xfId="552" applyFont="1" applyBorder="1"/>
    <xf numFmtId="0" fontId="148" fillId="0" borderId="0" xfId="552" applyFont="1"/>
    <xf numFmtId="0" fontId="148" fillId="0" borderId="0" xfId="554" applyFont="1"/>
    <xf numFmtId="1" fontId="31" fillId="0" borderId="0" xfId="0" applyNumberFormat="1" applyFont="1"/>
    <xf numFmtId="0" fontId="31" fillId="0" borderId="57" xfId="0" applyFont="1" applyBorder="1" applyAlignment="1">
      <alignment horizontal="center" vertical="center" wrapText="1"/>
    </xf>
    <xf numFmtId="4" fontId="40" fillId="0" borderId="42" xfId="0" applyNumberFormat="1" applyFont="1" applyBorder="1" applyAlignment="1">
      <alignment horizontal="center" vertical="center" wrapText="1"/>
    </xf>
    <xf numFmtId="49" fontId="31" fillId="0" borderId="39" xfId="0" applyNumberFormat="1" applyFont="1" applyBorder="1" applyAlignment="1">
      <alignment horizontal="center" vertical="center" wrapText="1"/>
    </xf>
    <xf numFmtId="49" fontId="31" fillId="0" borderId="39" xfId="0" applyNumberFormat="1" applyFont="1" applyBorder="1" applyAlignment="1">
      <alignment horizontal="center" vertical="top" wrapText="1"/>
    </xf>
    <xf numFmtId="3" fontId="139" fillId="0" borderId="1" xfId="224" applyNumberFormat="1" applyFont="1" applyBorder="1" applyAlignment="1">
      <alignment horizontal="center" vertical="center" wrapText="1"/>
    </xf>
    <xf numFmtId="177" fontId="139" fillId="0" borderId="1" xfId="224" applyNumberFormat="1" applyFont="1" applyBorder="1" applyAlignment="1">
      <alignment horizontal="center" vertical="center" wrapText="1"/>
    </xf>
    <xf numFmtId="182" fontId="139" fillId="0" borderId="1" xfId="224" applyNumberFormat="1" applyFont="1" applyBorder="1" applyAlignment="1">
      <alignment horizontal="center" vertical="center" wrapText="1"/>
    </xf>
    <xf numFmtId="0" fontId="0" fillId="0" borderId="0" xfId="0" applyAlignment="1">
      <alignment horizontal="left"/>
    </xf>
    <xf numFmtId="179" fontId="0" fillId="0" borderId="0" xfId="0" applyNumberFormat="1"/>
    <xf numFmtId="49" fontId="31" fillId="0" borderId="44" xfId="0" applyNumberFormat="1" applyFont="1" applyBorder="1" applyAlignment="1">
      <alignment horizontal="center" vertical="top" wrapText="1"/>
    </xf>
    <xf numFmtId="0" fontId="93" fillId="0" borderId="0" xfId="0" applyFont="1" applyAlignment="1">
      <alignment horizontal="center" wrapText="1"/>
    </xf>
    <xf numFmtId="2" fontId="31" fillId="0" borderId="52" xfId="0" applyNumberFormat="1" applyFont="1" applyBorder="1" applyAlignment="1">
      <alignment horizontal="center" vertical="center" wrapText="1"/>
    </xf>
    <xf numFmtId="2" fontId="31" fillId="0" borderId="73" xfId="0" applyNumberFormat="1" applyFont="1" applyBorder="1" applyAlignment="1">
      <alignment horizontal="center" vertical="center" wrapText="1"/>
    </xf>
    <xf numFmtId="2" fontId="31" fillId="0" borderId="79" xfId="0" applyNumberFormat="1" applyFont="1" applyBorder="1" applyAlignment="1">
      <alignment horizontal="center" vertical="center" wrapText="1"/>
    </xf>
    <xf numFmtId="1" fontId="31" fillId="0" borderId="52" xfId="0" applyNumberFormat="1" applyFont="1" applyBorder="1" applyAlignment="1">
      <alignment horizontal="center" vertical="center" wrapText="1"/>
    </xf>
    <xf numFmtId="1" fontId="31" fillId="0" borderId="73" xfId="0" applyNumberFormat="1" applyFont="1" applyBorder="1" applyAlignment="1">
      <alignment horizontal="center" vertical="center" wrapText="1"/>
    </xf>
    <xf numFmtId="0" fontId="31" fillId="0" borderId="79" xfId="0" applyFont="1" applyBorder="1" applyAlignment="1">
      <alignment horizontal="center" vertical="center" wrapText="1"/>
    </xf>
    <xf numFmtId="193" fontId="39" fillId="0" borderId="1" xfId="0" applyNumberFormat="1" applyFont="1" applyBorder="1" applyAlignment="1">
      <alignment horizontal="center" vertical="center" wrapText="1"/>
    </xf>
    <xf numFmtId="182" fontId="139" fillId="0" borderId="39" xfId="224" applyNumberFormat="1" applyFont="1" applyBorder="1" applyAlignment="1">
      <alignment horizontal="center" vertical="center" wrapText="1"/>
    </xf>
    <xf numFmtId="177" fontId="31" fillId="0" borderId="40" xfId="0" applyNumberFormat="1" applyFont="1" applyBorder="1" applyAlignment="1">
      <alignment horizontal="center" vertical="center" wrapText="1"/>
    </xf>
    <xf numFmtId="175" fontId="31" fillId="0" borderId="39" xfId="0" applyNumberFormat="1" applyFont="1" applyBorder="1" applyAlignment="1">
      <alignment horizontal="center" vertical="center" wrapText="1"/>
    </xf>
    <xf numFmtId="175" fontId="31" fillId="0" borderId="40" xfId="0" applyNumberFormat="1" applyFont="1" applyBorder="1" applyAlignment="1">
      <alignment horizontal="center" vertical="center" wrapText="1"/>
    </xf>
    <xf numFmtId="177" fontId="139" fillId="0" borderId="40" xfId="224" applyNumberFormat="1" applyFont="1" applyBorder="1" applyAlignment="1">
      <alignment horizontal="center" vertical="center" wrapText="1"/>
    </xf>
    <xf numFmtId="0" fontId="31" fillId="0" borderId="40" xfId="0" applyFont="1" applyBorder="1" applyAlignment="1">
      <alignment vertical="center" wrapText="1"/>
    </xf>
    <xf numFmtId="0" fontId="31" fillId="0" borderId="138" xfId="0" applyFont="1" applyBorder="1" applyAlignment="1">
      <alignment vertical="center" wrapText="1"/>
    </xf>
    <xf numFmtId="0" fontId="31" fillId="0" borderId="46" xfId="0" applyFont="1" applyBorder="1" applyAlignment="1">
      <alignment vertical="center" wrapText="1"/>
    </xf>
    <xf numFmtId="182" fontId="139" fillId="0" borderId="40" xfId="224" applyNumberFormat="1" applyFont="1" applyBorder="1" applyAlignment="1">
      <alignment horizontal="center" vertical="center" wrapText="1"/>
    </xf>
    <xf numFmtId="177" fontId="31" fillId="0" borderId="39" xfId="0" applyNumberFormat="1" applyFont="1" applyBorder="1" applyAlignment="1">
      <alignment horizontal="center" vertical="center" wrapText="1"/>
    </xf>
    <xf numFmtId="9" fontId="32" fillId="0" borderId="1" xfId="557" applyFont="1" applyBorder="1" applyAlignment="1">
      <alignment horizontal="right" vertical="center"/>
    </xf>
    <xf numFmtId="4" fontId="140" fillId="30" borderId="101" xfId="116" applyNumberFormat="1" applyFont="1" applyFill="1" applyBorder="1" applyAlignment="1">
      <alignment horizontal="right"/>
    </xf>
    <xf numFmtId="4" fontId="281" fillId="0" borderId="28" xfId="116" applyNumberFormat="1" applyFont="1" applyBorder="1" applyAlignment="1">
      <alignment horizontal="left"/>
    </xf>
    <xf numFmtId="4" fontId="94" fillId="0" borderId="0" xfId="0" applyNumberFormat="1" applyFont="1"/>
    <xf numFmtId="0" fontId="117" fillId="0" borderId="0" xfId="0" applyFont="1" applyAlignment="1">
      <alignment horizontal="left" vertical="center" wrapText="1"/>
    </xf>
    <xf numFmtId="4" fontId="117" fillId="0" borderId="0" xfId="0" applyNumberFormat="1" applyFont="1" applyAlignment="1">
      <alignment horizontal="right" wrapText="1"/>
    </xf>
    <xf numFmtId="0" fontId="198" fillId="0" borderId="1" xfId="0" applyFont="1" applyBorder="1" applyAlignment="1">
      <alignment horizontal="center" vertical="center" wrapText="1"/>
    </xf>
    <xf numFmtId="0" fontId="198" fillId="0" borderId="57" xfId="0" applyFont="1" applyBorder="1" applyAlignment="1">
      <alignment horizontal="center" vertical="center" wrapText="1"/>
    </xf>
    <xf numFmtId="0" fontId="198" fillId="0" borderId="58" xfId="0" applyFont="1" applyBorder="1" applyAlignment="1">
      <alignment vertical="center" wrapText="1"/>
    </xf>
    <xf numFmtId="0" fontId="198" fillId="0" borderId="39" xfId="0" applyFont="1" applyBorder="1" applyAlignment="1">
      <alignment horizontal="center" vertical="center" wrapText="1"/>
    </xf>
    <xf numFmtId="0" fontId="198" fillId="0" borderId="44" xfId="0" applyFont="1" applyBorder="1" applyAlignment="1">
      <alignment horizontal="center" vertical="center" wrapText="1"/>
    </xf>
    <xf numFmtId="0" fontId="198" fillId="0" borderId="45" xfId="0" applyFont="1" applyBorder="1" applyAlignment="1">
      <alignment horizontal="center" vertical="center" wrapText="1"/>
    </xf>
    <xf numFmtId="2" fontId="117" fillId="0" borderId="58" xfId="0" applyNumberFormat="1" applyFont="1" applyBorder="1" applyAlignment="1">
      <alignment horizontal="center" vertical="center" wrapText="1"/>
    </xf>
    <xf numFmtId="2" fontId="117" fillId="0" borderId="1" xfId="0" applyNumberFormat="1" applyFont="1" applyBorder="1" applyAlignment="1">
      <alignment horizontal="center" vertical="center" wrapText="1"/>
    </xf>
    <xf numFmtId="2" fontId="117" fillId="0" borderId="45" xfId="0" applyNumberFormat="1" applyFont="1" applyBorder="1" applyAlignment="1">
      <alignment horizontal="center" vertical="center" wrapText="1"/>
    </xf>
    <xf numFmtId="2" fontId="199" fillId="0" borderId="59" xfId="0" applyNumberFormat="1" applyFont="1" applyBorder="1" applyAlignment="1">
      <alignment vertical="center" wrapText="1"/>
    </xf>
    <xf numFmtId="2" fontId="199" fillId="0" borderId="40" xfId="0" applyNumberFormat="1" applyFont="1" applyBorder="1" applyAlignment="1">
      <alignment horizontal="right" vertical="center" wrapText="1"/>
    </xf>
    <xf numFmtId="2" fontId="199" fillId="0" borderId="46" xfId="0" applyNumberFormat="1" applyFont="1" applyBorder="1" applyAlignment="1">
      <alignment horizontal="right" vertical="center" wrapText="1"/>
    </xf>
    <xf numFmtId="0" fontId="117" fillId="0" borderId="49" xfId="0" applyFont="1" applyBorder="1" applyAlignment="1">
      <alignment horizontal="left" vertical="center" wrapText="1"/>
    </xf>
    <xf numFmtId="0" fontId="117" fillId="0" borderId="93" xfId="0" applyFont="1" applyBorder="1" applyAlignment="1">
      <alignment horizontal="left" vertical="center" wrapText="1"/>
    </xf>
    <xf numFmtId="0" fontId="117" fillId="0" borderId="1" xfId="0" applyFont="1" applyBorder="1" applyAlignment="1">
      <alignment horizontal="left" vertical="center" wrapText="1"/>
    </xf>
    <xf numFmtId="0" fontId="32" fillId="0" borderId="0" xfId="0" applyFont="1" applyAlignment="1">
      <alignment horizontal="center" vertical="top" wrapText="1"/>
    </xf>
    <xf numFmtId="0" fontId="177" fillId="0" borderId="32" xfId="0" applyFont="1" applyBorder="1" applyAlignment="1">
      <alignment horizontal="left" wrapText="1"/>
    </xf>
    <xf numFmtId="0" fontId="177" fillId="0" borderId="32" xfId="0" applyFont="1" applyBorder="1" applyAlignment="1">
      <alignment horizontal="center" wrapText="1"/>
    </xf>
    <xf numFmtId="0" fontId="81" fillId="0" borderId="32"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2" xfId="0" applyFont="1" applyBorder="1" applyAlignment="1">
      <alignment horizontal="center" wrapText="1"/>
    </xf>
    <xf numFmtId="0" fontId="99" fillId="0" borderId="0" xfId="0" applyFont="1" applyAlignment="1">
      <alignment horizontal="center" vertical="center"/>
    </xf>
    <xf numFmtId="0" fontId="162" fillId="0" borderId="0" xfId="0" applyFont="1" applyAlignment="1">
      <alignment horizontal="left" vertical="center" wrapText="1"/>
    </xf>
    <xf numFmtId="0" fontId="100" fillId="0" borderId="0" xfId="0" applyFont="1" applyAlignment="1">
      <alignment horizontal="left" vertical="center" wrapText="1"/>
    </xf>
    <xf numFmtId="0" fontId="30" fillId="0" borderId="0" xfId="0" applyFont="1" applyAlignment="1">
      <alignment horizontal="center" vertical="center"/>
    </xf>
    <xf numFmtId="0" fontId="100" fillId="0" borderId="5" xfId="0" applyFont="1" applyBorder="1" applyAlignment="1">
      <alignment horizontal="center" vertical="center" wrapText="1"/>
    </xf>
    <xf numFmtId="0" fontId="30" fillId="0" borderId="77" xfId="0" applyFont="1" applyBorder="1" applyAlignment="1">
      <alignment horizontal="center" vertical="center"/>
    </xf>
    <xf numFmtId="0" fontId="100" fillId="0" borderId="5" xfId="0" applyFont="1" applyBorder="1" applyAlignment="1">
      <alignment horizontal="left" vertical="center" wrapText="1"/>
    </xf>
    <xf numFmtId="0" fontId="39" fillId="0" borderId="0" xfId="0" applyFont="1" applyAlignment="1">
      <alignment horizontal="center" vertical="center"/>
    </xf>
    <xf numFmtId="0" fontId="100" fillId="0" borderId="0" xfId="0" applyFont="1" applyAlignment="1">
      <alignment horizontal="left" vertical="center"/>
    </xf>
    <xf numFmtId="0" fontId="32" fillId="0" borderId="0" xfId="0" applyFont="1" applyAlignment="1">
      <alignment horizontal="right" vertical="center"/>
    </xf>
    <xf numFmtId="0" fontId="32" fillId="0" borderId="77" xfId="0" applyFont="1" applyBorder="1" applyAlignment="1">
      <alignment horizontal="center" vertical="center"/>
    </xf>
    <xf numFmtId="0" fontId="93" fillId="0" borderId="0" xfId="0" applyFont="1" applyAlignment="1">
      <alignment horizontal="left" vertical="center"/>
    </xf>
    <xf numFmtId="0" fontId="32" fillId="0" borderId="0" xfId="0" applyFont="1" applyAlignment="1">
      <alignment horizontal="left" vertical="center"/>
    </xf>
    <xf numFmtId="0" fontId="30" fillId="0" borderId="0" xfId="0" applyFont="1" applyAlignment="1">
      <alignment horizontal="center" vertical="center" wrapText="1"/>
    </xf>
    <xf numFmtId="0" fontId="100" fillId="0" borderId="0" xfId="0" applyFont="1" applyAlignment="1">
      <alignment horizontal="center" vertical="center" wrapText="1"/>
    </xf>
    <xf numFmtId="0" fontId="32" fillId="0" borderId="0" xfId="240" applyFont="1" applyAlignment="1">
      <alignment horizontal="center"/>
    </xf>
    <xf numFmtId="0" fontId="32" fillId="0" borderId="0" xfId="240" applyFont="1" applyAlignment="1">
      <alignment horizontal="center" vertical="top" wrapText="1"/>
    </xf>
    <xf numFmtId="0" fontId="30" fillId="0" borderId="48" xfId="240" applyFont="1" applyBorder="1" applyAlignment="1">
      <alignment horizontal="center" vertical="center" wrapText="1"/>
    </xf>
    <xf numFmtId="0" fontId="30" fillId="0" borderId="49" xfId="240" applyFont="1" applyBorder="1" applyAlignment="1">
      <alignment horizontal="center" vertical="center" wrapText="1"/>
    </xf>
    <xf numFmtId="0" fontId="30" fillId="0" borderId="107" xfId="240" applyFont="1" applyBorder="1" applyAlignment="1">
      <alignment horizontal="center" vertical="center" wrapText="1"/>
    </xf>
    <xf numFmtId="0" fontId="30" fillId="0" borderId="42" xfId="240" applyFont="1" applyBorder="1" applyAlignment="1">
      <alignment horizontal="center" vertical="center" wrapText="1"/>
    </xf>
    <xf numFmtId="0" fontId="30" fillId="0" borderId="3" xfId="240" applyFont="1" applyBorder="1" applyAlignment="1">
      <alignment horizontal="center" vertical="center" wrapText="1"/>
    </xf>
    <xf numFmtId="0" fontId="30" fillId="0" borderId="43" xfId="240" applyFont="1" applyBorder="1" applyAlignment="1">
      <alignment horizontal="center" vertical="center" wrapText="1"/>
    </xf>
    <xf numFmtId="0" fontId="29" fillId="0" borderId="0" xfId="240" applyFont="1" applyAlignment="1">
      <alignment horizontal="left" vertical="center" wrapText="1"/>
    </xf>
    <xf numFmtId="0" fontId="29" fillId="0" borderId="0" xfId="240" applyFont="1" applyAlignment="1">
      <alignment horizontal="left" vertical="top" wrapText="1"/>
    </xf>
    <xf numFmtId="0" fontId="32" fillId="0" borderId="0" xfId="240" applyFont="1"/>
    <xf numFmtId="0" fontId="32" fillId="0" borderId="0" xfId="0" applyFont="1"/>
    <xf numFmtId="49" fontId="29" fillId="0" borderId="8" xfId="240" applyNumberFormat="1" applyFont="1" applyBorder="1" applyAlignment="1">
      <alignment vertical="center" wrapText="1"/>
    </xf>
    <xf numFmtId="49" fontId="29" fillId="0" borderId="48" xfId="240" applyNumberFormat="1" applyFont="1" applyBorder="1" applyAlignment="1">
      <alignment horizontal="center" vertical="center" wrapText="1"/>
    </xf>
    <xf numFmtId="49" fontId="29" fillId="0" borderId="51" xfId="240" applyNumberFormat="1" applyFont="1" applyBorder="1" applyAlignment="1">
      <alignment horizontal="center" vertical="center" wrapText="1"/>
    </xf>
    <xf numFmtId="49" fontId="29" fillId="0" borderId="42" xfId="240" applyNumberFormat="1" applyFont="1" applyBorder="1" applyAlignment="1">
      <alignment horizontal="center" vertical="center" wrapText="1"/>
    </xf>
    <xf numFmtId="0" fontId="32" fillId="0" borderId="49" xfId="240" applyFont="1" applyBorder="1" applyAlignment="1">
      <alignment horizontal="center" vertical="center" wrapText="1"/>
    </xf>
    <xf numFmtId="0" fontId="32" fillId="0" borderId="4" xfId="240" applyFont="1" applyBorder="1" applyAlignment="1">
      <alignment horizontal="center" vertical="center" wrapText="1"/>
    </xf>
    <xf numFmtId="0" fontId="32" fillId="0" borderId="3" xfId="240" applyFont="1" applyBorder="1" applyAlignment="1">
      <alignment horizontal="center" vertical="center" wrapText="1"/>
    </xf>
    <xf numFmtId="0" fontId="30" fillId="0" borderId="50" xfId="240" applyFont="1" applyBorder="1" applyAlignment="1">
      <alignment horizontal="center" vertical="center" wrapText="1"/>
    </xf>
    <xf numFmtId="0" fontId="30" fillId="0" borderId="25" xfId="240" applyFont="1" applyBorder="1" applyAlignment="1">
      <alignment horizontal="center" vertical="center" wrapText="1"/>
    </xf>
    <xf numFmtId="0" fontId="30" fillId="0" borderId="10" xfId="240" applyFont="1" applyBorder="1" applyAlignment="1">
      <alignment horizontal="center" vertical="center" wrapText="1"/>
    </xf>
    <xf numFmtId="0" fontId="31" fillId="32" borderId="0" xfId="240" applyFont="1" applyFill="1" applyAlignment="1">
      <alignment horizontal="left" vertical="top" wrapText="1"/>
    </xf>
    <xf numFmtId="0" fontId="40" fillId="32" borderId="0" xfId="240" applyFont="1" applyFill="1" applyAlignment="1">
      <alignment horizontal="center"/>
    </xf>
    <xf numFmtId="0" fontId="131" fillId="0" borderId="0" xfId="240" applyFont="1" applyAlignment="1">
      <alignment horizontal="center"/>
    </xf>
    <xf numFmtId="0" fontId="31" fillId="0" borderId="0" xfId="240" applyFont="1" applyAlignment="1">
      <alignment horizontal="right"/>
    </xf>
    <xf numFmtId="0" fontId="28" fillId="0" borderId="0" xfId="240" applyFont="1" applyAlignment="1">
      <alignment horizontal="left" wrapText="1"/>
    </xf>
    <xf numFmtId="0" fontId="40" fillId="0" borderId="5" xfId="240" applyFont="1" applyBorder="1" applyAlignment="1">
      <alignment horizontal="right"/>
    </xf>
    <xf numFmtId="0" fontId="40" fillId="0" borderId="0" xfId="240" applyFont="1" applyAlignment="1">
      <alignment horizontal="center" wrapText="1"/>
    </xf>
    <xf numFmtId="0" fontId="31" fillId="0" borderId="0" xfId="240" applyFont="1" applyAlignment="1">
      <alignment horizontal="center"/>
    </xf>
    <xf numFmtId="0" fontId="40" fillId="0" borderId="0" xfId="240" applyFont="1" applyAlignment="1">
      <alignment horizontal="center"/>
    </xf>
    <xf numFmtId="0" fontId="88" fillId="0" borderId="0" xfId="0" applyFont="1" applyAlignment="1">
      <alignment horizontal="left" vertical="top" wrapText="1"/>
    </xf>
    <xf numFmtId="0" fontId="28" fillId="0" borderId="0" xfId="240" applyFont="1" applyAlignment="1">
      <alignment horizontal="left" vertical="top" wrapText="1"/>
    </xf>
    <xf numFmtId="49" fontId="29" fillId="0" borderId="79" xfId="240" applyNumberFormat="1" applyFont="1" applyBorder="1" applyAlignment="1">
      <alignment horizontal="center" vertical="center" wrapText="1"/>
    </xf>
    <xf numFmtId="49" fontId="29" fillId="0" borderId="4" xfId="240" applyNumberFormat="1" applyFont="1" applyBorder="1" applyAlignment="1">
      <alignment horizontal="center" vertical="center" wrapText="1"/>
    </xf>
    <xf numFmtId="49" fontId="29" fillId="0" borderId="3" xfId="240" applyNumberFormat="1" applyFont="1" applyBorder="1" applyAlignment="1">
      <alignment horizontal="center" vertical="center" wrapText="1"/>
    </xf>
    <xf numFmtId="0" fontId="31" fillId="0" borderId="79" xfId="240" applyFont="1" applyBorder="1" applyAlignment="1">
      <alignment horizontal="center" vertical="center" wrapText="1"/>
    </xf>
    <xf numFmtId="0" fontId="31" fillId="0" borderId="4" xfId="240" applyFont="1" applyBorder="1" applyAlignment="1">
      <alignment horizontal="center" vertical="center" wrapText="1"/>
    </xf>
    <xf numFmtId="0" fontId="31" fillId="0" borderId="3" xfId="240" applyFont="1" applyBorder="1" applyAlignment="1">
      <alignment horizontal="center" vertical="center" wrapText="1"/>
    </xf>
    <xf numFmtId="0" fontId="29" fillId="0" borderId="79" xfId="240" applyFont="1" applyBorder="1" applyAlignment="1">
      <alignment horizontal="center" vertical="center" wrapText="1"/>
    </xf>
    <xf numFmtId="0" fontId="29" fillId="0" borderId="4" xfId="240" applyFont="1" applyBorder="1" applyAlignment="1">
      <alignment horizontal="center" vertical="center" wrapText="1"/>
    </xf>
    <xf numFmtId="0" fontId="29" fillId="0" borderId="3" xfId="240" applyFont="1" applyBorder="1" applyAlignment="1">
      <alignment horizontal="center" vertical="center" wrapText="1"/>
    </xf>
    <xf numFmtId="0" fontId="29" fillId="0" borderId="1" xfId="240" applyFont="1" applyBorder="1" applyAlignment="1">
      <alignment horizontal="center" vertical="center" wrapText="1"/>
    </xf>
    <xf numFmtId="0" fontId="30" fillId="0" borderId="8" xfId="240" applyFont="1" applyBorder="1" applyAlignment="1">
      <alignment horizontal="center" vertical="center" wrapText="1"/>
    </xf>
    <xf numFmtId="0" fontId="30" fillId="0" borderId="9" xfId="240" applyFont="1" applyBorder="1" applyAlignment="1">
      <alignment horizontal="center" vertical="center" wrapText="1"/>
    </xf>
    <xf numFmtId="0" fontId="30" fillId="0" borderId="7" xfId="240" applyFont="1" applyBorder="1" applyAlignment="1">
      <alignment horizontal="center" vertical="center" wrapText="1"/>
    </xf>
    <xf numFmtId="0" fontId="28" fillId="0" borderId="0" xfId="240" applyFont="1" applyAlignment="1">
      <alignment horizontal="center" vertical="top" wrapText="1"/>
    </xf>
    <xf numFmtId="0" fontId="28" fillId="0" borderId="0" xfId="240" applyFont="1" applyAlignment="1" applyProtection="1">
      <alignment horizontal="center" wrapText="1"/>
      <protection locked="0"/>
    </xf>
    <xf numFmtId="0" fontId="92" fillId="0" borderId="0" xfId="240" applyFont="1" applyAlignment="1" applyProtection="1">
      <alignment horizontal="center" wrapText="1"/>
      <protection locked="0"/>
    </xf>
    <xf numFmtId="0" fontId="30" fillId="0" borderId="0" xfId="240" applyFont="1" applyAlignment="1">
      <alignment horizontal="center" wrapText="1"/>
    </xf>
    <xf numFmtId="0" fontId="92" fillId="0" borderId="0" xfId="240" applyFont="1" applyAlignment="1">
      <alignment horizontal="center" wrapText="1"/>
    </xf>
    <xf numFmtId="0" fontId="30" fillId="0" borderId="0" xfId="240" applyFont="1" applyAlignment="1">
      <alignment horizontal="center" vertical="top" wrapText="1"/>
    </xf>
    <xf numFmtId="0" fontId="31" fillId="0" borderId="0" xfId="240" applyFont="1" applyAlignment="1">
      <alignment horizontal="center" vertical="center" wrapText="1"/>
    </xf>
    <xf numFmtId="0" fontId="28" fillId="0" borderId="5" xfId="240" applyFont="1" applyBorder="1" applyAlignment="1">
      <alignment horizontal="right"/>
    </xf>
    <xf numFmtId="0" fontId="28" fillId="0" borderId="5" xfId="0" applyFont="1" applyBorder="1"/>
    <xf numFmtId="0" fontId="31" fillId="0" borderId="1" xfId="240" applyFont="1" applyBorder="1" applyAlignment="1">
      <alignment horizontal="center" vertical="center" wrapText="1"/>
    </xf>
    <xf numFmtId="0" fontId="31" fillId="0" borderId="0" xfId="240" applyFont="1" applyAlignment="1">
      <alignment horizontal="center" vertical="top" wrapText="1"/>
    </xf>
    <xf numFmtId="0" fontId="140" fillId="0" borderId="5" xfId="555" applyFont="1" applyBorder="1" applyAlignment="1">
      <alignment horizontal="center" vertical="center" wrapText="1"/>
    </xf>
    <xf numFmtId="0" fontId="39" fillId="0" borderId="0" xfId="555" applyFont="1" applyAlignment="1">
      <alignment horizontal="center" vertical="top" wrapText="1"/>
    </xf>
    <xf numFmtId="0" fontId="39" fillId="0" borderId="0" xfId="555" applyFont="1" applyAlignment="1">
      <alignment horizontal="left" vertical="top" wrapText="1"/>
    </xf>
    <xf numFmtId="0" fontId="31" fillId="0" borderId="0" xfId="556" applyFont="1" applyAlignment="1">
      <alignment horizontal="center" vertical="top" wrapText="1"/>
    </xf>
    <xf numFmtId="0" fontId="90" fillId="0" borderId="5" xfId="555" applyFont="1" applyBorder="1" applyAlignment="1">
      <alignment horizontal="center" vertical="center" wrapText="1"/>
    </xf>
    <xf numFmtId="0" fontId="122" fillId="0" borderId="57" xfId="555" applyFont="1" applyBorder="1" applyAlignment="1">
      <alignment horizontal="center" vertical="center" wrapText="1"/>
    </xf>
    <xf numFmtId="0" fontId="122" fillId="0" borderId="58" xfId="555" applyFont="1" applyBorder="1" applyAlignment="1">
      <alignment horizontal="center" vertical="center" wrapText="1"/>
    </xf>
    <xf numFmtId="0" fontId="122" fillId="0" borderId="59" xfId="555" applyFont="1" applyBorder="1" applyAlignment="1">
      <alignment horizontal="center" vertical="center" wrapText="1"/>
    </xf>
    <xf numFmtId="2" fontId="90" fillId="0" borderId="39" xfId="555" applyNumberFormat="1" applyFont="1" applyBorder="1" applyAlignment="1">
      <alignment horizontal="center" vertical="center" wrapText="1"/>
    </xf>
    <xf numFmtId="2" fontId="90" fillId="0" borderId="41" xfId="555" applyNumberFormat="1" applyFont="1" applyBorder="1" applyAlignment="1">
      <alignment horizontal="center" vertical="center" wrapText="1"/>
    </xf>
    <xf numFmtId="0" fontId="90" fillId="0" borderId="1" xfId="555" applyFont="1" applyBorder="1" applyAlignment="1">
      <alignment horizontal="center" vertical="center" wrapText="1"/>
    </xf>
    <xf numFmtId="0" fontId="90" fillId="0" borderId="40" xfId="555" applyFont="1" applyBorder="1" applyAlignment="1">
      <alignment horizontal="center" vertical="center" wrapText="1"/>
    </xf>
    <xf numFmtId="0" fontId="90" fillId="0" borderId="79" xfId="555" applyFont="1" applyBorder="1" applyAlignment="1">
      <alignment horizontal="center" vertical="center" wrapText="1"/>
    </xf>
    <xf numFmtId="0" fontId="90" fillId="0" borderId="47" xfId="555" applyFont="1" applyBorder="1" applyAlignment="1">
      <alignment horizontal="center" vertical="center" wrapText="1"/>
    </xf>
    <xf numFmtId="0" fontId="122" fillId="0" borderId="97" xfId="555" applyFont="1" applyBorder="1" applyAlignment="1">
      <alignment horizontal="center" vertical="center" wrapText="1"/>
    </xf>
    <xf numFmtId="0" fontId="122" fillId="0" borderId="36" xfId="555" applyFont="1" applyBorder="1" applyAlignment="1">
      <alignment horizontal="center" vertical="center" wrapText="1"/>
    </xf>
    <xf numFmtId="0" fontId="122" fillId="0" borderId="31" xfId="555" applyFont="1" applyBorder="1" applyAlignment="1">
      <alignment horizontal="center" vertical="center" wrapText="1"/>
    </xf>
    <xf numFmtId="0" fontId="172" fillId="0" borderId="0" xfId="555" applyFont="1" applyAlignment="1">
      <alignment horizontal="center" vertical="center" wrapText="1"/>
    </xf>
    <xf numFmtId="0" fontId="90" fillId="0" borderId="0" xfId="555" applyFont="1" applyAlignment="1">
      <alignment horizontal="center" vertical="center" wrapText="1"/>
    </xf>
    <xf numFmtId="49" fontId="39" fillId="0" borderId="0" xfId="555" applyNumberFormat="1" applyFont="1" applyAlignment="1">
      <alignment horizontal="left" vertical="center"/>
    </xf>
    <xf numFmtId="0" fontId="122" fillId="0" borderId="61" xfId="555" applyFont="1" applyBorder="1" applyAlignment="1">
      <alignment horizontal="center" vertical="center" wrapText="1"/>
    </xf>
    <xf numFmtId="0" fontId="122" fillId="0" borderId="62" xfId="555" applyFont="1" applyBorder="1" applyAlignment="1">
      <alignment horizontal="center" vertical="center" wrapText="1"/>
    </xf>
    <xf numFmtId="0" fontId="39" fillId="0" borderId="0" xfId="555" applyFont="1" applyAlignment="1">
      <alignment horizontal="center" vertical="center" wrapText="1"/>
    </xf>
    <xf numFmtId="0" fontId="171" fillId="0" borderId="0" xfId="555" applyFont="1" applyAlignment="1">
      <alignment horizontal="center" vertical="center" wrapText="1"/>
    </xf>
    <xf numFmtId="0" fontId="171" fillId="0" borderId="0" xfId="555" applyFont="1" applyAlignment="1">
      <alignment horizontal="center" vertical="center"/>
    </xf>
    <xf numFmtId="0" fontId="122" fillId="0" borderId="30" xfId="555" applyFont="1" applyBorder="1" applyAlignment="1">
      <alignment horizontal="left" vertical="center" wrapText="1"/>
    </xf>
    <xf numFmtId="0" fontId="122" fillId="0" borderId="36" xfId="555" applyFont="1" applyBorder="1" applyAlignment="1">
      <alignment horizontal="left" vertical="center" wrapText="1"/>
    </xf>
    <xf numFmtId="0" fontId="122" fillId="0" borderId="31" xfId="555" applyFont="1" applyBorder="1" applyAlignment="1">
      <alignment horizontal="left" vertical="center" wrapText="1"/>
    </xf>
    <xf numFmtId="0" fontId="122" fillId="0" borderId="39" xfId="555" applyFont="1" applyBorder="1" applyAlignment="1">
      <alignment horizontal="center" vertical="center" wrapText="1"/>
    </xf>
    <xf numFmtId="0" fontId="122" fillId="0" borderId="41" xfId="555" applyFont="1" applyBorder="1" applyAlignment="1">
      <alignment horizontal="center" vertical="center" wrapText="1"/>
    </xf>
    <xf numFmtId="0" fontId="122" fillId="0" borderId="40" xfId="555" applyFont="1" applyBorder="1" applyAlignment="1">
      <alignment horizontal="center" vertical="center" wrapText="1"/>
    </xf>
    <xf numFmtId="0" fontId="122" fillId="0" borderId="47" xfId="555" applyFont="1" applyBorder="1" applyAlignment="1">
      <alignment horizontal="center" vertical="center" wrapText="1"/>
    </xf>
    <xf numFmtId="0" fontId="122" fillId="0" borderId="1" xfId="555" applyFont="1" applyBorder="1" applyAlignment="1">
      <alignment horizontal="center" vertical="center" wrapText="1"/>
    </xf>
    <xf numFmtId="0" fontId="90" fillId="0" borderId="39" xfId="555" applyFont="1" applyBorder="1" applyAlignment="1">
      <alignment horizontal="center" vertical="center" wrapText="1"/>
    </xf>
    <xf numFmtId="0" fontId="90" fillId="0" borderId="41" xfId="555" applyFont="1" applyBorder="1" applyAlignment="1">
      <alignment horizontal="center" vertical="center" wrapText="1"/>
    </xf>
    <xf numFmtId="49" fontId="40" fillId="0" borderId="30" xfId="555" applyNumberFormat="1" applyFont="1" applyBorder="1" applyAlignment="1">
      <alignment horizontal="center" vertical="center"/>
    </xf>
    <xf numFmtId="49" fontId="40" fillId="0" borderId="36" xfId="555" applyNumberFormat="1" applyFont="1" applyBorder="1" applyAlignment="1">
      <alignment horizontal="center" vertical="center"/>
    </xf>
    <xf numFmtId="49" fontId="40" fillId="0" borderId="31" xfId="555" applyNumberFormat="1" applyFont="1" applyBorder="1" applyAlignment="1">
      <alignment horizontal="center" vertical="center"/>
    </xf>
    <xf numFmtId="49" fontId="31" fillId="0" borderId="41" xfId="555" applyNumberFormat="1" applyFont="1" applyBorder="1" applyAlignment="1">
      <alignment horizontal="center" vertical="center"/>
    </xf>
    <xf numFmtId="49" fontId="31" fillId="0" borderId="42" xfId="555" applyNumberFormat="1" applyFont="1" applyBorder="1" applyAlignment="1">
      <alignment horizontal="center" vertical="center"/>
    </xf>
    <xf numFmtId="0" fontId="122" fillId="0" borderId="60" xfId="555" applyFont="1" applyBorder="1" applyAlignment="1">
      <alignment horizontal="center" vertical="center" wrapText="1"/>
    </xf>
    <xf numFmtId="0" fontId="147" fillId="0" borderId="0" xfId="555" applyFont="1" applyAlignment="1">
      <alignment horizontal="right" vertical="center" wrapText="1"/>
    </xf>
    <xf numFmtId="49" fontId="81" fillId="0" borderId="33" xfId="555" applyNumberFormat="1" applyFont="1" applyBorder="1" applyAlignment="1">
      <alignment horizontal="center" vertical="center" wrapText="1"/>
    </xf>
    <xf numFmtId="49" fontId="81" fillId="0" borderId="32" xfId="555" applyNumberFormat="1" applyFont="1" applyBorder="1" applyAlignment="1">
      <alignment horizontal="center" vertical="center" wrapText="1"/>
    </xf>
    <xf numFmtId="0" fontId="174" fillId="0" borderId="0" xfId="555" applyFont="1" applyAlignment="1">
      <alignment horizontal="center" vertical="center"/>
    </xf>
    <xf numFmtId="0" fontId="32" fillId="0" borderId="0" xfId="555" applyFont="1" applyAlignment="1">
      <alignment vertical="center" wrapText="1"/>
    </xf>
    <xf numFmtId="0" fontId="172" fillId="0" borderId="0" xfId="555" applyFont="1" applyAlignment="1">
      <alignment horizontal="center" vertical="center"/>
    </xf>
    <xf numFmtId="0" fontId="39" fillId="0" borderId="0" xfId="555" applyFont="1" applyAlignment="1">
      <alignment horizontal="center" vertical="center"/>
    </xf>
    <xf numFmtId="0" fontId="31" fillId="0" borderId="0" xfId="556" applyFont="1" applyAlignment="1">
      <alignment horizontal="center" vertical="center" wrapText="1"/>
    </xf>
    <xf numFmtId="0" fontId="90" fillId="0" borderId="0" xfId="555" applyFont="1" applyAlignment="1">
      <alignment vertical="top" wrapText="1"/>
    </xf>
    <xf numFmtId="0" fontId="90" fillId="0" borderId="0" xfId="555" applyFont="1" applyAlignment="1">
      <alignment horizontal="left" vertical="center" wrapText="1"/>
    </xf>
    <xf numFmtId="0" fontId="39" fillId="0" borderId="0" xfId="555" applyFont="1" applyAlignment="1">
      <alignment horizontal="left" vertical="center"/>
    </xf>
    <xf numFmtId="0" fontId="122" fillId="0" borderId="0" xfId="555" applyFont="1" applyAlignment="1">
      <alignment vertical="center"/>
    </xf>
    <xf numFmtId="0" fontId="122" fillId="0" borderId="64" xfId="555" applyFont="1" applyBorder="1" applyAlignment="1">
      <alignment horizontal="center" vertical="center" wrapText="1"/>
    </xf>
    <xf numFmtId="0" fontId="90" fillId="0" borderId="8" xfId="555" applyFont="1" applyBorder="1" applyAlignment="1">
      <alignment horizontal="center" vertical="center" wrapText="1"/>
    </xf>
    <xf numFmtId="0" fontId="90" fillId="0" borderId="9" xfId="555" applyFont="1" applyBorder="1" applyAlignment="1">
      <alignment horizontal="center" vertical="center" wrapText="1"/>
    </xf>
    <xf numFmtId="0" fontId="90" fillId="0" borderId="73" xfId="555" applyFont="1" applyBorder="1" applyAlignment="1">
      <alignment horizontal="center" vertical="center" wrapText="1"/>
    </xf>
    <xf numFmtId="49" fontId="122" fillId="0" borderId="57" xfId="555" applyNumberFormat="1" applyFont="1" applyBorder="1" applyAlignment="1">
      <alignment horizontal="center" vertical="center" wrapText="1"/>
    </xf>
    <xf numFmtId="49" fontId="122" fillId="0" borderId="39" xfId="555" applyNumberFormat="1" applyFont="1" applyBorder="1" applyAlignment="1">
      <alignment horizontal="center" vertical="center" wrapText="1"/>
    </xf>
    <xf numFmtId="0" fontId="90" fillId="0" borderId="4" xfId="555" applyFont="1" applyBorder="1" applyAlignment="1">
      <alignment horizontal="center" vertical="center" wrapText="1"/>
    </xf>
    <xf numFmtId="0" fontId="90" fillId="0" borderId="3" xfId="555" applyFont="1" applyBorder="1" applyAlignment="1">
      <alignment horizontal="center" vertical="center" wrapText="1"/>
    </xf>
    <xf numFmtId="0" fontId="169" fillId="0" borderId="8" xfId="0" applyFont="1" applyBorder="1" applyAlignment="1">
      <alignment horizontal="center" vertical="center" wrapText="1"/>
    </xf>
    <xf numFmtId="0" fontId="169" fillId="0" borderId="7" xfId="0" applyFont="1" applyBorder="1" applyAlignment="1">
      <alignment horizontal="center" vertical="center" wrapText="1"/>
    </xf>
    <xf numFmtId="0" fontId="177" fillId="0" borderId="8" xfId="0" applyFont="1" applyBorder="1" applyAlignment="1">
      <alignment horizontal="center" vertical="center" wrapText="1"/>
    </xf>
    <xf numFmtId="0" fontId="177" fillId="0" borderId="9" xfId="0" applyFont="1" applyBorder="1" applyAlignment="1">
      <alignment horizontal="center" vertical="center" wrapText="1"/>
    </xf>
    <xf numFmtId="0" fontId="177" fillId="0" borderId="119" xfId="0" applyFont="1" applyBorder="1" applyAlignment="1">
      <alignment horizontal="center" vertical="center" wrapText="1"/>
    </xf>
    <xf numFmtId="0" fontId="177" fillId="60" borderId="77" xfId="0" applyFont="1" applyFill="1" applyBorder="1" applyAlignment="1">
      <alignment horizontal="center"/>
    </xf>
    <xf numFmtId="0" fontId="169" fillId="0" borderId="0" xfId="0" applyFont="1" applyAlignment="1">
      <alignment horizontal="center"/>
    </xf>
    <xf numFmtId="0" fontId="177" fillId="0" borderId="79" xfId="0" applyFont="1" applyBorder="1" applyAlignment="1">
      <alignment horizontal="center" vertical="center" wrapText="1"/>
    </xf>
    <xf numFmtId="0" fontId="177" fillId="0" borderId="3" xfId="0" applyFont="1" applyBorder="1" applyAlignment="1">
      <alignment horizontal="center" vertical="center" wrapText="1"/>
    </xf>
    <xf numFmtId="0" fontId="177" fillId="0" borderId="118" xfId="0" applyFont="1" applyBorder="1" applyAlignment="1">
      <alignment horizontal="center" vertical="center" wrapText="1"/>
    </xf>
    <xf numFmtId="0" fontId="177" fillId="0" borderId="7" xfId="0" applyFont="1" applyBorder="1" applyAlignment="1">
      <alignment horizontal="center" vertical="center" wrapText="1"/>
    </xf>
    <xf numFmtId="0" fontId="40" fillId="0" borderId="1" xfId="0" applyFont="1" applyBorder="1" applyAlignment="1">
      <alignment horizontal="center" vertical="center" wrapText="1"/>
    </xf>
    <xf numFmtId="0" fontId="31"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169" fillId="60" borderId="0" xfId="0" applyFont="1" applyFill="1" applyAlignment="1">
      <alignment horizontal="center"/>
    </xf>
    <xf numFmtId="0" fontId="31" fillId="3" borderId="5" xfId="5" applyFont="1" applyFill="1" applyBorder="1" applyAlignment="1">
      <alignment horizontal="center"/>
    </xf>
    <xf numFmtId="0" fontId="31" fillId="31" borderId="0" xfId="5" applyFont="1" applyFill="1" applyAlignment="1">
      <alignment horizontal="center"/>
    </xf>
    <xf numFmtId="0" fontId="40" fillId="0" borderId="0" xfId="5" applyFont="1" applyAlignment="1">
      <alignment horizontal="center"/>
    </xf>
    <xf numFmtId="0" fontId="31" fillId="0" borderId="79"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 xfId="0" applyFont="1" applyBorder="1" applyAlignment="1">
      <alignment horizontal="center" vertical="center" wrapText="1"/>
    </xf>
    <xf numFmtId="0" fontId="40" fillId="31" borderId="0" xfId="5" applyFont="1" applyFill="1" applyAlignment="1">
      <alignment horizontal="center"/>
    </xf>
    <xf numFmtId="0" fontId="31" fillId="31" borderId="0" xfId="0" applyFont="1" applyFill="1" applyAlignment="1">
      <alignment horizontal="center" vertical="top" wrapText="1"/>
    </xf>
    <xf numFmtId="0" fontId="31" fillId="3" borderId="5" xfId="0" applyFont="1" applyFill="1" applyBorder="1" applyAlignment="1">
      <alignment horizontal="left" wrapText="1"/>
    </xf>
    <xf numFmtId="0" fontId="92" fillId="3" borderId="0" xfId="5" applyFont="1" applyFill="1" applyAlignment="1">
      <alignment horizontal="center" vertical="top" wrapText="1"/>
    </xf>
    <xf numFmtId="0" fontId="30" fillId="0" borderId="0" xfId="5" applyFont="1" applyAlignment="1">
      <alignment horizontal="center" vertical="top" wrapText="1"/>
    </xf>
    <xf numFmtId="49" fontId="134" fillId="34" borderId="79" xfId="224" applyNumberFormat="1" applyFont="1" applyFill="1" applyBorder="1" applyAlignment="1">
      <alignment horizontal="center" vertical="center" wrapText="1"/>
    </xf>
    <xf numFmtId="49" fontId="134" fillId="34" borderId="4" xfId="224" applyNumberFormat="1" applyFont="1" applyFill="1" applyBorder="1" applyAlignment="1">
      <alignment horizontal="center" vertical="center" wrapText="1"/>
    </xf>
    <xf numFmtId="49" fontId="134" fillId="34" borderId="3" xfId="224" applyNumberFormat="1" applyFont="1" applyFill="1" applyBorder="1" applyAlignment="1">
      <alignment horizontal="center" vertical="center" wrapText="1"/>
    </xf>
    <xf numFmtId="49" fontId="39" fillId="34" borderId="90" xfId="0" applyNumberFormat="1" applyFont="1" applyFill="1" applyBorder="1" applyAlignment="1">
      <alignment horizontal="center" vertical="center"/>
    </xf>
    <xf numFmtId="49" fontId="39" fillId="34" borderId="87" xfId="0" applyNumberFormat="1" applyFont="1" applyFill="1" applyBorder="1" applyAlignment="1">
      <alignment horizontal="center" vertical="center"/>
    </xf>
    <xf numFmtId="49" fontId="39" fillId="34" borderId="86" xfId="0" applyNumberFormat="1" applyFont="1" applyFill="1" applyBorder="1" applyAlignment="1">
      <alignment horizontal="center" vertical="center"/>
    </xf>
    <xf numFmtId="0" fontId="135" fillId="34" borderId="79" xfId="224" applyFont="1" applyFill="1" applyBorder="1" applyAlignment="1">
      <alignment horizontal="center" vertical="center"/>
    </xf>
    <xf numFmtId="0" fontId="135" fillId="34" borderId="4" xfId="224" applyFont="1" applyFill="1" applyBorder="1" applyAlignment="1">
      <alignment horizontal="center" vertical="center"/>
    </xf>
    <xf numFmtId="0" fontId="0" fillId="34" borderId="4" xfId="0" applyFill="1" applyBorder="1"/>
    <xf numFmtId="49" fontId="137" fillId="34" borderId="42" xfId="224" applyNumberFormat="1" applyFont="1" applyFill="1" applyBorder="1" applyAlignment="1">
      <alignment horizontal="center" vertical="center" wrapText="1"/>
    </xf>
    <xf numFmtId="49" fontId="137" fillId="34" borderId="39" xfId="224" applyNumberFormat="1" applyFont="1" applyFill="1" applyBorder="1" applyAlignment="1">
      <alignment horizontal="center" vertical="center" wrapText="1"/>
    </xf>
    <xf numFmtId="0" fontId="134" fillId="34" borderId="69" xfId="224" applyFont="1" applyFill="1" applyBorder="1" applyAlignment="1">
      <alignment horizontal="left" vertical="center" wrapText="1"/>
    </xf>
    <xf numFmtId="0" fontId="134" fillId="34" borderId="7" xfId="224" applyFont="1" applyFill="1" applyBorder="1" applyAlignment="1">
      <alignment horizontal="left" vertical="center" wrapText="1"/>
    </xf>
    <xf numFmtId="49" fontId="137" fillId="34" borderId="41" xfId="224" applyNumberFormat="1" applyFont="1" applyFill="1" applyBorder="1" applyAlignment="1">
      <alignment horizontal="center" vertical="center" wrapText="1"/>
    </xf>
    <xf numFmtId="0" fontId="135" fillId="34" borderId="7" xfId="224" applyFont="1" applyFill="1" applyBorder="1" applyAlignment="1">
      <alignment horizontal="left" vertical="center" wrapText="1"/>
    </xf>
    <xf numFmtId="0" fontId="135" fillId="34" borderId="78" xfId="224" applyFont="1" applyFill="1" applyBorder="1" applyAlignment="1">
      <alignment horizontal="left" vertical="center" wrapText="1"/>
    </xf>
    <xf numFmtId="0" fontId="135" fillId="62" borderId="79" xfId="224" applyFont="1" applyFill="1" applyBorder="1" applyAlignment="1">
      <alignment horizontal="center" vertical="center" wrapText="1"/>
    </xf>
    <xf numFmtId="0" fontId="135" fillId="62" borderId="3" xfId="224" applyFont="1" applyFill="1" applyBorder="1" applyAlignment="1">
      <alignment horizontal="center" vertical="center" wrapText="1"/>
    </xf>
    <xf numFmtId="0" fontId="135" fillId="62" borderId="47" xfId="224" applyFont="1" applyFill="1" applyBorder="1" applyAlignment="1">
      <alignment horizontal="center" vertical="center" wrapText="1"/>
    </xf>
    <xf numFmtId="0" fontId="135" fillId="62" borderId="43" xfId="224" applyFont="1" applyFill="1" applyBorder="1" applyAlignment="1">
      <alignment horizontal="center" vertical="center" wrapText="1"/>
    </xf>
    <xf numFmtId="2" fontId="123" fillId="0" borderId="0" xfId="0" applyNumberFormat="1" applyFont="1" applyAlignment="1">
      <alignment horizontal="center"/>
    </xf>
    <xf numFmtId="0" fontId="106" fillId="0" borderId="0" xfId="0" applyFont="1" applyAlignment="1">
      <alignment horizontal="center"/>
    </xf>
    <xf numFmtId="49" fontId="137" fillId="62" borderId="48" xfId="224" applyNumberFormat="1" applyFont="1" applyFill="1" applyBorder="1" applyAlignment="1">
      <alignment horizontal="center" vertical="center" wrapText="1"/>
    </xf>
    <xf numFmtId="49" fontId="137" fillId="62" borderId="51" xfId="224" applyNumberFormat="1" applyFont="1" applyFill="1" applyBorder="1" applyAlignment="1">
      <alignment horizontal="center" vertical="center" wrapText="1"/>
    </xf>
    <xf numFmtId="49" fontId="137" fillId="62" borderId="94" xfId="224" applyNumberFormat="1" applyFont="1" applyFill="1" applyBorder="1" applyAlignment="1">
      <alignment horizontal="center" vertical="center" wrapText="1"/>
    </xf>
    <xf numFmtId="0" fontId="135" fillId="62" borderId="58" xfId="224" applyFont="1" applyFill="1" applyBorder="1" applyAlignment="1">
      <alignment horizontal="center" vertical="center"/>
    </xf>
    <xf numFmtId="0" fontId="135" fillId="62" borderId="1" xfId="224" applyFont="1" applyFill="1" applyBorder="1" applyAlignment="1">
      <alignment horizontal="center" vertical="center"/>
    </xf>
    <xf numFmtId="0" fontId="135" fillId="62" borderId="45" xfId="224" applyFont="1" applyFill="1" applyBorder="1" applyAlignment="1">
      <alignment horizontal="center" vertical="center"/>
    </xf>
    <xf numFmtId="0" fontId="135" fillId="62" borderId="65" xfId="224" applyFont="1" applyFill="1" applyBorder="1" applyAlignment="1">
      <alignment horizontal="center" vertical="center" wrapText="1"/>
    </xf>
    <xf numFmtId="0" fontId="135" fillId="62" borderId="7" xfId="224" applyFont="1" applyFill="1" applyBorder="1" applyAlignment="1">
      <alignment horizontal="center" vertical="center" wrapText="1"/>
    </xf>
    <xf numFmtId="0" fontId="135" fillId="62" borderId="54" xfId="224" applyFont="1" applyFill="1" applyBorder="1" applyAlignment="1">
      <alignment horizontal="center" vertical="center" wrapText="1"/>
    </xf>
    <xf numFmtId="0" fontId="135" fillId="34" borderId="58" xfId="224" applyFont="1" applyFill="1" applyBorder="1" applyAlignment="1">
      <alignment horizontal="center" vertical="center" wrapText="1"/>
    </xf>
    <xf numFmtId="0" fontId="135" fillId="34" borderId="1" xfId="224" applyFont="1" applyFill="1" applyBorder="1" applyAlignment="1">
      <alignment horizontal="center" vertical="center" wrapText="1"/>
    </xf>
    <xf numFmtId="0" fontId="135" fillId="34" borderId="45" xfId="224" applyFont="1" applyFill="1" applyBorder="1" applyAlignment="1">
      <alignment horizontal="center" vertical="center" wrapText="1"/>
    </xf>
    <xf numFmtId="0" fontId="135" fillId="62" borderId="58" xfId="224" applyFont="1" applyFill="1" applyBorder="1" applyAlignment="1">
      <alignment horizontal="center" vertical="center" wrapText="1"/>
    </xf>
    <xf numFmtId="0" fontId="135" fillId="62" borderId="1" xfId="224" applyFont="1" applyFill="1" applyBorder="1" applyAlignment="1">
      <alignment horizontal="center" vertical="center" wrapText="1"/>
    </xf>
    <xf numFmtId="0" fontId="135" fillId="62" borderId="45" xfId="224" applyFont="1" applyFill="1" applyBorder="1" applyAlignment="1">
      <alignment horizontal="center" vertical="center" wrapText="1"/>
    </xf>
    <xf numFmtId="0" fontId="135" fillId="62" borderId="59" xfId="224" applyFont="1" applyFill="1" applyBorder="1" applyAlignment="1">
      <alignment horizontal="center" vertical="center"/>
    </xf>
    <xf numFmtId="0" fontId="123" fillId="34" borderId="8" xfId="0" applyFont="1" applyFill="1" applyBorder="1" applyAlignment="1">
      <alignment horizontal="left"/>
    </xf>
    <xf numFmtId="0" fontId="123" fillId="34" borderId="9" xfId="0" applyFont="1" applyFill="1" applyBorder="1" applyAlignment="1">
      <alignment horizontal="left"/>
    </xf>
    <xf numFmtId="0" fontId="123" fillId="34" borderId="73" xfId="0" applyFont="1" applyFill="1" applyBorder="1" applyAlignment="1">
      <alignment horizontal="left"/>
    </xf>
    <xf numFmtId="0" fontId="123" fillId="34" borderId="10" xfId="0" applyFont="1" applyFill="1" applyBorder="1" applyAlignment="1">
      <alignment horizontal="left"/>
    </xf>
    <xf numFmtId="0" fontId="123" fillId="34" borderId="5" xfId="0" applyFont="1" applyFill="1" applyBorder="1" applyAlignment="1">
      <alignment horizontal="left"/>
    </xf>
    <xf numFmtId="0" fontId="123" fillId="34" borderId="38" xfId="0" applyFont="1" applyFill="1" applyBorder="1" applyAlignment="1">
      <alignment horizontal="left"/>
    </xf>
    <xf numFmtId="0" fontId="135" fillId="34" borderId="47" xfId="224" applyFont="1" applyFill="1" applyBorder="1" applyAlignment="1">
      <alignment horizontal="center" vertical="center"/>
    </xf>
    <xf numFmtId="0" fontId="135" fillId="34" borderId="70" xfId="224" applyFont="1" applyFill="1" applyBorder="1" applyAlignment="1">
      <alignment horizontal="center" vertical="center"/>
    </xf>
    <xf numFmtId="49" fontId="137" fillId="34" borderId="1" xfId="224" applyNumberFormat="1" applyFont="1" applyFill="1" applyBorder="1" applyAlignment="1">
      <alignment horizontal="center" vertical="center" wrapText="1"/>
    </xf>
    <xf numFmtId="0" fontId="135" fillId="34" borderId="1" xfId="224" applyFont="1" applyFill="1" applyBorder="1" applyAlignment="1">
      <alignment horizontal="left" vertical="center" wrapText="1"/>
    </xf>
    <xf numFmtId="0" fontId="170" fillId="0" borderId="77" xfId="554" applyFont="1" applyBorder="1" applyAlignment="1">
      <alignment horizontal="center" vertical="top"/>
    </xf>
    <xf numFmtId="0" fontId="170" fillId="0" borderId="0" xfId="554" applyFont="1" applyAlignment="1">
      <alignment horizontal="center" vertical="top"/>
    </xf>
    <xf numFmtId="0" fontId="83" fillId="0" borderId="0" xfId="554" applyFont="1" applyAlignment="1">
      <alignment horizontal="center"/>
    </xf>
    <xf numFmtId="0" fontId="35" fillId="0" borderId="26" xfId="6" applyFont="1" applyBorder="1" applyAlignment="1">
      <alignment horizontal="center" vertical="center" wrapText="1"/>
    </xf>
    <xf numFmtId="0" fontId="35" fillId="0" borderId="34" xfId="6" applyFont="1" applyBorder="1" applyAlignment="1">
      <alignment horizontal="center" vertical="center" wrapText="1"/>
    </xf>
    <xf numFmtId="0" fontId="35" fillId="0" borderId="27" xfId="6" applyFont="1" applyBorder="1" applyAlignment="1">
      <alignment horizontal="center" vertical="center" wrapText="1"/>
    </xf>
    <xf numFmtId="0" fontId="35" fillId="0" borderId="29" xfId="6" applyFont="1" applyBorder="1" applyAlignment="1">
      <alignment horizontal="center" vertical="center" wrapText="1"/>
    </xf>
    <xf numFmtId="0" fontId="35" fillId="0" borderId="35" xfId="6" applyFont="1" applyBorder="1" applyAlignment="1">
      <alignment horizontal="center" vertical="center" wrapText="1"/>
    </xf>
    <xf numFmtId="0" fontId="35" fillId="0" borderId="56" xfId="6" applyFont="1" applyBorder="1" applyAlignment="1">
      <alignment horizontal="center" vertical="center" wrapText="1"/>
    </xf>
    <xf numFmtId="0" fontId="40" fillId="0" borderId="0" xfId="6" applyFont="1" applyAlignment="1">
      <alignment horizontal="center" vertical="center" wrapText="1"/>
    </xf>
    <xf numFmtId="4" fontId="40" fillId="0" borderId="0" xfId="6" applyNumberFormat="1" applyFont="1" applyAlignment="1">
      <alignment horizontal="center" vertical="center" wrapText="1"/>
    </xf>
    <xf numFmtId="0" fontId="92" fillId="0" borderId="0" xfId="6" applyFont="1" applyAlignment="1">
      <alignment horizontal="center" wrapText="1"/>
    </xf>
    <xf numFmtId="0" fontId="35" fillId="0" borderId="30" xfId="6" applyFont="1" applyBorder="1" applyAlignment="1">
      <alignment horizontal="center" vertical="center" wrapText="1"/>
    </xf>
    <xf numFmtId="0" fontId="35" fillId="0" borderId="36" xfId="6" applyFont="1" applyBorder="1" applyAlignment="1">
      <alignment horizontal="center" vertical="center" wrapText="1"/>
    </xf>
    <xf numFmtId="0" fontId="35" fillId="0" borderId="31" xfId="6" applyFont="1" applyBorder="1" applyAlignment="1">
      <alignment horizontal="center" vertical="center" wrapText="1"/>
    </xf>
    <xf numFmtId="0" fontId="31" fillId="0" borderId="0" xfId="6" applyFont="1" applyAlignment="1">
      <alignment horizontal="center" vertical="center" wrapText="1"/>
    </xf>
    <xf numFmtId="0" fontId="31" fillId="0" borderId="0" xfId="0" applyFont="1" applyAlignment="1">
      <alignment horizontal="left" vertical="top" wrapText="1"/>
    </xf>
    <xf numFmtId="0" fontId="28" fillId="0" borderId="0" xfId="0" applyFont="1" applyAlignment="1">
      <alignment horizontal="left" vertical="top" wrapText="1"/>
    </xf>
    <xf numFmtId="0" fontId="40" fillId="0" borderId="0" xfId="6" applyFont="1" applyAlignment="1">
      <alignment horizontal="center"/>
    </xf>
    <xf numFmtId="0" fontId="80" fillId="0" borderId="0" xfId="0" applyFont="1" applyAlignment="1">
      <alignment horizontal="center" vertical="center" wrapText="1"/>
    </xf>
    <xf numFmtId="0" fontId="40" fillId="0" borderId="0" xfId="0" applyFont="1" applyAlignment="1">
      <alignment horizontal="center"/>
    </xf>
    <xf numFmtId="0" fontId="30" fillId="0" borderId="0" xfId="6" applyFont="1" applyAlignment="1">
      <alignment horizontal="center" vertical="center" wrapText="1"/>
    </xf>
    <xf numFmtId="0" fontId="30" fillId="0" borderId="0" xfId="6" applyFont="1" applyAlignment="1">
      <alignment horizontal="center" wrapText="1"/>
    </xf>
    <xf numFmtId="0" fontId="31" fillId="0" borderId="0" xfId="6" applyFont="1" applyAlignment="1">
      <alignment horizontal="center" wrapText="1"/>
    </xf>
    <xf numFmtId="0" fontId="28" fillId="0" borderId="0" xfId="6" applyFont="1" applyAlignment="1">
      <alignment horizontal="right"/>
    </xf>
    <xf numFmtId="0" fontId="168" fillId="0" borderId="0" xfId="0" applyFont="1" applyAlignment="1">
      <alignment horizontal="right"/>
    </xf>
    <xf numFmtId="0" fontId="0" fillId="0" borderId="36" xfId="0" applyBorder="1"/>
    <xf numFmtId="0" fontId="0" fillId="0" borderId="31" xfId="0" applyBorder="1"/>
    <xf numFmtId="0" fontId="30" fillId="0" borderId="0" xfId="6" applyFont="1" applyAlignment="1">
      <alignment horizontal="center" vertical="top" wrapText="1"/>
    </xf>
    <xf numFmtId="0" fontId="92" fillId="0" borderId="5" xfId="6" applyFont="1" applyBorder="1" applyAlignment="1">
      <alignment horizontal="center" wrapText="1"/>
    </xf>
    <xf numFmtId="0" fontId="30" fillId="0" borderId="77" xfId="6" applyFont="1" applyBorder="1" applyAlignment="1">
      <alignment horizontal="center" vertical="top" wrapText="1"/>
    </xf>
    <xf numFmtId="0" fontId="30" fillId="0" borderId="0" xfId="0" applyFont="1" applyAlignment="1">
      <alignment horizontal="center"/>
    </xf>
    <xf numFmtId="0" fontId="32" fillId="0" borderId="0" xfId="0" applyFont="1" applyAlignment="1">
      <alignment horizontal="center"/>
    </xf>
    <xf numFmtId="0" fontId="30" fillId="0" borderId="0" xfId="6" applyFont="1" applyAlignment="1">
      <alignment horizontal="center" vertical="center"/>
    </xf>
    <xf numFmtId="0" fontId="31" fillId="0" borderId="0" xfId="0" applyFont="1" applyAlignment="1">
      <alignment horizontal="center" vertical="center"/>
    </xf>
    <xf numFmtId="0" fontId="35" fillId="0" borderId="8" xfId="6" applyFont="1" applyBorder="1" applyAlignment="1">
      <alignment horizontal="center" vertical="center" wrapText="1"/>
    </xf>
    <xf numFmtId="0" fontId="35" fillId="0" borderId="9" xfId="6" applyFont="1" applyBorder="1" applyAlignment="1">
      <alignment horizontal="center" vertical="center" wrapText="1"/>
    </xf>
    <xf numFmtId="0" fontId="35" fillId="0" borderId="7" xfId="6" applyFont="1" applyBorder="1" applyAlignment="1">
      <alignment horizontal="center" vertical="center" wrapText="1"/>
    </xf>
    <xf numFmtId="0" fontId="92" fillId="0" borderId="0" xfId="6" applyFont="1" applyAlignment="1">
      <alignment horizontal="center" vertical="center" wrapText="1"/>
    </xf>
    <xf numFmtId="0" fontId="92" fillId="0" borderId="0" xfId="0" applyFont="1" applyAlignment="1">
      <alignment horizontal="center" vertical="center"/>
    </xf>
    <xf numFmtId="0" fontId="92" fillId="0" borderId="0" xfId="6" applyFont="1" applyAlignment="1">
      <alignment horizontal="center" vertical="center"/>
    </xf>
    <xf numFmtId="0" fontId="30" fillId="0" borderId="1" xfId="6" applyFont="1" applyBorder="1" applyAlignment="1">
      <alignment horizontal="center" vertical="center" wrapText="1"/>
    </xf>
    <xf numFmtId="0" fontId="31" fillId="0" borderId="1" xfId="0" applyFont="1" applyBorder="1"/>
    <xf numFmtId="0" fontId="35" fillId="0" borderId="77" xfId="6" applyFont="1" applyBorder="1" applyAlignment="1">
      <alignment horizontal="center" vertical="center" wrapText="1"/>
    </xf>
    <xf numFmtId="0" fontId="35" fillId="0" borderId="8" xfId="6" applyFont="1" applyBorder="1" applyAlignment="1">
      <alignment horizontal="center" vertical="center"/>
    </xf>
    <xf numFmtId="0" fontId="35" fillId="0" borderId="9" xfId="6" applyFont="1" applyBorder="1" applyAlignment="1">
      <alignment horizontal="center" vertical="center"/>
    </xf>
    <xf numFmtId="0" fontId="35" fillId="0" borderId="7" xfId="6" applyFont="1" applyBorder="1" applyAlignment="1">
      <alignment horizontal="center" vertical="center"/>
    </xf>
    <xf numFmtId="0" fontId="31" fillId="0" borderId="0" xfId="0" applyFont="1" applyAlignment="1">
      <alignment horizontal="center"/>
    </xf>
    <xf numFmtId="0" fontId="30" fillId="0" borderId="5" xfId="6" applyFont="1" applyBorder="1" applyAlignment="1">
      <alignment horizontal="right"/>
    </xf>
    <xf numFmtId="0" fontId="30" fillId="0" borderId="5" xfId="0" applyFont="1" applyBorder="1" applyAlignment="1">
      <alignment horizontal="right"/>
    </xf>
    <xf numFmtId="0" fontId="30" fillId="0" borderId="79" xfId="6" applyFont="1" applyBorder="1" applyAlignment="1">
      <alignment horizontal="center" vertical="center" wrapText="1"/>
    </xf>
    <xf numFmtId="0" fontId="30" fillId="0" borderId="3" xfId="6" applyFont="1" applyBorder="1" applyAlignment="1">
      <alignment horizontal="center" vertical="center" wrapText="1"/>
    </xf>
    <xf numFmtId="0" fontId="81" fillId="0" borderId="0" xfId="6" applyFont="1" applyAlignment="1">
      <alignment horizontal="center"/>
    </xf>
    <xf numFmtId="0" fontId="30" fillId="0" borderId="0" xfId="6" applyFont="1" applyAlignment="1">
      <alignment horizontal="right"/>
    </xf>
    <xf numFmtId="0" fontId="30" fillId="0" borderId="0" xfId="0" applyFont="1" applyAlignment="1">
      <alignment horizontal="right"/>
    </xf>
    <xf numFmtId="0" fontId="30" fillId="0" borderId="57" xfId="6" applyFont="1" applyBorder="1" applyAlignment="1">
      <alignment horizontal="center" vertical="center" wrapText="1"/>
    </xf>
    <xf numFmtId="0" fontId="30" fillId="0" borderId="39" xfId="6" applyFont="1" applyBorder="1" applyAlignment="1">
      <alignment horizontal="center" vertical="center" wrapText="1"/>
    </xf>
    <xf numFmtId="0" fontId="30" fillId="0" borderId="58" xfId="6" applyFont="1" applyBorder="1" applyAlignment="1">
      <alignment horizontal="center" vertical="center" wrapText="1"/>
    </xf>
    <xf numFmtId="0" fontId="31" fillId="0" borderId="45" xfId="0" applyFont="1" applyBorder="1"/>
    <xf numFmtId="0" fontId="30" fillId="0" borderId="59" xfId="6" applyFont="1" applyBorder="1" applyAlignment="1">
      <alignment horizontal="center" vertical="center" wrapText="1"/>
    </xf>
    <xf numFmtId="0" fontId="31" fillId="0" borderId="46" xfId="0" applyFont="1" applyBorder="1"/>
    <xf numFmtId="0" fontId="31" fillId="0" borderId="40" xfId="0" applyFont="1" applyBorder="1"/>
    <xf numFmtId="0" fontId="236" fillId="0" borderId="30" xfId="0" applyFont="1" applyBorder="1" applyAlignment="1">
      <alignment horizontal="center" vertical="top" wrapText="1"/>
    </xf>
    <xf numFmtId="0" fontId="236" fillId="0" borderId="36" xfId="0" applyFont="1" applyBorder="1" applyAlignment="1">
      <alignment horizontal="center" vertical="top" wrapText="1"/>
    </xf>
    <xf numFmtId="0" fontId="236" fillId="0" borderId="31" xfId="0" applyFont="1" applyBorder="1" applyAlignment="1">
      <alignment horizontal="center" vertical="top" wrapText="1"/>
    </xf>
    <xf numFmtId="0" fontId="223" fillId="0" borderId="26" xfId="6" applyFont="1" applyBorder="1" applyAlignment="1">
      <alignment horizontal="center" vertical="center"/>
    </xf>
    <xf numFmtId="0" fontId="223" fillId="0" borderId="27" xfId="6" applyFont="1" applyBorder="1" applyAlignment="1">
      <alignment horizontal="center" vertical="center"/>
    </xf>
    <xf numFmtId="0" fontId="223" fillId="0" borderId="29" xfId="6" applyFont="1" applyBorder="1" applyAlignment="1">
      <alignment horizontal="center" vertical="center"/>
    </xf>
    <xf numFmtId="0" fontId="223" fillId="0" borderId="56" xfId="6" applyFont="1" applyBorder="1" applyAlignment="1">
      <alignment horizontal="center" vertical="center"/>
    </xf>
    <xf numFmtId="0" fontId="217" fillId="0" borderId="26" xfId="6" applyFont="1" applyBorder="1" applyAlignment="1">
      <alignment horizontal="center" vertical="center"/>
    </xf>
    <xf numFmtId="0" fontId="217" fillId="0" borderId="27" xfId="6" applyFont="1" applyBorder="1" applyAlignment="1">
      <alignment horizontal="center" vertical="center"/>
    </xf>
    <xf numFmtId="0" fontId="217" fillId="0" borderId="29" xfId="6" applyFont="1" applyBorder="1" applyAlignment="1">
      <alignment horizontal="center" vertical="center"/>
    </xf>
    <xf numFmtId="0" fontId="217" fillId="0" borderId="56" xfId="6" applyFont="1" applyBorder="1" applyAlignment="1">
      <alignment horizontal="center" vertical="center"/>
    </xf>
    <xf numFmtId="0" fontId="40" fillId="0" borderId="0" xfId="6" applyFont="1" applyAlignment="1">
      <alignment horizontal="center" vertical="top" wrapText="1"/>
    </xf>
    <xf numFmtId="0" fontId="82" fillId="0" borderId="5" xfId="0" applyFont="1" applyBorder="1" applyAlignment="1">
      <alignment horizontal="right"/>
    </xf>
    <xf numFmtId="49" fontId="30" fillId="0" borderId="2" xfId="6" applyNumberFormat="1" applyFont="1" applyBorder="1" applyAlignment="1">
      <alignment horizontal="center" vertical="center" wrapText="1"/>
    </xf>
    <xf numFmtId="49" fontId="30" fillId="0" borderId="3" xfId="6" applyNumberFormat="1" applyFont="1" applyBorder="1" applyAlignment="1">
      <alignment horizontal="center" vertical="center" wrapText="1"/>
    </xf>
    <xf numFmtId="0" fontId="31" fillId="0" borderId="2" xfId="6" applyFont="1" applyBorder="1" applyAlignment="1">
      <alignment horizontal="center" vertical="center" wrapText="1"/>
    </xf>
    <xf numFmtId="0" fontId="31" fillId="0" borderId="3" xfId="6" applyFont="1" applyBorder="1" applyAlignment="1">
      <alignment horizontal="center" vertical="center" wrapText="1"/>
    </xf>
    <xf numFmtId="0" fontId="30" fillId="0" borderId="2" xfId="6" applyFont="1" applyBorder="1" applyAlignment="1">
      <alignment horizontal="center" vertical="center" wrapText="1"/>
    </xf>
    <xf numFmtId="0" fontId="40" fillId="0" borderId="0" xfId="6" applyFont="1" applyAlignment="1">
      <alignment horizontal="center" wrapText="1"/>
    </xf>
    <xf numFmtId="0" fontId="40" fillId="0" borderId="1" xfId="6" applyFont="1" applyBorder="1" applyAlignment="1">
      <alignment horizontal="center" vertical="center" wrapText="1"/>
    </xf>
    <xf numFmtId="0" fontId="40" fillId="0" borderId="2" xfId="6" applyFont="1" applyBorder="1" applyAlignment="1">
      <alignment horizontal="center" vertical="center" wrapText="1"/>
    </xf>
    <xf numFmtId="0" fontId="31" fillId="0" borderId="0" xfId="6" applyFont="1" applyAlignment="1">
      <alignment horizontal="center" vertical="top" wrapText="1"/>
    </xf>
    <xf numFmtId="0" fontId="280" fillId="0" borderId="77" xfId="0" applyFont="1" applyBorder="1" applyAlignment="1">
      <alignment horizontal="center"/>
    </xf>
    <xf numFmtId="0" fontId="30" fillId="0" borderId="33" xfId="554" applyFont="1" applyBorder="1" applyAlignment="1">
      <alignment horizontal="center" vertical="center" wrapText="1"/>
    </xf>
    <xf numFmtId="0" fontId="30" fillId="0" borderId="23" xfId="554" applyFont="1" applyBorder="1" applyAlignment="1">
      <alignment horizontal="center" vertical="center" wrapText="1"/>
    </xf>
    <xf numFmtId="0" fontId="39" fillId="0" borderId="33" xfId="554" applyFont="1" applyBorder="1" applyAlignment="1">
      <alignment vertical="center" wrapText="1"/>
    </xf>
    <xf numFmtId="0" fontId="39" fillId="0" borderId="32" xfId="554" applyFont="1" applyBorder="1" applyAlignment="1">
      <alignment vertical="center" wrapText="1"/>
    </xf>
    <xf numFmtId="0" fontId="30" fillId="0" borderId="33" xfId="552" applyFont="1" applyBorder="1" applyAlignment="1">
      <alignment horizontal="left" textRotation="90" wrapText="1"/>
    </xf>
    <xf numFmtId="0" fontId="30" fillId="0" borderId="32" xfId="552" applyFont="1" applyBorder="1" applyAlignment="1">
      <alignment horizontal="left" textRotation="90" wrapText="1"/>
    </xf>
    <xf numFmtId="0" fontId="30" fillId="0" borderId="33" xfId="552" applyFont="1" applyBorder="1" applyAlignment="1">
      <alignment horizontal="center" textRotation="90" wrapText="1"/>
    </xf>
    <xf numFmtId="0" fontId="30" fillId="0" borderId="23" xfId="552" applyFont="1" applyBorder="1" applyAlignment="1">
      <alignment horizontal="center" textRotation="90" wrapText="1"/>
    </xf>
    <xf numFmtId="0" fontId="30" fillId="0" borderId="23" xfId="552" applyFont="1" applyBorder="1" applyAlignment="1">
      <alignment horizontal="left" textRotation="90" wrapText="1"/>
    </xf>
    <xf numFmtId="0" fontId="30" fillId="34" borderId="33" xfId="552" applyFont="1" applyFill="1" applyBorder="1" applyAlignment="1">
      <alignment horizontal="left" textRotation="90" wrapText="1"/>
    </xf>
    <xf numFmtId="0" fontId="30" fillId="34" borderId="32" xfId="552" applyFont="1" applyFill="1" applyBorder="1" applyAlignment="1">
      <alignment horizontal="left" textRotation="90" wrapText="1"/>
    </xf>
    <xf numFmtId="0" fontId="30" fillId="34" borderId="33" xfId="552" applyFont="1" applyFill="1" applyBorder="1" applyAlignment="1">
      <alignment horizontal="center" textRotation="90" wrapText="1"/>
    </xf>
    <xf numFmtId="0" fontId="30" fillId="34" borderId="23" xfId="552" applyFont="1" applyFill="1" applyBorder="1" applyAlignment="1">
      <alignment horizontal="center" textRotation="90" wrapText="1"/>
    </xf>
    <xf numFmtId="0" fontId="30" fillId="0" borderId="6" xfId="552" applyFont="1" applyBorder="1" applyAlignment="1">
      <alignment horizontal="center" vertical="center" wrapText="1"/>
    </xf>
    <xf numFmtId="0" fontId="122" fillId="0" borderId="0" xfId="0" applyFont="1" applyAlignment="1">
      <alignment horizontal="center"/>
    </xf>
    <xf numFmtId="0" fontId="280" fillId="0" borderId="0" xfId="0" applyFont="1" applyAlignment="1">
      <alignment horizontal="center"/>
    </xf>
    <xf numFmtId="0" fontId="148" fillId="0" borderId="5" xfId="552" applyFont="1" applyBorder="1" applyAlignment="1">
      <alignment horizontal="center"/>
    </xf>
    <xf numFmtId="0" fontId="148" fillId="0" borderId="0" xfId="552" applyFont="1" applyAlignment="1">
      <alignment horizontal="center"/>
    </xf>
    <xf numFmtId="0" fontId="148" fillId="0" borderId="0" xfId="554" applyFont="1" applyAlignment="1">
      <alignment horizontal="center"/>
    </xf>
    <xf numFmtId="0" fontId="30" fillId="0" borderId="30" xfId="554" applyFont="1" applyBorder="1" applyAlignment="1">
      <alignment horizontal="left" vertical="center" wrapText="1"/>
    </xf>
    <xf numFmtId="0" fontId="30" fillId="0" borderId="36" xfId="554" applyFont="1" applyBorder="1" applyAlignment="1">
      <alignment horizontal="left" vertical="center" wrapText="1"/>
    </xf>
    <xf numFmtId="0" fontId="30" fillId="0" borderId="31" xfId="554" applyFont="1" applyBorder="1" applyAlignment="1">
      <alignment horizontal="left" vertical="center" wrapText="1"/>
    </xf>
    <xf numFmtId="0" fontId="30" fillId="34" borderId="30" xfId="554" applyFont="1" applyFill="1" applyBorder="1" applyAlignment="1">
      <alignment horizontal="left" vertical="top" wrapText="1"/>
    </xf>
    <xf numFmtId="0" fontId="30" fillId="34" borderId="36" xfId="554" applyFont="1" applyFill="1" applyBorder="1" applyAlignment="1">
      <alignment horizontal="left" vertical="top" wrapText="1"/>
    </xf>
    <xf numFmtId="0" fontId="30" fillId="34" borderId="31" xfId="554" applyFont="1" applyFill="1" applyBorder="1" applyAlignment="1">
      <alignment horizontal="left" vertical="top" wrapText="1"/>
    </xf>
    <xf numFmtId="0" fontId="83" fillId="0" borderId="5" xfId="554" applyFont="1" applyBorder="1" applyAlignment="1">
      <alignment horizontal="center"/>
    </xf>
    <xf numFmtId="49" fontId="40" fillId="0" borderId="0" xfId="0" applyNumberFormat="1" applyFont="1" applyAlignment="1">
      <alignment horizontal="center"/>
    </xf>
    <xf numFmtId="2" fontId="92" fillId="0" borderId="0" xfId="0" applyNumberFormat="1" applyFont="1" applyAlignment="1">
      <alignment horizontal="center"/>
    </xf>
    <xf numFmtId="49" fontId="40" fillId="0" borderId="0" xfId="0" applyNumberFormat="1" applyFont="1" applyAlignment="1">
      <alignment horizontal="center" wrapText="1"/>
    </xf>
    <xf numFmtId="0" fontId="93" fillId="0" borderId="0" xfId="0" applyFont="1" applyAlignment="1">
      <alignment horizontal="center"/>
    </xf>
    <xf numFmtId="170" fontId="31" fillId="0" borderId="39" xfId="0" applyNumberFormat="1" applyFont="1" applyBorder="1" applyAlignment="1">
      <alignment horizontal="center" vertical="center" wrapText="1"/>
    </xf>
    <xf numFmtId="170" fontId="31" fillId="0" borderId="1" xfId="0" applyNumberFormat="1" applyFont="1" applyBorder="1" applyAlignment="1">
      <alignment horizontal="center" vertical="center" wrapText="1"/>
    </xf>
    <xf numFmtId="170" fontId="31" fillId="0" borderId="40" xfId="0" applyNumberFormat="1" applyFont="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170" fontId="31" fillId="0" borderId="44" xfId="0" applyNumberFormat="1" applyFont="1" applyBorder="1" applyAlignment="1">
      <alignment horizontal="center" vertical="center" wrapText="1"/>
    </xf>
    <xf numFmtId="170" fontId="31" fillId="0" borderId="45" xfId="0" applyNumberFormat="1" applyFont="1" applyBorder="1" applyAlignment="1">
      <alignment horizontal="center" vertical="center" wrapText="1"/>
    </xf>
    <xf numFmtId="170" fontId="31" fillId="0" borderId="46" xfId="0" applyNumberFormat="1" applyFont="1" applyBorder="1" applyAlignment="1">
      <alignment horizontal="center" vertical="center" wrapText="1"/>
    </xf>
    <xf numFmtId="2" fontId="31" fillId="0" borderId="39" xfId="0" applyNumberFormat="1" applyFont="1" applyBorder="1" applyAlignment="1">
      <alignment horizontal="center" vertical="center" wrapText="1"/>
    </xf>
    <xf numFmtId="2" fontId="31" fillId="0" borderId="1" xfId="0" applyNumberFormat="1" applyFont="1" applyBorder="1" applyAlignment="1">
      <alignment horizontal="center" vertical="center" wrapText="1"/>
    </xf>
    <xf numFmtId="2" fontId="31" fillId="0" borderId="40" xfId="0" applyNumberFormat="1" applyFont="1" applyBorder="1" applyAlignment="1">
      <alignment horizontal="center" vertical="center" wrapText="1"/>
    </xf>
    <xf numFmtId="0" fontId="31" fillId="0" borderId="59" xfId="0" applyFont="1" applyBorder="1" applyAlignment="1">
      <alignment horizontal="center" vertical="center" wrapText="1"/>
    </xf>
    <xf numFmtId="0" fontId="31" fillId="0" borderId="58" xfId="0" applyFont="1" applyBorder="1" applyAlignment="1">
      <alignment horizontal="center" vertical="center" wrapText="1"/>
    </xf>
    <xf numFmtId="49" fontId="31" fillId="0" borderId="0" xfId="0" applyNumberFormat="1" applyFont="1" applyAlignment="1">
      <alignment horizontal="center"/>
    </xf>
    <xf numFmtId="49" fontId="31" fillId="0" borderId="57" xfId="0" applyNumberFormat="1" applyFont="1" applyBorder="1" applyAlignment="1">
      <alignment horizontal="center" vertical="center" wrapText="1"/>
    </xf>
    <xf numFmtId="49" fontId="31" fillId="0" borderId="39" xfId="0" applyNumberFormat="1" applyFont="1" applyBorder="1" applyAlignment="1">
      <alignment horizontal="center" vertical="center" wrapText="1"/>
    </xf>
    <xf numFmtId="0" fontId="31" fillId="0" borderId="0" xfId="0" applyFont="1" applyAlignment="1">
      <alignment vertical="top"/>
    </xf>
    <xf numFmtId="0" fontId="0" fillId="0" borderId="0" xfId="0" applyAlignment="1">
      <alignment vertical="top"/>
    </xf>
    <xf numFmtId="0" fontId="40" fillId="0" borderId="0" xfId="0" applyFont="1" applyAlignment="1">
      <alignment horizontal="center" vertical="top"/>
    </xf>
    <xf numFmtId="0" fontId="80" fillId="0" borderId="0" xfId="0" applyFont="1" applyAlignment="1">
      <alignment horizontal="center" vertical="top"/>
    </xf>
    <xf numFmtId="4" fontId="136" fillId="0" borderId="0" xfId="505" applyNumberFormat="1" applyFont="1" applyAlignment="1">
      <alignment horizontal="center" vertical="top"/>
    </xf>
    <xf numFmtId="0" fontId="144" fillId="0" borderId="26" xfId="116" applyFont="1" applyBorder="1" applyAlignment="1">
      <alignment horizontal="center" vertical="center"/>
    </xf>
    <xf numFmtId="0" fontId="144" fillId="0" borderId="29" xfId="116" applyFont="1" applyBorder="1" applyAlignment="1">
      <alignment horizontal="center" vertical="center"/>
    </xf>
    <xf numFmtId="4" fontId="144" fillId="0" borderId="30" xfId="116" applyNumberFormat="1" applyFont="1" applyBorder="1" applyAlignment="1">
      <alignment horizontal="center" vertical="center" wrapText="1"/>
    </xf>
    <xf numFmtId="4" fontId="144" fillId="0" borderId="36" xfId="116" applyNumberFormat="1" applyFont="1" applyBorder="1" applyAlignment="1">
      <alignment horizontal="center" vertical="center" wrapText="1"/>
    </xf>
    <xf numFmtId="4" fontId="144" fillId="0" borderId="31" xfId="116" applyNumberFormat="1" applyFont="1" applyBorder="1" applyAlignment="1">
      <alignment horizontal="center" vertical="center" wrapText="1"/>
    </xf>
    <xf numFmtId="4" fontId="136" fillId="0" borderId="5" xfId="505" applyNumberFormat="1" applyFont="1" applyBorder="1" applyAlignment="1" applyProtection="1">
      <alignment horizontal="center" vertical="center" wrapText="1"/>
      <protection hidden="1"/>
    </xf>
    <xf numFmtId="0" fontId="167" fillId="0" borderId="0" xfId="116" applyFont="1" applyAlignment="1">
      <alignment horizontal="center"/>
    </xf>
    <xf numFmtId="0" fontId="146" fillId="0" borderId="36" xfId="116" applyFont="1" applyBorder="1" applyAlignment="1">
      <alignment horizontal="center" vertical="center" wrapText="1"/>
    </xf>
    <xf numFmtId="0" fontId="146" fillId="0" borderId="30" xfId="116" applyFont="1" applyBorder="1" applyAlignment="1">
      <alignment horizontal="center" vertical="center" wrapText="1"/>
    </xf>
    <xf numFmtId="0" fontId="146" fillId="0" borderId="31" xfId="116" applyFont="1" applyBorder="1" applyAlignment="1">
      <alignment horizontal="center" vertical="center" wrapText="1"/>
    </xf>
    <xf numFmtId="0" fontId="144" fillId="0" borderId="29" xfId="116" applyFont="1" applyBorder="1" applyAlignment="1">
      <alignment horizontal="center" vertical="center" wrapText="1"/>
    </xf>
    <xf numFmtId="0" fontId="144" fillId="0" borderId="35" xfId="116" applyFont="1" applyBorder="1" applyAlignment="1">
      <alignment horizontal="center" vertical="center" wrapText="1"/>
    </xf>
    <xf numFmtId="0" fontId="144" fillId="0" borderId="56" xfId="116" applyFont="1" applyBorder="1" applyAlignment="1">
      <alignment horizontal="center" vertical="center" wrapText="1"/>
    </xf>
    <xf numFmtId="0" fontId="39" fillId="0" borderId="0" xfId="116" applyFont="1" applyAlignment="1">
      <alignment horizontal="center" vertical="center" wrapText="1"/>
    </xf>
    <xf numFmtId="0" fontId="90" fillId="0" borderId="0" xfId="0" applyFont="1" applyAlignment="1">
      <alignment horizontal="center" vertical="top" wrapText="1"/>
    </xf>
    <xf numFmtId="0" fontId="119" fillId="0" borderId="5" xfId="0" applyFont="1" applyBorder="1" applyAlignment="1">
      <alignment horizontal="center"/>
    </xf>
    <xf numFmtId="0" fontId="144" fillId="0" borderId="28" xfId="116" applyFont="1" applyBorder="1" applyAlignment="1">
      <alignment horizontal="center" vertical="center"/>
    </xf>
    <xf numFmtId="2" fontId="136" fillId="0" borderId="5" xfId="505" applyNumberFormat="1" applyFont="1" applyBorder="1" applyAlignment="1" applyProtection="1">
      <alignment horizontal="center" vertical="center" wrapText="1"/>
      <protection hidden="1"/>
    </xf>
    <xf numFmtId="0" fontId="136" fillId="0" borderId="77" xfId="505" applyFont="1" applyBorder="1" applyAlignment="1">
      <alignment horizontal="center" vertical="top"/>
    </xf>
    <xf numFmtId="0" fontId="144" fillId="0" borderId="26" xfId="116" applyFont="1" applyBorder="1" applyAlignment="1">
      <alignment horizontal="center" vertical="center" wrapText="1"/>
    </xf>
    <xf numFmtId="0" fontId="144" fillId="0" borderId="34" xfId="116" applyFont="1" applyBorder="1" applyAlignment="1">
      <alignment horizontal="center" vertical="center" wrapText="1"/>
    </xf>
    <xf numFmtId="0" fontId="144" fillId="0" borderId="27" xfId="116" applyFont="1" applyBorder="1" applyAlignment="1">
      <alignment horizontal="center" vertical="center" wrapText="1"/>
    </xf>
    <xf numFmtId="0" fontId="144" fillId="0" borderId="36" xfId="116" applyFont="1" applyBorder="1" applyAlignment="1">
      <alignment horizontal="center" vertical="center" wrapText="1"/>
    </xf>
    <xf numFmtId="0" fontId="144" fillId="0" borderId="31" xfId="116" applyFont="1" applyBorder="1" applyAlignment="1">
      <alignment horizontal="center" vertical="center" wrapText="1"/>
    </xf>
    <xf numFmtId="0" fontId="145" fillId="0" borderId="28" xfId="116" applyFont="1" applyBorder="1" applyAlignment="1">
      <alignment horizontal="center" vertical="center" wrapText="1"/>
    </xf>
    <xf numFmtId="0" fontId="145" fillId="0" borderId="23" xfId="116" applyFont="1" applyBorder="1" applyAlignment="1">
      <alignment horizontal="center" vertical="center" wrapText="1"/>
    </xf>
    <xf numFmtId="0" fontId="213" fillId="0" borderId="33" xfId="116" applyFont="1" applyBorder="1" applyAlignment="1">
      <alignment horizontal="center" vertical="center" wrapText="1"/>
    </xf>
    <xf numFmtId="0" fontId="213" fillId="0" borderId="32" xfId="116" applyFont="1" applyBorder="1" applyAlignment="1">
      <alignment horizontal="center" vertical="center" wrapText="1"/>
    </xf>
    <xf numFmtId="0" fontId="214" fillId="0" borderId="33" xfId="116" applyFont="1" applyBorder="1" applyAlignment="1">
      <alignment horizontal="center" vertical="center" wrapText="1"/>
    </xf>
    <xf numFmtId="0" fontId="214" fillId="0" borderId="32" xfId="116" applyFont="1" applyBorder="1" applyAlignment="1">
      <alignment horizontal="center" vertical="center" wrapText="1"/>
    </xf>
    <xf numFmtId="0" fontId="212" fillId="0" borderId="30" xfId="116" applyFont="1" applyBorder="1" applyAlignment="1">
      <alignment horizontal="left" vertical="center" wrapText="1"/>
    </xf>
    <xf numFmtId="0" fontId="212" fillId="0" borderId="36" xfId="116" applyFont="1" applyBorder="1" applyAlignment="1">
      <alignment horizontal="left" vertical="center" wrapText="1"/>
    </xf>
    <xf numFmtId="0" fontId="212" fillId="0" borderId="31" xfId="116" applyFont="1" applyBorder="1" applyAlignment="1">
      <alignment horizontal="left" vertical="center" wrapText="1"/>
    </xf>
    <xf numFmtId="0" fontId="144" fillId="0" borderId="30" xfId="116" applyFont="1" applyBorder="1" applyAlignment="1">
      <alignment horizontal="center" vertical="center" wrapText="1"/>
    </xf>
    <xf numFmtId="4" fontId="147" fillId="0" borderId="0" xfId="116" applyNumberFormat="1" applyFont="1" applyAlignment="1">
      <alignment horizontal="left"/>
    </xf>
    <xf numFmtId="0" fontId="212" fillId="0" borderId="8" xfId="116" applyFont="1" applyBorder="1" applyAlignment="1">
      <alignment horizontal="left" vertical="center"/>
    </xf>
    <xf numFmtId="0" fontId="212" fillId="0" borderId="96" xfId="116" applyFont="1" applyBorder="1" applyAlignment="1">
      <alignment horizontal="left" vertical="center"/>
    </xf>
    <xf numFmtId="187" fontId="178" fillId="0" borderId="1" xfId="557" applyNumberFormat="1" applyFont="1" applyFill="1" applyBorder="1" applyAlignment="1">
      <alignment horizontal="center"/>
    </xf>
    <xf numFmtId="0" fontId="40" fillId="0" borderId="30"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1" xfId="0" applyFont="1" applyBorder="1" applyAlignment="1">
      <alignment horizontal="center" vertical="center" wrapText="1"/>
    </xf>
    <xf numFmtId="2" fontId="31" fillId="0" borderId="0" xfId="0" applyNumberFormat="1" applyFont="1" applyAlignment="1">
      <alignment horizontal="left"/>
    </xf>
    <xf numFmtId="0" fontId="40" fillId="0" borderId="30" xfId="0" applyFont="1" applyBorder="1" applyAlignment="1">
      <alignment horizontal="center" vertical="center"/>
    </xf>
    <xf numFmtId="0" fontId="40" fillId="0" borderId="36" xfId="0" applyFont="1" applyBorder="1" applyAlignment="1">
      <alignment horizontal="center" vertical="center"/>
    </xf>
    <xf numFmtId="0" fontId="40" fillId="0" borderId="31" xfId="0" applyFont="1" applyBorder="1" applyAlignment="1">
      <alignment horizontal="center" vertical="center"/>
    </xf>
    <xf numFmtId="0" fontId="201" fillId="0" borderId="0" xfId="0" applyFont="1" applyAlignment="1">
      <alignment horizontal="center" vertical="center" wrapText="1"/>
    </xf>
    <xf numFmtId="0" fontId="81" fillId="0" borderId="0" xfId="0" applyFont="1" applyAlignment="1">
      <alignment horizontal="center" vertical="center" wrapText="1"/>
    </xf>
    <xf numFmtId="0" fontId="31" fillId="0" borderId="66"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68" xfId="0" applyFont="1" applyBorder="1" applyAlignment="1">
      <alignment horizontal="center" vertical="center" wrapText="1"/>
    </xf>
    <xf numFmtId="0" fontId="31" fillId="0" borderId="90"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107" xfId="0" applyFont="1" applyBorder="1" applyAlignment="1">
      <alignment horizontal="center" vertical="center" wrapText="1"/>
    </xf>
    <xf numFmtId="0" fontId="200" fillId="0" borderId="0" xfId="0" applyFont="1" applyAlignment="1">
      <alignment horizontal="center"/>
    </xf>
    <xf numFmtId="0" fontId="199" fillId="0" borderId="0" xfId="0" applyFont="1" applyAlignment="1">
      <alignment horizontal="center" vertical="center"/>
    </xf>
    <xf numFmtId="0" fontId="117" fillId="0" borderId="5" xfId="0" applyFont="1" applyBorder="1" applyAlignment="1">
      <alignment horizontal="center" vertical="center" wrapText="1"/>
    </xf>
    <xf numFmtId="0" fontId="29" fillId="0" borderId="79" xfId="0" applyFont="1" applyBorder="1" applyAlignment="1">
      <alignment horizontal="center" vertical="center"/>
    </xf>
    <xf numFmtId="0" fontId="29" fillId="0" borderId="3" xfId="0" applyFont="1" applyBorder="1" applyAlignment="1">
      <alignment horizontal="center" vertical="center"/>
    </xf>
    <xf numFmtId="0" fontId="30" fillId="0" borderId="79"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0" borderId="7" xfId="0" applyFont="1" applyBorder="1" applyAlignment="1">
      <alignment horizontal="center" vertical="center"/>
    </xf>
    <xf numFmtId="0" fontId="163" fillId="0" borderId="1" xfId="0" applyFont="1" applyBorder="1" applyAlignment="1">
      <alignment horizontal="center" vertical="center"/>
    </xf>
    <xf numFmtId="0" fontId="30" fillId="0" borderId="1"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7" xfId="0" applyFont="1" applyBorder="1" applyAlignment="1">
      <alignment horizontal="center"/>
    </xf>
    <xf numFmtId="0" fontId="31" fillId="0" borderId="1" xfId="0" applyFont="1" applyBorder="1" applyAlignment="1">
      <alignment horizontal="center" vertical="center"/>
    </xf>
    <xf numFmtId="0" fontId="31" fillId="0" borderId="9"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wrapText="1"/>
    </xf>
    <xf numFmtId="2" fontId="31" fillId="0" borderId="0" xfId="0" applyNumberFormat="1" applyFont="1" applyAlignment="1">
      <alignment horizontal="center" vertical="center"/>
    </xf>
    <xf numFmtId="0" fontId="199" fillId="0" borderId="57" xfId="0" applyFont="1" applyBorder="1" applyAlignment="1">
      <alignment horizontal="left" vertical="center" wrapText="1"/>
    </xf>
    <xf numFmtId="0" fontId="199" fillId="0" borderId="44" xfId="0" applyFont="1" applyBorder="1" applyAlignment="1">
      <alignment horizontal="left" vertical="center" wrapText="1"/>
    </xf>
    <xf numFmtId="0" fontId="117" fillId="0" borderId="0" xfId="0" applyFont="1" applyAlignment="1">
      <alignment horizontal="center" vertical="center" wrapText="1"/>
    </xf>
    <xf numFmtId="0" fontId="198" fillId="0" borderId="34" xfId="0" applyFont="1" applyBorder="1" applyAlignment="1">
      <alignment horizontal="center" vertical="center" wrapText="1"/>
    </xf>
    <xf numFmtId="0" fontId="198" fillId="0" borderId="0" xfId="0" applyFont="1" applyAlignment="1">
      <alignment horizontal="center" vertical="center" wrapText="1"/>
    </xf>
    <xf numFmtId="0" fontId="32" fillId="0" borderId="0" xfId="0" applyFont="1" applyAlignment="1">
      <alignment horizontal="center" wrapText="1"/>
    </xf>
    <xf numFmtId="2" fontId="32" fillId="0" borderId="0" xfId="0" applyNumberFormat="1" applyFont="1" applyAlignment="1">
      <alignment horizontal="center"/>
    </xf>
    <xf numFmtId="0" fontId="117" fillId="30" borderId="0" xfId="0" applyFont="1" applyFill="1" applyAlignment="1">
      <alignment horizontal="center" vertical="center" wrapText="1"/>
    </xf>
    <xf numFmtId="0" fontId="31" fillId="0" borderId="0" xfId="0" applyFont="1" applyAlignment="1">
      <alignment vertical="top" wrapText="1"/>
    </xf>
    <xf numFmtId="49" fontId="40" fillId="0" borderId="1" xfId="0" applyNumberFormat="1" applyFont="1" applyBorder="1" applyAlignment="1">
      <alignment horizontal="center" vertical="center" wrapText="1"/>
    </xf>
    <xf numFmtId="0" fontId="31" fillId="31" borderId="0" xfId="0" applyFont="1" applyFill="1" applyAlignment="1">
      <alignment vertical="top" wrapText="1"/>
    </xf>
    <xf numFmtId="0" fontId="31" fillId="31" borderId="0" xfId="0" applyFont="1" applyFill="1" applyAlignment="1">
      <alignment vertical="top"/>
    </xf>
    <xf numFmtId="49" fontId="40" fillId="31" borderId="0" xfId="0" applyNumberFormat="1" applyFont="1" applyFill="1" applyAlignment="1">
      <alignment horizontal="center"/>
    </xf>
    <xf numFmtId="0" fontId="40" fillId="31" borderId="0" xfId="0" applyFont="1" applyFill="1" applyAlignment="1">
      <alignment horizontal="center"/>
    </xf>
    <xf numFmtId="2" fontId="92" fillId="31" borderId="0" xfId="0" applyNumberFormat="1" applyFont="1" applyFill="1" applyAlignment="1">
      <alignment horizontal="center"/>
    </xf>
    <xf numFmtId="49" fontId="31" fillId="0" borderId="0" xfId="0" applyNumberFormat="1" applyFont="1" applyAlignment="1">
      <alignment horizontal="center" vertical="top"/>
    </xf>
    <xf numFmtId="0" fontId="31" fillId="0" borderId="0" xfId="0" applyFont="1" applyAlignment="1">
      <alignment horizontal="center" vertical="top"/>
    </xf>
    <xf numFmtId="0" fontId="88" fillId="0" borderId="1" xfId="0" applyFont="1" applyBorder="1" applyAlignment="1">
      <alignment horizontal="center" vertical="center" wrapText="1"/>
    </xf>
    <xf numFmtId="49" fontId="40" fillId="31" borderId="0" xfId="0" applyNumberFormat="1" applyFont="1" applyFill="1" applyAlignment="1">
      <alignment horizontal="center" wrapText="1"/>
    </xf>
    <xf numFmtId="0" fontId="80" fillId="31" borderId="0" xfId="0" applyFont="1" applyFill="1" applyAlignment="1">
      <alignment horizontal="center" wrapText="1"/>
    </xf>
    <xf numFmtId="0" fontId="80" fillId="0" borderId="0" xfId="0" applyFont="1" applyAlignment="1">
      <alignment horizontal="center" wrapText="1"/>
    </xf>
    <xf numFmtId="0" fontId="30" fillId="0" borderId="0" xfId="0" applyFont="1" applyAlignment="1">
      <alignment vertical="top" wrapText="1"/>
    </xf>
    <xf numFmtId="0" fontId="92" fillId="31" borderId="0" xfId="0" applyFont="1" applyFill="1" applyAlignment="1">
      <alignment horizontal="center"/>
    </xf>
    <xf numFmtId="0" fontId="31" fillId="0" borderId="0" xfId="0" applyFont="1" applyAlignment="1">
      <alignment wrapText="1"/>
    </xf>
    <xf numFmtId="0" fontId="19" fillId="0" borderId="1" xfId="0" applyFont="1" applyBorder="1" applyAlignment="1">
      <alignment vertical="top" wrapText="1"/>
    </xf>
    <xf numFmtId="0" fontId="88" fillId="0" borderId="0" xfId="0" applyFont="1" applyAlignment="1">
      <alignment vertical="center" wrapText="1"/>
    </xf>
    <xf numFmtId="0" fontId="0" fillId="0" borderId="0" xfId="0" applyAlignment="1">
      <alignment wrapText="1"/>
    </xf>
    <xf numFmtId="49" fontId="88" fillId="0" borderId="1" xfId="0" applyNumberFormat="1" applyFont="1" applyBorder="1" applyAlignment="1">
      <alignment horizontal="center" vertical="center" wrapText="1"/>
    </xf>
    <xf numFmtId="0" fontId="83" fillId="0" borderId="0" xfId="0" applyFont="1" applyAlignment="1">
      <alignment horizontal="center"/>
    </xf>
    <xf numFmtId="0" fontId="31" fillId="0" borderId="30" xfId="0" applyFont="1" applyBorder="1" applyAlignment="1">
      <alignment horizontal="center"/>
    </xf>
    <xf numFmtId="0" fontId="31" fillId="0" borderId="36" xfId="0" applyFont="1" applyBorder="1" applyAlignment="1">
      <alignment horizontal="center"/>
    </xf>
    <xf numFmtId="0" fontId="31" fillId="0" borderId="31" xfId="0" applyFont="1" applyBorder="1" applyAlignment="1">
      <alignment horizontal="center"/>
    </xf>
    <xf numFmtId="0" fontId="31" fillId="0" borderId="33" xfId="0" applyFont="1" applyBorder="1" applyAlignment="1">
      <alignment horizontal="center"/>
    </xf>
    <xf numFmtId="0" fontId="31" fillId="0" borderId="23" xfId="0" applyFont="1" applyBorder="1" applyAlignment="1">
      <alignment horizontal="center"/>
    </xf>
    <xf numFmtId="0" fontId="31" fillId="0" borderId="33" xfId="0" applyFont="1" applyBorder="1" applyAlignment="1">
      <alignment horizontal="center" wrapText="1"/>
    </xf>
    <xf numFmtId="0" fontId="31" fillId="0" borderId="23" xfId="0" applyFont="1" applyBorder="1" applyAlignment="1">
      <alignment horizontal="center" wrapText="1"/>
    </xf>
    <xf numFmtId="0" fontId="0" fillId="0" borderId="135" xfId="0" applyBorder="1" applyAlignment="1">
      <alignment horizontal="center" vertical="center"/>
    </xf>
    <xf numFmtId="0" fontId="0" fillId="0" borderId="0" xfId="0" applyAlignment="1">
      <alignment horizontal="center" vertical="center"/>
    </xf>
    <xf numFmtId="0" fontId="0" fillId="0" borderId="129" xfId="0" applyBorder="1" applyAlignment="1">
      <alignment horizontal="center" vertical="center" wrapText="1"/>
    </xf>
    <xf numFmtId="0" fontId="122" fillId="34" borderId="0" xfId="448" applyFont="1" applyFill="1" applyAlignment="1">
      <alignment horizontal="center" wrapText="1"/>
    </xf>
    <xf numFmtId="2" fontId="139" fillId="0" borderId="5" xfId="505" applyNumberFormat="1" applyFont="1" applyBorder="1" applyAlignment="1" applyProtection="1">
      <alignment horizontal="center" vertical="center" wrapText="1"/>
      <protection hidden="1"/>
    </xf>
    <xf numFmtId="0" fontId="139" fillId="0" borderId="77" xfId="505" applyFont="1" applyBorder="1" applyAlignment="1">
      <alignment horizontal="center" vertical="center"/>
    </xf>
    <xf numFmtId="0" fontId="90" fillId="3" borderId="0" xfId="448" applyFont="1" applyFill="1" applyAlignment="1">
      <alignment horizontal="center"/>
    </xf>
    <xf numFmtId="0" fontId="81" fillId="0" borderId="0" xfId="505" applyFont="1" applyAlignment="1">
      <alignment horizontal="center" vertical="center"/>
    </xf>
    <xf numFmtId="0" fontId="140" fillId="0" borderId="5" xfId="532" applyFont="1" applyBorder="1" applyAlignment="1">
      <alignment horizontal="center"/>
    </xf>
    <xf numFmtId="0" fontId="31" fillId="0" borderId="0" xfId="505" applyFont="1" applyAlignment="1">
      <alignment horizontal="center"/>
    </xf>
    <xf numFmtId="0" fontId="165" fillId="0" borderId="0" xfId="532" applyFont="1" applyAlignment="1">
      <alignment horizontal="center" vertical="center" wrapText="1"/>
    </xf>
    <xf numFmtId="0" fontId="90" fillId="0" borderId="33" xfId="532" applyFont="1" applyBorder="1" applyAlignment="1">
      <alignment horizontal="center" vertical="center" wrapText="1"/>
    </xf>
    <xf numFmtId="0" fontId="90" fillId="0" borderId="23" xfId="532" applyFont="1" applyBorder="1" applyAlignment="1">
      <alignment horizontal="center" vertical="center" wrapText="1"/>
    </xf>
    <xf numFmtId="0" fontId="122" fillId="0" borderId="6" xfId="532" applyFont="1" applyBorder="1" applyAlignment="1">
      <alignment horizontal="center" vertical="center" wrapText="1"/>
    </xf>
    <xf numFmtId="0" fontId="188" fillId="0" borderId="0" xfId="0" applyFont="1" applyAlignment="1">
      <alignment horizontal="center" vertical="center" wrapText="1"/>
    </xf>
    <xf numFmtId="2" fontId="138" fillId="0" borderId="5" xfId="505" applyNumberFormat="1" applyFont="1" applyBorder="1" applyAlignment="1" applyProtection="1">
      <alignment horizontal="center" vertical="center" wrapText="1"/>
      <protection hidden="1"/>
    </xf>
    <xf numFmtId="0" fontId="138" fillId="0" borderId="77" xfId="505" applyFont="1" applyBorder="1" applyAlignment="1">
      <alignment horizontal="center" vertical="top"/>
    </xf>
    <xf numFmtId="0" fontId="32" fillId="0" borderId="66" xfId="505" applyFont="1" applyBorder="1" applyAlignment="1" applyProtection="1">
      <alignment horizontal="center" vertical="center" wrapText="1"/>
      <protection hidden="1"/>
    </xf>
    <xf numFmtId="0" fontId="32" fillId="0" borderId="68" xfId="505" applyFont="1" applyBorder="1" applyAlignment="1" applyProtection="1">
      <alignment horizontal="center" vertical="center" wrapText="1"/>
      <protection hidden="1"/>
    </xf>
    <xf numFmtId="2" fontId="32" fillId="0" borderId="58" xfId="505" applyNumberFormat="1" applyFont="1" applyBorder="1" applyAlignment="1" applyProtection="1">
      <alignment horizontal="center" vertical="center" wrapText="1"/>
      <protection hidden="1"/>
    </xf>
    <xf numFmtId="2" fontId="32" fillId="0" borderId="59" xfId="505" applyNumberFormat="1" applyFont="1" applyBorder="1" applyAlignment="1" applyProtection="1">
      <alignment horizontal="center" vertical="center" wrapText="1"/>
      <protection hidden="1"/>
    </xf>
    <xf numFmtId="2" fontId="81" fillId="70" borderId="58" xfId="505" applyNumberFormat="1" applyFont="1" applyFill="1" applyBorder="1" applyAlignment="1" applyProtection="1">
      <alignment horizontal="center" vertical="center" textRotation="90" wrapText="1"/>
      <protection hidden="1"/>
    </xf>
    <xf numFmtId="2" fontId="81" fillId="70" borderId="45" xfId="505" applyNumberFormat="1" applyFont="1" applyFill="1" applyBorder="1" applyAlignment="1" applyProtection="1">
      <alignment horizontal="center" vertical="center" textRotation="90" wrapText="1"/>
      <protection hidden="1"/>
    </xf>
    <xf numFmtId="0" fontId="32" fillId="0" borderId="48" xfId="505" applyFont="1" applyBorder="1" applyAlignment="1" applyProtection="1">
      <alignment horizontal="center" vertical="center" textRotation="90" wrapText="1"/>
      <protection hidden="1"/>
    </xf>
    <xf numFmtId="0" fontId="32" fillId="0" borderId="94" xfId="505" applyFont="1" applyBorder="1" applyAlignment="1" applyProtection="1">
      <alignment horizontal="center" vertical="center" textRotation="90" wrapText="1"/>
      <protection hidden="1"/>
    </xf>
    <xf numFmtId="4" fontId="136" fillId="0" borderId="0" xfId="505" applyNumberFormat="1" applyFont="1" applyAlignment="1" applyProtection="1">
      <alignment horizontal="center" vertical="center" wrapText="1"/>
      <protection hidden="1"/>
    </xf>
    <xf numFmtId="2" fontId="136" fillId="0" borderId="0" xfId="505" applyNumberFormat="1" applyFont="1" applyAlignment="1" applyProtection="1">
      <alignment horizontal="center" vertical="center" wrapText="1"/>
      <protection hidden="1"/>
    </xf>
    <xf numFmtId="2" fontId="138" fillId="0" borderId="0" xfId="505" applyNumberFormat="1" applyFont="1" applyAlignment="1" applyProtection="1">
      <alignment horizontal="center" vertical="center" wrapText="1"/>
      <protection hidden="1"/>
    </xf>
    <xf numFmtId="0" fontId="149" fillId="0" borderId="0" xfId="505" applyFont="1" applyAlignment="1" applyProtection="1">
      <alignment horizontal="center" vertical="center" wrapText="1"/>
      <protection locked="0"/>
    </xf>
    <xf numFmtId="0" fontId="149" fillId="0" borderId="0" xfId="505" applyFont="1" applyAlignment="1" applyProtection="1">
      <alignment horizontal="left" vertical="center" wrapText="1"/>
      <protection locked="0"/>
    </xf>
    <xf numFmtId="0" fontId="197" fillId="0" borderId="0" xfId="0" applyFont="1" applyAlignment="1">
      <alignment horizontal="left" wrapText="1"/>
    </xf>
    <xf numFmtId="0" fontId="0" fillId="0" borderId="1" xfId="0" applyBorder="1" applyAlignment="1">
      <alignment horizontal="center"/>
    </xf>
    <xf numFmtId="0" fontId="0" fillId="0" borderId="79"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160" fillId="0" borderId="5" xfId="0" applyFont="1" applyBorder="1" applyAlignment="1">
      <alignment horizontal="right"/>
    </xf>
    <xf numFmtId="0" fontId="81" fillId="0" borderId="0" xfId="0" applyFont="1" applyAlignment="1">
      <alignment horizontal="center" wrapText="1"/>
    </xf>
    <xf numFmtId="0" fontId="32" fillId="0" borderId="0" xfId="545" applyFont="1" applyAlignment="1">
      <alignment horizontal="center"/>
    </xf>
    <xf numFmtId="0" fontId="81" fillId="0" borderId="1" xfId="0" applyFont="1" applyBorder="1" applyAlignment="1">
      <alignment horizontal="center" vertical="center" wrapText="1"/>
    </xf>
    <xf numFmtId="0" fontId="32" fillId="0" borderId="1" xfId="0" applyFont="1" applyBorder="1" applyAlignment="1">
      <alignment horizontal="center" vertical="center"/>
    </xf>
    <xf numFmtId="0" fontId="81" fillId="0" borderId="79" xfId="0" applyFont="1" applyBorder="1" applyAlignment="1">
      <alignment horizontal="center" vertical="center" wrapText="1"/>
    </xf>
    <xf numFmtId="0" fontId="31" fillId="0" borderId="3" xfId="0" applyFont="1" applyBorder="1" applyAlignment="1">
      <alignment horizontal="center" vertical="center"/>
    </xf>
    <xf numFmtId="0" fontId="103" fillId="0" borderId="5" xfId="0" applyFont="1" applyBorder="1" applyAlignment="1">
      <alignment horizontal="center"/>
    </xf>
    <xf numFmtId="0" fontId="24" fillId="62" borderId="28" xfId="134" applyFill="1" applyBorder="1" applyAlignment="1">
      <alignment horizontal="left" wrapText="1"/>
    </xf>
    <xf numFmtId="0" fontId="24" fillId="62" borderId="0" xfId="134" applyFill="1" applyAlignment="1">
      <alignment horizontal="left" wrapText="1"/>
    </xf>
    <xf numFmtId="0" fontId="24" fillId="62" borderId="87" xfId="134" applyFill="1" applyBorder="1" applyAlignment="1">
      <alignment horizontal="left" wrapText="1"/>
    </xf>
    <xf numFmtId="2" fontId="140" fillId="68" borderId="52" xfId="134" applyNumberFormat="1" applyFont="1" applyFill="1" applyBorder="1" applyAlignment="1">
      <alignment horizontal="center" vertical="center"/>
    </xf>
    <xf numFmtId="2" fontId="140" fillId="68" borderId="9" xfId="134" applyNumberFormat="1" applyFont="1" applyFill="1" applyBorder="1" applyAlignment="1">
      <alignment horizontal="center" vertical="center"/>
    </xf>
    <xf numFmtId="2" fontId="140" fillId="68" borderId="73" xfId="134" applyNumberFormat="1" applyFont="1" applyFill="1" applyBorder="1" applyAlignment="1">
      <alignment horizontal="center" vertical="center"/>
    </xf>
    <xf numFmtId="0" fontId="140" fillId="68" borderId="52" xfId="134" applyFont="1" applyFill="1" applyBorder="1" applyAlignment="1">
      <alignment horizontal="center" vertical="center"/>
    </xf>
    <xf numFmtId="0" fontId="140" fillId="68" borderId="9" xfId="134" applyFont="1" applyFill="1" applyBorder="1" applyAlignment="1">
      <alignment horizontal="center" vertical="center"/>
    </xf>
    <xf numFmtId="0" fontId="140" fillId="68" borderId="73" xfId="134" applyFont="1" applyFill="1" applyBorder="1" applyAlignment="1">
      <alignment horizontal="center" vertical="center"/>
    </xf>
    <xf numFmtId="0" fontId="140" fillId="68" borderId="53" xfId="134" applyFont="1" applyFill="1" applyBorder="1" applyAlignment="1">
      <alignment horizontal="center" vertical="center"/>
    </xf>
    <xf numFmtId="0" fontId="140" fillId="68" borderId="80" xfId="134" applyFont="1" applyFill="1" applyBorder="1" applyAlignment="1">
      <alignment horizontal="center" vertical="center"/>
    </xf>
    <xf numFmtId="0" fontId="140" fillId="68" borderId="72" xfId="134" applyFont="1" applyFill="1" applyBorder="1" applyAlignment="1">
      <alignment horizontal="center" vertical="center"/>
    </xf>
    <xf numFmtId="0" fontId="24" fillId="0" borderId="0" xfId="134" applyAlignment="1">
      <alignment horizontal="center"/>
    </xf>
    <xf numFmtId="170" fontId="140" fillId="68" borderId="52" xfId="134" applyNumberFormat="1" applyFont="1" applyFill="1" applyBorder="1" applyAlignment="1">
      <alignment horizontal="center" vertical="center"/>
    </xf>
    <xf numFmtId="170" fontId="140" fillId="68" borderId="73" xfId="134" applyNumberFormat="1" applyFont="1" applyFill="1" applyBorder="1" applyAlignment="1">
      <alignment horizontal="center" vertical="center"/>
    </xf>
    <xf numFmtId="0" fontId="266" fillId="0" borderId="8" xfId="134" applyFont="1" applyBorder="1" applyAlignment="1">
      <alignment horizontal="center" vertical="center"/>
    </xf>
    <xf numFmtId="0" fontId="266" fillId="0" borderId="9" xfId="134" applyFont="1" applyBorder="1" applyAlignment="1">
      <alignment horizontal="center" vertical="center"/>
    </xf>
    <xf numFmtId="0" fontId="266" fillId="0" borderId="7" xfId="134" applyFont="1" applyBorder="1" applyAlignment="1">
      <alignment horizontal="center" vertical="center"/>
    </xf>
    <xf numFmtId="0" fontId="147" fillId="0" borderId="1" xfId="134" applyFont="1" applyBorder="1" applyAlignment="1">
      <alignment horizontal="center" vertical="center"/>
    </xf>
    <xf numFmtId="0" fontId="147" fillId="0" borderId="1" xfId="134" applyFont="1" applyBorder="1" applyAlignment="1">
      <alignment horizontal="center" vertical="center" wrapText="1"/>
    </xf>
    <xf numFmtId="0" fontId="147" fillId="0" borderId="1" xfId="0" applyFont="1" applyBorder="1" applyAlignment="1">
      <alignment horizontal="center" vertical="center" wrapText="1"/>
    </xf>
    <xf numFmtId="0" fontId="267" fillId="62" borderId="28" xfId="134" applyFont="1" applyFill="1" applyBorder="1" applyAlignment="1">
      <alignment horizontal="left" wrapText="1"/>
    </xf>
    <xf numFmtId="0" fontId="267" fillId="62" borderId="0" xfId="134" applyFont="1" applyFill="1" applyAlignment="1">
      <alignment horizontal="left" wrapText="1"/>
    </xf>
    <xf numFmtId="0" fontId="267" fillId="62" borderId="87" xfId="134" applyFont="1" applyFill="1" applyBorder="1" applyAlignment="1">
      <alignment horizontal="left" wrapText="1"/>
    </xf>
    <xf numFmtId="0" fontId="147" fillId="0" borderId="8" xfId="134" applyFont="1" applyBorder="1" applyAlignment="1">
      <alignment horizontal="center"/>
    </xf>
    <xf numFmtId="0" fontId="147" fillId="0" borderId="7" xfId="134" applyFont="1" applyBorder="1" applyAlignment="1">
      <alignment horizontal="center"/>
    </xf>
    <xf numFmtId="0" fontId="147" fillId="0" borderId="1" xfId="134" applyFont="1" applyBorder="1" applyAlignment="1">
      <alignment horizontal="center"/>
    </xf>
    <xf numFmtId="0" fontId="147" fillId="0" borderId="8" xfId="0" applyFont="1" applyBorder="1" applyAlignment="1">
      <alignment horizontal="center" vertical="center" wrapText="1"/>
    </xf>
    <xf numFmtId="0" fontId="266" fillId="0" borderId="10" xfId="134" applyFont="1" applyBorder="1" applyAlignment="1">
      <alignment horizontal="center" vertical="center"/>
    </xf>
    <xf numFmtId="0" fontId="266" fillId="0" borderId="5" xfId="134" applyFont="1" applyBorder="1" applyAlignment="1">
      <alignment horizontal="center" vertical="center"/>
    </xf>
    <xf numFmtId="0" fontId="263" fillId="64" borderId="96" xfId="134" applyFont="1" applyFill="1" applyBorder="1" applyAlignment="1">
      <alignment horizontal="center"/>
    </xf>
    <xf numFmtId="0" fontId="263" fillId="64" borderId="77" xfId="134" applyFont="1" applyFill="1" applyBorder="1" applyAlignment="1">
      <alignment horizontal="center"/>
    </xf>
    <xf numFmtId="0" fontId="263" fillId="64" borderId="30" xfId="134" applyFont="1" applyFill="1" applyBorder="1" applyAlignment="1">
      <alignment horizontal="center"/>
    </xf>
    <xf numFmtId="0" fontId="263" fillId="64" borderId="36" xfId="134" applyFont="1" applyFill="1" applyBorder="1" applyAlignment="1">
      <alignment horizontal="center"/>
    </xf>
    <xf numFmtId="0" fontId="263" fillId="64" borderId="31" xfId="134" applyFont="1" applyFill="1" applyBorder="1" applyAlignment="1">
      <alignment horizontal="center"/>
    </xf>
    <xf numFmtId="16" fontId="147" fillId="62" borderId="71" xfId="134" applyNumberFormat="1" applyFont="1" applyFill="1" applyBorder="1" applyAlignment="1">
      <alignment horizontal="center" vertical="top" wrapText="1"/>
    </xf>
    <xf numFmtId="16" fontId="147" fillId="62" borderId="32" xfId="134" applyNumberFormat="1" applyFont="1" applyFill="1" applyBorder="1" applyAlignment="1">
      <alignment horizontal="center" vertical="top" wrapText="1"/>
    </xf>
    <xf numFmtId="16" fontId="147" fillId="62" borderId="88" xfId="134" applyNumberFormat="1" applyFont="1" applyFill="1" applyBorder="1" applyAlignment="1">
      <alignment horizontal="center" vertical="top" wrapText="1"/>
    </xf>
    <xf numFmtId="170" fontId="140" fillId="68" borderId="9" xfId="134" applyNumberFormat="1" applyFont="1" applyFill="1" applyBorder="1" applyAlignment="1">
      <alignment horizontal="center" vertical="center"/>
    </xf>
    <xf numFmtId="4" fontId="140" fillId="68" borderId="52" xfId="134" applyNumberFormat="1" applyFont="1" applyFill="1" applyBorder="1" applyAlignment="1">
      <alignment horizontal="center" vertical="center"/>
    </xf>
    <xf numFmtId="4" fontId="140" fillId="68" borderId="9" xfId="134" applyNumberFormat="1" applyFont="1" applyFill="1" applyBorder="1" applyAlignment="1">
      <alignment horizontal="center" vertical="center"/>
    </xf>
    <xf numFmtId="4" fontId="140" fillId="68" borderId="73" xfId="134" applyNumberFormat="1" applyFont="1" applyFill="1" applyBorder="1" applyAlignment="1">
      <alignment horizontal="center" vertical="center"/>
    </xf>
    <xf numFmtId="0" fontId="263" fillId="34" borderId="28" xfId="134" applyFont="1" applyFill="1" applyBorder="1" applyAlignment="1">
      <alignment horizontal="left"/>
    </xf>
    <xf numFmtId="0" fontId="263" fillId="34" borderId="0" xfId="134" applyFont="1" applyFill="1" applyAlignment="1">
      <alignment horizontal="left"/>
    </xf>
    <xf numFmtId="0" fontId="24" fillId="0" borderId="1" xfId="134" applyBorder="1" applyAlignment="1">
      <alignment horizontal="center" vertical="center"/>
    </xf>
    <xf numFmtId="0" fontId="118" fillId="0" borderId="1" xfId="134" applyFont="1" applyBorder="1" applyAlignment="1">
      <alignment horizontal="center" vertical="center"/>
    </xf>
    <xf numFmtId="0" fontId="155" fillId="0" borderId="1" xfId="134" applyFont="1" applyBorder="1" applyAlignment="1">
      <alignment horizontal="center" textRotation="90" wrapText="1"/>
    </xf>
    <xf numFmtId="0" fontId="263" fillId="0" borderId="0" xfId="134" applyFont="1" applyAlignment="1">
      <alignment horizontal="center"/>
    </xf>
    <xf numFmtId="0" fontId="24" fillId="0" borderId="5" xfId="134" applyBorder="1" applyAlignment="1">
      <alignment horizontal="center"/>
    </xf>
    <xf numFmtId="188" fontId="264" fillId="0" borderId="0" xfId="134" applyNumberFormat="1" applyFont="1" applyAlignment="1">
      <alignment horizontal="center"/>
    </xf>
    <xf numFmtId="188" fontId="24" fillId="0" borderId="0" xfId="134" applyNumberFormat="1" applyAlignment="1">
      <alignment horizontal="center"/>
    </xf>
    <xf numFmtId="0" fontId="40" fillId="0" borderId="35" xfId="0" applyFont="1" applyBorder="1" applyAlignment="1">
      <alignment horizontal="center" vertical="center"/>
    </xf>
    <xf numFmtId="0" fontId="40" fillId="0" borderId="56" xfId="0" applyFont="1" applyBorder="1" applyAlignment="1">
      <alignment horizontal="center" vertical="center"/>
    </xf>
    <xf numFmtId="0" fontId="31" fillId="0" borderId="0" xfId="0" applyFont="1" applyAlignment="1">
      <alignment horizontal="left" wrapText="1"/>
    </xf>
    <xf numFmtId="0" fontId="40" fillId="0" borderId="0" xfId="0" applyFont="1" applyAlignment="1">
      <alignment horizontal="center" wrapText="1"/>
    </xf>
    <xf numFmtId="0" fontId="40" fillId="0" borderId="34" xfId="0" applyFont="1" applyBorder="1" applyAlignment="1">
      <alignment horizontal="center" vertical="center"/>
    </xf>
    <xf numFmtId="0" fontId="40" fillId="0" borderId="27" xfId="0" applyFont="1" applyBorder="1" applyAlignment="1">
      <alignment horizontal="center" vertical="center"/>
    </xf>
    <xf numFmtId="0" fontId="31" fillId="0" borderId="0" xfId="0" applyFont="1" applyAlignment="1">
      <alignment horizontal="center" vertical="top" wrapText="1"/>
    </xf>
    <xf numFmtId="0" fontId="32" fillId="0" borderId="0" xfId="0" applyFont="1" applyAlignment="1">
      <alignment horizontal="right"/>
    </xf>
    <xf numFmtId="0" fontId="31" fillId="0" borderId="79" xfId="0" applyFont="1" applyBorder="1" applyAlignment="1">
      <alignment horizontal="center" vertical="center"/>
    </xf>
    <xf numFmtId="0" fontId="201" fillId="0" borderId="0" xfId="0" applyFont="1" applyAlignment="1">
      <alignment horizontal="center"/>
    </xf>
    <xf numFmtId="0" fontId="201" fillId="0" borderId="0" xfId="0" applyFont="1" applyAlignment="1">
      <alignment horizontal="center" wrapText="1"/>
    </xf>
    <xf numFmtId="0" fontId="163" fillId="0" borderId="96" xfId="0" applyFont="1" applyBorder="1" applyAlignment="1">
      <alignment horizontal="center" vertical="center"/>
    </xf>
    <xf numFmtId="0" fontId="163" fillId="0" borderId="9" xfId="0" applyFont="1" applyBorder="1" applyAlignment="1">
      <alignment horizontal="center" vertical="center"/>
    </xf>
    <xf numFmtId="0" fontId="163" fillId="0" borderId="7" xfId="0" applyFont="1" applyBorder="1" applyAlignment="1">
      <alignment horizontal="center" vertical="center"/>
    </xf>
    <xf numFmtId="0" fontId="30" fillId="0" borderId="79" xfId="0" applyFont="1" applyBorder="1" applyAlignment="1">
      <alignment horizontal="center" vertical="center"/>
    </xf>
    <xf numFmtId="0" fontId="30" fillId="0" borderId="3" xfId="0" applyFont="1" applyBorder="1" applyAlignment="1">
      <alignment horizontal="center" vertical="center"/>
    </xf>
    <xf numFmtId="0" fontId="117" fillId="0" borderId="57" xfId="0" applyFont="1" applyBorder="1" applyAlignment="1">
      <alignment horizontal="left" vertical="center" wrapText="1"/>
    </xf>
    <xf numFmtId="0" fontId="117" fillId="0" borderId="44" xfId="0" applyFont="1" applyBorder="1" applyAlignment="1">
      <alignment horizontal="left" vertical="center" wrapText="1"/>
    </xf>
    <xf numFmtId="0" fontId="198" fillId="0" borderId="25" xfId="0" applyFont="1" applyBorder="1" applyAlignment="1">
      <alignment wrapText="1"/>
    </xf>
    <xf numFmtId="0" fontId="198" fillId="0" borderId="0" xfId="0" applyFont="1" applyAlignment="1">
      <alignment wrapText="1"/>
    </xf>
    <xf numFmtId="0" fontId="198" fillId="0" borderId="87" xfId="0" applyFont="1" applyBorder="1" applyAlignment="1">
      <alignment wrapText="1"/>
    </xf>
    <xf numFmtId="0" fontId="198" fillId="0" borderId="4" xfId="0" applyFont="1" applyBorder="1" applyAlignment="1">
      <alignment wrapText="1"/>
    </xf>
    <xf numFmtId="0" fontId="198" fillId="0" borderId="79" xfId="0" applyFont="1" applyBorder="1" applyAlignment="1">
      <alignment wrapText="1"/>
    </xf>
    <xf numFmtId="0" fontId="117" fillId="0" borderId="42" xfId="0" applyFont="1" applyBorder="1" applyAlignment="1">
      <alignment horizontal="left" vertical="center" wrapText="1"/>
    </xf>
    <xf numFmtId="0" fontId="32" fillId="0" borderId="79" xfId="0" applyFont="1" applyBorder="1" applyAlignment="1">
      <alignment horizontal="center" vertical="center"/>
    </xf>
    <xf numFmtId="0" fontId="32" fillId="0" borderId="3" xfId="0" applyFont="1" applyBorder="1" applyAlignment="1">
      <alignment horizontal="center" vertical="center"/>
    </xf>
    <xf numFmtId="0" fontId="81" fillId="0" borderId="0" xfId="0" applyFont="1" applyAlignment="1">
      <alignment horizontal="center" vertical="center"/>
    </xf>
    <xf numFmtId="0" fontId="81" fillId="0" borderId="5" xfId="0" applyFont="1" applyBorder="1" applyAlignment="1">
      <alignment horizontal="center" vertical="center"/>
    </xf>
    <xf numFmtId="0" fontId="246" fillId="0" borderId="0" xfId="0" applyFont="1" applyAlignment="1">
      <alignment horizontal="left" vertical="top" wrapText="1"/>
    </xf>
    <xf numFmtId="0" fontId="245" fillId="0" borderId="0" xfId="0" applyFont="1" applyAlignment="1">
      <alignment horizontal="left" vertical="top" wrapText="1"/>
    </xf>
    <xf numFmtId="0" fontId="81" fillId="0" borderId="0" xfId="0" applyFont="1" applyAlignment="1">
      <alignment horizontal="center"/>
    </xf>
    <xf numFmtId="0" fontId="98" fillId="0" borderId="0" xfId="0" applyFont="1" applyAlignment="1">
      <alignment horizontal="center" vertical="center" wrapText="1"/>
    </xf>
    <xf numFmtId="0" fontId="31" fillId="0" borderId="0" xfId="0" applyFont="1" applyFill="1" applyAlignment="1">
      <alignment horizontal="center" vertical="center"/>
    </xf>
    <xf numFmtId="0" fontId="31" fillId="0" borderId="0" xfId="0" applyFont="1" applyFill="1" applyAlignment="1">
      <alignment wrapText="1"/>
    </xf>
    <xf numFmtId="0" fontId="31" fillId="0" borderId="0" xfId="0" applyFont="1" applyFill="1"/>
    <xf numFmtId="0" fontId="201" fillId="0" borderId="0" xfId="0" applyFont="1" applyFill="1" applyAlignment="1">
      <alignment horizontal="center" vertical="center" wrapText="1"/>
    </xf>
    <xf numFmtId="0" fontId="177" fillId="0" borderId="0" xfId="0" applyFont="1" applyFill="1"/>
    <xf numFmtId="0" fontId="81" fillId="0" borderId="0" xfId="0" applyFont="1" applyFill="1" applyAlignment="1">
      <alignment horizontal="center" vertical="center" wrapText="1"/>
    </xf>
    <xf numFmtId="0" fontId="31" fillId="0" borderId="66" xfId="0" applyFont="1" applyFill="1" applyBorder="1" applyAlignment="1">
      <alignment horizontal="center" vertical="center" wrapText="1"/>
    </xf>
    <xf numFmtId="0" fontId="31" fillId="0" borderId="9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0" xfId="0" applyFont="1" applyFill="1" applyBorder="1" applyAlignment="1">
      <alignment horizontal="center" vertical="center" wrapText="1"/>
    </xf>
    <xf numFmtId="0" fontId="31" fillId="0" borderId="107" xfId="0" applyFont="1" applyFill="1" applyBorder="1" applyAlignment="1">
      <alignment horizontal="center" vertical="center" wrapText="1"/>
    </xf>
    <xf numFmtId="0" fontId="31" fillId="0" borderId="71" xfId="0" applyFont="1" applyFill="1" applyBorder="1" applyAlignment="1">
      <alignment horizontal="center" vertical="center" wrapText="1"/>
    </xf>
    <xf numFmtId="0" fontId="31" fillId="0" borderId="68" xfId="0" applyFont="1" applyFill="1" applyBorder="1" applyAlignment="1">
      <alignment horizontal="center" vertical="center" wrapText="1"/>
    </xf>
    <xf numFmtId="4" fontId="31" fillId="0" borderId="6" xfId="0" applyNumberFormat="1" applyFont="1" applyFill="1" applyBorder="1" applyAlignment="1">
      <alignment horizontal="center" vertical="center" wrapText="1"/>
    </xf>
    <xf numFmtId="0" fontId="31" fillId="0" borderId="6" xfId="0" applyFont="1" applyFill="1" applyBorder="1" applyAlignment="1">
      <alignment horizontal="center" vertical="center"/>
    </xf>
    <xf numFmtId="0" fontId="31" fillId="0" borderId="6" xfId="0" applyFont="1" applyFill="1" applyBorder="1" applyAlignment="1">
      <alignment horizontal="center" wrapText="1"/>
    </xf>
    <xf numFmtId="0" fontId="31" fillId="0" borderId="36" xfId="0" applyFont="1" applyFill="1" applyBorder="1" applyAlignment="1">
      <alignment horizontal="center"/>
    </xf>
    <xf numFmtId="0" fontId="31" fillId="0" borderId="6" xfId="0" applyFont="1" applyFill="1" applyBorder="1" applyAlignment="1">
      <alignment horizontal="center"/>
    </xf>
    <xf numFmtId="0" fontId="31" fillId="0" borderId="31" xfId="0" applyFont="1" applyFill="1" applyBorder="1" applyAlignment="1">
      <alignment horizontal="center"/>
    </xf>
    <xf numFmtId="0" fontId="83" fillId="0" borderId="6" xfId="0" applyFont="1" applyFill="1" applyBorder="1" applyAlignment="1">
      <alignment horizontal="center" vertical="center"/>
    </xf>
    <xf numFmtId="0" fontId="164" fillId="0" borderId="31" xfId="0" applyFont="1" applyFill="1" applyBorder="1" applyAlignment="1">
      <alignment horizontal="center" wrapText="1"/>
    </xf>
    <xf numFmtId="0" fontId="83" fillId="0" borderId="36" xfId="0" applyFont="1" applyFill="1" applyBorder="1" applyAlignment="1">
      <alignment horizontal="center" vertical="center"/>
    </xf>
    <xf numFmtId="2" fontId="166" fillId="0" borderId="6" xfId="0" applyNumberFormat="1" applyFont="1" applyFill="1" applyBorder="1" applyAlignment="1">
      <alignment horizontal="center" vertical="center"/>
    </xf>
    <xf numFmtId="0" fontId="83" fillId="0" borderId="0" xfId="0" applyFont="1" applyFill="1"/>
    <xf numFmtId="0" fontId="191" fillId="0" borderId="0" xfId="0" applyFont="1" applyFill="1"/>
    <xf numFmtId="0" fontId="40" fillId="0" borderId="32" xfId="0" applyFont="1" applyFill="1" applyBorder="1" applyAlignment="1">
      <alignment horizontal="center" vertical="center"/>
    </xf>
    <xf numFmtId="0" fontId="193" fillId="0" borderId="87" xfId="0" applyFont="1" applyFill="1" applyBorder="1" applyAlignment="1">
      <alignment horizontal="center" vertical="center" wrapText="1"/>
    </xf>
    <xf numFmtId="177" fontId="40" fillId="0" borderId="6" xfId="0" applyNumberFormat="1" applyFont="1" applyFill="1" applyBorder="1" applyAlignment="1">
      <alignment horizontal="center" vertical="center"/>
    </xf>
    <xf numFmtId="2" fontId="177" fillId="0" borderId="0" xfId="0" applyNumberFormat="1" applyFont="1" applyFill="1"/>
    <xf numFmtId="2" fontId="31" fillId="0" borderId="0" xfId="0" applyNumberFormat="1" applyFont="1" applyFill="1" applyAlignment="1">
      <alignment wrapText="1"/>
    </xf>
    <xf numFmtId="0" fontId="40" fillId="0" borderId="6" xfId="0" applyFont="1" applyFill="1" applyBorder="1" applyAlignment="1">
      <alignment horizontal="center" vertical="center"/>
    </xf>
    <xf numFmtId="0" fontId="40" fillId="0" borderId="30" xfId="0" applyFont="1" applyFill="1" applyBorder="1" applyAlignment="1">
      <alignment horizontal="center" vertical="center"/>
    </xf>
    <xf numFmtId="0" fontId="40" fillId="0" borderId="36"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67" xfId="0" applyFont="1" applyFill="1" applyBorder="1" applyAlignment="1">
      <alignment horizontal="center" vertical="center"/>
    </xf>
    <xf numFmtId="0" fontId="40" fillId="0" borderId="67" xfId="0" applyFont="1" applyFill="1" applyBorder="1" applyAlignment="1">
      <alignment wrapText="1"/>
    </xf>
    <xf numFmtId="177" fontId="40" fillId="0" borderId="67" xfId="0" applyNumberFormat="1" applyFont="1" applyFill="1" applyBorder="1" applyAlignment="1">
      <alignment horizontal="center" vertical="center"/>
    </xf>
    <xf numFmtId="2" fontId="169" fillId="0" borderId="0" xfId="0" applyNumberFormat="1" applyFont="1" applyFill="1"/>
    <xf numFmtId="2" fontId="40" fillId="0" borderId="67" xfId="0" applyNumberFormat="1" applyFont="1" applyFill="1" applyBorder="1" applyAlignment="1">
      <alignment horizontal="center" vertical="center"/>
    </xf>
    <xf numFmtId="2" fontId="40" fillId="0" borderId="0" xfId="0" applyNumberFormat="1" applyFont="1" applyFill="1"/>
    <xf numFmtId="0" fontId="169" fillId="0" borderId="0" xfId="0" applyFont="1" applyFill="1"/>
    <xf numFmtId="0" fontId="40" fillId="0" borderId="0" xfId="0" applyFont="1" applyFill="1"/>
    <xf numFmtId="16" fontId="31" fillId="0" borderId="67" xfId="0" applyNumberFormat="1" applyFont="1" applyFill="1" applyBorder="1" applyAlignment="1">
      <alignment horizontal="center" vertical="center"/>
    </xf>
    <xf numFmtId="0" fontId="31" fillId="0" borderId="67" xfId="0" applyFont="1" applyFill="1" applyBorder="1" applyAlignment="1">
      <alignment wrapText="1"/>
    </xf>
    <xf numFmtId="177" fontId="31" fillId="0" borderId="67" xfId="0" applyNumberFormat="1" applyFont="1" applyFill="1" applyBorder="1" applyAlignment="1">
      <alignment horizontal="center" vertical="center"/>
    </xf>
    <xf numFmtId="2" fontId="31" fillId="0" borderId="67" xfId="0" applyNumberFormat="1" applyFont="1" applyFill="1" applyBorder="1" applyAlignment="1">
      <alignment horizontal="center" vertical="center"/>
    </xf>
    <xf numFmtId="2" fontId="40" fillId="0" borderId="1" xfId="0" applyNumberFormat="1" applyFont="1" applyFill="1" applyBorder="1" applyAlignment="1">
      <alignment horizontal="center"/>
    </xf>
    <xf numFmtId="2" fontId="31" fillId="0" borderId="1" xfId="0" applyNumberFormat="1" applyFont="1" applyFill="1" applyBorder="1" applyAlignment="1">
      <alignment horizontal="center"/>
    </xf>
    <xf numFmtId="2" fontId="31" fillId="0" borderId="0" xfId="0" applyNumberFormat="1" applyFont="1" applyFill="1"/>
    <xf numFmtId="16" fontId="40" fillId="0" borderId="67" xfId="0" applyNumberFormat="1" applyFont="1" applyFill="1" applyBorder="1" applyAlignment="1">
      <alignment horizontal="center" vertical="center"/>
    </xf>
    <xf numFmtId="177" fontId="40" fillId="0" borderId="67" xfId="0" applyNumberFormat="1" applyFont="1" applyFill="1" applyBorder="1" applyAlignment="1">
      <alignment horizontal="center"/>
    </xf>
    <xf numFmtId="0" fontId="31" fillId="0" borderId="67" xfId="0" applyFont="1" applyFill="1" applyBorder="1" applyAlignment="1">
      <alignment horizontal="center" vertical="center"/>
    </xf>
    <xf numFmtId="177" fontId="40" fillId="0" borderId="77" xfId="0" applyNumberFormat="1" applyFont="1" applyFill="1" applyBorder="1" applyAlignment="1">
      <alignment horizontal="center" vertical="center"/>
    </xf>
    <xf numFmtId="177" fontId="40" fillId="0" borderId="71" xfId="0" applyNumberFormat="1" applyFont="1" applyFill="1" applyBorder="1" applyAlignment="1">
      <alignment horizontal="center"/>
    </xf>
    <xf numFmtId="0" fontId="31" fillId="0" borderId="68" xfId="0" applyFont="1" applyFill="1" applyBorder="1" applyAlignment="1">
      <alignment horizontal="center" vertical="center"/>
    </xf>
    <xf numFmtId="0" fontId="90" fillId="0" borderId="44" xfId="555" applyFont="1" applyFill="1" applyBorder="1" applyAlignment="1">
      <alignment horizontal="left" vertical="center" wrapText="1"/>
    </xf>
    <xf numFmtId="181" fontId="31" fillId="0" borderId="80" xfId="0" applyNumberFormat="1" applyFont="1" applyFill="1" applyBorder="1" applyAlignment="1">
      <alignment horizontal="center" vertical="center"/>
    </xf>
    <xf numFmtId="179" fontId="31" fillId="0" borderId="68" xfId="0" applyNumberFormat="1" applyFont="1" applyFill="1" applyBorder="1" applyAlignment="1">
      <alignment horizontal="center" vertical="center"/>
    </xf>
    <xf numFmtId="0" fontId="193" fillId="0" borderId="6" xfId="0" applyFont="1" applyFill="1" applyBorder="1" applyAlignment="1">
      <alignment horizontal="center" vertical="center" wrapText="1"/>
    </xf>
    <xf numFmtId="177" fontId="193" fillId="0" borderId="6" xfId="0" applyNumberFormat="1" applyFont="1" applyFill="1" applyBorder="1" applyAlignment="1">
      <alignment horizontal="center" vertical="center"/>
    </xf>
    <xf numFmtId="0" fontId="40" fillId="0" borderId="30"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31" fillId="0" borderId="1" xfId="0" applyFont="1" applyFill="1" applyBorder="1" applyAlignment="1">
      <alignment vertical="center" wrapText="1"/>
    </xf>
    <xf numFmtId="4" fontId="40" fillId="0" borderId="0" xfId="0" applyNumberFormat="1" applyFont="1" applyFill="1"/>
    <xf numFmtId="0" fontId="31" fillId="0" borderId="68" xfId="0" applyFont="1" applyFill="1" applyBorder="1" applyAlignment="1">
      <alignment wrapText="1"/>
    </xf>
    <xf numFmtId="181" fontId="31" fillId="0" borderId="68" xfId="0" applyNumberFormat="1" applyFont="1" applyFill="1" applyBorder="1" applyAlignment="1">
      <alignment horizontal="center" vertical="center"/>
    </xf>
    <xf numFmtId="0" fontId="193" fillId="0" borderId="87" xfId="0" applyFont="1" applyFill="1" applyBorder="1" applyAlignment="1">
      <alignment vertical="center" wrapText="1"/>
    </xf>
    <xf numFmtId="0" fontId="40" fillId="0" borderId="67" xfId="0" applyFont="1" applyFill="1" applyBorder="1"/>
    <xf numFmtId="177" fontId="40" fillId="0" borderId="52" xfId="0" applyNumberFormat="1" applyFont="1" applyFill="1" applyBorder="1" applyAlignment="1">
      <alignment horizontal="center" vertical="center"/>
    </xf>
    <xf numFmtId="177" fontId="40" fillId="0" borderId="66" xfId="0" applyNumberFormat="1" applyFont="1" applyFill="1" applyBorder="1" applyAlignment="1">
      <alignment horizontal="center"/>
    </xf>
    <xf numFmtId="177" fontId="40" fillId="0" borderId="9" xfId="0" applyNumberFormat="1" applyFont="1" applyFill="1" applyBorder="1" applyAlignment="1">
      <alignment horizontal="center"/>
    </xf>
    <xf numFmtId="177" fontId="40" fillId="0" borderId="139" xfId="0" applyNumberFormat="1" applyFont="1" applyFill="1" applyBorder="1" applyAlignment="1">
      <alignment horizontal="center"/>
    </xf>
    <xf numFmtId="177" fontId="40" fillId="0" borderId="73" xfId="0" applyNumberFormat="1" applyFont="1" applyFill="1" applyBorder="1" applyAlignment="1">
      <alignment horizontal="center"/>
    </xf>
    <xf numFmtId="2" fontId="40" fillId="0" borderId="67" xfId="0" applyNumberFormat="1" applyFont="1" applyFill="1" applyBorder="1" applyAlignment="1">
      <alignment horizontal="center"/>
    </xf>
    <xf numFmtId="0" fontId="31" fillId="0" borderId="67" xfId="0" applyFont="1" applyFill="1" applyBorder="1"/>
    <xf numFmtId="177" fontId="31" fillId="0" borderId="52" xfId="0" applyNumberFormat="1" applyFont="1" applyFill="1" applyBorder="1" applyAlignment="1">
      <alignment horizontal="center" vertical="center"/>
    </xf>
    <xf numFmtId="177" fontId="31" fillId="0" borderId="9" xfId="0" applyNumberFormat="1" applyFont="1" applyFill="1" applyBorder="1" applyAlignment="1">
      <alignment horizontal="center" vertical="center"/>
    </xf>
    <xf numFmtId="177" fontId="31" fillId="0" borderId="73" xfId="0" applyNumberFormat="1" applyFont="1" applyFill="1" applyBorder="1" applyAlignment="1">
      <alignment horizontal="center" vertical="center"/>
    </xf>
    <xf numFmtId="177" fontId="40" fillId="0" borderId="52" xfId="0" applyNumberFormat="1" applyFont="1" applyFill="1" applyBorder="1" applyAlignment="1">
      <alignment horizontal="center"/>
    </xf>
    <xf numFmtId="177" fontId="31" fillId="0" borderId="71" xfId="0" applyNumberFormat="1" applyFont="1" applyFill="1" applyBorder="1" applyAlignment="1">
      <alignment horizontal="center" vertical="center"/>
    </xf>
    <xf numFmtId="177" fontId="40" fillId="0" borderId="9" xfId="0" applyNumberFormat="1" applyFont="1" applyFill="1" applyBorder="1" applyAlignment="1">
      <alignment horizontal="center" vertical="center"/>
    </xf>
    <xf numFmtId="177" fontId="40" fillId="0" borderId="73" xfId="0" applyNumberFormat="1" applyFont="1" applyFill="1" applyBorder="1" applyAlignment="1">
      <alignment horizontal="center" vertical="center"/>
    </xf>
    <xf numFmtId="177" fontId="31" fillId="0" borderId="88" xfId="0" applyNumberFormat="1" applyFont="1" applyFill="1" applyBorder="1" applyAlignment="1">
      <alignment horizontal="center" vertical="center"/>
    </xf>
    <xf numFmtId="181" fontId="31" fillId="0" borderId="53" xfId="0" applyNumberFormat="1" applyFont="1" applyFill="1" applyBorder="1" applyAlignment="1">
      <alignment horizontal="center" vertical="center"/>
    </xf>
    <xf numFmtId="181" fontId="31" fillId="0" borderId="72" xfId="0" applyNumberFormat="1" applyFont="1" applyFill="1" applyBorder="1" applyAlignment="1">
      <alignment horizontal="center" vertical="center"/>
    </xf>
    <xf numFmtId="181" fontId="177" fillId="0" borderId="0" xfId="0" applyNumberFormat="1" applyFont="1" applyFill="1"/>
    <xf numFmtId="0" fontId="88" fillId="0" borderId="0" xfId="0" applyFont="1" applyFill="1" applyAlignment="1">
      <alignment horizontal="center" vertical="center"/>
    </xf>
    <xf numFmtId="0" fontId="88" fillId="0" borderId="0" xfId="0" applyFont="1" applyFill="1" applyAlignment="1">
      <alignment wrapText="1"/>
    </xf>
    <xf numFmtId="2" fontId="282" fillId="0" borderId="0" xfId="0" applyNumberFormat="1" applyFont="1" applyFill="1" applyAlignment="1">
      <alignment horizontal="right"/>
    </xf>
    <xf numFmtId="2" fontId="88" fillId="0" borderId="0" xfId="0" applyNumberFormat="1" applyFont="1" applyFill="1" applyAlignment="1">
      <alignment horizontal="right" vertical="center"/>
    </xf>
    <xf numFmtId="2" fontId="88" fillId="0" borderId="0" xfId="0" applyNumberFormat="1" applyFont="1" applyFill="1" applyAlignment="1">
      <alignment horizontal="left"/>
    </xf>
    <xf numFmtId="2" fontId="31" fillId="0" borderId="0" xfId="0" applyNumberFormat="1" applyFont="1" applyFill="1" applyAlignment="1">
      <alignment horizontal="right"/>
    </xf>
    <xf numFmtId="2" fontId="210" fillId="0" borderId="0" xfId="0" applyNumberFormat="1" applyFont="1" applyFill="1" applyAlignment="1">
      <alignment horizontal="right"/>
    </xf>
    <xf numFmtId="2" fontId="31" fillId="0" borderId="0" xfId="0" applyNumberFormat="1" applyFont="1" applyFill="1" applyAlignment="1">
      <alignment horizontal="right" vertical="center"/>
    </xf>
    <xf numFmtId="2" fontId="31" fillId="0" borderId="0" xfId="0" applyNumberFormat="1" applyFont="1" applyFill="1" applyAlignment="1">
      <alignment horizontal="left"/>
    </xf>
    <xf numFmtId="177" fontId="177" fillId="0" borderId="0" xfId="0" applyNumberFormat="1" applyFont="1" applyFill="1"/>
    <xf numFmtId="177" fontId="31" fillId="0" borderId="0" xfId="0" applyNumberFormat="1" applyFont="1" applyFill="1"/>
    <xf numFmtId="0" fontId="32" fillId="0" borderId="0" xfId="0" applyFont="1" applyFill="1"/>
    <xf numFmtId="0" fontId="117" fillId="0" borderId="0" xfId="0" applyFont="1" applyFill="1" applyAlignment="1">
      <alignment horizontal="center"/>
    </xf>
    <xf numFmtId="0" fontId="200" fillId="0" borderId="0" xfId="0" applyFont="1" applyFill="1" applyAlignment="1">
      <alignment wrapText="1"/>
    </xf>
    <xf numFmtId="0" fontId="199" fillId="0" borderId="0" xfId="0" applyFont="1" applyFill="1" applyAlignment="1">
      <alignment horizontal="center" vertical="center"/>
    </xf>
    <xf numFmtId="0" fontId="117" fillId="0" borderId="0" xfId="0" applyFont="1" applyFill="1" applyAlignment="1">
      <alignment horizontal="center" vertical="center" wrapText="1"/>
    </xf>
    <xf numFmtId="0" fontId="32" fillId="0" borderId="0" xfId="0" applyFont="1" applyFill="1" applyAlignment="1">
      <alignment vertical="center"/>
    </xf>
    <xf numFmtId="0" fontId="199" fillId="0" borderId="60" xfId="0" applyFont="1" applyFill="1" applyBorder="1" applyAlignment="1">
      <alignment horizontal="center" vertical="center" wrapText="1"/>
    </xf>
    <xf numFmtId="0" fontId="199" fillId="0" borderId="61" xfId="0" applyFont="1" applyFill="1" applyBorder="1" applyAlignment="1">
      <alignment horizontal="center" vertical="center" wrapText="1"/>
    </xf>
    <xf numFmtId="0" fontId="199" fillId="0" borderId="62" xfId="0" applyFont="1" applyFill="1" applyBorder="1" applyAlignment="1">
      <alignment horizontal="center" vertical="center" wrapText="1"/>
    </xf>
    <xf numFmtId="0" fontId="198" fillId="0" borderId="34" xfId="0" applyFont="1" applyFill="1" applyBorder="1" applyAlignment="1">
      <alignment horizontal="center" vertical="center" wrapText="1"/>
    </xf>
    <xf numFmtId="0" fontId="198" fillId="0" borderId="57" xfId="0" applyFont="1" applyFill="1" applyBorder="1" applyAlignment="1">
      <alignment horizontal="center" vertical="center" wrapText="1"/>
    </xf>
    <xf numFmtId="0" fontId="198" fillId="0" borderId="58" xfId="0" applyFont="1" applyFill="1" applyBorder="1" applyAlignment="1">
      <alignment vertical="center" wrapText="1"/>
    </xf>
    <xf numFmtId="0" fontId="117" fillId="0" borderId="49" xfId="0" applyFont="1" applyFill="1" applyBorder="1" applyAlignment="1">
      <alignment horizontal="left" vertical="center" wrapText="1"/>
    </xf>
    <xf numFmtId="2" fontId="117" fillId="0" borderId="58" xfId="0" applyNumberFormat="1" applyFont="1" applyFill="1" applyBorder="1" applyAlignment="1">
      <alignment horizontal="center" vertical="center" wrapText="1"/>
    </xf>
    <xf numFmtId="2" fontId="199" fillId="0" borderId="59" xfId="0" applyNumberFormat="1" applyFont="1" applyFill="1" applyBorder="1" applyAlignment="1">
      <alignment vertical="center" wrapText="1"/>
    </xf>
    <xf numFmtId="0" fontId="198" fillId="0" borderId="39" xfId="0" applyFont="1" applyFill="1" applyBorder="1" applyAlignment="1">
      <alignment horizontal="center" vertical="center" wrapText="1"/>
    </xf>
    <xf numFmtId="0" fontId="198" fillId="0" borderId="1" xfId="0" applyFont="1" applyFill="1" applyBorder="1" applyAlignment="1">
      <alignment horizontal="center" vertical="center" wrapText="1"/>
    </xf>
    <xf numFmtId="0" fontId="117" fillId="0" borderId="1" xfId="0" applyFont="1" applyFill="1" applyBorder="1" applyAlignment="1">
      <alignment horizontal="left" vertical="center" wrapText="1"/>
    </xf>
    <xf numFmtId="2" fontId="117" fillId="0" borderId="1" xfId="0" applyNumberFormat="1" applyFont="1" applyFill="1" applyBorder="1" applyAlignment="1">
      <alignment horizontal="center" vertical="center" wrapText="1"/>
    </xf>
    <xf numFmtId="2" fontId="199" fillId="0" borderId="40" xfId="0" applyNumberFormat="1" applyFont="1" applyFill="1" applyBorder="1" applyAlignment="1">
      <alignment horizontal="right" vertical="center" wrapText="1"/>
    </xf>
    <xf numFmtId="0" fontId="198" fillId="0" borderId="44" xfId="0" applyFont="1" applyFill="1" applyBorder="1" applyAlignment="1">
      <alignment horizontal="center" vertical="center" wrapText="1"/>
    </xf>
    <xf numFmtId="0" fontId="198" fillId="0" borderId="45" xfId="0" applyFont="1" applyFill="1" applyBorder="1" applyAlignment="1">
      <alignment horizontal="center" vertical="center" wrapText="1"/>
    </xf>
    <xf numFmtId="0" fontId="117" fillId="0" borderId="93" xfId="0" applyFont="1" applyFill="1" applyBorder="1" applyAlignment="1">
      <alignment horizontal="left" vertical="center" wrapText="1"/>
    </xf>
    <xf numFmtId="2" fontId="117" fillId="0" borderId="45" xfId="0" applyNumberFormat="1" applyFont="1" applyFill="1" applyBorder="1" applyAlignment="1">
      <alignment horizontal="center" vertical="center" wrapText="1"/>
    </xf>
    <xf numFmtId="2" fontId="199" fillId="0" borderId="46" xfId="0" applyNumberFormat="1" applyFont="1" applyFill="1" applyBorder="1" applyAlignment="1">
      <alignment horizontal="right" vertical="center" wrapText="1"/>
    </xf>
    <xf numFmtId="0" fontId="198" fillId="0" borderId="0" xfId="0" applyFont="1" applyFill="1" applyAlignment="1">
      <alignment horizontal="center" vertical="center" wrapText="1"/>
    </xf>
    <xf numFmtId="0" fontId="117" fillId="0" borderId="57" xfId="0" applyFont="1" applyFill="1" applyBorder="1" applyAlignment="1">
      <alignment horizontal="left" vertical="center" wrapText="1"/>
    </xf>
    <xf numFmtId="0" fontId="117" fillId="0" borderId="58" xfId="0" applyFont="1" applyFill="1" applyBorder="1" applyAlignment="1">
      <alignment horizontal="left" vertical="center" wrapText="1"/>
    </xf>
    <xf numFmtId="4" fontId="117" fillId="0" borderId="58" xfId="0" applyNumberFormat="1" applyFont="1" applyFill="1" applyBorder="1" applyAlignment="1">
      <alignment horizontal="right" wrapText="1"/>
    </xf>
    <xf numFmtId="4" fontId="199" fillId="0" borderId="59" xfId="0" applyNumberFormat="1" applyFont="1" applyFill="1" applyBorder="1" applyAlignment="1">
      <alignment horizontal="right" wrapText="1"/>
    </xf>
    <xf numFmtId="0" fontId="117" fillId="0" borderId="44" xfId="0" applyFont="1" applyFill="1" applyBorder="1" applyAlignment="1">
      <alignment horizontal="left" vertical="center" wrapText="1"/>
    </xf>
    <xf numFmtId="0" fontId="117" fillId="0" borderId="45" xfId="0" applyFont="1" applyFill="1" applyBorder="1" applyAlignment="1">
      <alignment horizontal="left" vertical="center" wrapText="1"/>
    </xf>
    <xf numFmtId="4" fontId="117" fillId="0" borderId="45" xfId="0" applyNumberFormat="1" applyFont="1" applyFill="1" applyBorder="1" applyAlignment="1">
      <alignment horizontal="right" wrapText="1"/>
    </xf>
    <xf numFmtId="4" fontId="199" fillId="0" borderId="46" xfId="0" applyNumberFormat="1" applyFont="1" applyFill="1" applyBorder="1" applyAlignment="1">
      <alignment horizontal="right" wrapText="1"/>
    </xf>
    <xf numFmtId="0" fontId="199" fillId="0" borderId="0" xfId="0" applyFont="1" applyFill="1" applyAlignment="1">
      <alignment horizontal="left" vertical="center" wrapText="1"/>
    </xf>
    <xf numFmtId="0" fontId="117" fillId="0" borderId="0" xfId="0" applyFont="1" applyFill="1" applyAlignment="1">
      <alignment horizontal="left" vertical="center" wrapText="1"/>
    </xf>
    <xf numFmtId="4" fontId="117" fillId="0" borderId="0" xfId="0" applyNumberFormat="1" applyFont="1" applyFill="1" applyAlignment="1">
      <alignment horizontal="right" wrapText="1"/>
    </xf>
    <xf numFmtId="4" fontId="199" fillId="0" borderId="0" xfId="0" applyNumberFormat="1" applyFont="1" applyFill="1" applyAlignment="1">
      <alignment horizontal="right" wrapText="1"/>
    </xf>
    <xf numFmtId="0" fontId="32" fillId="0" borderId="0" xfId="0" applyFont="1" applyFill="1" applyAlignment="1">
      <alignment horizontal="center" wrapText="1"/>
    </xf>
    <xf numFmtId="0" fontId="32" fillId="0" borderId="0" xfId="0" applyFont="1" applyFill="1" applyAlignment="1">
      <alignment horizontal="center"/>
    </xf>
    <xf numFmtId="2" fontId="32" fillId="0" borderId="0" xfId="0" applyNumberFormat="1" applyFont="1" applyFill="1" applyAlignment="1">
      <alignment horizontal="center"/>
    </xf>
  </cellXfs>
  <cellStyles count="559">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42" xr:uid="{00000000-0005-0000-0000-000007000000}"/>
    <cellStyle name="20% - Акцент1 2 2 2" xfId="450" xr:uid="{00000000-0005-0000-0000-000008000000}"/>
    <cellStyle name="20% - Акцент1 2 3" xfId="451" xr:uid="{00000000-0005-0000-0000-000009000000}"/>
    <cellStyle name="20% - Акцент1 2_КВ Чхім 0108 вар3" xfId="243" xr:uid="{00000000-0005-0000-0000-00000A000000}"/>
    <cellStyle name="20% - Акцент1 3" xfId="244" xr:uid="{00000000-0005-0000-0000-00000B000000}"/>
    <cellStyle name="20% - Акцент2 2" xfId="16" xr:uid="{00000000-0005-0000-0000-00000C000000}"/>
    <cellStyle name="20% - Акцент2 2 2" xfId="245" xr:uid="{00000000-0005-0000-0000-00000D000000}"/>
    <cellStyle name="20% - Акцент2 2 2 2" xfId="452" xr:uid="{00000000-0005-0000-0000-00000E000000}"/>
    <cellStyle name="20% - Акцент2 2 3" xfId="453" xr:uid="{00000000-0005-0000-0000-00000F000000}"/>
    <cellStyle name="20% - Акцент2 2_КВ Чхім 0108 вар3" xfId="246" xr:uid="{00000000-0005-0000-0000-000010000000}"/>
    <cellStyle name="20% - Акцент2 3" xfId="247" xr:uid="{00000000-0005-0000-0000-000011000000}"/>
    <cellStyle name="20% - Акцент3 2" xfId="17" xr:uid="{00000000-0005-0000-0000-000012000000}"/>
    <cellStyle name="20% - Акцент3 2 2" xfId="248" xr:uid="{00000000-0005-0000-0000-000013000000}"/>
    <cellStyle name="20% - Акцент3 2 2 2" xfId="454" xr:uid="{00000000-0005-0000-0000-000014000000}"/>
    <cellStyle name="20% - Акцент3 2 3" xfId="455" xr:uid="{00000000-0005-0000-0000-000015000000}"/>
    <cellStyle name="20% - Акцент3 2_КВ Чхім 0108 вар3" xfId="249" xr:uid="{00000000-0005-0000-0000-000016000000}"/>
    <cellStyle name="20% - Акцент3 3" xfId="250" xr:uid="{00000000-0005-0000-0000-000017000000}"/>
    <cellStyle name="20% - Акцент4 2" xfId="18" xr:uid="{00000000-0005-0000-0000-000018000000}"/>
    <cellStyle name="20% - Акцент4 2 2" xfId="251" xr:uid="{00000000-0005-0000-0000-000019000000}"/>
    <cellStyle name="20% - Акцент4 2 2 2" xfId="456" xr:uid="{00000000-0005-0000-0000-00001A000000}"/>
    <cellStyle name="20% - Акцент4 2 3" xfId="457" xr:uid="{00000000-0005-0000-0000-00001B000000}"/>
    <cellStyle name="20% - Акцент4 2_КВ Чхім 0108 вар3" xfId="252" xr:uid="{00000000-0005-0000-0000-00001C000000}"/>
    <cellStyle name="20% - Акцент4 3" xfId="253" xr:uid="{00000000-0005-0000-0000-00001D000000}"/>
    <cellStyle name="20% - Акцент5 2" xfId="19" xr:uid="{00000000-0005-0000-0000-00001E000000}"/>
    <cellStyle name="20% - Акцент5 2 2" xfId="254" xr:uid="{00000000-0005-0000-0000-00001F000000}"/>
    <cellStyle name="20% - Акцент5 2 2 2" xfId="458" xr:uid="{00000000-0005-0000-0000-000020000000}"/>
    <cellStyle name="20% - Акцент5 2 3" xfId="459" xr:uid="{00000000-0005-0000-0000-000021000000}"/>
    <cellStyle name="20% - Акцент5 2_КВ Чхім 0108 вар3" xfId="255" xr:uid="{00000000-0005-0000-0000-000022000000}"/>
    <cellStyle name="20% - Акцент5 3" xfId="256" xr:uid="{00000000-0005-0000-0000-000023000000}"/>
    <cellStyle name="20% - Акцент6 2" xfId="20" xr:uid="{00000000-0005-0000-0000-000024000000}"/>
    <cellStyle name="20% - Акцент6 2 2" xfId="257" xr:uid="{00000000-0005-0000-0000-000025000000}"/>
    <cellStyle name="20% - Акцент6 2 2 2" xfId="460" xr:uid="{00000000-0005-0000-0000-000026000000}"/>
    <cellStyle name="20% - Акцент6 2 3" xfId="461" xr:uid="{00000000-0005-0000-0000-000027000000}"/>
    <cellStyle name="20% - Акцент6 2_КВ Чхім 0108 вар3" xfId="258" xr:uid="{00000000-0005-0000-0000-000028000000}"/>
    <cellStyle name="20% - Акцент6 3" xfId="259" xr:uid="{00000000-0005-0000-0000-000029000000}"/>
    <cellStyle name="20% – Акцентування1" xfId="260" xr:uid="{00000000-0005-0000-0000-00002A000000}"/>
    <cellStyle name="20% – Акцентування2" xfId="261" xr:uid="{00000000-0005-0000-0000-00002B000000}"/>
    <cellStyle name="20% – Акцентування3" xfId="262" xr:uid="{00000000-0005-0000-0000-00002C000000}"/>
    <cellStyle name="20% – Акцентування4" xfId="263" xr:uid="{00000000-0005-0000-0000-00002D000000}"/>
    <cellStyle name="20% – Акцентування5" xfId="264" xr:uid="{00000000-0005-0000-0000-00002E000000}"/>
    <cellStyle name="20% – Акцентування6" xfId="265" xr:uid="{00000000-0005-0000-0000-00002F000000}"/>
    <cellStyle name="40% - Accent1" xfId="21" xr:uid="{00000000-0005-0000-0000-000030000000}"/>
    <cellStyle name="40% - Accent2" xfId="22" xr:uid="{00000000-0005-0000-0000-000031000000}"/>
    <cellStyle name="40% - Accent3" xfId="23" xr:uid="{00000000-0005-0000-0000-000032000000}"/>
    <cellStyle name="40% - Accent4" xfId="24" xr:uid="{00000000-0005-0000-0000-000033000000}"/>
    <cellStyle name="40% - Accent5" xfId="25" xr:uid="{00000000-0005-0000-0000-000034000000}"/>
    <cellStyle name="40% - Accent6" xfId="26" xr:uid="{00000000-0005-0000-0000-000035000000}"/>
    <cellStyle name="40% - Акцент1 2" xfId="27" xr:uid="{00000000-0005-0000-0000-000036000000}"/>
    <cellStyle name="40% - Акцент1 2 2" xfId="266" xr:uid="{00000000-0005-0000-0000-000037000000}"/>
    <cellStyle name="40% - Акцент1 2 2 2" xfId="462" xr:uid="{00000000-0005-0000-0000-000038000000}"/>
    <cellStyle name="40% - Акцент1 2 3" xfId="463" xr:uid="{00000000-0005-0000-0000-000039000000}"/>
    <cellStyle name="40% - Акцент1 2_КВ Чхім 0108 вар3" xfId="267" xr:uid="{00000000-0005-0000-0000-00003A000000}"/>
    <cellStyle name="40% - Акцент1 3" xfId="268" xr:uid="{00000000-0005-0000-0000-00003B000000}"/>
    <cellStyle name="40% - Акцент2 2" xfId="28" xr:uid="{00000000-0005-0000-0000-00003C000000}"/>
    <cellStyle name="40% - Акцент2 2 2" xfId="269" xr:uid="{00000000-0005-0000-0000-00003D000000}"/>
    <cellStyle name="40% - Акцент2 2 2 2" xfId="464" xr:uid="{00000000-0005-0000-0000-00003E000000}"/>
    <cellStyle name="40% - Акцент2 2 3" xfId="465" xr:uid="{00000000-0005-0000-0000-00003F000000}"/>
    <cellStyle name="40% - Акцент2 2_КВ Чхім 0108 вар3" xfId="270" xr:uid="{00000000-0005-0000-0000-000040000000}"/>
    <cellStyle name="40% - Акцент2 3" xfId="271" xr:uid="{00000000-0005-0000-0000-000041000000}"/>
    <cellStyle name="40% - Акцент3 2" xfId="29" xr:uid="{00000000-0005-0000-0000-000042000000}"/>
    <cellStyle name="40% - Акцент3 2 2" xfId="272" xr:uid="{00000000-0005-0000-0000-000043000000}"/>
    <cellStyle name="40% - Акцент3 2 2 2" xfId="466" xr:uid="{00000000-0005-0000-0000-000044000000}"/>
    <cellStyle name="40% - Акцент3 2 3" xfId="467" xr:uid="{00000000-0005-0000-0000-000045000000}"/>
    <cellStyle name="40% - Акцент3 2_КВ Чхім 0108 вар3" xfId="273" xr:uid="{00000000-0005-0000-0000-000046000000}"/>
    <cellStyle name="40% - Акцент3 3" xfId="274" xr:uid="{00000000-0005-0000-0000-000047000000}"/>
    <cellStyle name="40% - Акцент4 2" xfId="30" xr:uid="{00000000-0005-0000-0000-000048000000}"/>
    <cellStyle name="40% - Акцент4 2 2" xfId="275" xr:uid="{00000000-0005-0000-0000-000049000000}"/>
    <cellStyle name="40% - Акцент4 2 2 2" xfId="468" xr:uid="{00000000-0005-0000-0000-00004A000000}"/>
    <cellStyle name="40% - Акцент4 2 3" xfId="469" xr:uid="{00000000-0005-0000-0000-00004B000000}"/>
    <cellStyle name="40% - Акцент4 2_КВ Чхім 0108 вар3" xfId="276" xr:uid="{00000000-0005-0000-0000-00004C000000}"/>
    <cellStyle name="40% - Акцент4 3" xfId="277" xr:uid="{00000000-0005-0000-0000-00004D000000}"/>
    <cellStyle name="40% - Акцент5 2" xfId="31" xr:uid="{00000000-0005-0000-0000-00004E000000}"/>
    <cellStyle name="40% - Акцент5 2 2" xfId="278" xr:uid="{00000000-0005-0000-0000-00004F000000}"/>
    <cellStyle name="40% - Акцент5 2 2 2" xfId="470" xr:uid="{00000000-0005-0000-0000-000050000000}"/>
    <cellStyle name="40% - Акцент5 2 3" xfId="471" xr:uid="{00000000-0005-0000-0000-000051000000}"/>
    <cellStyle name="40% - Акцент5 2_КВ Чхім 0108 вар3" xfId="279" xr:uid="{00000000-0005-0000-0000-000052000000}"/>
    <cellStyle name="40% - Акцент5 3" xfId="280" xr:uid="{00000000-0005-0000-0000-000053000000}"/>
    <cellStyle name="40% - Акцент6 2" xfId="32" xr:uid="{00000000-0005-0000-0000-000054000000}"/>
    <cellStyle name="40% - Акцент6 2 2" xfId="281" xr:uid="{00000000-0005-0000-0000-000055000000}"/>
    <cellStyle name="40% - Акцент6 2 2 2" xfId="472" xr:uid="{00000000-0005-0000-0000-000056000000}"/>
    <cellStyle name="40% - Акцент6 2 3" xfId="473" xr:uid="{00000000-0005-0000-0000-000057000000}"/>
    <cellStyle name="40% - Акцент6 2_КВ Чхім 0108 вар3" xfId="282" xr:uid="{00000000-0005-0000-0000-000058000000}"/>
    <cellStyle name="40% - Акцент6 3" xfId="283" xr:uid="{00000000-0005-0000-0000-000059000000}"/>
    <cellStyle name="40% – Акцентування1" xfId="284" xr:uid="{00000000-0005-0000-0000-00005A000000}"/>
    <cellStyle name="40% – Акцентування2" xfId="285" xr:uid="{00000000-0005-0000-0000-00005B000000}"/>
    <cellStyle name="40% – Акцентування3" xfId="286" xr:uid="{00000000-0005-0000-0000-00005C000000}"/>
    <cellStyle name="40% – Акцентування4" xfId="287" xr:uid="{00000000-0005-0000-0000-00005D000000}"/>
    <cellStyle name="40% – Акцентування5" xfId="288" xr:uid="{00000000-0005-0000-0000-00005E000000}"/>
    <cellStyle name="40% – Акцентування6" xfId="289" xr:uid="{00000000-0005-0000-0000-00005F000000}"/>
    <cellStyle name="60% - Accent1" xfId="33" xr:uid="{00000000-0005-0000-0000-000060000000}"/>
    <cellStyle name="60% - Accent2" xfId="34" xr:uid="{00000000-0005-0000-0000-000061000000}"/>
    <cellStyle name="60% - Accent3" xfId="35" xr:uid="{00000000-0005-0000-0000-000062000000}"/>
    <cellStyle name="60% - Accent4" xfId="36" xr:uid="{00000000-0005-0000-0000-000063000000}"/>
    <cellStyle name="60% - Accent5" xfId="37" xr:uid="{00000000-0005-0000-0000-000064000000}"/>
    <cellStyle name="60% - Accent6" xfId="38" xr:uid="{00000000-0005-0000-0000-000065000000}"/>
    <cellStyle name="60% - Акцент1 2" xfId="39" xr:uid="{00000000-0005-0000-0000-000066000000}"/>
    <cellStyle name="60% - Акцент1 2 2" xfId="290" xr:uid="{00000000-0005-0000-0000-000067000000}"/>
    <cellStyle name="60% - Акцент1 2_КВ Чхім 0108 вар3" xfId="291" xr:uid="{00000000-0005-0000-0000-000068000000}"/>
    <cellStyle name="60% - Акцент1 3" xfId="292" xr:uid="{00000000-0005-0000-0000-000069000000}"/>
    <cellStyle name="60% - Акцент2 2" xfId="40" xr:uid="{00000000-0005-0000-0000-00006A000000}"/>
    <cellStyle name="60% - Акцент2 2 2" xfId="293" xr:uid="{00000000-0005-0000-0000-00006B000000}"/>
    <cellStyle name="60% - Акцент2 2_КВ Чхім 0108 вар3" xfId="294" xr:uid="{00000000-0005-0000-0000-00006C000000}"/>
    <cellStyle name="60% - Акцент2 3" xfId="295" xr:uid="{00000000-0005-0000-0000-00006D000000}"/>
    <cellStyle name="60% - Акцент3 2" xfId="41" xr:uid="{00000000-0005-0000-0000-00006E000000}"/>
    <cellStyle name="60% - Акцент3 2 2" xfId="296" xr:uid="{00000000-0005-0000-0000-00006F000000}"/>
    <cellStyle name="60% - Акцент3 2_КВ Чхім 0108 вар3" xfId="297" xr:uid="{00000000-0005-0000-0000-000070000000}"/>
    <cellStyle name="60% - Акцент3 3" xfId="298" xr:uid="{00000000-0005-0000-0000-000071000000}"/>
    <cellStyle name="60% - Акцент4 2" xfId="42" xr:uid="{00000000-0005-0000-0000-000072000000}"/>
    <cellStyle name="60% - Акцент4 2 2" xfId="299" xr:uid="{00000000-0005-0000-0000-000073000000}"/>
    <cellStyle name="60% - Акцент4 2_КВ Чхім 0108 вар3" xfId="300" xr:uid="{00000000-0005-0000-0000-000074000000}"/>
    <cellStyle name="60% - Акцент4 3" xfId="301" xr:uid="{00000000-0005-0000-0000-000075000000}"/>
    <cellStyle name="60% - Акцент5 2" xfId="43" xr:uid="{00000000-0005-0000-0000-000076000000}"/>
    <cellStyle name="60% - Акцент5 2 2" xfId="302" xr:uid="{00000000-0005-0000-0000-000077000000}"/>
    <cellStyle name="60% - Акцент5 2_КВ Чхім 0108 вар3" xfId="303" xr:uid="{00000000-0005-0000-0000-000078000000}"/>
    <cellStyle name="60% - Акцент5 3" xfId="304" xr:uid="{00000000-0005-0000-0000-000079000000}"/>
    <cellStyle name="60% - Акцент6 2" xfId="44" xr:uid="{00000000-0005-0000-0000-00007A000000}"/>
    <cellStyle name="60% - Акцент6 2 2" xfId="305" xr:uid="{00000000-0005-0000-0000-00007B000000}"/>
    <cellStyle name="60% - Акцент6 2_КВ Чхім 0108 вар3" xfId="306" xr:uid="{00000000-0005-0000-0000-00007C000000}"/>
    <cellStyle name="60% - Акцент6 3" xfId="307" xr:uid="{00000000-0005-0000-0000-00007D000000}"/>
    <cellStyle name="60% – Акцентування1" xfId="308" xr:uid="{00000000-0005-0000-0000-00007E000000}"/>
    <cellStyle name="60% – Акцентування2" xfId="309" xr:uid="{00000000-0005-0000-0000-00007F000000}"/>
    <cellStyle name="60% – Акцентування3" xfId="310" xr:uid="{00000000-0005-0000-0000-000080000000}"/>
    <cellStyle name="60% – Акцентування4" xfId="311" xr:uid="{00000000-0005-0000-0000-000081000000}"/>
    <cellStyle name="60% – Акцентування5" xfId="312" xr:uid="{00000000-0005-0000-0000-000082000000}"/>
    <cellStyle name="60% – Акцентування6" xfId="313" xr:uid="{00000000-0005-0000-0000-000083000000}"/>
    <cellStyle name="Accent1" xfId="45" xr:uid="{00000000-0005-0000-0000-000084000000}"/>
    <cellStyle name="Accent2" xfId="46" xr:uid="{00000000-0005-0000-0000-000085000000}"/>
    <cellStyle name="Accent3" xfId="47" xr:uid="{00000000-0005-0000-0000-000086000000}"/>
    <cellStyle name="Accent4" xfId="48" xr:uid="{00000000-0005-0000-0000-000087000000}"/>
    <cellStyle name="Accent5" xfId="49" xr:uid="{00000000-0005-0000-0000-000088000000}"/>
    <cellStyle name="Accent6" xfId="50" xr:uid="{00000000-0005-0000-0000-000089000000}"/>
    <cellStyle name="Bad" xfId="51" xr:uid="{00000000-0005-0000-0000-00008A000000}"/>
    <cellStyle name="Calculation" xfId="52" xr:uid="{00000000-0005-0000-0000-00008B000000}"/>
    <cellStyle name="Calculation 2" xfId="215" xr:uid="{00000000-0005-0000-0000-00008C000000}"/>
    <cellStyle name="Check Cell" xfId="53" xr:uid="{00000000-0005-0000-0000-00008D000000}"/>
    <cellStyle name="Comma 2" xfId="2" xr:uid="{00000000-0005-0000-0000-00008E000000}"/>
    <cellStyle name="DataCol1" xfId="314" xr:uid="{00000000-0005-0000-0000-00008F000000}"/>
    <cellStyle name="DataCol10" xfId="315" xr:uid="{00000000-0005-0000-0000-000090000000}"/>
    <cellStyle name="DataCol11" xfId="316" xr:uid="{00000000-0005-0000-0000-000091000000}"/>
    <cellStyle name="DataCol12" xfId="317" xr:uid="{00000000-0005-0000-0000-000092000000}"/>
    <cellStyle name="DataCol13" xfId="318" xr:uid="{00000000-0005-0000-0000-000093000000}"/>
    <cellStyle name="DataCol14" xfId="319" xr:uid="{00000000-0005-0000-0000-000094000000}"/>
    <cellStyle name="DataCol15" xfId="320" xr:uid="{00000000-0005-0000-0000-000095000000}"/>
    <cellStyle name="DataCol16" xfId="321" xr:uid="{00000000-0005-0000-0000-000096000000}"/>
    <cellStyle name="DataCol17" xfId="322" xr:uid="{00000000-0005-0000-0000-000097000000}"/>
    <cellStyle name="DataCol18" xfId="323" xr:uid="{00000000-0005-0000-0000-000098000000}"/>
    <cellStyle name="DataCol19" xfId="324" xr:uid="{00000000-0005-0000-0000-000099000000}"/>
    <cellStyle name="DataCol2" xfId="325" xr:uid="{00000000-0005-0000-0000-00009A000000}"/>
    <cellStyle name="DataCol20" xfId="326" xr:uid="{00000000-0005-0000-0000-00009B000000}"/>
    <cellStyle name="DataCol21" xfId="327" xr:uid="{00000000-0005-0000-0000-00009C000000}"/>
    <cellStyle name="DataCol22" xfId="328" xr:uid="{00000000-0005-0000-0000-00009D000000}"/>
    <cellStyle name="DataCol23" xfId="329" xr:uid="{00000000-0005-0000-0000-00009E000000}"/>
    <cellStyle name="DataCol24" xfId="330" xr:uid="{00000000-0005-0000-0000-00009F000000}"/>
    <cellStyle name="DataCol25" xfId="331" xr:uid="{00000000-0005-0000-0000-0000A0000000}"/>
    <cellStyle name="DataCol3" xfId="332" xr:uid="{00000000-0005-0000-0000-0000A1000000}"/>
    <cellStyle name="DataCol4" xfId="333" xr:uid="{00000000-0005-0000-0000-0000A2000000}"/>
    <cellStyle name="DataCol5" xfId="334" xr:uid="{00000000-0005-0000-0000-0000A3000000}"/>
    <cellStyle name="DataCol6" xfId="335" xr:uid="{00000000-0005-0000-0000-0000A4000000}"/>
    <cellStyle name="DataCol7" xfId="336" xr:uid="{00000000-0005-0000-0000-0000A5000000}"/>
    <cellStyle name="DataCol8" xfId="337" xr:uid="{00000000-0005-0000-0000-0000A6000000}"/>
    <cellStyle name="DataCol9" xfId="338" xr:uid="{00000000-0005-0000-0000-0000A7000000}"/>
    <cellStyle name="DataReportHeader_1_1" xfId="339" xr:uid="{00000000-0005-0000-0000-0000A8000000}"/>
    <cellStyle name="DataTableEndSum1" xfId="340" xr:uid="{00000000-0005-0000-0000-0000A9000000}"/>
    <cellStyle name="DataTableEndSum10" xfId="341" xr:uid="{00000000-0005-0000-0000-0000AA000000}"/>
    <cellStyle name="DataTableEndSum11" xfId="342" xr:uid="{00000000-0005-0000-0000-0000AB000000}"/>
    <cellStyle name="DataTableEndSum12" xfId="343" xr:uid="{00000000-0005-0000-0000-0000AC000000}"/>
    <cellStyle name="DataTableEndSum13" xfId="344" xr:uid="{00000000-0005-0000-0000-0000AD000000}"/>
    <cellStyle name="DataTableEndSum14" xfId="345" xr:uid="{00000000-0005-0000-0000-0000AE000000}"/>
    <cellStyle name="DataTableEndSum15" xfId="346" xr:uid="{00000000-0005-0000-0000-0000AF000000}"/>
    <cellStyle name="DataTableEndSum16" xfId="347" xr:uid="{00000000-0005-0000-0000-0000B0000000}"/>
    <cellStyle name="DataTableEndSum17" xfId="348" xr:uid="{00000000-0005-0000-0000-0000B1000000}"/>
    <cellStyle name="DataTableEndSum18" xfId="349" xr:uid="{00000000-0005-0000-0000-0000B2000000}"/>
    <cellStyle name="DataTableEndSum19" xfId="350" xr:uid="{00000000-0005-0000-0000-0000B3000000}"/>
    <cellStyle name="DataTableEndSum2" xfId="351" xr:uid="{00000000-0005-0000-0000-0000B4000000}"/>
    <cellStyle name="DataTableEndSum20" xfId="352" xr:uid="{00000000-0005-0000-0000-0000B5000000}"/>
    <cellStyle name="DataTableEndSum21" xfId="353" xr:uid="{00000000-0005-0000-0000-0000B6000000}"/>
    <cellStyle name="DataTableEndSum22" xfId="354" xr:uid="{00000000-0005-0000-0000-0000B7000000}"/>
    <cellStyle name="DataTableEndSum23" xfId="355" xr:uid="{00000000-0005-0000-0000-0000B8000000}"/>
    <cellStyle name="DataTableEndSum24" xfId="356" xr:uid="{00000000-0005-0000-0000-0000B9000000}"/>
    <cellStyle name="DataTableEndSum25" xfId="357" xr:uid="{00000000-0005-0000-0000-0000BA000000}"/>
    <cellStyle name="DataTableEndSum3" xfId="358" xr:uid="{00000000-0005-0000-0000-0000BB000000}"/>
    <cellStyle name="DataTableEndSum4" xfId="359" xr:uid="{00000000-0005-0000-0000-0000BC000000}"/>
    <cellStyle name="DataTableEndSum5" xfId="360" xr:uid="{00000000-0005-0000-0000-0000BD000000}"/>
    <cellStyle name="DataTableEndSum6" xfId="361" xr:uid="{00000000-0005-0000-0000-0000BE000000}"/>
    <cellStyle name="DataTableEndSum7" xfId="362" xr:uid="{00000000-0005-0000-0000-0000BF000000}"/>
    <cellStyle name="DataTableEndSum8" xfId="363" xr:uid="{00000000-0005-0000-0000-0000C0000000}"/>
    <cellStyle name="DataTableEndSum9" xfId="364" xr:uid="{00000000-0005-0000-0000-0000C1000000}"/>
    <cellStyle name="DataTitle" xfId="365" xr:uid="{00000000-0005-0000-0000-0000C2000000}"/>
    <cellStyle name="Excel Built-in Normal" xfId="54" xr:uid="{00000000-0005-0000-0000-0000C3000000}"/>
    <cellStyle name="Excel Built-in Normal 1" xfId="474" xr:uid="{00000000-0005-0000-0000-0000C4000000}"/>
    <cellStyle name="Excel Built-in Normal 2" xfId="366" xr:uid="{00000000-0005-0000-0000-0000C5000000}"/>
    <cellStyle name="Excel Built-in Normal 2 2" xfId="367" xr:uid="{00000000-0005-0000-0000-0000C6000000}"/>
    <cellStyle name="Excel Built-in Normal 2_КВ Чхім 0108 вар3" xfId="368" xr:uid="{00000000-0005-0000-0000-0000C7000000}"/>
    <cellStyle name="Excel Built-in Normal 3" xfId="369" xr:uid="{00000000-0005-0000-0000-0000C8000000}"/>
    <cellStyle name="Excel Built-in Normal_КВ Чхім 0108 вар3" xfId="370" xr:uid="{00000000-0005-0000-0000-0000C9000000}"/>
    <cellStyle name="Explanatory Text" xfId="55" xr:uid="{00000000-0005-0000-0000-0000CA000000}"/>
    <cellStyle name="Good" xfId="56" xr:uid="{00000000-0005-0000-0000-0000CB000000}"/>
    <cellStyle name="Heading" xfId="475" xr:uid="{00000000-0005-0000-0000-0000CC000000}"/>
    <cellStyle name="Heading 1" xfId="57" xr:uid="{00000000-0005-0000-0000-0000CD000000}"/>
    <cellStyle name="Heading 2" xfId="58" xr:uid="{00000000-0005-0000-0000-0000CE000000}"/>
    <cellStyle name="Heading 3" xfId="59" xr:uid="{00000000-0005-0000-0000-0000CF000000}"/>
    <cellStyle name="Heading 4" xfId="60" xr:uid="{00000000-0005-0000-0000-0000D0000000}"/>
    <cellStyle name="Heading1" xfId="476" xr:uid="{00000000-0005-0000-0000-0000D1000000}"/>
    <cellStyle name="Heading1 1" xfId="477" xr:uid="{00000000-0005-0000-0000-0000D2000000}"/>
    <cellStyle name="Iau?iue" xfId="449" xr:uid="{00000000-0005-0000-0000-0000D3000000}"/>
    <cellStyle name="Input" xfId="61" xr:uid="{00000000-0005-0000-0000-0000D4000000}"/>
    <cellStyle name="Input 2" xfId="216" xr:uid="{00000000-0005-0000-0000-0000D5000000}"/>
    <cellStyle name="Linked Cell" xfId="62" xr:uid="{00000000-0005-0000-0000-0000D6000000}"/>
    <cellStyle name="Neutral" xfId="63" xr:uid="{00000000-0005-0000-0000-0000D7000000}"/>
    <cellStyle name="Normal 2" xfId="371" xr:uid="{00000000-0005-0000-0000-0000D8000000}"/>
    <cellStyle name="Normal_Tarif_Xmelnizki" xfId="227" xr:uid="{00000000-0005-0000-0000-0000D9000000}"/>
    <cellStyle name="Note" xfId="64" xr:uid="{00000000-0005-0000-0000-0000DA000000}"/>
    <cellStyle name="Note 2" xfId="217" xr:uid="{00000000-0005-0000-0000-0000DB000000}"/>
    <cellStyle name="Output" xfId="65" xr:uid="{00000000-0005-0000-0000-0000DC000000}"/>
    <cellStyle name="Output 2" xfId="218" xr:uid="{00000000-0005-0000-0000-0000DD000000}"/>
    <cellStyle name="Result" xfId="478" xr:uid="{00000000-0005-0000-0000-0000DE000000}"/>
    <cellStyle name="Result 1" xfId="479" xr:uid="{00000000-0005-0000-0000-0000DF000000}"/>
    <cellStyle name="Result2" xfId="480" xr:uid="{00000000-0005-0000-0000-0000E0000000}"/>
    <cellStyle name="Result2 1" xfId="481" xr:uid="{00000000-0005-0000-0000-0000E1000000}"/>
    <cellStyle name="S4" xfId="372" xr:uid="{00000000-0005-0000-0000-0000E2000000}"/>
    <cellStyle name="S7" xfId="373" xr:uid="{00000000-0005-0000-0000-0000E3000000}"/>
    <cellStyle name="TableStyleLight1" xfId="225" xr:uid="{00000000-0005-0000-0000-0000E4000000}"/>
    <cellStyle name="Title" xfId="66" xr:uid="{00000000-0005-0000-0000-0000E5000000}"/>
    <cellStyle name="Total" xfId="67" xr:uid="{00000000-0005-0000-0000-0000E6000000}"/>
    <cellStyle name="Total 2" xfId="219" xr:uid="{00000000-0005-0000-0000-0000E7000000}"/>
    <cellStyle name="Tytuі" xfId="482" xr:uid="{00000000-0005-0000-0000-0000E8000000}"/>
    <cellStyle name="Warning Text" xfId="68" xr:uid="{00000000-0005-0000-0000-0000E9000000}"/>
    <cellStyle name="Акцент1 2" xfId="69" xr:uid="{00000000-0005-0000-0000-0000EA000000}"/>
    <cellStyle name="Акцент1 2 2" xfId="374" xr:uid="{00000000-0005-0000-0000-0000EB000000}"/>
    <cellStyle name="Акцент1 2_КВ Чхім 0108 вар3" xfId="375" xr:uid="{00000000-0005-0000-0000-0000EC000000}"/>
    <cellStyle name="Акцент1 3" xfId="376" xr:uid="{00000000-0005-0000-0000-0000ED000000}"/>
    <cellStyle name="Акцент2 2" xfId="70" xr:uid="{00000000-0005-0000-0000-0000EE000000}"/>
    <cellStyle name="Акцент2 2 2" xfId="377" xr:uid="{00000000-0005-0000-0000-0000EF000000}"/>
    <cellStyle name="Акцент2 2_КВ Чхім 0108 вар3" xfId="378" xr:uid="{00000000-0005-0000-0000-0000F0000000}"/>
    <cellStyle name="Акцент2 3" xfId="379" xr:uid="{00000000-0005-0000-0000-0000F1000000}"/>
    <cellStyle name="Акцент3 2" xfId="71" xr:uid="{00000000-0005-0000-0000-0000F2000000}"/>
    <cellStyle name="Акцент3 2 2" xfId="380" xr:uid="{00000000-0005-0000-0000-0000F3000000}"/>
    <cellStyle name="Акцент3 2_КВ Чхім 0108 вар3" xfId="381" xr:uid="{00000000-0005-0000-0000-0000F4000000}"/>
    <cellStyle name="Акцент3 3" xfId="382" xr:uid="{00000000-0005-0000-0000-0000F5000000}"/>
    <cellStyle name="Акцент4 2" xfId="72" xr:uid="{00000000-0005-0000-0000-0000F6000000}"/>
    <cellStyle name="Акцент4 2 2" xfId="383" xr:uid="{00000000-0005-0000-0000-0000F7000000}"/>
    <cellStyle name="Акцент4 2_КВ Чхім 0108 вар3" xfId="384" xr:uid="{00000000-0005-0000-0000-0000F8000000}"/>
    <cellStyle name="Акцент4 3" xfId="385" xr:uid="{00000000-0005-0000-0000-0000F9000000}"/>
    <cellStyle name="Акцент5 2" xfId="73" xr:uid="{00000000-0005-0000-0000-0000FA000000}"/>
    <cellStyle name="Акцент5 2 2" xfId="386" xr:uid="{00000000-0005-0000-0000-0000FB000000}"/>
    <cellStyle name="Акцент5 2_КВ Чхім 0108 вар3" xfId="387" xr:uid="{00000000-0005-0000-0000-0000FC000000}"/>
    <cellStyle name="Акцент5 3" xfId="388" xr:uid="{00000000-0005-0000-0000-0000FD000000}"/>
    <cellStyle name="Акцент6 2" xfId="74" xr:uid="{00000000-0005-0000-0000-0000FE000000}"/>
    <cellStyle name="Акцент6 2 2" xfId="389" xr:uid="{00000000-0005-0000-0000-0000FF000000}"/>
    <cellStyle name="Акцент6 2_КВ Чхім 0108 вар3" xfId="390" xr:uid="{00000000-0005-0000-0000-000000010000}"/>
    <cellStyle name="Акцент6 3" xfId="391" xr:uid="{00000000-0005-0000-0000-000001010000}"/>
    <cellStyle name="Акцентування1" xfId="392" xr:uid="{00000000-0005-0000-0000-000002010000}"/>
    <cellStyle name="Акцентування2" xfId="393" xr:uid="{00000000-0005-0000-0000-000003010000}"/>
    <cellStyle name="Акцентування3" xfId="394" xr:uid="{00000000-0005-0000-0000-000004010000}"/>
    <cellStyle name="Акцентування4" xfId="395" xr:uid="{00000000-0005-0000-0000-000005010000}"/>
    <cellStyle name="Акцентування5" xfId="396" xr:uid="{00000000-0005-0000-0000-000006010000}"/>
    <cellStyle name="Акцентування6" xfId="397" xr:uid="{00000000-0005-0000-0000-000007010000}"/>
    <cellStyle name="Ввід" xfId="398" xr:uid="{00000000-0005-0000-0000-000008010000}"/>
    <cellStyle name="Ввод  2" xfId="75" xr:uid="{00000000-0005-0000-0000-000009010000}"/>
    <cellStyle name="Ввод  2 2" xfId="228" xr:uid="{00000000-0005-0000-0000-00000A010000}"/>
    <cellStyle name="Ввод  2 3" xfId="483" xr:uid="{00000000-0005-0000-0000-00000B010000}"/>
    <cellStyle name="Ввод  2_КВ Чхім 0108 вар3" xfId="399" xr:uid="{00000000-0005-0000-0000-00000C010000}"/>
    <cellStyle name="Ввод  3" xfId="400" xr:uid="{00000000-0005-0000-0000-00000D010000}"/>
    <cellStyle name="Відсотковий 2" xfId="76" xr:uid="{00000000-0005-0000-0000-00000E010000}"/>
    <cellStyle name="Відсотковий 3" xfId="484" xr:uid="{00000000-0005-0000-0000-00000F010000}"/>
    <cellStyle name="Відсотковий 3 2" xfId="485" xr:uid="{00000000-0005-0000-0000-000010010000}"/>
    <cellStyle name="Відсотковий 3 3" xfId="486" xr:uid="{00000000-0005-0000-0000-000011010000}"/>
    <cellStyle name="Вывод 2" xfId="77" xr:uid="{00000000-0005-0000-0000-000012010000}"/>
    <cellStyle name="Вывод 2 2" xfId="229" xr:uid="{00000000-0005-0000-0000-000013010000}"/>
    <cellStyle name="Вывод 2 3" xfId="487" xr:uid="{00000000-0005-0000-0000-000014010000}"/>
    <cellStyle name="Вывод 2_КВ Чхім 0108 вар3" xfId="401" xr:uid="{00000000-0005-0000-0000-000015010000}"/>
    <cellStyle name="Вывод 3" xfId="402" xr:uid="{00000000-0005-0000-0000-000016010000}"/>
    <cellStyle name="Вычисление 2" xfId="78" xr:uid="{00000000-0005-0000-0000-000017010000}"/>
    <cellStyle name="Вычисление 2 2" xfId="230" xr:uid="{00000000-0005-0000-0000-000018010000}"/>
    <cellStyle name="Вычисление 2 3" xfId="488" xr:uid="{00000000-0005-0000-0000-000019010000}"/>
    <cellStyle name="Вычисление 2_КВ Чхім 0108 вар3" xfId="403" xr:uid="{00000000-0005-0000-0000-00001A010000}"/>
    <cellStyle name="Вычисление 3" xfId="404" xr:uid="{00000000-0005-0000-0000-00001B010000}"/>
    <cellStyle name="Гиперссылка" xfId="239" builtinId="8"/>
    <cellStyle name="Гиперссылка 2" xfId="489" xr:uid="{00000000-0005-0000-0000-00001D010000}"/>
    <cellStyle name="Денежный 2" xfId="79" xr:uid="{00000000-0005-0000-0000-00001E010000}"/>
    <cellStyle name="Денежный 2 2" xfId="405" xr:uid="{00000000-0005-0000-0000-00001F010000}"/>
    <cellStyle name="Денежный 2_Копия Тариф по пост 242 ЗВЕДЕНИЙ 2014 3" xfId="406" xr:uid="{00000000-0005-0000-0000-000020010000}"/>
    <cellStyle name="Денежный 3" xfId="80" xr:uid="{00000000-0005-0000-0000-000021010000}"/>
    <cellStyle name="Денежный 4" xfId="81" xr:uid="{00000000-0005-0000-0000-000022010000}"/>
    <cellStyle name="Добре" xfId="407" xr:uid="{00000000-0005-0000-0000-000023010000}"/>
    <cellStyle name="Заголовок 1 2" xfId="82" xr:uid="{00000000-0005-0000-0000-000024010000}"/>
    <cellStyle name="Заголовок 1 3" xfId="83" xr:uid="{00000000-0005-0000-0000-000025010000}"/>
    <cellStyle name="Заголовок 2 2" xfId="84" xr:uid="{00000000-0005-0000-0000-000026010000}"/>
    <cellStyle name="Заголовок 2 3" xfId="85" xr:uid="{00000000-0005-0000-0000-000027010000}"/>
    <cellStyle name="Заголовок 3 2" xfId="86" xr:uid="{00000000-0005-0000-0000-000028010000}"/>
    <cellStyle name="Заголовок 3 2 2" xfId="490" xr:uid="{00000000-0005-0000-0000-000029010000}"/>
    <cellStyle name="Заголовок 3 3" xfId="87" xr:uid="{00000000-0005-0000-0000-00002A010000}"/>
    <cellStyle name="Заголовок 4 2" xfId="88" xr:uid="{00000000-0005-0000-0000-00002B010000}"/>
    <cellStyle name="Заголовок 4 3" xfId="89" xr:uid="{00000000-0005-0000-0000-00002C010000}"/>
    <cellStyle name="Звичайний 2" xfId="7" xr:uid="{00000000-0005-0000-0000-00002D010000}"/>
    <cellStyle name="Звичайний 2 2" xfId="90" xr:uid="{00000000-0005-0000-0000-00002E010000}"/>
    <cellStyle name="Звичайний 2 3" xfId="491" xr:uid="{00000000-0005-0000-0000-00002F010000}"/>
    <cellStyle name="Звичайний 2 3 2" xfId="492" xr:uid="{00000000-0005-0000-0000-000030010000}"/>
    <cellStyle name="Звичайний 2 3 3" xfId="493" xr:uid="{00000000-0005-0000-0000-000031010000}"/>
    <cellStyle name="Звичайний 2 3 4" xfId="494" xr:uid="{00000000-0005-0000-0000-000032010000}"/>
    <cellStyle name="Звичайний 3" xfId="91" xr:uid="{00000000-0005-0000-0000-000033010000}"/>
    <cellStyle name="Звичайний 3 2" xfId="92" xr:uid="{00000000-0005-0000-0000-000034010000}"/>
    <cellStyle name="Звичайний 3 3" xfId="93" xr:uid="{00000000-0005-0000-0000-000035010000}"/>
    <cellStyle name="Звичайний 3 4" xfId="94" xr:uid="{00000000-0005-0000-0000-000036010000}"/>
    <cellStyle name="Звичайний 3 5" xfId="95" xr:uid="{00000000-0005-0000-0000-000037010000}"/>
    <cellStyle name="Звичайний 3 6" xfId="96" xr:uid="{00000000-0005-0000-0000-000038010000}"/>
    <cellStyle name="Звичайний 3 6 2" xfId="97" xr:uid="{00000000-0005-0000-0000-000039010000}"/>
    <cellStyle name="Звичайний 3 7" xfId="98" xr:uid="{00000000-0005-0000-0000-00003A010000}"/>
    <cellStyle name="Звичайний 3 8" xfId="99" xr:uid="{00000000-0005-0000-0000-00003B010000}"/>
    <cellStyle name="Звичайний 4" xfId="100" xr:uid="{00000000-0005-0000-0000-00003C010000}"/>
    <cellStyle name="Звичайний 4 2" xfId="101" xr:uid="{00000000-0005-0000-0000-00003D010000}"/>
    <cellStyle name="Звичайний 4 3" xfId="102" xr:uid="{00000000-0005-0000-0000-00003E010000}"/>
    <cellStyle name="Звичайний 5" xfId="103" xr:uid="{00000000-0005-0000-0000-00003F010000}"/>
    <cellStyle name="Звичайний 5 2" xfId="214" xr:uid="{00000000-0005-0000-0000-000040010000}"/>
    <cellStyle name="Звичайний 5 3" xfId="495" xr:uid="{00000000-0005-0000-0000-000041010000}"/>
    <cellStyle name="Звичайний 6" xfId="220" xr:uid="{00000000-0005-0000-0000-000042010000}"/>
    <cellStyle name="Звичайний 6 2" xfId="496" xr:uid="{00000000-0005-0000-0000-000043010000}"/>
    <cellStyle name="Звичайний 6 3" xfId="497" xr:uid="{00000000-0005-0000-0000-000044010000}"/>
    <cellStyle name="Звичайний 7" xfId="221" xr:uid="{00000000-0005-0000-0000-000045010000}"/>
    <cellStyle name="Звичайний 7 2" xfId="498" xr:uid="{00000000-0005-0000-0000-000046010000}"/>
    <cellStyle name="Звичайний 7 3" xfId="499" xr:uid="{00000000-0005-0000-0000-000047010000}"/>
    <cellStyle name="Звичайний 8" xfId="222" xr:uid="{00000000-0005-0000-0000-000048010000}"/>
    <cellStyle name="Звичайний 8 2" xfId="500" xr:uid="{00000000-0005-0000-0000-000049010000}"/>
    <cellStyle name="Звичайний 8 3" xfId="501" xr:uid="{00000000-0005-0000-0000-00004A010000}"/>
    <cellStyle name="Зв'язана клітинка" xfId="408" xr:uid="{00000000-0005-0000-0000-00004B010000}"/>
    <cellStyle name="Итог 2" xfId="104" xr:uid="{00000000-0005-0000-0000-00004C010000}"/>
    <cellStyle name="Итог 2 2" xfId="231" xr:uid="{00000000-0005-0000-0000-00004D010000}"/>
    <cellStyle name="Итог 2 2 2" xfId="502" xr:uid="{00000000-0005-0000-0000-00004E010000}"/>
    <cellStyle name="Итог 2 3" xfId="503" xr:uid="{00000000-0005-0000-0000-00004F010000}"/>
    <cellStyle name="Итог 2 4" xfId="504" xr:uid="{00000000-0005-0000-0000-000050010000}"/>
    <cellStyle name="Итог 3" xfId="409" xr:uid="{00000000-0005-0000-0000-000051010000}"/>
    <cellStyle name="Контрольна клітинка" xfId="410" xr:uid="{00000000-0005-0000-0000-000052010000}"/>
    <cellStyle name="Контрольная ячейка 2" xfId="105" xr:uid="{00000000-0005-0000-0000-000053010000}"/>
    <cellStyle name="Контрольная ячейка 2 2" xfId="411" xr:uid="{00000000-0005-0000-0000-000054010000}"/>
    <cellStyle name="Контрольная ячейка 2_КВ Чхім 0108 вар3" xfId="412" xr:uid="{00000000-0005-0000-0000-000055010000}"/>
    <cellStyle name="Контрольная ячейка 3" xfId="413" xr:uid="{00000000-0005-0000-0000-000056010000}"/>
    <cellStyle name="Назва" xfId="414" xr:uid="{00000000-0005-0000-0000-000057010000}"/>
    <cellStyle name="Название 2" xfId="106" xr:uid="{00000000-0005-0000-0000-000058010000}"/>
    <cellStyle name="Название 3" xfId="415" xr:uid="{00000000-0005-0000-0000-000059010000}"/>
    <cellStyle name="Нейтральный 2" xfId="107" xr:uid="{00000000-0005-0000-0000-00005A010000}"/>
    <cellStyle name="Нейтральный 2 2" xfId="416" xr:uid="{00000000-0005-0000-0000-00005B010000}"/>
    <cellStyle name="Нейтральный 2_КВ Чхім 0108 вар3" xfId="417" xr:uid="{00000000-0005-0000-0000-00005C010000}"/>
    <cellStyle name="Нейтральный 3" xfId="418" xr:uid="{00000000-0005-0000-0000-00005D010000}"/>
    <cellStyle name="Обчислення" xfId="419" xr:uid="{00000000-0005-0000-0000-00005E010000}"/>
    <cellStyle name="Обычный" xfId="0" builtinId="0"/>
    <cellStyle name="Обычный 10" xfId="108" xr:uid="{00000000-0005-0000-0000-000060010000}"/>
    <cellStyle name="Обычный 10 2" xfId="109" xr:uid="{00000000-0005-0000-0000-000061010000}"/>
    <cellStyle name="Обычный 10 3" xfId="110" xr:uid="{00000000-0005-0000-0000-000062010000}"/>
    <cellStyle name="Обычный 10 4" xfId="111" xr:uid="{00000000-0005-0000-0000-000063010000}"/>
    <cellStyle name="Обычный 10 5" xfId="112" xr:uid="{00000000-0005-0000-0000-000064010000}"/>
    <cellStyle name="Обычный 11" xfId="113" xr:uid="{00000000-0005-0000-0000-000065010000}"/>
    <cellStyle name="Обычный 11 2" xfId="114" xr:uid="{00000000-0005-0000-0000-000066010000}"/>
    <cellStyle name="Обычный 11 3" xfId="115" xr:uid="{00000000-0005-0000-0000-000067010000}"/>
    <cellStyle name="Обычный 11 3 2" xfId="505" xr:uid="{00000000-0005-0000-0000-000068010000}"/>
    <cellStyle name="Обычный 11 4" xfId="506" xr:uid="{00000000-0005-0000-0000-000069010000}"/>
    <cellStyle name="Обычный 11 5" xfId="507" xr:uid="{00000000-0005-0000-0000-00006A010000}"/>
    <cellStyle name="Обычный 12" xfId="116" xr:uid="{00000000-0005-0000-0000-00006B010000}"/>
    <cellStyle name="Обычный 12 2" xfId="508" xr:uid="{00000000-0005-0000-0000-00006C010000}"/>
    <cellStyle name="Обычный 12 3" xfId="509" xr:uid="{00000000-0005-0000-0000-00006D010000}"/>
    <cellStyle name="Обычный 13" xfId="117" xr:uid="{00000000-0005-0000-0000-00006E010000}"/>
    <cellStyle name="Обычный 13 2" xfId="510" xr:uid="{00000000-0005-0000-0000-00006F010000}"/>
    <cellStyle name="Обычный 13 2 2" xfId="511" xr:uid="{00000000-0005-0000-0000-000070010000}"/>
    <cellStyle name="Обычный 13 3" xfId="512" xr:uid="{00000000-0005-0000-0000-000071010000}"/>
    <cellStyle name="Обычный 13 3 2" xfId="513" xr:uid="{00000000-0005-0000-0000-000072010000}"/>
    <cellStyle name="Обычный 13 4" xfId="514" xr:uid="{00000000-0005-0000-0000-000073010000}"/>
    <cellStyle name="Обычный 13 5" xfId="515" xr:uid="{00000000-0005-0000-0000-000074010000}"/>
    <cellStyle name="Обычный 13 6" xfId="516" xr:uid="{00000000-0005-0000-0000-000075010000}"/>
    <cellStyle name="Обычный 14" xfId="118" xr:uid="{00000000-0005-0000-0000-000076010000}"/>
    <cellStyle name="Обычный 14 2" xfId="517" xr:uid="{00000000-0005-0000-0000-000077010000}"/>
    <cellStyle name="Обычный 14 3" xfId="518" xr:uid="{00000000-0005-0000-0000-000078010000}"/>
    <cellStyle name="Обычный 15" xfId="226" xr:uid="{00000000-0005-0000-0000-000079010000}"/>
    <cellStyle name="Обычный 15 2" xfId="519" xr:uid="{00000000-0005-0000-0000-00007A010000}"/>
    <cellStyle name="Обычный 16" xfId="241" xr:uid="{00000000-0005-0000-0000-00007B010000}"/>
    <cellStyle name="Обычный 17" xfId="448" xr:uid="{00000000-0005-0000-0000-00007C010000}"/>
    <cellStyle name="Обычный 17 2" xfId="520" xr:uid="{00000000-0005-0000-0000-00007D010000}"/>
    <cellStyle name="Обычный 18" xfId="521" xr:uid="{00000000-0005-0000-0000-00007E010000}"/>
    <cellStyle name="Обычный 19" xfId="522" xr:uid="{00000000-0005-0000-0000-00007F010000}"/>
    <cellStyle name="Обычный 2" xfId="1" xr:uid="{00000000-0005-0000-0000-000080010000}"/>
    <cellStyle name="Обычный 2 10" xfId="119" xr:uid="{00000000-0005-0000-0000-000081010000}"/>
    <cellStyle name="Обычный 2 11" xfId="120" xr:uid="{00000000-0005-0000-0000-000082010000}"/>
    <cellStyle name="Обычный 2 12" xfId="121" xr:uid="{00000000-0005-0000-0000-000083010000}"/>
    <cellStyle name="Обычный 2 13" xfId="122" xr:uid="{00000000-0005-0000-0000-000084010000}"/>
    <cellStyle name="Обычный 2 14" xfId="123" xr:uid="{00000000-0005-0000-0000-000085010000}"/>
    <cellStyle name="Обычный 2 15" xfId="124" xr:uid="{00000000-0005-0000-0000-000086010000}"/>
    <cellStyle name="Обычный 2 16" xfId="125" xr:uid="{00000000-0005-0000-0000-000087010000}"/>
    <cellStyle name="Обычный 2 2" xfId="126" xr:uid="{00000000-0005-0000-0000-000088010000}"/>
    <cellStyle name="Обычный 2 2 2" xfId="127" xr:uid="{00000000-0005-0000-0000-000089010000}"/>
    <cellStyle name="Обычный 2 2 2 2" xfId="128" xr:uid="{00000000-0005-0000-0000-00008A010000}"/>
    <cellStyle name="Обычный 2 2 2 3" xfId="129" xr:uid="{00000000-0005-0000-0000-00008B010000}"/>
    <cellStyle name="Обычный 2 2 2 4" xfId="130" xr:uid="{00000000-0005-0000-0000-00008C010000}"/>
    <cellStyle name="Обычный 2 2 2 5" xfId="131" xr:uid="{00000000-0005-0000-0000-00008D010000}"/>
    <cellStyle name="Обычный 2 2 2 6" xfId="132" xr:uid="{00000000-0005-0000-0000-00008E010000}"/>
    <cellStyle name="Обычный 2 2 2 7" xfId="133" xr:uid="{00000000-0005-0000-0000-00008F010000}"/>
    <cellStyle name="Обычный 2 2 2 8" xfId="134" xr:uid="{00000000-0005-0000-0000-000090010000}"/>
    <cellStyle name="Обычный 2 2 3" xfId="135" xr:uid="{00000000-0005-0000-0000-000091010000}"/>
    <cellStyle name="Обычный 2 2 3 2" xfId="136" xr:uid="{00000000-0005-0000-0000-000092010000}"/>
    <cellStyle name="Обычный 2 2 4" xfId="137" xr:uid="{00000000-0005-0000-0000-000093010000}"/>
    <cellStyle name="Обычный 2 2 5" xfId="138" xr:uid="{00000000-0005-0000-0000-000094010000}"/>
    <cellStyle name="Обычный 2 2 6" xfId="139" xr:uid="{00000000-0005-0000-0000-000095010000}"/>
    <cellStyle name="Обычный 2 2 7" xfId="140" xr:uid="{00000000-0005-0000-0000-000096010000}"/>
    <cellStyle name="Обычный 2 2 8" xfId="141" xr:uid="{00000000-0005-0000-0000-000097010000}"/>
    <cellStyle name="Обычный 2 2_КВ Чхім 0108 вар3" xfId="420" xr:uid="{00000000-0005-0000-0000-000098010000}"/>
    <cellStyle name="Обычный 2 3" xfId="142" xr:uid="{00000000-0005-0000-0000-000099010000}"/>
    <cellStyle name="Обычный 2 3 2" xfId="143" xr:uid="{00000000-0005-0000-0000-00009A010000}"/>
    <cellStyle name="Обычный 2 3 3" xfId="144" xr:uid="{00000000-0005-0000-0000-00009B010000}"/>
    <cellStyle name="Обычный 2 3 4" xfId="145" xr:uid="{00000000-0005-0000-0000-00009C010000}"/>
    <cellStyle name="Обычный 2 3_КВ Чхім 0108 вар3" xfId="421" xr:uid="{00000000-0005-0000-0000-00009D010000}"/>
    <cellStyle name="Обычный 2 4" xfId="146" xr:uid="{00000000-0005-0000-0000-00009E010000}"/>
    <cellStyle name="Обычный 2 4 2" xfId="147" xr:uid="{00000000-0005-0000-0000-00009F010000}"/>
    <cellStyle name="Обычный 2 5" xfId="148" xr:uid="{00000000-0005-0000-0000-0000A0010000}"/>
    <cellStyle name="Обычный 2 5 2" xfId="149" xr:uid="{00000000-0005-0000-0000-0000A1010000}"/>
    <cellStyle name="Обычный 2 6" xfId="150" xr:uid="{00000000-0005-0000-0000-0000A2010000}"/>
    <cellStyle name="Обычный 2 7" xfId="151" xr:uid="{00000000-0005-0000-0000-0000A3010000}"/>
    <cellStyle name="Обычный 2 8" xfId="152" xr:uid="{00000000-0005-0000-0000-0000A4010000}"/>
    <cellStyle name="Обычный 2 9" xfId="153" xr:uid="{00000000-0005-0000-0000-0000A5010000}"/>
    <cellStyle name="Обычный 2_Аналіз старих тарифів на коміссію27_10_11" xfId="154" xr:uid="{00000000-0005-0000-0000-0000A6010000}"/>
    <cellStyle name="Обычный 20" xfId="523" xr:uid="{00000000-0005-0000-0000-0000A7010000}"/>
    <cellStyle name="Обычный 21" xfId="524" xr:uid="{00000000-0005-0000-0000-0000A8010000}"/>
    <cellStyle name="Обычный 22" xfId="525" xr:uid="{00000000-0005-0000-0000-0000A9010000}"/>
    <cellStyle name="Обычный 23" xfId="526" xr:uid="{00000000-0005-0000-0000-0000AA010000}"/>
    <cellStyle name="Обычный 24" xfId="527" xr:uid="{00000000-0005-0000-0000-0000AB010000}"/>
    <cellStyle name="Обычный 25" xfId="528" xr:uid="{00000000-0005-0000-0000-0000AC010000}"/>
    <cellStyle name="Обычный 26" xfId="544" xr:uid="{00000000-0005-0000-0000-0000AD010000}"/>
    <cellStyle name="Обычный 27" xfId="545" xr:uid="{00000000-0005-0000-0000-0000AE010000}"/>
    <cellStyle name="Обычный 28" xfId="546" xr:uid="{00000000-0005-0000-0000-0000AF010000}"/>
    <cellStyle name="Обычный 29" xfId="548" xr:uid="{00000000-0005-0000-0000-0000B0010000}"/>
    <cellStyle name="Обычный 3" xfId="5" xr:uid="{00000000-0005-0000-0000-0000B1010000}"/>
    <cellStyle name="Обычный 3 10" xfId="232" xr:uid="{00000000-0005-0000-0000-0000B2010000}"/>
    <cellStyle name="Обычный 3 11" xfId="240" xr:uid="{00000000-0005-0000-0000-0000B3010000}"/>
    <cellStyle name="Обычный 3 11 2" xfId="556" xr:uid="{00000000-0005-0000-0000-0000B4010000}"/>
    <cellStyle name="Обычный 3 2" xfId="155" xr:uid="{00000000-0005-0000-0000-0000B5010000}"/>
    <cellStyle name="Обычный 3 2 2" xfId="156" xr:uid="{00000000-0005-0000-0000-0000B6010000}"/>
    <cellStyle name="Обычный 3 3" xfId="157" xr:uid="{00000000-0005-0000-0000-0000B7010000}"/>
    <cellStyle name="Обычный 3 3 2" xfId="158" xr:uid="{00000000-0005-0000-0000-0000B8010000}"/>
    <cellStyle name="Обычный 3 3 3" xfId="159" xr:uid="{00000000-0005-0000-0000-0000B9010000}"/>
    <cellStyle name="Обычный 3 4" xfId="160" xr:uid="{00000000-0005-0000-0000-0000BA010000}"/>
    <cellStyle name="Обычный 3 4 2" xfId="161" xr:uid="{00000000-0005-0000-0000-0000BB010000}"/>
    <cellStyle name="Обычный 3 4 3" xfId="162" xr:uid="{00000000-0005-0000-0000-0000BC010000}"/>
    <cellStyle name="Обычный 3 5" xfId="163" xr:uid="{00000000-0005-0000-0000-0000BD010000}"/>
    <cellStyle name="Обычный 3 5 2" xfId="164" xr:uid="{00000000-0005-0000-0000-0000BE010000}"/>
    <cellStyle name="Обычный 3 6" xfId="165" xr:uid="{00000000-0005-0000-0000-0000BF010000}"/>
    <cellStyle name="Обычный 3 7" xfId="166" xr:uid="{00000000-0005-0000-0000-0000C0010000}"/>
    <cellStyle name="Обычный 3 8" xfId="167" xr:uid="{00000000-0005-0000-0000-0000C1010000}"/>
    <cellStyle name="Обычный 3 9" xfId="168" xr:uid="{00000000-0005-0000-0000-0000C2010000}"/>
    <cellStyle name="Обычный 3_Копия Тариф по пост 242 ЗВЕДЕНИЙ 2014 3" xfId="422" xr:uid="{00000000-0005-0000-0000-0000C3010000}"/>
    <cellStyle name="Обычный 30" xfId="550" xr:uid="{00000000-0005-0000-0000-0000C4010000}"/>
    <cellStyle name="Обычный 31" xfId="551" xr:uid="{00000000-0005-0000-0000-0000C5010000}"/>
    <cellStyle name="Обычный 32" xfId="552" xr:uid="{00000000-0005-0000-0000-0000C6010000}"/>
    <cellStyle name="Обычный 33" xfId="553" xr:uid="{00000000-0005-0000-0000-0000C7010000}"/>
    <cellStyle name="Обычный 33 2" xfId="555" xr:uid="{00000000-0005-0000-0000-0000C8010000}"/>
    <cellStyle name="Обычный 34" xfId="554" xr:uid="{00000000-0005-0000-0000-0000C9010000}"/>
    <cellStyle name="Обычный 4" xfId="6" xr:uid="{00000000-0005-0000-0000-0000CA010000}"/>
    <cellStyle name="Обычный 4 2" xfId="169" xr:uid="{00000000-0005-0000-0000-0000CB010000}"/>
    <cellStyle name="Обычный 4 2 2" xfId="223" xr:uid="{00000000-0005-0000-0000-0000CC010000}"/>
    <cellStyle name="Обычный 4 2 3" xfId="224" xr:uid="{00000000-0005-0000-0000-0000CD010000}"/>
    <cellStyle name="Обычный 4 2_КВ Чхім 0108 вар3" xfId="423" xr:uid="{00000000-0005-0000-0000-0000CE010000}"/>
    <cellStyle name="Обычный 4 3" xfId="170" xr:uid="{00000000-0005-0000-0000-0000CF010000}"/>
    <cellStyle name="Обычный 4 3 2" xfId="171" xr:uid="{00000000-0005-0000-0000-0000D0010000}"/>
    <cellStyle name="Обычный 4 4" xfId="172" xr:uid="{00000000-0005-0000-0000-0000D1010000}"/>
    <cellStyle name="Обычный 4 5" xfId="173" xr:uid="{00000000-0005-0000-0000-0000D2010000}"/>
    <cellStyle name="Обычный 4 6" xfId="233" xr:uid="{00000000-0005-0000-0000-0000D3010000}"/>
    <cellStyle name="Обычный 4_КВ Чхім 0108 вар3" xfId="424" xr:uid="{00000000-0005-0000-0000-0000D4010000}"/>
    <cellStyle name="Обычный 5" xfId="174" xr:uid="{00000000-0005-0000-0000-0000D5010000}"/>
    <cellStyle name="Обычный 5 2" xfId="175" xr:uid="{00000000-0005-0000-0000-0000D6010000}"/>
    <cellStyle name="Обычный 5 2 2" xfId="425" xr:uid="{00000000-0005-0000-0000-0000D7010000}"/>
    <cellStyle name="Обычный 5 3" xfId="176" xr:uid="{00000000-0005-0000-0000-0000D8010000}"/>
    <cellStyle name="Обычный 5 3 2" xfId="529" xr:uid="{00000000-0005-0000-0000-0000D9010000}"/>
    <cellStyle name="Обычный 5 3 3" xfId="530" xr:uid="{00000000-0005-0000-0000-0000DA010000}"/>
    <cellStyle name="Обычный 5 4" xfId="234" xr:uid="{00000000-0005-0000-0000-0000DB010000}"/>
    <cellStyle name="Обычный 5 5" xfId="531" xr:uid="{00000000-0005-0000-0000-0000DC010000}"/>
    <cellStyle name="Обычный 5_КВ Чхім 0108 вар3" xfId="426" xr:uid="{00000000-0005-0000-0000-0000DD010000}"/>
    <cellStyle name="Обычный 6" xfId="177" xr:uid="{00000000-0005-0000-0000-0000DE010000}"/>
    <cellStyle name="Обычный 6 2" xfId="178" xr:uid="{00000000-0005-0000-0000-0000DF010000}"/>
    <cellStyle name="Обычный 6 2 2" xfId="532" xr:uid="{00000000-0005-0000-0000-0000E0010000}"/>
    <cellStyle name="Обычный 6 2 3" xfId="533" xr:uid="{00000000-0005-0000-0000-0000E1010000}"/>
    <cellStyle name="Обычный 6 3" xfId="179" xr:uid="{00000000-0005-0000-0000-0000E2010000}"/>
    <cellStyle name="Обычный 6 4" xfId="237" xr:uid="{00000000-0005-0000-0000-0000E3010000}"/>
    <cellStyle name="Обычный 6_Навчання_підписка (3) 2" xfId="534" xr:uid="{00000000-0005-0000-0000-0000E4010000}"/>
    <cellStyle name="Обычный 7" xfId="180" xr:uid="{00000000-0005-0000-0000-0000E5010000}"/>
    <cellStyle name="Обычный 7 2" xfId="181" xr:uid="{00000000-0005-0000-0000-0000E6010000}"/>
    <cellStyle name="Обычный 7 2 2" xfId="535" xr:uid="{00000000-0005-0000-0000-0000E7010000}"/>
    <cellStyle name="Обычный 7 2 3" xfId="536" xr:uid="{00000000-0005-0000-0000-0000E8010000}"/>
    <cellStyle name="Обычный 7 3" xfId="238" xr:uid="{00000000-0005-0000-0000-0000E9010000}"/>
    <cellStyle name="Обычный 7 4" xfId="537" xr:uid="{00000000-0005-0000-0000-0000EA010000}"/>
    <cellStyle name="Обычный 7_Навчання_підписка (3) 2" xfId="538" xr:uid="{00000000-0005-0000-0000-0000EB010000}"/>
    <cellStyle name="Обычный 8" xfId="182" xr:uid="{00000000-0005-0000-0000-0000EC010000}"/>
    <cellStyle name="Обычный 8 2" xfId="183" xr:uid="{00000000-0005-0000-0000-0000ED010000}"/>
    <cellStyle name="Обычный 8 2 2" xfId="184" xr:uid="{00000000-0005-0000-0000-0000EE010000}"/>
    <cellStyle name="Обычный 8 2 3" xfId="539" xr:uid="{00000000-0005-0000-0000-0000EF010000}"/>
    <cellStyle name="Обычный 8 3" xfId="185" xr:uid="{00000000-0005-0000-0000-0000F0010000}"/>
    <cellStyle name="Обычный 8 4" xfId="186" xr:uid="{00000000-0005-0000-0000-0000F1010000}"/>
    <cellStyle name="Обычный 8_Навчання_підписка (3) 2" xfId="540" xr:uid="{00000000-0005-0000-0000-0000F2010000}"/>
    <cellStyle name="Обычный 9" xfId="187" xr:uid="{00000000-0005-0000-0000-0000F3010000}"/>
    <cellStyle name="Обычный 9 2" xfId="188" xr:uid="{00000000-0005-0000-0000-0000F4010000}"/>
    <cellStyle name="Підсумок" xfId="427" xr:uid="{00000000-0005-0000-0000-0000F5010000}"/>
    <cellStyle name="Плохой 2" xfId="189" xr:uid="{00000000-0005-0000-0000-0000F6010000}"/>
    <cellStyle name="Плохой 2 2" xfId="428" xr:uid="{00000000-0005-0000-0000-0000F7010000}"/>
    <cellStyle name="Плохой 2_КВ Чхім 0108 вар3" xfId="429" xr:uid="{00000000-0005-0000-0000-0000F8010000}"/>
    <cellStyle name="Плохой 3" xfId="430" xr:uid="{00000000-0005-0000-0000-0000F9010000}"/>
    <cellStyle name="Поганий" xfId="431" xr:uid="{00000000-0005-0000-0000-0000FA010000}"/>
    <cellStyle name="Пояснение 2" xfId="190" xr:uid="{00000000-0005-0000-0000-0000FB010000}"/>
    <cellStyle name="Правка" xfId="549" xr:uid="{00000000-0005-0000-0000-0000FC010000}"/>
    <cellStyle name="Примечание 2" xfId="191" xr:uid="{00000000-0005-0000-0000-0000FD010000}"/>
    <cellStyle name="Примечание 2 2" xfId="235" xr:uid="{00000000-0005-0000-0000-0000FE010000}"/>
    <cellStyle name="Примечание 2 3" xfId="541" xr:uid="{00000000-0005-0000-0000-0000FF010000}"/>
    <cellStyle name="Примечание 2_КВ Чхім 0108 вар3" xfId="432" xr:uid="{00000000-0005-0000-0000-000000020000}"/>
    <cellStyle name="Примечание 3" xfId="433" xr:uid="{00000000-0005-0000-0000-000001020000}"/>
    <cellStyle name="Примітка" xfId="434" xr:uid="{00000000-0005-0000-0000-000002020000}"/>
    <cellStyle name="Процентный" xfId="557" builtinId="5"/>
    <cellStyle name="Процентный 2" xfId="8" xr:uid="{00000000-0005-0000-0000-000004020000}"/>
    <cellStyle name="Процентный 2 2" xfId="192" xr:uid="{00000000-0005-0000-0000-000005020000}"/>
    <cellStyle name="Процентный 2 2 2" xfId="193" xr:uid="{00000000-0005-0000-0000-000006020000}"/>
    <cellStyle name="Процентный 2 3" xfId="194" xr:uid="{00000000-0005-0000-0000-000007020000}"/>
    <cellStyle name="Процентный 3" xfId="195" xr:uid="{00000000-0005-0000-0000-000008020000}"/>
    <cellStyle name="Процентный 3 2" xfId="196" xr:uid="{00000000-0005-0000-0000-000009020000}"/>
    <cellStyle name="Процентный 4" xfId="197" xr:uid="{00000000-0005-0000-0000-00000A020000}"/>
    <cellStyle name="Процентный 4 2" xfId="542" xr:uid="{00000000-0005-0000-0000-00000B020000}"/>
    <cellStyle name="Процентный 4 3" xfId="543" xr:uid="{00000000-0005-0000-0000-00000C020000}"/>
    <cellStyle name="Процентный 5" xfId="198" xr:uid="{00000000-0005-0000-0000-00000D020000}"/>
    <cellStyle name="Процентный 5 2" xfId="435" xr:uid="{00000000-0005-0000-0000-00000E020000}"/>
    <cellStyle name="Процентный 6" xfId="236" xr:uid="{00000000-0005-0000-0000-00000F020000}"/>
    <cellStyle name="Процентный 7" xfId="547" xr:uid="{00000000-0005-0000-0000-000010020000}"/>
    <cellStyle name="Результат 1" xfId="436" xr:uid="{00000000-0005-0000-0000-000011020000}"/>
    <cellStyle name="Связанная ячейка 2" xfId="199" xr:uid="{00000000-0005-0000-0000-000012020000}"/>
    <cellStyle name="Связанная ячейка 3" xfId="437" xr:uid="{00000000-0005-0000-0000-000013020000}"/>
    <cellStyle name="Середній" xfId="438" xr:uid="{00000000-0005-0000-0000-000014020000}"/>
    <cellStyle name="Текст ведомостей" xfId="439" xr:uid="{00000000-0005-0000-0000-000015020000}"/>
    <cellStyle name="Текст попередження" xfId="440" xr:uid="{00000000-0005-0000-0000-000016020000}"/>
    <cellStyle name="Текст пояснення" xfId="441" xr:uid="{00000000-0005-0000-0000-000017020000}"/>
    <cellStyle name="Текст предупреждения 2" xfId="200" xr:uid="{00000000-0005-0000-0000-000018020000}"/>
    <cellStyle name="Тысячи [0]_D_Edit (2)" xfId="442" xr:uid="{00000000-0005-0000-0000-000019020000}"/>
    <cellStyle name="Тысячи_D_Edit (2)" xfId="443" xr:uid="{00000000-0005-0000-0000-00001A020000}"/>
    <cellStyle name="Финансовый" xfId="558" builtinId="3"/>
    <cellStyle name="Финансовый [0] 2" xfId="201" xr:uid="{00000000-0005-0000-0000-00001C020000}"/>
    <cellStyle name="Финансовый 2" xfId="3" xr:uid="{00000000-0005-0000-0000-00001D020000}"/>
    <cellStyle name="Финансовый 2 2" xfId="202" xr:uid="{00000000-0005-0000-0000-00001E020000}"/>
    <cellStyle name="Финансовый 2 2 2" xfId="203" xr:uid="{00000000-0005-0000-0000-00001F020000}"/>
    <cellStyle name="Финансовый 2 3" xfId="204" xr:uid="{00000000-0005-0000-0000-000020020000}"/>
    <cellStyle name="Финансовый 2 4" xfId="205" xr:uid="{00000000-0005-0000-0000-000021020000}"/>
    <cellStyle name="Финансовый 2 5" xfId="206" xr:uid="{00000000-0005-0000-0000-000022020000}"/>
    <cellStyle name="Финансовый 2 6" xfId="207" xr:uid="{00000000-0005-0000-0000-000023020000}"/>
    <cellStyle name="Финансовый 3" xfId="4" xr:uid="{00000000-0005-0000-0000-000024020000}"/>
    <cellStyle name="Финансовый 3 2" xfId="208" xr:uid="{00000000-0005-0000-0000-000025020000}"/>
    <cellStyle name="Финансовый 3 3" xfId="209" xr:uid="{00000000-0005-0000-0000-000026020000}"/>
    <cellStyle name="Финансовый 3 4" xfId="210" xr:uid="{00000000-0005-0000-0000-000027020000}"/>
    <cellStyle name="Финансовый 4" xfId="211" xr:uid="{00000000-0005-0000-0000-000028020000}"/>
    <cellStyle name="Финансовый 4 2" xfId="444" xr:uid="{00000000-0005-0000-0000-000029020000}"/>
    <cellStyle name="Фінансовий 2" xfId="212" xr:uid="{00000000-0005-0000-0000-00002A020000}"/>
    <cellStyle name="Хороший 2" xfId="213" xr:uid="{00000000-0005-0000-0000-00002B020000}"/>
    <cellStyle name="Хороший 2 2" xfId="445" xr:uid="{00000000-0005-0000-0000-00002C020000}"/>
    <cellStyle name="Хороший 2_КВ Чхім 0108 вар3" xfId="446" xr:uid="{00000000-0005-0000-0000-00002D020000}"/>
    <cellStyle name="Хороший 3" xfId="447" xr:uid="{00000000-0005-0000-0000-00002E020000}"/>
  </cellStyles>
  <dxfs count="45">
    <dxf>
      <font>
        <color theme="0" tint="-0.499984740745262"/>
      </font>
    </dxf>
    <dxf>
      <font>
        <color theme="0" tint="-0.499984740745262"/>
      </font>
    </dxf>
    <dxf>
      <font>
        <color theme="0" tint="-0.499984740745262"/>
      </font>
    </dxf>
    <dxf>
      <font>
        <color theme="0" tint="-0.499984740745262"/>
      </font>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ont>
        <color theme="0"/>
      </font>
    </dxf>
    <dxf>
      <font>
        <color theme="0"/>
      </font>
    </dxf>
    <dxf>
      <font>
        <color theme="0" tint="-0.34998626667073579"/>
      </font>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FF7C80"/>
      <color rgb="FF0000FF"/>
      <color rgb="FFEC20C5"/>
      <color rgb="FFCCFF66"/>
      <color rgb="FF00FFFF"/>
      <color rgb="FFCCCC0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theme" Target="theme/theme1.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75DF-482B-9C44-11A09A43C8E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5DF-482B-9C44-11A09A43C8E7}"/>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75DF-482B-9C44-11A09A43C8E7}"/>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70"/>
      <c:rotY val="90"/>
      <c:rAngAx val="0"/>
    </c:view3D>
    <c:floor>
      <c:thickness val="0"/>
    </c:floor>
    <c:sideWall>
      <c:thickness val="0"/>
    </c:sideWall>
    <c:backWall>
      <c:thickness val="0"/>
    </c:backWall>
    <c:plotArea>
      <c:layout/>
      <c:pie3DChart>
        <c:varyColors val="1"/>
        <c:ser>
          <c:idx val="0"/>
          <c:order val="0"/>
          <c:explosion val="25"/>
          <c:dLbls>
            <c:dLbl>
              <c:idx val="0"/>
              <c:layout>
                <c:manualLayout>
                  <c:x val="1.0034089442247441E-2"/>
                  <c:y val="-2.9297513370970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1D-49AD-ADE2-A976BBAE02F6}"/>
                </c:ext>
              </c:extLst>
            </c:dLbl>
            <c:dLbl>
              <c:idx val="1"/>
              <c:layout>
                <c:manualLayout>
                  <c:x val="-1.2829379701233486E-2"/>
                  <c:y val="1.8778552592482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1D-49AD-ADE2-A976BBAE02F6}"/>
                </c:ext>
              </c:extLst>
            </c:dLbl>
            <c:dLbl>
              <c:idx val="3"/>
              <c:layout>
                <c:manualLayout>
                  <c:x val="-2.3376204278489035E-2"/>
                  <c:y val="-1.5797708364284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1D-49AD-ADE2-A976BBAE02F6}"/>
                </c:ext>
              </c:extLst>
            </c:dLbl>
            <c:dLbl>
              <c:idx val="5"/>
              <c:layout>
                <c:manualLayout>
                  <c:x val="7.9905564617388583E-3"/>
                  <c:y val="-2.8207407888872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1D-49AD-ADE2-A976BBAE02F6}"/>
                </c:ext>
              </c:extLst>
            </c:dLbl>
            <c:dLbl>
              <c:idx val="7"/>
              <c:layout>
                <c:manualLayout>
                  <c:x val="4.8743208514732978E-3"/>
                  <c:y val="8.0671519833605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1D-49AD-ADE2-A976BBAE02F6}"/>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Транспортування_1ст!$B$89:$B$97</c:f>
              <c:strCache>
                <c:ptCount val="9"/>
                <c:pt idx="0">
                  <c:v>Зарплата</c:v>
                </c:pt>
                <c:pt idx="1">
                  <c:v>Відрахування</c:v>
                </c:pt>
                <c:pt idx="2">
                  <c:v>витрати на покриття втрат теплової енергії в теплових мережах</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Транспортування_1ст!$E$89:$E$97</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F81D-49AD-ADE2-A976BBAE02F6}"/>
            </c:ext>
          </c:extLst>
        </c:ser>
        <c:dLbls>
          <c:showLegendKey val="0"/>
          <c:showVal val="0"/>
          <c:showCatName val="0"/>
          <c:showSerName val="0"/>
          <c:showPercent val="0"/>
          <c:showBubbleSize val="0"/>
          <c:showLeaderLines val="1"/>
        </c:dLbls>
      </c:pie3DChart>
    </c:plotArea>
    <c:legend>
      <c:legendPos val="r"/>
      <c:layout>
        <c:manualLayout>
          <c:xMode val="edge"/>
          <c:yMode val="edge"/>
          <c:x val="0.74799834540056565"/>
          <c:y val="3.3098025924825435E-2"/>
          <c:w val="0.21101804804205943"/>
          <c:h val="0.94854428205319763"/>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70F9-4825-B6B9-9CE32FB6868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0F9-4825-B6B9-9CE32FB6868F}"/>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70F9-4825-B6B9-9CE32FB6868F}"/>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B821-4B51-A0EB-303A8ECF702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B821-4B51-A0EB-303A8ECF7024}"/>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B821-4B51-A0EB-303A8ECF7024}"/>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5D0E-43E7-AF58-CCB737A63C8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5D0E-43E7-AF58-CCB737A63C8D}"/>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5D0E-43E7-AF58-CCB737A63C8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9869-4B27-B76E-CC0DFC0319E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869-4B27-B76E-CC0DFC0319E8}"/>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869-4B27-B76E-CC0DFC0319E8}"/>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94A6-41DE-B506-D1F130B72C3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4A6-41DE-B506-D1F130B72C39}"/>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4A6-41DE-B506-D1F130B72C39}"/>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FE65-4349-891A-8B7FC4CDF9E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FE65-4349-891A-8B7FC4CDF9EE}"/>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FE65-4349-891A-8B7FC4CDF9EE}"/>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83A2-4CB8-BFE4-6700EBEF637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3A2-4CB8-BFE4-6700EBEF637F}"/>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83A2-4CB8-BFE4-6700EBEF637F}"/>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CDFC-4B03-9121-381BCE0B01D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numRef>
              <c:f>'[2]Д 8_Паливо'!$B$62:$B$65</c:f>
              <c:numCache>
                <c:formatCode>General</c:formatCode>
                <c:ptCount val="4"/>
                <c:pt idx="0">
                  <c:v>0</c:v>
                </c:pt>
                <c:pt idx="1">
                  <c:v>0</c:v>
                </c:pt>
                <c:pt idx="2">
                  <c:v>0</c:v>
                </c:pt>
                <c:pt idx="3">
                  <c:v>0</c:v>
                </c:pt>
              </c:numCache>
            </c:numRef>
          </c:cat>
          <c:val>
            <c:numRef>
              <c:f>'[2]Д 8_Паливо'!$C$62:$C$65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DFC-4B03-9121-381BCE0B01DC}"/>
            </c:ext>
          </c:extLst>
        </c:ser>
        <c:ser>
          <c:idx val="1"/>
          <c:order val="1"/>
          <c:explosion val="25"/>
          <c:cat>
            <c:numRef>
              <c:f>'[2]Д 8_Паливо'!$B$62:$B$65</c:f>
              <c:numCache>
                <c:formatCode>General</c:formatCode>
                <c:ptCount val="4"/>
                <c:pt idx="0">
                  <c:v>0</c:v>
                </c:pt>
                <c:pt idx="1">
                  <c:v>0</c:v>
                </c:pt>
                <c:pt idx="2">
                  <c:v>0</c:v>
                </c:pt>
                <c:pt idx="3">
                  <c:v>0</c:v>
                </c:pt>
              </c:numCache>
            </c:numRef>
          </c:cat>
          <c:val>
            <c:numRef>
              <c:f>'[2]Д 8_Паливо'!$D$62:$D$65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CDFC-4B03-9121-381BCE0B01DC}"/>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14</xdr:col>
      <xdr:colOff>192157</xdr:colOff>
      <xdr:row>58</xdr:row>
      <xdr:rowOff>139148</xdr:rowOff>
    </xdr:from>
    <xdr:to>
      <xdr:col>19</xdr:col>
      <xdr:colOff>642731</xdr:colOff>
      <xdr:row>77</xdr:row>
      <xdr:rowOff>0</xdr:rowOff>
    </xdr:to>
    <xdr:graphicFrame macro="">
      <xdr:nvGraphicFramePr>
        <xdr:cNvPr id="4" name="Диаграмма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192157</xdr:colOff>
      <xdr:row>58</xdr:row>
      <xdr:rowOff>139148</xdr:rowOff>
    </xdr:from>
    <xdr:to>
      <xdr:col>29</xdr:col>
      <xdr:colOff>642731</xdr:colOff>
      <xdr:row>77</xdr:row>
      <xdr:rowOff>0</xdr:rowOff>
    </xdr:to>
    <xdr:graphicFrame macro="">
      <xdr:nvGraphicFramePr>
        <xdr:cNvPr id="9" name="Диаграмма 8">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192157</xdr:colOff>
      <xdr:row>58</xdr:row>
      <xdr:rowOff>139148</xdr:rowOff>
    </xdr:from>
    <xdr:to>
      <xdr:col>29</xdr:col>
      <xdr:colOff>642731</xdr:colOff>
      <xdr:row>77</xdr:row>
      <xdr:rowOff>0</xdr:rowOff>
    </xdr:to>
    <xdr:graphicFrame macro="">
      <xdr:nvGraphicFramePr>
        <xdr:cNvPr id="10" name="Диаграмма 9">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192157</xdr:colOff>
      <xdr:row>58</xdr:row>
      <xdr:rowOff>139148</xdr:rowOff>
    </xdr:from>
    <xdr:to>
      <xdr:col>39</xdr:col>
      <xdr:colOff>642731</xdr:colOff>
      <xdr:row>77</xdr:row>
      <xdr:rowOff>0</xdr:rowOff>
    </xdr:to>
    <xdr:graphicFrame macro="">
      <xdr:nvGraphicFramePr>
        <xdr:cNvPr id="11" name="Диаграмма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192157</xdr:colOff>
      <xdr:row>58</xdr:row>
      <xdr:rowOff>139148</xdr:rowOff>
    </xdr:from>
    <xdr:to>
      <xdr:col>39</xdr:col>
      <xdr:colOff>642731</xdr:colOff>
      <xdr:row>77</xdr:row>
      <xdr:rowOff>0</xdr:rowOff>
    </xdr:to>
    <xdr:graphicFrame macro="">
      <xdr:nvGraphicFramePr>
        <xdr:cNvPr id="12" name="Диаграмма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192157</xdr:colOff>
      <xdr:row>58</xdr:row>
      <xdr:rowOff>139148</xdr:rowOff>
    </xdr:from>
    <xdr:to>
      <xdr:col>49</xdr:col>
      <xdr:colOff>642731</xdr:colOff>
      <xdr:row>77</xdr:row>
      <xdr:rowOff>0</xdr:rowOff>
    </xdr:to>
    <xdr:graphicFrame macro="">
      <xdr:nvGraphicFramePr>
        <xdr:cNvPr id="13" name="Диаграмма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192157</xdr:colOff>
      <xdr:row>58</xdr:row>
      <xdr:rowOff>139148</xdr:rowOff>
    </xdr:from>
    <xdr:to>
      <xdr:col>49</xdr:col>
      <xdr:colOff>642731</xdr:colOff>
      <xdr:row>77</xdr:row>
      <xdr:rowOff>0</xdr:rowOff>
    </xdr:to>
    <xdr:graphicFrame macro="">
      <xdr:nvGraphicFramePr>
        <xdr:cNvPr id="14" name="Диаграмма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54</xdr:col>
      <xdr:colOff>192157</xdr:colOff>
      <xdr:row>58</xdr:row>
      <xdr:rowOff>139148</xdr:rowOff>
    </xdr:from>
    <xdr:to>
      <xdr:col>59</xdr:col>
      <xdr:colOff>642731</xdr:colOff>
      <xdr:row>77</xdr:row>
      <xdr:rowOff>0</xdr:rowOff>
    </xdr:to>
    <xdr:graphicFrame macro="">
      <xdr:nvGraphicFramePr>
        <xdr:cNvPr id="15" name="Диаграмма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54</xdr:col>
      <xdr:colOff>192157</xdr:colOff>
      <xdr:row>58</xdr:row>
      <xdr:rowOff>139148</xdr:rowOff>
    </xdr:from>
    <xdr:to>
      <xdr:col>59</xdr:col>
      <xdr:colOff>642731</xdr:colOff>
      <xdr:row>77</xdr:row>
      <xdr:rowOff>0</xdr:rowOff>
    </xdr:to>
    <xdr:graphicFrame macro="">
      <xdr:nvGraphicFramePr>
        <xdr:cNvPr id="16" name="Диаграмма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0D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8</xdr:col>
      <xdr:colOff>104775</xdr:colOff>
      <xdr:row>22</xdr:row>
      <xdr:rowOff>4162425</xdr:rowOff>
    </xdr:from>
    <xdr:to>
      <xdr:col>8</xdr:col>
      <xdr:colOff>523875</xdr:colOff>
      <xdr:row>22</xdr:row>
      <xdr:rowOff>4410075</xdr:rowOff>
    </xdr:to>
    <xdr:sp macro="" textlink="">
      <xdr:nvSpPr>
        <xdr:cNvPr id="3" name="Text Box 1">
          <a:extLst>
            <a:ext uri="{FF2B5EF4-FFF2-40B4-BE49-F238E27FC236}">
              <a16:creationId xmlns:a16="http://schemas.microsoft.com/office/drawing/2014/main" id="{00000000-0008-0000-0D00-000003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9</xdr:col>
      <xdr:colOff>104775</xdr:colOff>
      <xdr:row>22</xdr:row>
      <xdr:rowOff>4162425</xdr:rowOff>
    </xdr:from>
    <xdr:to>
      <xdr:col>9</xdr:col>
      <xdr:colOff>523875</xdr:colOff>
      <xdr:row>22</xdr:row>
      <xdr:rowOff>4410075</xdr:rowOff>
    </xdr:to>
    <xdr:sp macro="" textlink="">
      <xdr:nvSpPr>
        <xdr:cNvPr id="4" name="Text Box 1">
          <a:extLst>
            <a:ext uri="{FF2B5EF4-FFF2-40B4-BE49-F238E27FC236}">
              <a16:creationId xmlns:a16="http://schemas.microsoft.com/office/drawing/2014/main" id="{00000000-0008-0000-0D00-000004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22</xdr:row>
      <xdr:rowOff>4162425</xdr:rowOff>
    </xdr:from>
    <xdr:to>
      <xdr:col>10</xdr:col>
      <xdr:colOff>523875</xdr:colOff>
      <xdr:row>22</xdr:row>
      <xdr:rowOff>4410075</xdr:rowOff>
    </xdr:to>
    <xdr:sp macro="" textlink="">
      <xdr:nvSpPr>
        <xdr:cNvPr id="5" name="Text Box 1">
          <a:extLst>
            <a:ext uri="{FF2B5EF4-FFF2-40B4-BE49-F238E27FC236}">
              <a16:creationId xmlns:a16="http://schemas.microsoft.com/office/drawing/2014/main" id="{00000000-0008-0000-0D00-000005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14</xdr:col>
      <xdr:colOff>104775</xdr:colOff>
      <xdr:row>22</xdr:row>
      <xdr:rowOff>4162425</xdr:rowOff>
    </xdr:from>
    <xdr:to>
      <xdr:col>14</xdr:col>
      <xdr:colOff>523875</xdr:colOff>
      <xdr:row>22</xdr:row>
      <xdr:rowOff>4410075</xdr:rowOff>
    </xdr:to>
    <xdr:sp macro="" textlink="">
      <xdr:nvSpPr>
        <xdr:cNvPr id="6" name="Text Box 1">
          <a:extLst>
            <a:ext uri="{FF2B5EF4-FFF2-40B4-BE49-F238E27FC236}">
              <a16:creationId xmlns:a16="http://schemas.microsoft.com/office/drawing/2014/main" id="{00000000-0008-0000-0D00-000006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15</xdr:col>
      <xdr:colOff>104775</xdr:colOff>
      <xdr:row>22</xdr:row>
      <xdr:rowOff>4162425</xdr:rowOff>
    </xdr:from>
    <xdr:to>
      <xdr:col>15</xdr:col>
      <xdr:colOff>523875</xdr:colOff>
      <xdr:row>22</xdr:row>
      <xdr:rowOff>4410075</xdr:rowOff>
    </xdr:to>
    <xdr:sp macro="" textlink="">
      <xdr:nvSpPr>
        <xdr:cNvPr id="7" name="Text Box 1">
          <a:extLst>
            <a:ext uri="{FF2B5EF4-FFF2-40B4-BE49-F238E27FC236}">
              <a16:creationId xmlns:a16="http://schemas.microsoft.com/office/drawing/2014/main" id="{00000000-0008-0000-0D00-000007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22</xdr:row>
      <xdr:rowOff>4162425</xdr:rowOff>
    </xdr:from>
    <xdr:to>
      <xdr:col>10</xdr:col>
      <xdr:colOff>523875</xdr:colOff>
      <xdr:row>22</xdr:row>
      <xdr:rowOff>4410075</xdr:rowOff>
    </xdr:to>
    <xdr:sp macro="" textlink="">
      <xdr:nvSpPr>
        <xdr:cNvPr id="8" name="Text Box 1">
          <a:extLst>
            <a:ext uri="{FF2B5EF4-FFF2-40B4-BE49-F238E27FC236}">
              <a16:creationId xmlns:a16="http://schemas.microsoft.com/office/drawing/2014/main" id="{00000000-0008-0000-0D00-000008000000}"/>
            </a:ext>
          </a:extLst>
        </xdr:cNvPr>
        <xdr:cNvSpPr txBox="1">
          <a:spLocks noChangeArrowheads="1"/>
        </xdr:cNvSpPr>
      </xdr:nvSpPr>
      <xdr:spPr bwMode="auto">
        <a:xfrm>
          <a:off x="10231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23</xdr:row>
      <xdr:rowOff>4162425</xdr:rowOff>
    </xdr:from>
    <xdr:to>
      <xdr:col>10</xdr:col>
      <xdr:colOff>523875</xdr:colOff>
      <xdr:row>23</xdr:row>
      <xdr:rowOff>4410075</xdr:rowOff>
    </xdr:to>
    <xdr:sp macro="" textlink="">
      <xdr:nvSpPr>
        <xdr:cNvPr id="9" name="Text Box 1">
          <a:extLst>
            <a:ext uri="{FF2B5EF4-FFF2-40B4-BE49-F238E27FC236}">
              <a16:creationId xmlns:a16="http://schemas.microsoft.com/office/drawing/2014/main" id="{00000000-0008-0000-0D00-000009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23</xdr:row>
      <xdr:rowOff>4162425</xdr:rowOff>
    </xdr:from>
    <xdr:to>
      <xdr:col>10</xdr:col>
      <xdr:colOff>523875</xdr:colOff>
      <xdr:row>23</xdr:row>
      <xdr:rowOff>4410075</xdr:rowOff>
    </xdr:to>
    <xdr:sp macro="" textlink="">
      <xdr:nvSpPr>
        <xdr:cNvPr id="10" name="Text Box 1">
          <a:extLst>
            <a:ext uri="{FF2B5EF4-FFF2-40B4-BE49-F238E27FC236}">
              <a16:creationId xmlns:a16="http://schemas.microsoft.com/office/drawing/2014/main" id="{00000000-0008-0000-0D00-00000A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24</xdr:row>
      <xdr:rowOff>4162425</xdr:rowOff>
    </xdr:from>
    <xdr:to>
      <xdr:col>10</xdr:col>
      <xdr:colOff>523875</xdr:colOff>
      <xdr:row>24</xdr:row>
      <xdr:rowOff>4410075</xdr:rowOff>
    </xdr:to>
    <xdr:sp macro="" textlink="">
      <xdr:nvSpPr>
        <xdr:cNvPr id="11" name="Text Box 1">
          <a:extLst>
            <a:ext uri="{FF2B5EF4-FFF2-40B4-BE49-F238E27FC236}">
              <a16:creationId xmlns:a16="http://schemas.microsoft.com/office/drawing/2014/main" id="{00000000-0008-0000-0D00-00000B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24</xdr:row>
      <xdr:rowOff>4162425</xdr:rowOff>
    </xdr:from>
    <xdr:to>
      <xdr:col>10</xdr:col>
      <xdr:colOff>523875</xdr:colOff>
      <xdr:row>24</xdr:row>
      <xdr:rowOff>4410075</xdr:rowOff>
    </xdr:to>
    <xdr:sp macro="" textlink="">
      <xdr:nvSpPr>
        <xdr:cNvPr id="12" name="Text Box 1">
          <a:extLst>
            <a:ext uri="{FF2B5EF4-FFF2-40B4-BE49-F238E27FC236}">
              <a16:creationId xmlns:a16="http://schemas.microsoft.com/office/drawing/2014/main" id="{00000000-0008-0000-0D00-00000C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14</xdr:col>
      <xdr:colOff>104775</xdr:colOff>
      <xdr:row>22</xdr:row>
      <xdr:rowOff>4162425</xdr:rowOff>
    </xdr:from>
    <xdr:to>
      <xdr:col>14</xdr:col>
      <xdr:colOff>523875</xdr:colOff>
      <xdr:row>22</xdr:row>
      <xdr:rowOff>4410075</xdr:rowOff>
    </xdr:to>
    <xdr:sp macro="" textlink="">
      <xdr:nvSpPr>
        <xdr:cNvPr id="13" name="Text Box 1">
          <a:extLst>
            <a:ext uri="{FF2B5EF4-FFF2-40B4-BE49-F238E27FC236}">
              <a16:creationId xmlns:a16="http://schemas.microsoft.com/office/drawing/2014/main" id="{00000000-0008-0000-0D00-00000D000000}"/>
            </a:ext>
          </a:extLst>
        </xdr:cNvPr>
        <xdr:cNvSpPr txBox="1">
          <a:spLocks noChangeArrowheads="1"/>
        </xdr:cNvSpPr>
      </xdr:nvSpPr>
      <xdr:spPr bwMode="auto">
        <a:xfrm>
          <a:off x="944689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15</xdr:col>
      <xdr:colOff>104775</xdr:colOff>
      <xdr:row>22</xdr:row>
      <xdr:rowOff>4162425</xdr:rowOff>
    </xdr:from>
    <xdr:to>
      <xdr:col>15</xdr:col>
      <xdr:colOff>523875</xdr:colOff>
      <xdr:row>22</xdr:row>
      <xdr:rowOff>4410075</xdr:rowOff>
    </xdr:to>
    <xdr:sp macro="" textlink="">
      <xdr:nvSpPr>
        <xdr:cNvPr id="14" name="Text Box 1">
          <a:extLst>
            <a:ext uri="{FF2B5EF4-FFF2-40B4-BE49-F238E27FC236}">
              <a16:creationId xmlns:a16="http://schemas.microsoft.com/office/drawing/2014/main" id="{00000000-0008-0000-0D00-00000E000000}"/>
            </a:ext>
          </a:extLst>
        </xdr:cNvPr>
        <xdr:cNvSpPr txBox="1">
          <a:spLocks noChangeArrowheads="1"/>
        </xdr:cNvSpPr>
      </xdr:nvSpPr>
      <xdr:spPr bwMode="auto">
        <a:xfrm>
          <a:off x="10231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22</xdr:row>
      <xdr:rowOff>4162425</xdr:rowOff>
    </xdr:from>
    <xdr:to>
      <xdr:col>16</xdr:col>
      <xdr:colOff>523875</xdr:colOff>
      <xdr:row>22</xdr:row>
      <xdr:rowOff>4410075</xdr:rowOff>
    </xdr:to>
    <xdr:sp macro="" textlink="">
      <xdr:nvSpPr>
        <xdr:cNvPr id="15" name="Text Box 1">
          <a:extLst>
            <a:ext uri="{FF2B5EF4-FFF2-40B4-BE49-F238E27FC236}">
              <a16:creationId xmlns:a16="http://schemas.microsoft.com/office/drawing/2014/main" id="{00000000-0008-0000-0D00-00000F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22</xdr:row>
      <xdr:rowOff>4162425</xdr:rowOff>
    </xdr:from>
    <xdr:to>
      <xdr:col>16</xdr:col>
      <xdr:colOff>523875</xdr:colOff>
      <xdr:row>22</xdr:row>
      <xdr:rowOff>4410075</xdr:rowOff>
    </xdr:to>
    <xdr:sp macro="" textlink="">
      <xdr:nvSpPr>
        <xdr:cNvPr id="16" name="Text Box 1">
          <a:extLst>
            <a:ext uri="{FF2B5EF4-FFF2-40B4-BE49-F238E27FC236}">
              <a16:creationId xmlns:a16="http://schemas.microsoft.com/office/drawing/2014/main" id="{00000000-0008-0000-0D00-000010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23</xdr:row>
      <xdr:rowOff>4162425</xdr:rowOff>
    </xdr:from>
    <xdr:to>
      <xdr:col>16</xdr:col>
      <xdr:colOff>523875</xdr:colOff>
      <xdr:row>23</xdr:row>
      <xdr:rowOff>4410075</xdr:rowOff>
    </xdr:to>
    <xdr:sp macro="" textlink="">
      <xdr:nvSpPr>
        <xdr:cNvPr id="17" name="Text Box 1">
          <a:extLst>
            <a:ext uri="{FF2B5EF4-FFF2-40B4-BE49-F238E27FC236}">
              <a16:creationId xmlns:a16="http://schemas.microsoft.com/office/drawing/2014/main" id="{00000000-0008-0000-0D00-000011000000}"/>
            </a:ext>
          </a:extLst>
        </xdr:cNvPr>
        <xdr:cNvSpPr txBox="1">
          <a:spLocks noChangeArrowheads="1"/>
        </xdr:cNvSpPr>
      </xdr:nvSpPr>
      <xdr:spPr bwMode="auto">
        <a:xfrm>
          <a:off x="1129855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23</xdr:row>
      <xdr:rowOff>4162425</xdr:rowOff>
    </xdr:from>
    <xdr:to>
      <xdr:col>16</xdr:col>
      <xdr:colOff>523875</xdr:colOff>
      <xdr:row>23</xdr:row>
      <xdr:rowOff>4410075</xdr:rowOff>
    </xdr:to>
    <xdr:sp macro="" textlink="">
      <xdr:nvSpPr>
        <xdr:cNvPr id="18" name="Text Box 1">
          <a:extLst>
            <a:ext uri="{FF2B5EF4-FFF2-40B4-BE49-F238E27FC236}">
              <a16:creationId xmlns:a16="http://schemas.microsoft.com/office/drawing/2014/main" id="{00000000-0008-0000-0D00-000012000000}"/>
            </a:ext>
          </a:extLst>
        </xdr:cNvPr>
        <xdr:cNvSpPr txBox="1">
          <a:spLocks noChangeArrowheads="1"/>
        </xdr:cNvSpPr>
      </xdr:nvSpPr>
      <xdr:spPr bwMode="auto">
        <a:xfrm>
          <a:off x="1129855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24</xdr:row>
      <xdr:rowOff>4162425</xdr:rowOff>
    </xdr:from>
    <xdr:to>
      <xdr:col>16</xdr:col>
      <xdr:colOff>523875</xdr:colOff>
      <xdr:row>24</xdr:row>
      <xdr:rowOff>4410075</xdr:rowOff>
    </xdr:to>
    <xdr:sp macro="" textlink="">
      <xdr:nvSpPr>
        <xdr:cNvPr id="19" name="Text Box 1">
          <a:extLst>
            <a:ext uri="{FF2B5EF4-FFF2-40B4-BE49-F238E27FC236}">
              <a16:creationId xmlns:a16="http://schemas.microsoft.com/office/drawing/2014/main" id="{00000000-0008-0000-0D00-000013000000}"/>
            </a:ext>
          </a:extLst>
        </xdr:cNvPr>
        <xdr:cNvSpPr txBox="1">
          <a:spLocks noChangeArrowheads="1"/>
        </xdr:cNvSpPr>
      </xdr:nvSpPr>
      <xdr:spPr bwMode="auto">
        <a:xfrm>
          <a:off x="1129855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16</xdr:col>
      <xdr:colOff>104775</xdr:colOff>
      <xdr:row>24</xdr:row>
      <xdr:rowOff>4162425</xdr:rowOff>
    </xdr:from>
    <xdr:to>
      <xdr:col>16</xdr:col>
      <xdr:colOff>523875</xdr:colOff>
      <xdr:row>24</xdr:row>
      <xdr:rowOff>4410075</xdr:rowOff>
    </xdr:to>
    <xdr:sp macro="" textlink="">
      <xdr:nvSpPr>
        <xdr:cNvPr id="20" name="Text Box 1">
          <a:extLst>
            <a:ext uri="{FF2B5EF4-FFF2-40B4-BE49-F238E27FC236}">
              <a16:creationId xmlns:a16="http://schemas.microsoft.com/office/drawing/2014/main" id="{00000000-0008-0000-0D00-000014000000}"/>
            </a:ext>
          </a:extLst>
        </xdr:cNvPr>
        <xdr:cNvSpPr txBox="1">
          <a:spLocks noChangeArrowheads="1"/>
        </xdr:cNvSpPr>
      </xdr:nvSpPr>
      <xdr:spPr bwMode="auto">
        <a:xfrm>
          <a:off x="1129855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11</xdr:col>
      <xdr:colOff>104775</xdr:colOff>
      <xdr:row>22</xdr:row>
      <xdr:rowOff>4162425</xdr:rowOff>
    </xdr:from>
    <xdr:to>
      <xdr:col>11</xdr:col>
      <xdr:colOff>523875</xdr:colOff>
      <xdr:row>22</xdr:row>
      <xdr:rowOff>4410075</xdr:rowOff>
    </xdr:to>
    <xdr:sp macro="" textlink="">
      <xdr:nvSpPr>
        <xdr:cNvPr id="21" name="Text Box 1">
          <a:extLst>
            <a:ext uri="{FF2B5EF4-FFF2-40B4-BE49-F238E27FC236}">
              <a16:creationId xmlns:a16="http://schemas.microsoft.com/office/drawing/2014/main" id="{00000000-0008-0000-0D00-000015000000}"/>
            </a:ext>
          </a:extLst>
        </xdr:cNvPr>
        <xdr:cNvSpPr txBox="1">
          <a:spLocks noChangeArrowheads="1"/>
        </xdr:cNvSpPr>
      </xdr:nvSpPr>
      <xdr:spPr bwMode="auto">
        <a:xfrm>
          <a:off x="15565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12</xdr:col>
      <xdr:colOff>104775</xdr:colOff>
      <xdr:row>22</xdr:row>
      <xdr:rowOff>4162425</xdr:rowOff>
    </xdr:from>
    <xdr:to>
      <xdr:col>12</xdr:col>
      <xdr:colOff>523875</xdr:colOff>
      <xdr:row>22</xdr:row>
      <xdr:rowOff>4410075</xdr:rowOff>
    </xdr:to>
    <xdr:sp macro="" textlink="">
      <xdr:nvSpPr>
        <xdr:cNvPr id="22" name="Text Box 1">
          <a:extLst>
            <a:ext uri="{FF2B5EF4-FFF2-40B4-BE49-F238E27FC236}">
              <a16:creationId xmlns:a16="http://schemas.microsoft.com/office/drawing/2014/main" id="{00000000-0008-0000-0D00-000016000000}"/>
            </a:ext>
          </a:extLst>
        </xdr:cNvPr>
        <xdr:cNvSpPr txBox="1">
          <a:spLocks noChangeArrowheads="1"/>
        </xdr:cNvSpPr>
      </xdr:nvSpPr>
      <xdr:spPr bwMode="auto">
        <a:xfrm>
          <a:off x="163201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11</xdr:col>
      <xdr:colOff>104775</xdr:colOff>
      <xdr:row>22</xdr:row>
      <xdr:rowOff>4162425</xdr:rowOff>
    </xdr:from>
    <xdr:to>
      <xdr:col>11</xdr:col>
      <xdr:colOff>523875</xdr:colOff>
      <xdr:row>22</xdr:row>
      <xdr:rowOff>4410075</xdr:rowOff>
    </xdr:to>
    <xdr:sp macro="" textlink="">
      <xdr:nvSpPr>
        <xdr:cNvPr id="23" name="Text Box 1">
          <a:extLst>
            <a:ext uri="{FF2B5EF4-FFF2-40B4-BE49-F238E27FC236}">
              <a16:creationId xmlns:a16="http://schemas.microsoft.com/office/drawing/2014/main" id="{00000000-0008-0000-0D00-000017000000}"/>
            </a:ext>
          </a:extLst>
        </xdr:cNvPr>
        <xdr:cNvSpPr txBox="1">
          <a:spLocks noChangeArrowheads="1"/>
        </xdr:cNvSpPr>
      </xdr:nvSpPr>
      <xdr:spPr bwMode="auto">
        <a:xfrm>
          <a:off x="15565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12</xdr:col>
      <xdr:colOff>104775</xdr:colOff>
      <xdr:row>22</xdr:row>
      <xdr:rowOff>4162425</xdr:rowOff>
    </xdr:from>
    <xdr:to>
      <xdr:col>12</xdr:col>
      <xdr:colOff>523875</xdr:colOff>
      <xdr:row>22</xdr:row>
      <xdr:rowOff>4410075</xdr:rowOff>
    </xdr:to>
    <xdr:sp macro="" textlink="">
      <xdr:nvSpPr>
        <xdr:cNvPr id="24" name="Text Box 1">
          <a:extLst>
            <a:ext uri="{FF2B5EF4-FFF2-40B4-BE49-F238E27FC236}">
              <a16:creationId xmlns:a16="http://schemas.microsoft.com/office/drawing/2014/main" id="{00000000-0008-0000-0D00-000018000000}"/>
            </a:ext>
          </a:extLst>
        </xdr:cNvPr>
        <xdr:cNvSpPr txBox="1">
          <a:spLocks noChangeArrowheads="1"/>
        </xdr:cNvSpPr>
      </xdr:nvSpPr>
      <xdr:spPr bwMode="auto">
        <a:xfrm>
          <a:off x="163201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22</xdr:row>
      <xdr:rowOff>4162425</xdr:rowOff>
    </xdr:from>
    <xdr:to>
      <xdr:col>13</xdr:col>
      <xdr:colOff>523875</xdr:colOff>
      <xdr:row>22</xdr:row>
      <xdr:rowOff>4410075</xdr:rowOff>
    </xdr:to>
    <xdr:sp macro="" textlink="">
      <xdr:nvSpPr>
        <xdr:cNvPr id="25" name="Text Box 1">
          <a:extLst>
            <a:ext uri="{FF2B5EF4-FFF2-40B4-BE49-F238E27FC236}">
              <a16:creationId xmlns:a16="http://schemas.microsoft.com/office/drawing/2014/main" id="{00000000-0008-0000-0D00-000019000000}"/>
            </a:ext>
          </a:extLst>
        </xdr:cNvPr>
        <xdr:cNvSpPr txBox="1">
          <a:spLocks noChangeArrowheads="1"/>
        </xdr:cNvSpPr>
      </xdr:nvSpPr>
      <xdr:spPr bwMode="auto">
        <a:xfrm>
          <a:off x="173869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22</xdr:row>
      <xdr:rowOff>4162425</xdr:rowOff>
    </xdr:from>
    <xdr:to>
      <xdr:col>13</xdr:col>
      <xdr:colOff>523875</xdr:colOff>
      <xdr:row>22</xdr:row>
      <xdr:rowOff>4410075</xdr:rowOff>
    </xdr:to>
    <xdr:sp macro="" textlink="">
      <xdr:nvSpPr>
        <xdr:cNvPr id="26" name="Text Box 1">
          <a:extLst>
            <a:ext uri="{FF2B5EF4-FFF2-40B4-BE49-F238E27FC236}">
              <a16:creationId xmlns:a16="http://schemas.microsoft.com/office/drawing/2014/main" id="{00000000-0008-0000-0D00-00001A000000}"/>
            </a:ext>
          </a:extLst>
        </xdr:cNvPr>
        <xdr:cNvSpPr txBox="1">
          <a:spLocks noChangeArrowheads="1"/>
        </xdr:cNvSpPr>
      </xdr:nvSpPr>
      <xdr:spPr bwMode="auto">
        <a:xfrm>
          <a:off x="1738693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23</xdr:row>
      <xdr:rowOff>4162425</xdr:rowOff>
    </xdr:from>
    <xdr:to>
      <xdr:col>13</xdr:col>
      <xdr:colOff>523875</xdr:colOff>
      <xdr:row>23</xdr:row>
      <xdr:rowOff>4410075</xdr:rowOff>
    </xdr:to>
    <xdr:sp macro="" textlink="">
      <xdr:nvSpPr>
        <xdr:cNvPr id="27" name="Text Box 1">
          <a:extLst>
            <a:ext uri="{FF2B5EF4-FFF2-40B4-BE49-F238E27FC236}">
              <a16:creationId xmlns:a16="http://schemas.microsoft.com/office/drawing/2014/main" id="{00000000-0008-0000-0D00-00001B000000}"/>
            </a:ext>
          </a:extLst>
        </xdr:cNvPr>
        <xdr:cNvSpPr txBox="1">
          <a:spLocks noChangeArrowheads="1"/>
        </xdr:cNvSpPr>
      </xdr:nvSpPr>
      <xdr:spPr bwMode="auto">
        <a:xfrm>
          <a:off x="1738693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23</xdr:row>
      <xdr:rowOff>4162425</xdr:rowOff>
    </xdr:from>
    <xdr:to>
      <xdr:col>13</xdr:col>
      <xdr:colOff>523875</xdr:colOff>
      <xdr:row>23</xdr:row>
      <xdr:rowOff>4410075</xdr:rowOff>
    </xdr:to>
    <xdr:sp macro="" textlink="">
      <xdr:nvSpPr>
        <xdr:cNvPr id="28" name="Text Box 1">
          <a:extLst>
            <a:ext uri="{FF2B5EF4-FFF2-40B4-BE49-F238E27FC236}">
              <a16:creationId xmlns:a16="http://schemas.microsoft.com/office/drawing/2014/main" id="{00000000-0008-0000-0D00-00001C000000}"/>
            </a:ext>
          </a:extLst>
        </xdr:cNvPr>
        <xdr:cNvSpPr txBox="1">
          <a:spLocks noChangeArrowheads="1"/>
        </xdr:cNvSpPr>
      </xdr:nvSpPr>
      <xdr:spPr bwMode="auto">
        <a:xfrm>
          <a:off x="1738693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24</xdr:row>
      <xdr:rowOff>4162425</xdr:rowOff>
    </xdr:from>
    <xdr:to>
      <xdr:col>13</xdr:col>
      <xdr:colOff>523875</xdr:colOff>
      <xdr:row>24</xdr:row>
      <xdr:rowOff>4410075</xdr:rowOff>
    </xdr:to>
    <xdr:sp macro="" textlink="">
      <xdr:nvSpPr>
        <xdr:cNvPr id="29" name="Text Box 1">
          <a:extLst>
            <a:ext uri="{FF2B5EF4-FFF2-40B4-BE49-F238E27FC236}">
              <a16:creationId xmlns:a16="http://schemas.microsoft.com/office/drawing/2014/main" id="{00000000-0008-0000-0D00-00001D000000}"/>
            </a:ext>
          </a:extLst>
        </xdr:cNvPr>
        <xdr:cNvSpPr txBox="1">
          <a:spLocks noChangeArrowheads="1"/>
        </xdr:cNvSpPr>
      </xdr:nvSpPr>
      <xdr:spPr bwMode="auto">
        <a:xfrm>
          <a:off x="1738693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24</xdr:row>
      <xdr:rowOff>4162425</xdr:rowOff>
    </xdr:from>
    <xdr:to>
      <xdr:col>13</xdr:col>
      <xdr:colOff>523875</xdr:colOff>
      <xdr:row>24</xdr:row>
      <xdr:rowOff>4410075</xdr:rowOff>
    </xdr:to>
    <xdr:sp macro="" textlink="">
      <xdr:nvSpPr>
        <xdr:cNvPr id="30" name="Text Box 1">
          <a:extLst>
            <a:ext uri="{FF2B5EF4-FFF2-40B4-BE49-F238E27FC236}">
              <a16:creationId xmlns:a16="http://schemas.microsoft.com/office/drawing/2014/main" id="{00000000-0008-0000-0D00-00001E000000}"/>
            </a:ext>
          </a:extLst>
        </xdr:cNvPr>
        <xdr:cNvSpPr txBox="1">
          <a:spLocks noChangeArrowheads="1"/>
        </xdr:cNvSpPr>
      </xdr:nvSpPr>
      <xdr:spPr bwMode="auto">
        <a:xfrm>
          <a:off x="1738693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345440</xdr:colOff>
      <xdr:row>83</xdr:row>
      <xdr:rowOff>142240</xdr:rowOff>
    </xdr:from>
    <xdr:to>
      <xdr:col>16</xdr:col>
      <xdr:colOff>172720</xdr:colOff>
      <xdr:row>102</xdr:row>
      <xdr:rowOff>162560</xdr:rowOff>
    </xdr:to>
    <xdr:graphicFrame macro="">
      <xdr:nvGraphicFramePr>
        <xdr:cNvPr id="2" name="Диаграмма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xdr:col>
      <xdr:colOff>390525</xdr:colOff>
      <xdr:row>28</xdr:row>
      <xdr:rowOff>11907</xdr:rowOff>
    </xdr:from>
    <xdr:to>
      <xdr:col>31</xdr:col>
      <xdr:colOff>558193</xdr:colOff>
      <xdr:row>35</xdr:row>
      <xdr:rowOff>142875</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13967460" y="7174707"/>
          <a:ext cx="0" cy="2401728"/>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600" b="1"/>
            <a:t>У разі наявності кількох  </a:t>
          </a:r>
          <a:r>
            <a:rPr lang="uk-UA" sz="1600" b="1">
              <a:solidFill>
                <a:schemeClr val="dk1"/>
              </a:solidFill>
              <a:latin typeface="+mn-lt"/>
              <a:ea typeface="+mn-ea"/>
              <a:cs typeface="+mn-cs"/>
            </a:rPr>
            <a:t>компаній</a:t>
          </a:r>
          <a:r>
            <a:rPr lang="uk-UA" sz="1100" b="1">
              <a:solidFill>
                <a:schemeClr val="dk1"/>
              </a:solidFill>
              <a:effectLst/>
              <a:latin typeface="+mn-lt"/>
              <a:ea typeface="+mn-ea"/>
              <a:cs typeface="+mn-cs"/>
            </a:rPr>
            <a:t>  </a:t>
          </a:r>
          <a:r>
            <a:rPr lang="uk-UA" sz="1600" b="1"/>
            <a:t>водопостачання (водовідведення)</a:t>
          </a:r>
          <a:r>
            <a:rPr lang="uk-UA" sz="1600" b="1" baseline="0"/>
            <a:t> </a:t>
          </a:r>
          <a:r>
            <a:rPr lang="uk-UA" sz="1600" b="1"/>
            <a:t>Додаток</a:t>
          </a:r>
          <a:r>
            <a:rPr lang="uk-UA" sz="1600" b="1" baseline="0"/>
            <a:t> заповнюється окремо за кожним з постачальників  і тільки потім зводиться у загальний Додаток  цієї форми.</a:t>
          </a:r>
        </a:p>
        <a:p>
          <a:r>
            <a:rPr lang="uk-UA" sz="1600" b="1" baseline="0"/>
            <a:t>Сумарні показники водопостачання та водовідведення повинні співпадати з формою 2ТП-водгосп за відповідний період</a:t>
          </a:r>
        </a:p>
        <a:p>
          <a:endParaRPr lang="ru-RU"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Mashburo2\&#1056;&#1072;&#1073;&#1086;&#1095;&#1080;&#1081;%20&#1089;&#1090;&#1086;&#1083;\&#1096;&#1087;&#1072;&#1085;&#1102;&#1082;\&#1054;&#1090;&#1095;&#1077;&#1090;&#1085;&#1086;&#1089;&#1090;&#11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05_06_2011\&#1090;&#1072;&#1088;&#1080;&#1092;%20&#1089;&#1082;&#1086;&#1088;&#1077;&#1075;&#1060;&#1054;&#1058;%20&#1089;%20&#1050;%201.412%202010_&#1040;&#1083;&#1077;&#1085;&#1072;%20&#1074;%20&#1048;&#1083;&#1083;&#1080;&#1095;&#1077;&#1074;&#1089;&#1082;&#1077;%2023.07.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nych/AppData/Local/Temp/Users/nych/Downloads/reestr_budynkiv_29_04_20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1053;&#1072;&#1090;&#1072;&#1083;&#1080;&#1103;/Downloads/&#1058;&#1077;&#1087;&#1083;&#1086;%20&#1052;&#1086;&#1085;&#1086;&#1083;&#1080;&#1090;%2023-24%20&#1056;&#1110;&#1095;&#1085;&#1080;&#1081;%20&#1088;&#1077;&#1079;&#1091;&#1083;&#1100;&#1090;&#1072;&#109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050;&#1040;&#1058;&#1071;/2022/&#1044;&#1110;&#1102;&#1095;&#1110;%20&#1090;&#1072;&#1088;&#1080;&#1092;&#1080;%202022%20&#1085;&#1072;%20&#1058;&#1045;/&#1058;&#1072;&#1088;&#1080;&#1092;%20&#1074;&#1089;&#1090;&#1072;&#1085;%202022-2023/&#1058;&#1072;&#1088;&#1080;&#1092;_&#1050;&#1055;&#1063;&#1058;&#1045;_2022_2023_&#1074;&#1089;&#1090;&#1072;&#1085;&#1086;&#1074;&#108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1053;&#1072;&#1090;&#1072;&#1083;&#1080;&#1103;/Downloads/&#1044;&#1086;&#1076;.8%20&#1087;&#1072;&#1083;&#1080;&#1074;&#1086;%20&#1052;&#1086;&#1085;&#1086;&#1083;&#1110;&#1090;%20-%20&#105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1058;&#1072;&#1088;&#1080;&#1092;%202023-2024/&#1058;&#1072;&#1088;&#1080;&#1092;_&#1050;&#1055;&#1063;&#1058;&#1045;_2023_2024_&#1076;&#1086;&#1075;&#1086;&#1074;&#1086;&#1088;_&#1075;&#1072;&#1079;%2012-10-202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1053;&#1072;&#1090;&#1072;&#1083;&#1080;&#1103;/Downloads/&#1042;&#1086;&#1076;&#1072;%20%202023-2024%20&#1052;&#1086;&#1085;&#1086;&#1083;&#1080;&#1090;%2026.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 val="попер_роз"/>
      <sheetName val="Links"/>
      <sheetName val="Lead"/>
      <sheetName val="TECH"/>
      <sheetName val="M"/>
      <sheetName val="XLR_NoRangeSheet"/>
      <sheetName val="3"/>
      <sheetName val="_Л1"/>
      <sheetName val="_Л10"/>
      <sheetName val="_Л11"/>
      <sheetName val="_Л2"/>
      <sheetName val="_Л3"/>
      <sheetName val="_Л4"/>
      <sheetName val="_Л5"/>
      <sheetName val="_Л7"/>
      <sheetName val="_Л8"/>
      <sheetName val="_Л9"/>
      <sheetName val="рік"/>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 val="assump"/>
      <sheetName val="Setup"/>
      <sheetName val="МТР Газ України"/>
      <sheetName val="Типи данних філії"/>
      <sheetName val="1_структура по елементах"/>
      <sheetName val="рік"/>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PEV20002.xls"/>
      <sheetName val="PEV20002"/>
      <sheetName val="Ф2"/>
      <sheetName val="МТР Газ України"/>
      <sheetName val="KOEF"/>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 val="рік"/>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 val="1_структура по елементах"/>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Д (анал)"/>
      <sheetName val="м_812"/>
      <sheetName val="Ini"/>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Д 8_Паливо"/>
      <sheetName val="8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 val="812"/>
      <sheetName val="Ф2"/>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2)"/>
      <sheetName val="9"/>
      <sheetName val="9 (2)"/>
      <sheetName val="9 міс."/>
      <sheetName val="2013"/>
      <sheetName val="2014"/>
      <sheetName val="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 ee 99"/>
      <sheetName val="Експл"/>
      <sheetName val="ПЛАН_1вар"/>
      <sheetName val="Інші витрати"/>
      <sheetName val="3 утв."/>
    </sheetNames>
    <sheetDataSet>
      <sheetData sheetId="0">
        <row r="95">
          <cell r="CT95">
            <v>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
      <sheetName val="макет 430"/>
      <sheetName val="Ф2"/>
      <sheetName val="Технич лист"/>
      <sheetName val="KOEF"/>
    </sheetNames>
    <sheetDataSet>
      <sheetData sheetId="0">
        <row r="8">
          <cell r="F8" t="str">
            <v xml:space="preserve">Звіт </v>
          </cell>
        </row>
      </sheetData>
      <sheetData sheetId="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 val="Лист1"/>
      <sheetName val="Отчетность!!!"/>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 val="рік"/>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Додаток 13"/>
      <sheetName val=" послуга ГВП 1"/>
      <sheetName val="послуга 2 3"/>
      <sheetName val=" інші 20"/>
      <sheetName val="паливо"/>
      <sheetName val="Річний план"/>
      <sheetName val="Річний план 1"/>
      <sheetName val="Лист1"/>
      <sheetName val="Річний план 2"/>
      <sheetName val="Факт вода 5 лет"/>
      <sheetName val="Соотношение"/>
      <sheetName val="Динаміка"/>
      <sheetName val="Сч.ЦТП"/>
      <sheetName val="Лист2"/>
      <sheetName val="Лист4"/>
      <sheetName val="Лист3"/>
      <sheetName val="Лист6"/>
      <sheetName val="Лист5"/>
      <sheetName val="Додаток 12"/>
      <sheetName val="Лист7"/>
      <sheetName val="рік"/>
      <sheetName val="Д 8_Паливо"/>
    </sheetNames>
    <sheetDataSet>
      <sheetData sheetId="0"/>
      <sheetData sheetId="1">
        <row r="12">
          <cell r="E12">
            <v>14.970988671472696</v>
          </cell>
        </row>
      </sheetData>
      <sheetData sheetId="2">
        <row r="19">
          <cell r="T19">
            <v>1.26</v>
          </cell>
          <cell r="Y19">
            <v>501.27</v>
          </cell>
          <cell r="Z19">
            <v>452.1216</v>
          </cell>
          <cell r="AA19">
            <v>392.16239999999999</v>
          </cell>
          <cell r="AB19">
            <v>7.3583999999999996</v>
          </cell>
          <cell r="AC19">
            <v>27.972000000000001</v>
          </cell>
          <cell r="AD19">
            <v>306.43200000000002</v>
          </cell>
          <cell r="AE19">
            <v>439.03440000000001</v>
          </cell>
        </row>
        <row r="27">
          <cell r="T27">
            <v>2.5680000000000001</v>
          </cell>
          <cell r="Y27">
            <v>1021.636</v>
          </cell>
          <cell r="Z27">
            <v>921.46687999999995</v>
          </cell>
          <cell r="AA27">
            <v>799.26432</v>
          </cell>
          <cell r="AB27">
            <v>14.997120000000001</v>
          </cell>
          <cell r="AC27">
            <v>57.009599999999999</v>
          </cell>
          <cell r="AD27">
            <v>624.5376</v>
          </cell>
          <cell r="AE27">
            <v>894.79391999999996</v>
          </cell>
        </row>
        <row r="40">
          <cell r="T40">
            <v>0.28499999999999998</v>
          </cell>
          <cell r="Y40">
            <v>113.38249999999999</v>
          </cell>
          <cell r="Z40">
            <v>102.26560000000001</v>
          </cell>
          <cell r="AA40">
            <v>88.703400000000002</v>
          </cell>
          <cell r="AB40">
            <v>1.6644000000000001</v>
          </cell>
          <cell r="AC40">
            <v>6.327</v>
          </cell>
          <cell r="AD40">
            <v>69.311999999999998</v>
          </cell>
          <cell r="AE40">
            <v>99.305400000000006</v>
          </cell>
        </row>
        <row r="41">
          <cell r="T41">
            <v>0.47299999999999998</v>
          </cell>
          <cell r="Y41">
            <v>188.175166666667</v>
          </cell>
          <cell r="Z41">
            <v>169.72501333333301</v>
          </cell>
          <cell r="AA41">
            <v>147.21652</v>
          </cell>
          <cell r="AB41">
            <v>2.7623199999999999</v>
          </cell>
          <cell r="AC41">
            <v>10.5006</v>
          </cell>
          <cell r="AD41">
            <v>115.03360000000001</v>
          </cell>
          <cell r="AE41">
            <v>164.81211999999999</v>
          </cell>
        </row>
        <row r="42">
          <cell r="T42">
            <v>0.23200000000000001</v>
          </cell>
          <cell r="Y42">
            <v>92.297333333333299</v>
          </cell>
          <cell r="Z42">
            <v>83.247786666666698</v>
          </cell>
          <cell r="AA42">
            <v>72.207679999999996</v>
          </cell>
          <cell r="AB42">
            <v>1.3548800000000001</v>
          </cell>
          <cell r="AC42">
            <v>5.1504000000000003</v>
          </cell>
          <cell r="AD42">
            <v>56.422400000000003</v>
          </cell>
          <cell r="AE42">
            <v>80.838080000000005</v>
          </cell>
        </row>
        <row r="43">
          <cell r="T43">
            <v>0.24</v>
          </cell>
          <cell r="Y43">
            <v>95.48</v>
          </cell>
          <cell r="Z43">
            <v>86.118399999999994</v>
          </cell>
          <cell r="AA43">
            <v>74.697599999999994</v>
          </cell>
          <cell r="AB43">
            <v>1.4016</v>
          </cell>
          <cell r="AC43">
            <v>5.3280000000000003</v>
          </cell>
          <cell r="AD43">
            <v>58.368000000000002</v>
          </cell>
          <cell r="AE43">
            <v>83.625600000000006</v>
          </cell>
        </row>
      </sheetData>
      <sheetData sheetId="3"/>
      <sheetData sheetId="4"/>
      <sheetData sheetId="5"/>
      <sheetData sheetId="6"/>
      <sheetData sheetId="7"/>
      <sheetData sheetId="8">
        <row r="3">
          <cell r="D3" t="str">
            <v>Автономна котельня Парусна, 1В</v>
          </cell>
        </row>
        <row r="6">
          <cell r="D6" t="str">
            <v>Автономна котельня Парусна, 1Г</v>
          </cell>
        </row>
        <row r="9">
          <cell r="E9" t="str">
            <v>Парусна , 1  А</v>
          </cell>
        </row>
        <row r="10">
          <cell r="E10" t="str">
            <v>Парусна , 1  Б</v>
          </cell>
        </row>
        <row r="11">
          <cell r="E11" t="str">
            <v>Паркова , 50</v>
          </cell>
        </row>
        <row r="12">
          <cell r="E12" t="str">
            <v>Паркова , 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д8 Котельня, 1Д"/>
      <sheetName val="план"/>
      <sheetName val="дод8 Котельня, 1Г"/>
      <sheetName val="дод8 всього"/>
      <sheetName val="Питома норма"/>
      <sheetName val="САО Парусна, 1А"/>
      <sheetName val="САО Парусна, 1Б"/>
      <sheetName val="Паркова, 50"/>
      <sheetName val="Паркова, 52"/>
      <sheetName val="Вхідні дані"/>
      <sheetName val="Д 1_Заява"/>
      <sheetName val="КОНТРОЛЬ 1"/>
      <sheetName val="Д 2_Т на В"/>
      <sheetName val="Д 3_Т на Т з ЦТП"/>
      <sheetName val="D1_2022-2023"/>
      <sheetName val="D2_2022-2023"/>
      <sheetName val="D3_2022-2023"/>
      <sheetName val="D4_2022-2023"/>
      <sheetName val="D5_2022-2023"/>
      <sheetName val="D6_2022-2023"/>
      <sheetName val="D7_2022-2023"/>
      <sheetName val="Д 3.1_Т на Т без ЦТП"/>
      <sheetName val="Д 4_Т на П"/>
      <sheetName val="Д 5 Т на ТЕ з ЦТП"/>
      <sheetName val="Д 5.1 Т на ТЕ без ЦТП"/>
      <sheetName val="КОНТРОЛЬ 3"/>
      <sheetName val="Виробництво_1ст"/>
      <sheetName val="Транспортування_1ст"/>
      <sheetName val="Постачання_1ст"/>
      <sheetName val="ТЕ_2ст_тариф_з ЦТП"/>
      <sheetName val="ТЕ_2ст_тариф_без ЦТП"/>
      <sheetName val="Виробництво_2ст"/>
      <sheetName val="Транспортування_2ст"/>
      <sheetName val="Постачання_2ст"/>
      <sheetName val="Покриття втрат в мережах"/>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ТР_КА 1-2"/>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Зв'язок"/>
      <sheetName val="РКО"/>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2-23"/>
      <sheetName val="АО-прямые"/>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Ремонт"/>
      <sheetName val="Профпослуги"/>
      <sheetName val="Картріджі"/>
      <sheetName val="Ціна ее"/>
      <sheetName val="Ціна газ"/>
      <sheetName val="Коригування витрат"/>
      <sheetName val="КОНТРОЛЬ 2"/>
      <sheetName val="ВОДА"/>
      <sheetName val="ТО ТЗ"/>
      <sheetName val="Техконтроль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Лист3"/>
      <sheetName val="tar ee 99"/>
    </sheetNames>
    <sheetDataSet>
      <sheetData sheetId="0" refreshError="1"/>
      <sheetData sheetId="1" refreshError="1"/>
      <sheetData sheetId="2" refreshError="1">
        <row r="1">
          <cell r="P1">
            <v>0</v>
          </cell>
        </row>
        <row r="25">
          <cell r="D25" t="str">
            <v>х</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д8 Котельня, 1Д"/>
      <sheetName val="план"/>
      <sheetName val="дод8 Котельня, 1Г"/>
      <sheetName val="дод8 всього"/>
      <sheetName val="Питома норма"/>
      <sheetName val="САО Парусна, 1А"/>
      <sheetName val="САО Парусна, 1Б"/>
      <sheetName val="Паркова, 50"/>
      <sheetName val="Паркова, 52"/>
    </sheetNames>
    <sheetDataSet>
      <sheetData sheetId="0"/>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рифи-зведен"/>
      <sheetName val="D1_2023-2024"/>
      <sheetName val="D2_2023-2024"/>
      <sheetName val="D3_2023-2024"/>
      <sheetName val="D4_2023-2024"/>
      <sheetName val="D5_2023-2024"/>
      <sheetName val="D6_2023-2024"/>
      <sheetName val="D7_2023-2024"/>
      <sheetName val="Вхідні дані"/>
      <sheetName val="Д 1_Заява"/>
      <sheetName val="КОНТРОЛЬ 1"/>
      <sheetName val="Д 2_Т на В"/>
      <sheetName val="Д 3_Т на Т з ЦТП"/>
      <sheetName val="Д 3.1_Т на Т без ЦТП"/>
      <sheetName val="Д 4_Т на П"/>
      <sheetName val="Д 5 Т на ТЕ з ЦТП"/>
      <sheetName val="Д 5.1 Т на ТЕ без ЦТП"/>
      <sheetName val="КОНТРОЛЬ 3"/>
      <sheetName val="Виробництво_1ст"/>
      <sheetName val="Транспортування_1ст"/>
      <sheetName val="Постачання_1ст"/>
      <sheetName val="ЗВВ_1ст"/>
      <sheetName val="Адміністративні_1ст"/>
      <sheetName val="КОНТРОЛЬ5"/>
      <sheetName val="БАЗИ РОЗПОДІЛУ"/>
      <sheetName val="ТЕ_2ст_тариф_з ЦТП"/>
      <sheetName val="ТЕ_2ст_тариф_без ЦТП"/>
      <sheetName val="Виробництво_2ст"/>
      <sheetName val="Транспортування_2ст"/>
      <sheetName val="Постачання_2ст"/>
      <sheetName val="ЗВВ_2ст"/>
      <sheetName val="БАЗИ РОЗПОДІЛУ_2ст"/>
      <sheetName val="Покриття втрат в мережах"/>
      <sheetName val="Д 6_Втрати"/>
      <sheetName val="Д 7_РП"/>
      <sheetName val="Д 8_Паливо"/>
      <sheetName val="Д 9_ЕЕ"/>
      <sheetName val="Д 10"/>
      <sheetName val="Д 11"/>
      <sheetName val="Д12_11"/>
      <sheetName val="Д 13_12"/>
      <sheetName val="Д 14"/>
      <sheetName val="Реєстр_робочий"/>
      <sheetName val="Д 15_13_Реєстр"/>
      <sheetName val="Розрахунки Річного плану"/>
      <sheetName val="Ср. за 5 лет"/>
      <sheetName val="ТР_КА 1-2"/>
      <sheetName val="Адміністративні_2ст"/>
      <sheetName val="БАЗА ИА"/>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Податки"/>
      <sheetName val="Зв'язок"/>
      <sheetName val="РКО"/>
      <sheetName val="ПММ"/>
      <sheetName val="Прямі витрати"/>
      <sheetName val="ОП"/>
      <sheetName val="ФОП"/>
      <sheetName val="Зарплата Факт"/>
      <sheetName val="Амортизація"/>
      <sheetName val="Утилизація"/>
      <sheetName val="Страхування"/>
      <sheetName val="ТО"/>
      <sheetName val="Періодичні видання"/>
      <sheetName val="Факт 2023Поверка Юст"/>
      <sheetName val="Котел-повірка Юст"/>
      <sheetName val="Абон обсл 2022-23"/>
      <sheetName val="АО-прямые"/>
      <sheetName val="гран розмір"/>
      <sheetName val="Профпослуги2"/>
      <sheetName val="Запчастини"/>
      <sheetName val="по городам"/>
      <sheetName val="СВЕДЕНО_И"/>
      <sheetName val="Д-Сведено"/>
      <sheetName val="сведено-економ"/>
      <sheetName val="стр_тар_1 Гкал"/>
      <sheetName val="структури %"/>
      <sheetName val="інвестпрограма"/>
      <sheetName val="Сравнение 1 и 2 "/>
      <sheetName val="прибуток"/>
      <sheetName val="ПРЯМІ АО"/>
      <sheetName val="ПРЯМІ ІНШІ"/>
      <sheetName val="Примечания"/>
      <sheetName val="АО"/>
      <sheetName val="Ремонт-БФ"/>
      <sheetName val="Ремонт-план"/>
      <sheetName val="Профпослуги"/>
      <sheetName val="Картріджі"/>
      <sheetName val="Ціна ее"/>
      <sheetName val="Ціна газ"/>
      <sheetName val="Коригування витрат"/>
      <sheetName val="КОНТРОЛЬ 2"/>
      <sheetName val="ВОДА"/>
      <sheetName val="ТО ТЗ"/>
      <sheetName val="ТК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КОНТРОЛЬ-Доходи"/>
      <sheetName val="% структури"/>
      <sheetName val="Порівн ТАРИФІВ"/>
      <sheetName val="По Україні тариф"/>
      <sheetName val="Склад статей витра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Додаток + економ"/>
      <sheetName val="2. вода крани"/>
      <sheetName val="4. насып вес кат-т"/>
      <sheetName val="5. вода и фильтроцикл"/>
      <sheetName val="6. вода на реген. фил."/>
      <sheetName val="7. Вода та сіль Свод"/>
      <sheetName val="8. Пара"/>
      <sheetName val="201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V тмереж"/>
      <sheetName val="Vдом.сист."/>
      <sheetName val="Довідка"/>
      <sheetName val="0"/>
      <sheetName val="1"/>
      <sheetName val="1 кв"/>
      <sheetName val="10 міс."/>
      <sheetName val="11 міс."/>
      <sheetName val="12 міс."/>
      <sheetName val="1998"/>
      <sheetName val="2"/>
      <sheetName val="2 кв"/>
      <sheetName val="2 утв"/>
      <sheetName val="3 не сокр."/>
      <sheetName val="3 тар."/>
      <sheetName val="3 утв."/>
      <sheetName val="3кв "/>
      <sheetName val="4 утв"/>
      <sheetName val="7 міс"/>
      <sheetName val="8 міс."/>
      <sheetName val="812"/>
      <sheetName val="812 (2)"/>
      <sheetName val="9 (2)"/>
      <sheetName val="9 міс."/>
    </sheetNames>
    <sheetDataSet>
      <sheetData sheetId="0"/>
      <sheetData sheetId="1">
        <row r="92">
          <cell r="E92">
            <v>6.0750000000000002</v>
          </cell>
          <cell r="F92">
            <v>0</v>
          </cell>
          <cell r="G92">
            <v>0</v>
          </cell>
          <cell r="H92">
            <v>38.272500000000001</v>
          </cell>
          <cell r="I92">
            <v>16.4025</v>
          </cell>
          <cell r="J92">
            <v>0</v>
          </cell>
          <cell r="K92">
            <v>0</v>
          </cell>
        </row>
      </sheetData>
      <sheetData sheetId="2"/>
      <sheetData sheetId="3"/>
      <sheetData sheetId="4"/>
      <sheetData sheetId="5">
        <row r="12">
          <cell r="M12">
            <v>158</v>
          </cell>
          <cell r="BA12">
            <v>47.435784943999998</v>
          </cell>
        </row>
        <row r="13">
          <cell r="BA13">
            <v>156.25319270400001</v>
          </cell>
        </row>
        <row r="14">
          <cell r="BA14">
            <v>4.1853759679999998</v>
          </cell>
        </row>
        <row r="15">
          <cell r="BA15">
            <v>11.208926719999999</v>
          </cell>
        </row>
        <row r="16">
          <cell r="BA16">
            <v>3.3270263999999998</v>
          </cell>
        </row>
        <row r="17">
          <cell r="BA17">
            <v>3.3270263999999998</v>
          </cell>
        </row>
        <row r="43">
          <cell r="N43">
            <v>63.620393759999999</v>
          </cell>
          <cell r="Q43">
            <v>62.37</v>
          </cell>
          <cell r="V43">
            <v>23.588999999999999</v>
          </cell>
          <cell r="AR43">
            <v>13.787940000000001</v>
          </cell>
          <cell r="AY43">
            <v>62.37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5">
          <cell r="D25">
            <v>4.7130000000000001</v>
          </cell>
        </row>
        <row r="31">
          <cell r="D31">
            <v>5.5430000000000001</v>
          </cell>
        </row>
      </sheetData>
      <sheetData sheetId="38">
        <row r="7">
          <cell r="B7">
            <v>12.16</v>
          </cell>
          <cell r="C7">
            <v>1.57</v>
          </cell>
        </row>
        <row r="8">
          <cell r="B8">
            <v>41.66</v>
          </cell>
          <cell r="C8">
            <v>2.52</v>
          </cell>
        </row>
        <row r="9">
          <cell r="B9">
            <v>1.06</v>
          </cell>
        </row>
        <row r="10">
          <cell r="B10">
            <v>2.4</v>
          </cell>
        </row>
        <row r="11">
          <cell r="B11">
            <v>0.5</v>
          </cell>
        </row>
        <row r="12">
          <cell r="B12">
            <v>0.5</v>
          </cell>
        </row>
      </sheetData>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ZMPU23"/>
      <sheetName val="факт"/>
      <sheetName val="рік"/>
      <sheetName val="1_Структура по елементах"/>
      <sheetName val="Реєстр котелень"/>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headers"/>
      <sheetName val="Inform"/>
      <sheetName val="1_Структура по елементах"/>
      <sheetName val="3 утв."/>
      <sheetName val="Л змін"/>
      <sheetName val="Заповнення"/>
      <sheetName val="Баланс САО"/>
      <sheetName val="Зв. баланс Джер."/>
      <sheetName val="Зв. баланс ТП"/>
      <sheetName val="Зв.бал.мер"/>
      <sheetName val="Корисний м2"/>
      <sheetName val="Баланс 7 та 8 ="/>
      <sheetName val="Корисний мер"/>
      <sheetName val="Додаток2000"/>
      <sheetName val="Послуга М3"/>
      <sheetName val="МЗК"/>
      <sheetName val="Q max"/>
      <sheetName val="ДСТУ"/>
      <sheetName val="Списки"/>
      <sheetName val="QфактОП "/>
      <sheetName val="ФактГВП М3"/>
      <sheetName val="МЗК база"/>
      <sheetName val="СНИП82+КТМ"/>
      <sheetName val="t ДСТУ"/>
      <sheetName val="дати ОП МОП"/>
      <sheetName val="2 Корисний дсту"/>
      <sheetName val="Послуга Д2_ реєстр"/>
      <sheetName val="Послуга Д3_ОП"/>
      <sheetName val="Послуга Д4_ГВП(нас)"/>
      <sheetName val="Послуга Д5_ГВП(БІРО)"/>
      <sheetName val="Додаток_2"/>
      <sheetName val="Баланс 7 та 8"/>
      <sheetName val="Перехід КВ-Втр-Па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 val="факт"/>
      <sheetName val="v9_06_12"/>
      <sheetName val="Inform"/>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zakon2.rada.gov.ua/laws/show/z0643-16/print"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B1:Q71"/>
  <sheetViews>
    <sheetView zoomScale="80" zoomScaleNormal="80" workbookViewId="0">
      <selection activeCell="F5" sqref="F5"/>
    </sheetView>
  </sheetViews>
  <sheetFormatPr defaultColWidth="9.109375" defaultRowHeight="15.6"/>
  <cols>
    <col min="1" max="1" width="2.44140625" style="44" customWidth="1"/>
    <col min="2" max="2" width="50.33203125" style="44" customWidth="1"/>
    <col min="3" max="3" width="16" style="44" customWidth="1"/>
    <col min="4" max="4" width="18" style="44" customWidth="1"/>
    <col min="5" max="5" width="23.33203125" style="44" bestFit="1" customWidth="1"/>
    <col min="6" max="6" width="51.33203125" style="44" customWidth="1"/>
    <col min="7" max="8" width="9.109375" style="44"/>
    <col min="9" max="9" width="2.88671875" style="44" customWidth="1"/>
    <col min="10" max="10" width="63.88671875" style="44" customWidth="1"/>
    <col min="11" max="16384" width="9.109375" style="44"/>
  </cols>
  <sheetData>
    <row r="1" spans="2:9">
      <c r="F1" s="44" t="s">
        <v>1677</v>
      </c>
    </row>
    <row r="2" spans="2:9">
      <c r="B2" s="763" t="s">
        <v>1413</v>
      </c>
      <c r="C2" s="14" t="s">
        <v>1861</v>
      </c>
      <c r="D2" s="14"/>
      <c r="E2" s="14"/>
      <c r="F2" s="9"/>
      <c r="G2" s="9"/>
      <c r="I2" s="9"/>
    </row>
    <row r="3" spans="2:9" ht="16.2" thickBot="1">
      <c r="B3" s="43"/>
      <c r="C3" s="43"/>
      <c r="D3" s="43"/>
      <c r="E3" s="43"/>
    </row>
    <row r="4" spans="2:9" ht="48.75" customHeight="1" thickBot="1">
      <c r="B4" s="571" t="s">
        <v>414</v>
      </c>
      <c r="C4" s="444"/>
      <c r="D4" s="445"/>
      <c r="E4" s="59"/>
      <c r="F4" s="2094" t="s">
        <v>2040</v>
      </c>
    </row>
    <row r="5" spans="2:9" ht="21" customHeight="1" thickBot="1">
      <c r="B5" s="446" t="s">
        <v>658</v>
      </c>
      <c r="C5" s="446"/>
      <c r="D5" s="447"/>
      <c r="E5" s="180"/>
      <c r="F5" s="2094" t="s">
        <v>1713</v>
      </c>
    </row>
    <row r="6" spans="2:9" ht="22.5" customHeight="1">
      <c r="B6" s="448" t="s">
        <v>415</v>
      </c>
      <c r="C6" s="448"/>
      <c r="D6" s="447"/>
      <c r="E6" s="60"/>
      <c r="F6" s="449" t="s">
        <v>1552</v>
      </c>
    </row>
    <row r="7" spans="2:9">
      <c r="B7" s="49" t="s">
        <v>189</v>
      </c>
      <c r="C7" s="49"/>
      <c r="E7" s="57"/>
      <c r="F7" s="45">
        <v>2022</v>
      </c>
    </row>
    <row r="8" spans="2:9">
      <c r="B8" s="450" t="s">
        <v>416</v>
      </c>
      <c r="C8" s="450"/>
      <c r="E8" s="84"/>
      <c r="F8" s="71">
        <v>2021</v>
      </c>
    </row>
    <row r="9" spans="2:9" ht="16.2" thickBot="1">
      <c r="B9" s="450" t="s">
        <v>1551</v>
      </c>
      <c r="C9" s="450"/>
      <c r="E9" s="84"/>
      <c r="F9" s="570"/>
      <c r="G9" s="621" t="s">
        <v>1721</v>
      </c>
    </row>
    <row r="10" spans="2:9" ht="31.8" thickBot="1">
      <c r="B10" s="451" t="s">
        <v>538</v>
      </c>
      <c r="C10" s="451"/>
      <c r="D10" s="445"/>
      <c r="E10" s="152"/>
      <c r="F10" s="452" t="s">
        <v>1199</v>
      </c>
    </row>
    <row r="11" spans="2:9" ht="16.2" thickBot="1">
      <c r="B11" s="453" t="s">
        <v>768</v>
      </c>
      <c r="C11" s="452" t="s">
        <v>3</v>
      </c>
      <c r="D11" s="454"/>
      <c r="E11" s="452"/>
      <c r="F11" s="452"/>
    </row>
    <row r="12" spans="2:9" ht="24" customHeight="1">
      <c r="B12" s="446" t="s">
        <v>417</v>
      </c>
      <c r="C12" s="446"/>
      <c r="D12" s="447"/>
      <c r="E12" s="60"/>
      <c r="F12" s="45"/>
    </row>
    <row r="13" spans="2:9">
      <c r="B13" s="56" t="s">
        <v>1545</v>
      </c>
      <c r="C13" s="49"/>
      <c r="E13" s="57"/>
      <c r="F13" s="45" t="s">
        <v>1720</v>
      </c>
    </row>
    <row r="14" spans="2:9">
      <c r="B14" s="56" t="s">
        <v>418</v>
      </c>
      <c r="C14" s="49"/>
      <c r="E14" s="57"/>
      <c r="F14" s="45" t="s">
        <v>1826</v>
      </c>
    </row>
    <row r="15" spans="2:9">
      <c r="B15" s="56" t="s">
        <v>659</v>
      </c>
      <c r="C15" s="49"/>
      <c r="E15" s="57"/>
      <c r="F15" s="45"/>
    </row>
    <row r="16" spans="2:9" ht="16.2" thickBot="1">
      <c r="B16" s="56" t="s">
        <v>419</v>
      </c>
      <c r="C16" s="49"/>
      <c r="E16" s="57"/>
      <c r="F16" s="45" t="s">
        <v>1827</v>
      </c>
    </row>
    <row r="17" spans="2:17" hidden="1">
      <c r="B17" s="56"/>
      <c r="C17" s="49"/>
      <c r="E17" s="57"/>
      <c r="F17" s="45"/>
    </row>
    <row r="18" spans="2:17" ht="31.8" thickBot="1">
      <c r="B18" s="1582" t="s">
        <v>518</v>
      </c>
      <c r="C18" s="451" t="s">
        <v>1905</v>
      </c>
      <c r="D18" s="1583" t="s">
        <v>1906</v>
      </c>
      <c r="E18" s="1583" t="s">
        <v>1907</v>
      </c>
      <c r="F18" s="462" t="s">
        <v>1908</v>
      </c>
    </row>
    <row r="19" spans="2:17" ht="31.8" thickBot="1">
      <c r="B19" s="571" t="s">
        <v>423</v>
      </c>
      <c r="C19" s="1288" t="s">
        <v>9</v>
      </c>
      <c r="D19" s="572" t="s">
        <v>424</v>
      </c>
      <c r="E19" s="572" t="s">
        <v>425</v>
      </c>
      <c r="F19" s="1289" t="s">
        <v>460</v>
      </c>
      <c r="G19" s="44" t="s">
        <v>644</v>
      </c>
    </row>
    <row r="20" spans="2:17">
      <c r="B20" s="70" t="s">
        <v>420</v>
      </c>
      <c r="C20" s="71" t="s">
        <v>421</v>
      </c>
      <c r="D20" s="573"/>
      <c r="E20" s="573"/>
      <c r="F20" s="573"/>
    </row>
    <row r="21" spans="2:17" s="43" customFormat="1">
      <c r="B21" s="65" t="s">
        <v>1530</v>
      </c>
      <c r="C21" s="71" t="s">
        <v>421</v>
      </c>
      <c r="D21" s="2379">
        <v>6183.33</v>
      </c>
      <c r="E21" s="2522" t="s">
        <v>1529</v>
      </c>
      <c r="F21" s="2523"/>
      <c r="G21" s="44"/>
      <c r="H21" s="75">
        <f>7420/1.2</f>
        <v>6183.3333333333339</v>
      </c>
    </row>
    <row r="22" spans="2:17" ht="17.399999999999999" customHeight="1">
      <c r="B22" s="65" t="s">
        <v>1531</v>
      </c>
      <c r="C22" s="71" t="s">
        <v>421</v>
      </c>
      <c r="D22" s="75"/>
      <c r="E22" s="2522"/>
      <c r="F22" s="2523"/>
      <c r="H22" s="75">
        <f>16390/1.2</f>
        <v>13658.333333333334</v>
      </c>
      <c r="J22" s="44">
        <f>D24*D26</f>
        <v>136.57599999999999</v>
      </c>
    </row>
    <row r="23" spans="2:17">
      <c r="B23" s="65" t="s">
        <v>1532</v>
      </c>
      <c r="C23" s="71" t="s">
        <v>421</v>
      </c>
      <c r="D23" s="75"/>
      <c r="E23" s="2522"/>
      <c r="F23" s="2523"/>
      <c r="H23" s="75">
        <f>38325.5/1.2</f>
        <v>31937.916666666668</v>
      </c>
    </row>
    <row r="24" spans="2:17" s="540" customFormat="1">
      <c r="B24" s="1231" t="s">
        <v>616</v>
      </c>
      <c r="C24" s="1232" t="s">
        <v>421</v>
      </c>
      <c r="D24" s="2377">
        <v>124.16</v>
      </c>
      <c r="E24" s="2522"/>
      <c r="F24" s="2523"/>
      <c r="H24" s="1233">
        <v>124.16</v>
      </c>
    </row>
    <row r="25" spans="2:17">
      <c r="B25" s="1290" t="s">
        <v>615</v>
      </c>
      <c r="C25" s="1291" t="s">
        <v>421</v>
      </c>
      <c r="D25" s="2376">
        <f>1.09*1000</f>
        <v>1090</v>
      </c>
      <c r="E25" s="1293"/>
      <c r="F25" s="1294" t="s">
        <v>1521</v>
      </c>
      <c r="H25" s="1292">
        <f>1.09*1000</f>
        <v>1090</v>
      </c>
      <c r="I25" s="1035"/>
    </row>
    <row r="26" spans="2:17" ht="31.2">
      <c r="B26" s="65" t="s">
        <v>1228</v>
      </c>
      <c r="C26" s="71"/>
      <c r="D26" s="2378">
        <v>1.1000000000000001</v>
      </c>
      <c r="E26" s="1584"/>
      <c r="F26" s="1585" t="s">
        <v>621</v>
      </c>
      <c r="H26" s="591"/>
    </row>
    <row r="27" spans="2:17" s="43" customFormat="1" ht="19.5" customHeight="1">
      <c r="B27" s="74" t="s">
        <v>479</v>
      </c>
      <c r="C27" s="71"/>
      <c r="D27" s="70"/>
      <c r="E27" s="70"/>
      <c r="F27" s="70"/>
      <c r="G27" s="44"/>
      <c r="H27" s="591"/>
    </row>
    <row r="28" spans="2:17" ht="17.399999999999999" customHeight="1">
      <c r="B28" s="64" t="s">
        <v>597</v>
      </c>
      <c r="C28" s="71" t="s">
        <v>480</v>
      </c>
      <c r="D28" s="2113">
        <f>'Ціна ее'!C14</f>
        <v>2.1999999999999997</v>
      </c>
      <c r="E28" s="2524"/>
      <c r="F28" s="455" t="s">
        <v>1516</v>
      </c>
      <c r="G28" s="1586" t="s">
        <v>1716</v>
      </c>
      <c r="H28" s="592"/>
      <c r="P28" s="1295"/>
      <c r="Q28" s="1295"/>
    </row>
    <row r="29" spans="2:17" ht="15.6" customHeight="1">
      <c r="B29" s="64"/>
      <c r="C29" s="71"/>
      <c r="D29" s="457"/>
      <c r="E29" s="2524"/>
      <c r="F29" s="455"/>
      <c r="H29" s="592"/>
      <c r="P29" s="1295"/>
      <c r="Q29" s="1295"/>
    </row>
    <row r="30" spans="2:17" ht="31.2">
      <c r="B30" s="1296" t="s">
        <v>1896</v>
      </c>
      <c r="C30" s="1291" t="s">
        <v>480</v>
      </c>
      <c r="D30" s="2112">
        <v>1.1399999999999999</v>
      </c>
      <c r="E30" s="1297"/>
      <c r="F30" s="1490"/>
      <c r="G30" s="621"/>
      <c r="H30" s="592"/>
      <c r="P30" s="1295"/>
      <c r="Q30" s="1295"/>
    </row>
    <row r="31" spans="2:17">
      <c r="B31" s="64"/>
      <c r="C31" s="71"/>
      <c r="D31" s="457"/>
      <c r="E31" s="1287"/>
      <c r="F31" s="455"/>
      <c r="H31" s="592"/>
      <c r="P31" s="1295"/>
      <c r="Q31" s="1295"/>
    </row>
    <row r="32" spans="2:17" ht="31.2">
      <c r="B32" s="64" t="s">
        <v>603</v>
      </c>
      <c r="C32" s="71" t="s">
        <v>505</v>
      </c>
      <c r="D32" s="2380">
        <f>'Ціна ее'!E14</f>
        <v>9.9999999999999992E-2</v>
      </c>
      <c r="E32" s="456"/>
      <c r="F32" s="455" t="s">
        <v>1155</v>
      </c>
      <c r="H32" s="592"/>
      <c r="P32" s="1295"/>
      <c r="Q32" s="1295"/>
    </row>
    <row r="33" spans="2:17">
      <c r="B33" s="64"/>
      <c r="C33" s="71"/>
      <c r="D33" s="1590"/>
      <c r="E33" s="456"/>
      <c r="F33" s="455"/>
      <c r="P33" s="1295"/>
      <c r="Q33" s="1295"/>
    </row>
    <row r="34" spans="2:17" ht="31.2">
      <c r="B34" s="64" t="s">
        <v>604</v>
      </c>
      <c r="C34" s="71" t="s">
        <v>505</v>
      </c>
      <c r="D34" s="2381">
        <f>'Ціна ее'!F14</f>
        <v>0</v>
      </c>
      <c r="E34" s="456"/>
      <c r="F34" s="455" t="s">
        <v>1155</v>
      </c>
    </row>
    <row r="35" spans="2:17">
      <c r="B35" s="64"/>
      <c r="C35" s="71"/>
      <c r="D35" s="457"/>
      <c r="E35" s="456"/>
      <c r="F35" s="455"/>
    </row>
    <row r="36" spans="2:17">
      <c r="B36" s="64" t="s">
        <v>506</v>
      </c>
      <c r="C36" s="71" t="s">
        <v>426</v>
      </c>
      <c r="D36" s="2378">
        <v>18.45</v>
      </c>
      <c r="E36" s="2521" t="s">
        <v>752</v>
      </c>
      <c r="F36" s="2520" t="s">
        <v>1619</v>
      </c>
      <c r="G36" s="44">
        <v>22.14</v>
      </c>
      <c r="H36" s="44">
        <f>G36/1.2</f>
        <v>18.450000000000003</v>
      </c>
    </row>
    <row r="37" spans="2:17">
      <c r="B37" s="64" t="s">
        <v>507</v>
      </c>
      <c r="C37" s="71" t="s">
        <v>426</v>
      </c>
      <c r="D37" s="2378">
        <v>16.375</v>
      </c>
      <c r="E37" s="2521"/>
      <c r="F37" s="2520"/>
      <c r="G37" s="44">
        <v>19.649999999999999</v>
      </c>
      <c r="H37" s="44">
        <f>G37/1.2</f>
        <v>16.375</v>
      </c>
      <c r="I37" s="1298"/>
      <c r="J37" s="1298"/>
    </row>
    <row r="38" spans="2:17">
      <c r="B38" s="64"/>
      <c r="C38" s="71"/>
      <c r="D38" s="297"/>
      <c r="E38" s="1287"/>
      <c r="F38" s="1286"/>
    </row>
    <row r="39" spans="2:17" ht="46.8">
      <c r="B39" s="64" t="s">
        <v>1505</v>
      </c>
      <c r="C39" s="71"/>
      <c r="D39" s="2382">
        <v>1</v>
      </c>
      <c r="E39" s="1929"/>
      <c r="F39" s="1587" t="s">
        <v>1156</v>
      </c>
    </row>
    <row r="40" spans="2:17" ht="4.95" customHeight="1">
      <c r="B40" s="64"/>
      <c r="C40" s="71"/>
      <c r="D40" s="297"/>
      <c r="E40" s="1287"/>
      <c r="F40" s="1286"/>
    </row>
    <row r="41" spans="2:17">
      <c r="B41" s="64" t="s">
        <v>924</v>
      </c>
      <c r="C41" s="71"/>
      <c r="D41" s="75"/>
      <c r="E41" s="46"/>
      <c r="F41" s="64"/>
    </row>
    <row r="42" spans="2:17" ht="7.2" customHeight="1">
      <c r="B42" s="64"/>
      <c r="C42" s="71"/>
      <c r="D42" s="46"/>
      <c r="E42" s="46"/>
      <c r="F42" s="46"/>
    </row>
    <row r="43" spans="2:17">
      <c r="B43" s="72" t="s">
        <v>427</v>
      </c>
      <c r="C43" s="45" t="s">
        <v>4</v>
      </c>
      <c r="D43" s="458">
        <v>0.22</v>
      </c>
      <c r="E43" s="46"/>
      <c r="F43" s="46"/>
    </row>
    <row r="44" spans="2:17" ht="31.2">
      <c r="B44" s="65" t="s">
        <v>428</v>
      </c>
      <c r="C44" s="45" t="s">
        <v>4</v>
      </c>
      <c r="D44" s="458">
        <v>8.4099999999999994E-2</v>
      </c>
      <c r="E44" s="46"/>
      <c r="F44" s="46"/>
    </row>
    <row r="45" spans="2:17" ht="100.8" customHeight="1">
      <c r="B45" s="1588" t="s">
        <v>945</v>
      </c>
      <c r="C45" s="45" t="s">
        <v>4</v>
      </c>
      <c r="D45" s="2383">
        <v>3.9E-2</v>
      </c>
      <c r="E45" s="46"/>
      <c r="F45" s="46" t="s">
        <v>1719</v>
      </c>
      <c r="G45" s="1589" t="s">
        <v>1717</v>
      </c>
      <c r="H45" s="2519" t="s">
        <v>1718</v>
      </c>
      <c r="I45" s="2519"/>
      <c r="J45" s="2519"/>
    </row>
    <row r="46" spans="2:17">
      <c r="B46" s="65" t="s">
        <v>946</v>
      </c>
      <c r="C46" s="45" t="s">
        <v>4</v>
      </c>
      <c r="D46" s="458">
        <v>0.18</v>
      </c>
      <c r="E46" s="46"/>
      <c r="F46" s="46"/>
    </row>
    <row r="47" spans="2:17" ht="16.2" thickBot="1">
      <c r="B47" s="459" t="s">
        <v>1504</v>
      </c>
      <c r="C47" s="45" t="s">
        <v>4</v>
      </c>
      <c r="D47" s="1299">
        <v>0</v>
      </c>
      <c r="E47" s="460"/>
      <c r="F47" s="460"/>
    </row>
    <row r="48" spans="2:17" s="43" customFormat="1">
      <c r="B48" s="81" t="s">
        <v>470</v>
      </c>
      <c r="C48" s="63"/>
      <c r="D48" s="63"/>
      <c r="E48" s="63"/>
      <c r="F48" s="63"/>
      <c r="G48" s="44"/>
    </row>
    <row r="49" spans="2:11">
      <c r="B49" s="64" t="s">
        <v>467</v>
      </c>
      <c r="C49" s="45" t="s">
        <v>450</v>
      </c>
      <c r="D49" s="75"/>
      <c r="E49" s="46"/>
      <c r="F49" s="46"/>
    </row>
    <row r="50" spans="2:11">
      <c r="B50" s="65" t="s">
        <v>10</v>
      </c>
      <c r="C50" s="45" t="s">
        <v>450</v>
      </c>
      <c r="D50" s="75">
        <v>31</v>
      </c>
      <c r="E50" s="46"/>
      <c r="F50" s="46" t="s">
        <v>508</v>
      </c>
    </row>
    <row r="51" spans="2:11">
      <c r="B51" s="65" t="s">
        <v>11</v>
      </c>
      <c r="C51" s="45" t="s">
        <v>450</v>
      </c>
      <c r="D51" s="75">
        <v>29</v>
      </c>
      <c r="E51" s="46"/>
      <c r="F51" s="46" t="s">
        <v>508</v>
      </c>
    </row>
    <row r="52" spans="2:11">
      <c r="B52" s="65" t="s">
        <v>12</v>
      </c>
      <c r="C52" s="45" t="s">
        <v>450</v>
      </c>
      <c r="D52" s="75">
        <v>31</v>
      </c>
      <c r="E52" s="46"/>
      <c r="F52" s="46" t="s">
        <v>508</v>
      </c>
    </row>
    <row r="53" spans="2:11">
      <c r="B53" s="65" t="s">
        <v>13</v>
      </c>
      <c r="C53" s="45" t="s">
        <v>450</v>
      </c>
      <c r="D53" s="75">
        <v>30</v>
      </c>
      <c r="E53" s="46"/>
      <c r="F53" s="46" t="s">
        <v>508</v>
      </c>
    </row>
    <row r="54" spans="2:11">
      <c r="B54" s="65" t="s">
        <v>18</v>
      </c>
      <c r="C54" s="45" t="s">
        <v>450</v>
      </c>
      <c r="D54" s="75">
        <v>15</v>
      </c>
      <c r="E54" s="46"/>
      <c r="F54" s="46" t="s">
        <v>508</v>
      </c>
    </row>
    <row r="55" spans="2:11">
      <c r="B55" s="65" t="s">
        <v>19</v>
      </c>
      <c r="C55" s="45" t="s">
        <v>450</v>
      </c>
      <c r="D55" s="75">
        <v>31</v>
      </c>
      <c r="E55" s="46"/>
      <c r="F55" s="46" t="s">
        <v>508</v>
      </c>
    </row>
    <row r="56" spans="2:11">
      <c r="B56" s="65" t="s">
        <v>20</v>
      </c>
      <c r="C56" s="45" t="s">
        <v>450</v>
      </c>
      <c r="D56" s="75">
        <v>31</v>
      </c>
      <c r="E56" s="46"/>
      <c r="F56" s="46" t="s">
        <v>508</v>
      </c>
    </row>
    <row r="57" spans="2:11" ht="31.2">
      <c r="B57" s="66" t="s">
        <v>468</v>
      </c>
      <c r="C57" s="45" t="s">
        <v>451</v>
      </c>
      <c r="D57" s="45">
        <v>-18</v>
      </c>
      <c r="E57" s="58"/>
      <c r="F57" s="46" t="s">
        <v>508</v>
      </c>
    </row>
    <row r="58" spans="2:11" ht="31.2">
      <c r="B58" s="64" t="s">
        <v>469</v>
      </c>
      <c r="C58" s="45" t="s">
        <v>451</v>
      </c>
      <c r="D58" s="1300"/>
      <c r="E58" s="58"/>
      <c r="F58" s="46" t="s">
        <v>508</v>
      </c>
    </row>
    <row r="59" spans="2:11">
      <c r="B59" s="56" t="s">
        <v>10</v>
      </c>
      <c r="C59" s="45" t="s">
        <v>451</v>
      </c>
      <c r="D59" s="75"/>
      <c r="F59" s="46" t="s">
        <v>508</v>
      </c>
      <c r="K59" s="44">
        <v>8.4109756097560986</v>
      </c>
    </row>
    <row r="60" spans="2:11">
      <c r="B60" s="56" t="s">
        <v>11</v>
      </c>
      <c r="C60" s="45" t="s">
        <v>451</v>
      </c>
      <c r="D60" s="75"/>
      <c r="E60" s="58"/>
      <c r="F60" s="46" t="s">
        <v>508</v>
      </c>
    </row>
    <row r="61" spans="2:11">
      <c r="B61" s="56" t="s">
        <v>12</v>
      </c>
      <c r="C61" s="45" t="s">
        <v>451</v>
      </c>
      <c r="D61" s="75"/>
      <c r="E61" s="58"/>
      <c r="F61" s="46" t="s">
        <v>508</v>
      </c>
    </row>
    <row r="62" spans="2:11">
      <c r="B62" s="56" t="s">
        <v>13</v>
      </c>
      <c r="C62" s="45" t="s">
        <v>451</v>
      </c>
      <c r="D62" s="75"/>
      <c r="E62" s="58"/>
      <c r="F62" s="46" t="s">
        <v>508</v>
      </c>
    </row>
    <row r="63" spans="2:11">
      <c r="B63" s="56" t="s">
        <v>18</v>
      </c>
      <c r="C63" s="45" t="s">
        <v>451</v>
      </c>
      <c r="D63" s="75"/>
      <c r="F63" s="46" t="s">
        <v>508</v>
      </c>
    </row>
    <row r="64" spans="2:11">
      <c r="B64" s="56" t="s">
        <v>19</v>
      </c>
      <c r="C64" s="45" t="s">
        <v>451</v>
      </c>
      <c r="D64" s="75"/>
      <c r="E64" s="58"/>
      <c r="F64" s="46" t="s">
        <v>508</v>
      </c>
    </row>
    <row r="65" spans="2:6">
      <c r="B65" s="56" t="s">
        <v>20</v>
      </c>
      <c r="C65" s="45" t="s">
        <v>451</v>
      </c>
      <c r="D65" s="75"/>
      <c r="E65" s="58"/>
      <c r="F65" s="46" t="s">
        <v>508</v>
      </c>
    </row>
    <row r="66" spans="2:6">
      <c r="B66" s="66" t="s">
        <v>478</v>
      </c>
      <c r="C66" s="45"/>
      <c r="D66" s="46"/>
      <c r="E66" s="46"/>
      <c r="F66" s="46"/>
    </row>
    <row r="67" spans="2:6">
      <c r="B67" s="66"/>
      <c r="C67" s="45"/>
      <c r="D67" s="1301"/>
      <c r="E67" s="46"/>
      <c r="F67" s="58"/>
    </row>
    <row r="68" spans="2:6">
      <c r="B68" s="65"/>
      <c r="C68" s="45"/>
      <c r="D68" s="1301"/>
      <c r="E68" s="46"/>
      <c r="F68" s="58"/>
    </row>
    <row r="69" spans="2:6" ht="16.2" thickBot="1">
      <c r="B69" s="65"/>
      <c r="C69" s="45"/>
      <c r="D69" s="1301"/>
      <c r="E69" s="46"/>
      <c r="F69" s="58"/>
    </row>
    <row r="70" spans="2:6" ht="31.8" thickBot="1">
      <c r="B70" s="451" t="s">
        <v>477</v>
      </c>
      <c r="C70" s="461" t="s">
        <v>4</v>
      </c>
      <c r="D70" s="1302">
        <v>2.1999999999999999E-2</v>
      </c>
      <c r="E70" s="462"/>
      <c r="F70" s="462"/>
    </row>
    <row r="71" spans="2:6" s="619" customFormat="1" ht="33" customHeight="1" thickBot="1">
      <c r="B71" s="624" t="s">
        <v>687</v>
      </c>
      <c r="C71" s="625"/>
      <c r="D71" s="1303">
        <f>(106.2%*3+105.7%*9)/12</f>
        <v>1.0582499999999999</v>
      </c>
      <c r="E71" s="626"/>
      <c r="F71" s="1304" t="s">
        <v>1511</v>
      </c>
    </row>
  </sheetData>
  <mergeCells count="6">
    <mergeCell ref="H45:J45"/>
    <mergeCell ref="F36:F37"/>
    <mergeCell ref="E36:E37"/>
    <mergeCell ref="E21:E24"/>
    <mergeCell ref="F21:F24"/>
    <mergeCell ref="E28:E29"/>
  </mergeCells>
  <hyperlinks>
    <hyperlink ref="G28" location="'Ціна ее'!Область_печати" display="'Ціна ее'!Область_печати" xr:uid="{00000000-0004-0000-0000-000000000000}"/>
  </hyperlinks>
  <pageMargins left="0.70866141732283472" right="0.18" top="0.54" bottom="0.33" header="0.31496062992125984" footer="0.31496062992125984"/>
  <pageSetup paperSize="9" scale="86" fitToHeight="4" orientation="landscape"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29">
    <tabColor rgb="FF7030A0"/>
    <pageSetUpPr fitToPage="1"/>
  </sheetPr>
  <dimension ref="B1:CL149"/>
  <sheetViews>
    <sheetView topLeftCell="A4" zoomScale="115" zoomScaleNormal="115" zoomScaleSheetLayoutView="100" workbookViewId="0">
      <pane xSplit="2" ySplit="5" topLeftCell="BB9" activePane="bottomRight" state="frozen"/>
      <selection activeCell="A4" sqref="A4"/>
      <selection pane="topRight" activeCell="C4" sqref="C4"/>
      <selection pane="bottomLeft" activeCell="A9" sqref="A9"/>
      <selection pane="bottomRight" activeCell="BF55" sqref="BF55:BG55"/>
    </sheetView>
  </sheetViews>
  <sheetFormatPr defaultColWidth="9.109375" defaultRowHeight="14.4"/>
  <cols>
    <col min="1" max="1" width="2.33203125" style="1038" customWidth="1"/>
    <col min="2" max="2" width="38.5546875" style="160" customWidth="1"/>
    <col min="3" max="3" width="12.109375" style="160" customWidth="1"/>
    <col min="4" max="4" width="13.44140625" style="160" customWidth="1"/>
    <col min="5" max="7" width="12.109375" style="160" customWidth="1"/>
    <col min="8" max="8" width="12.44140625" style="160" customWidth="1"/>
    <col min="9" max="10" width="12.109375" style="160" customWidth="1"/>
    <col min="11" max="11" width="2.109375" style="1038" customWidth="1"/>
    <col min="12" max="12" width="22.44140625" customWidth="1"/>
    <col min="13" max="15" width="9" bestFit="1" customWidth="1"/>
    <col min="16" max="16" width="11.5546875" customWidth="1"/>
    <col min="17" max="17" width="9" bestFit="1" customWidth="1"/>
    <col min="18" max="18" width="12" customWidth="1"/>
    <col min="19" max="19" width="13" customWidth="1"/>
    <col min="20" max="20" width="9" bestFit="1" customWidth="1"/>
    <col min="21" max="21" width="3.5546875" style="1038" customWidth="1"/>
    <col min="22" max="22" width="38.5546875" style="160" customWidth="1"/>
    <col min="23" max="23" width="9.77734375" style="160" customWidth="1"/>
    <col min="24" max="24" width="9.33203125" style="160" customWidth="1"/>
    <col min="25" max="25" width="11.109375" style="160" customWidth="1"/>
    <col min="26" max="26" width="8.6640625" style="160" customWidth="1"/>
    <col min="27" max="27" width="12.109375" style="160" customWidth="1"/>
    <col min="28" max="28" width="12.44140625" style="160" customWidth="1"/>
    <col min="29" max="30" width="12.109375" style="160" customWidth="1"/>
    <col min="31" max="31" width="3.5546875" style="1038" customWidth="1"/>
    <col min="32" max="32" width="38.5546875" style="160" customWidth="1"/>
    <col min="33" max="33" width="12.109375" style="160" customWidth="1"/>
    <col min="34" max="34" width="9.33203125" style="160" customWidth="1"/>
    <col min="35" max="35" width="11.109375" style="160" customWidth="1"/>
    <col min="36" max="36" width="8.6640625" style="160" customWidth="1"/>
    <col min="37" max="37" width="12.109375" style="160" customWidth="1"/>
    <col min="38" max="38" width="12.44140625" style="160" customWidth="1"/>
    <col min="39" max="40" width="12.109375" style="160" customWidth="1"/>
    <col min="41" max="41" width="3.5546875" style="1038" customWidth="1"/>
    <col min="42" max="42" width="38.5546875" style="160" customWidth="1"/>
    <col min="43" max="43" width="12.109375" style="160" customWidth="1"/>
    <col min="44" max="44" width="9.33203125" style="160" customWidth="1"/>
    <col min="45" max="45" width="11.109375" style="160" customWidth="1"/>
    <col min="46" max="46" width="8.6640625" style="160" customWidth="1"/>
    <col min="47" max="47" width="12.109375" style="160" customWidth="1"/>
    <col min="48" max="48" width="12.44140625" style="160" customWidth="1"/>
    <col min="49" max="50" width="12.109375" style="160" customWidth="1"/>
    <col min="51" max="51" width="3.5546875" style="1038" customWidth="1"/>
    <col min="52" max="52" width="38.5546875" style="160" customWidth="1"/>
    <col min="53" max="53" width="12.109375" style="160" customWidth="1"/>
    <col min="54" max="54" width="9.33203125" style="160" customWidth="1"/>
    <col min="55" max="55" width="11.109375" style="160" customWidth="1"/>
    <col min="56" max="56" width="8.6640625" style="160" customWidth="1"/>
    <col min="57" max="57" width="12.109375" style="160" customWidth="1"/>
    <col min="58" max="58" width="12.44140625" style="160" customWidth="1"/>
    <col min="59" max="60" width="12.109375" style="160" customWidth="1"/>
    <col min="61" max="61" width="3.44140625" style="1038" customWidth="1"/>
    <col min="62" max="62" width="9.6640625" style="1038" customWidth="1"/>
    <col min="63" max="64" width="9.109375" style="1038"/>
    <col min="65" max="65" width="10.21875" style="1038" customWidth="1"/>
    <col min="66" max="66" width="9.109375" style="1038"/>
    <col min="67" max="67" width="11.5546875" style="1038" customWidth="1"/>
    <col min="68" max="68" width="9.109375" style="1038"/>
    <col min="69" max="69" width="10.109375" style="1038" customWidth="1"/>
    <col min="70" max="16384" width="9.109375" style="1038"/>
  </cols>
  <sheetData>
    <row r="1" spans="2:90" ht="33" customHeight="1">
      <c r="G1" s="2751" t="s">
        <v>1442</v>
      </c>
      <c r="H1" s="2751"/>
      <c r="I1" s="2751"/>
      <c r="J1" s="2751"/>
      <c r="L1" s="160"/>
      <c r="M1" s="160"/>
      <c r="N1" s="160"/>
      <c r="O1" s="160"/>
      <c r="P1" s="160"/>
      <c r="Q1" s="2751" t="s">
        <v>1442</v>
      </c>
      <c r="R1" s="2751"/>
      <c r="S1" s="2751"/>
      <c r="T1" s="2751"/>
      <c r="AA1" s="1036" t="s">
        <v>1442</v>
      </c>
      <c r="AB1" s="1036"/>
      <c r="AC1" s="1036"/>
      <c r="AD1" s="1036"/>
      <c r="AK1" s="1036" t="s">
        <v>1442</v>
      </c>
      <c r="AL1" s="1036"/>
      <c r="AM1" s="1036"/>
      <c r="AN1" s="1036"/>
      <c r="AU1" s="1036" t="s">
        <v>1442</v>
      </c>
      <c r="AV1" s="1036"/>
      <c r="AW1" s="1036"/>
      <c r="AX1" s="1036"/>
      <c r="BE1" s="1036" t="s">
        <v>1442</v>
      </c>
      <c r="BF1" s="1036"/>
      <c r="BG1" s="1036"/>
      <c r="BH1" s="1036"/>
    </row>
    <row r="2" spans="2:90" ht="14.4" customHeight="1">
      <c r="G2" s="2752" t="str">
        <f>'Вхідні дані'!F1</f>
        <v>станом на 01.09.2023 року</v>
      </c>
      <c r="H2" s="2752"/>
      <c r="I2" s="2752"/>
      <c r="J2" s="1036"/>
      <c r="L2" s="160"/>
      <c r="M2" s="160"/>
      <c r="N2" s="160"/>
      <c r="O2" s="160"/>
      <c r="P2" s="160"/>
      <c r="Q2" s="2752">
        <f>'[33]дод8 Котельня, 1Г'!P1</f>
        <v>0</v>
      </c>
      <c r="R2" s="2752"/>
      <c r="S2" s="2752"/>
      <c r="T2" s="1036"/>
      <c r="AA2" s="1940" t="e">
        <f>'[33]дод8 Котельня, 1Г'!AJ1</f>
        <v>#REF!</v>
      </c>
      <c r="AB2" s="1940"/>
      <c r="AC2" s="1940"/>
      <c r="AD2" s="1036"/>
      <c r="AK2" s="1940" t="e">
        <f>'[33]дод8 Котельня, 1Г'!AT1</f>
        <v>#REF!</v>
      </c>
      <c r="AL2" s="1940"/>
      <c r="AM2" s="1940"/>
      <c r="AN2" s="1036"/>
      <c r="AU2" s="1940" t="e">
        <f>'[33]дод8 Котельня, 1Г'!BD1</f>
        <v>#REF!</v>
      </c>
      <c r="AV2" s="1940"/>
      <c r="AW2" s="1940"/>
      <c r="AX2" s="1036"/>
      <c r="BE2" s="1940" t="e">
        <f>'[33]дод8 Котельня, 1Г'!BN1</f>
        <v>#REF!</v>
      </c>
      <c r="BF2" s="1940"/>
      <c r="BG2" s="1940"/>
      <c r="BH2" s="1036"/>
    </row>
    <row r="3" spans="2:90" ht="18" customHeight="1">
      <c r="B3" s="2753" t="s">
        <v>432</v>
      </c>
      <c r="C3" s="2753"/>
      <c r="D3" s="2753"/>
      <c r="E3" s="2753"/>
      <c r="F3" s="2753"/>
      <c r="G3" s="2753"/>
      <c r="H3" s="2753"/>
      <c r="I3" s="2753"/>
      <c r="J3" s="2753"/>
      <c r="L3" s="2753" t="s">
        <v>432</v>
      </c>
      <c r="M3" s="2753"/>
      <c r="N3" s="2753"/>
      <c r="O3" s="2753"/>
      <c r="P3" s="2753"/>
      <c r="Q3" s="2753"/>
      <c r="R3" s="2753"/>
      <c r="S3" s="2753"/>
      <c r="T3" s="2753"/>
      <c r="V3" s="1941" t="s">
        <v>432</v>
      </c>
      <c r="W3" s="1941"/>
      <c r="X3" s="1941"/>
      <c r="Y3" s="1941"/>
      <c r="Z3" s="1941"/>
      <c r="AA3" s="1941"/>
      <c r="AB3" s="1941"/>
      <c r="AC3" s="1941"/>
      <c r="AD3" s="1941"/>
      <c r="AF3" s="1941" t="s">
        <v>432</v>
      </c>
      <c r="AG3" s="1941"/>
      <c r="AH3" s="1941"/>
      <c r="AI3" s="1941"/>
      <c r="AJ3" s="1941"/>
      <c r="AK3" s="1941"/>
      <c r="AL3" s="1941"/>
      <c r="AM3" s="1941"/>
      <c r="AN3" s="1941"/>
      <c r="AP3" s="1941" t="s">
        <v>432</v>
      </c>
      <c r="AQ3" s="1941"/>
      <c r="AR3" s="1941"/>
      <c r="AS3" s="1941"/>
      <c r="AT3" s="1941"/>
      <c r="AU3" s="1941"/>
      <c r="AV3" s="1941"/>
      <c r="AW3" s="1941"/>
      <c r="AX3" s="1941"/>
      <c r="AZ3" s="1941" t="s">
        <v>432</v>
      </c>
      <c r="BA3" s="1941"/>
      <c r="BB3" s="1941"/>
      <c r="BC3" s="1941"/>
      <c r="BD3" s="1941"/>
      <c r="BE3" s="1941"/>
      <c r="BF3" s="1941"/>
      <c r="BG3" s="1941"/>
      <c r="BH3" s="1941"/>
    </row>
    <row r="4" spans="2:90" ht="17.399999999999999" customHeight="1">
      <c r="B4" s="2744" t="s">
        <v>614</v>
      </c>
      <c r="C4" s="2754"/>
      <c r="D4" s="2754"/>
      <c r="E4" s="2754"/>
      <c r="F4" s="2754"/>
      <c r="G4" s="2754"/>
      <c r="H4" s="2754"/>
      <c r="I4" s="2754"/>
      <c r="J4" s="2754"/>
      <c r="L4" s="2744" t="s">
        <v>614</v>
      </c>
      <c r="M4" s="2754"/>
      <c r="N4" s="2754"/>
      <c r="O4" s="2754"/>
      <c r="P4" s="2754"/>
      <c r="Q4" s="2754"/>
      <c r="R4" s="2754"/>
      <c r="S4" s="2754"/>
      <c r="T4" s="2754"/>
      <c r="V4" s="2744" t="s">
        <v>614</v>
      </c>
      <c r="W4" s="2744"/>
      <c r="X4" s="2744"/>
      <c r="Y4" s="2744"/>
      <c r="Z4" s="2744"/>
      <c r="AA4" s="1942"/>
      <c r="AB4" s="1942"/>
      <c r="AC4" s="1942"/>
      <c r="AD4" s="1942"/>
      <c r="AF4" s="2744" t="s">
        <v>614</v>
      </c>
      <c r="AG4" s="2744"/>
      <c r="AH4" s="2744"/>
      <c r="AI4" s="2744"/>
      <c r="AJ4" s="2744"/>
      <c r="AK4" s="1942"/>
      <c r="AL4" s="1942"/>
      <c r="AM4" s="1942"/>
      <c r="AN4" s="1942"/>
      <c r="AP4" s="2744" t="s">
        <v>614</v>
      </c>
      <c r="AQ4" s="2744"/>
      <c r="AR4" s="2744"/>
      <c r="AS4" s="2744"/>
      <c r="AT4" s="2744"/>
      <c r="AU4" s="1942"/>
      <c r="AV4" s="1942"/>
      <c r="AW4" s="1942"/>
      <c r="AX4" s="1942"/>
      <c r="AZ4" s="2744" t="s">
        <v>614</v>
      </c>
      <c r="BA4" s="2744"/>
      <c r="BB4" s="2744"/>
      <c r="BC4" s="2744"/>
      <c r="BD4" s="2744"/>
      <c r="BE4" s="1942"/>
      <c r="BF4" s="1942"/>
      <c r="BG4" s="1942"/>
      <c r="BH4" s="1942"/>
    </row>
    <row r="5" spans="2:90" ht="14.4" customHeight="1">
      <c r="C5" s="531"/>
      <c r="D5" s="531"/>
      <c r="E5" s="531"/>
      <c r="F5" s="531"/>
      <c r="G5" s="531"/>
      <c r="H5" s="531"/>
      <c r="I5" s="531"/>
      <c r="J5" s="531"/>
      <c r="L5" s="160"/>
      <c r="M5" s="2755" t="s">
        <v>1865</v>
      </c>
      <c r="N5" s="2755"/>
      <c r="O5" s="2755"/>
      <c r="P5" s="2755"/>
      <c r="Q5" s="2755"/>
      <c r="R5" s="2755"/>
      <c r="S5" s="531"/>
      <c r="T5" s="531"/>
      <c r="V5" s="2745" t="str">
        <f>"САО "&amp;Виробництво_1ст!H8</f>
        <v>САО САО Парусна, 1-А</v>
      </c>
      <c r="W5" s="2744"/>
      <c r="X5" s="2744"/>
      <c r="Y5" s="2744"/>
      <c r="Z5" s="2744"/>
      <c r="AA5" s="531"/>
      <c r="AB5" s="531"/>
      <c r="AC5" s="531"/>
      <c r="AD5" s="531"/>
      <c r="AF5" s="2745" t="str">
        <f>"САО "&amp;Виробництво_1ст!I8</f>
        <v>САО САО Парусна, 1-Б</v>
      </c>
      <c r="AG5" s="2744"/>
      <c r="AH5" s="2744"/>
      <c r="AI5" s="2744"/>
      <c r="AJ5" s="2744"/>
      <c r="AK5" s="531"/>
      <c r="AL5" s="531"/>
      <c r="AM5" s="531"/>
      <c r="AN5" s="531"/>
      <c r="AP5" s="2745" t="str">
        <f>"САО "&amp;Виробництво_1ст!J8</f>
        <v>САО САО Паркова, 50</v>
      </c>
      <c r="AQ5" s="2744"/>
      <c r="AR5" s="2744"/>
      <c r="AS5" s="2744"/>
      <c r="AT5" s="2744"/>
      <c r="AU5" s="531"/>
      <c r="AV5" s="531"/>
      <c r="AW5" s="531"/>
      <c r="AX5" s="531"/>
      <c r="AZ5" s="2745" t="str">
        <f>"САО "&amp;Виробництво_1ст!K8</f>
        <v>САО САО Паркова, 52</v>
      </c>
      <c r="BA5" s="2744"/>
      <c r="BB5" s="2744"/>
      <c r="BC5" s="2744"/>
      <c r="BD5" s="2744"/>
      <c r="BE5" s="531"/>
      <c r="BF5" s="531"/>
      <c r="BG5" s="531"/>
      <c r="BH5" s="531"/>
    </row>
    <row r="6" spans="2:90" ht="15" customHeight="1" thickBot="1">
      <c r="B6" s="2759" t="s">
        <v>197</v>
      </c>
      <c r="C6" s="2760"/>
      <c r="D6" s="2760"/>
      <c r="E6" s="2760"/>
      <c r="F6" s="2760"/>
      <c r="G6" s="2760"/>
      <c r="H6" s="2760"/>
      <c r="I6" s="2760"/>
      <c r="J6" s="2760"/>
      <c r="L6" s="2759" t="s">
        <v>197</v>
      </c>
      <c r="M6" s="2760"/>
      <c r="N6" s="2760"/>
      <c r="O6" s="2760"/>
      <c r="P6" s="2760"/>
      <c r="Q6" s="2760"/>
      <c r="R6" s="2760"/>
      <c r="S6" s="2760"/>
      <c r="T6" s="2760"/>
      <c r="V6" s="1943" t="s">
        <v>197</v>
      </c>
      <c r="W6" s="1944"/>
      <c r="X6" s="1944"/>
      <c r="Y6" s="1944"/>
      <c r="Z6" s="1944"/>
      <c r="AA6" s="1944"/>
      <c r="AB6" s="1944"/>
      <c r="AC6" s="1944"/>
      <c r="AD6" s="1944"/>
      <c r="AF6" s="1943" t="s">
        <v>197</v>
      </c>
      <c r="AG6" s="1944"/>
      <c r="AH6" s="1944"/>
      <c r="AI6" s="1944"/>
      <c r="AJ6" s="1944"/>
      <c r="AK6" s="1944"/>
      <c r="AL6" s="1944"/>
      <c r="AM6" s="1944"/>
      <c r="AN6" s="1944"/>
      <c r="AP6" s="1943" t="s">
        <v>197</v>
      </c>
      <c r="AQ6" s="1944"/>
      <c r="AR6" s="1944"/>
      <c r="AS6" s="1944"/>
      <c r="AT6" s="1944"/>
      <c r="AU6" s="1944"/>
      <c r="AV6" s="1944"/>
      <c r="AW6" s="1944"/>
      <c r="AX6" s="1944"/>
      <c r="AZ6" s="1943" t="s">
        <v>197</v>
      </c>
      <c r="BA6" s="1944"/>
      <c r="BB6" s="1944"/>
      <c r="BC6" s="1944"/>
      <c r="BD6" s="1944"/>
      <c r="BE6" s="1944"/>
      <c r="BF6" s="1944"/>
      <c r="BG6" s="1944"/>
      <c r="BH6" s="1944"/>
    </row>
    <row r="7" spans="2:90" ht="70.5" customHeight="1" thickBot="1">
      <c r="B7" s="532" t="s">
        <v>119</v>
      </c>
      <c r="C7" s="158" t="s">
        <v>120</v>
      </c>
      <c r="D7" s="158" t="s">
        <v>1342</v>
      </c>
      <c r="E7" s="158" t="s">
        <v>121</v>
      </c>
      <c r="F7" s="158" t="s">
        <v>122</v>
      </c>
      <c r="G7" s="158" t="s">
        <v>123</v>
      </c>
      <c r="H7" s="1267" t="s">
        <v>1541</v>
      </c>
      <c r="I7" s="1268" t="s">
        <v>1862</v>
      </c>
      <c r="J7" s="159" t="s">
        <v>1863</v>
      </c>
      <c r="L7" s="532" t="s">
        <v>119</v>
      </c>
      <c r="M7" s="158" t="s">
        <v>120</v>
      </c>
      <c r="N7" s="158" t="s">
        <v>1342</v>
      </c>
      <c r="O7" s="158" t="s">
        <v>121</v>
      </c>
      <c r="P7" s="158" t="s">
        <v>122</v>
      </c>
      <c r="Q7" s="158" t="s">
        <v>123</v>
      </c>
      <c r="R7" s="1267" t="s">
        <v>1541</v>
      </c>
      <c r="S7" s="1268" t="s">
        <v>1866</v>
      </c>
      <c r="T7" s="159" t="s">
        <v>124</v>
      </c>
      <c r="V7" s="532" t="s">
        <v>119</v>
      </c>
      <c r="W7" s="158" t="s">
        <v>120</v>
      </c>
      <c r="X7" s="158" t="s">
        <v>1342</v>
      </c>
      <c r="Y7" s="158" t="s">
        <v>121</v>
      </c>
      <c r="Z7" s="158" t="s">
        <v>122</v>
      </c>
      <c r="AA7" s="158" t="s">
        <v>123</v>
      </c>
      <c r="AB7" s="1267" t="s">
        <v>1541</v>
      </c>
      <c r="AC7" s="1268" t="s">
        <v>1542</v>
      </c>
      <c r="AD7" s="159" t="s">
        <v>124</v>
      </c>
      <c r="AF7" s="532" t="s">
        <v>119</v>
      </c>
      <c r="AG7" s="158" t="s">
        <v>120</v>
      </c>
      <c r="AH7" s="158" t="s">
        <v>1342</v>
      </c>
      <c r="AI7" s="158" t="s">
        <v>121</v>
      </c>
      <c r="AJ7" s="158" t="s">
        <v>122</v>
      </c>
      <c r="AK7" s="158" t="s">
        <v>123</v>
      </c>
      <c r="AL7" s="1267" t="s">
        <v>1541</v>
      </c>
      <c r="AM7" s="1268" t="s">
        <v>1542</v>
      </c>
      <c r="AN7" s="159" t="s">
        <v>124</v>
      </c>
      <c r="AP7" s="532" t="s">
        <v>119</v>
      </c>
      <c r="AQ7" s="158" t="s">
        <v>120</v>
      </c>
      <c r="AR7" s="158" t="s">
        <v>1342</v>
      </c>
      <c r="AS7" s="158" t="s">
        <v>121</v>
      </c>
      <c r="AT7" s="158" t="s">
        <v>122</v>
      </c>
      <c r="AU7" s="158" t="s">
        <v>123</v>
      </c>
      <c r="AV7" s="1267" t="s">
        <v>1541</v>
      </c>
      <c r="AW7" s="1268" t="s">
        <v>1542</v>
      </c>
      <c r="AX7" s="159" t="s">
        <v>124</v>
      </c>
      <c r="AZ7" s="532" t="s">
        <v>119</v>
      </c>
      <c r="BA7" s="158" t="s">
        <v>120</v>
      </c>
      <c r="BB7" s="158" t="s">
        <v>1342</v>
      </c>
      <c r="BC7" s="158" t="s">
        <v>121</v>
      </c>
      <c r="BD7" s="158" t="s">
        <v>122</v>
      </c>
      <c r="BE7" s="158" t="s">
        <v>123</v>
      </c>
      <c r="BF7" s="1267" t="s">
        <v>1541</v>
      </c>
      <c r="BG7" s="1268" t="s">
        <v>1862</v>
      </c>
      <c r="BH7" s="159" t="s">
        <v>124</v>
      </c>
      <c r="BJ7" s="2089" t="s">
        <v>120</v>
      </c>
      <c r="BK7" s="2089" t="s">
        <v>1342</v>
      </c>
      <c r="BL7" s="2089" t="s">
        <v>121</v>
      </c>
      <c r="BM7" s="2089" t="s">
        <v>122</v>
      </c>
      <c r="BN7" s="2089" t="s">
        <v>123</v>
      </c>
      <c r="BO7" s="2090" t="s">
        <v>1541</v>
      </c>
      <c r="BP7" s="2091" t="s">
        <v>1862</v>
      </c>
      <c r="BQ7" s="2092" t="s">
        <v>1863</v>
      </c>
    </row>
    <row r="8" spans="2:90" ht="15" customHeight="1" thickBot="1">
      <c r="B8" s="2747" t="s">
        <v>617</v>
      </c>
      <c r="C8" s="2761"/>
      <c r="D8" s="2761"/>
      <c r="E8" s="2761"/>
      <c r="F8" s="2761"/>
      <c r="G8" s="2761"/>
      <c r="H8" s="2761"/>
      <c r="I8" s="2761"/>
      <c r="J8" s="2762"/>
      <c r="L8" s="2747" t="s">
        <v>617</v>
      </c>
      <c r="M8" s="2761"/>
      <c r="N8" s="2761"/>
      <c r="O8" s="2761"/>
      <c r="P8" s="2761"/>
      <c r="Q8" s="2761"/>
      <c r="R8" s="2761"/>
      <c r="S8" s="2761"/>
      <c r="T8" s="2762"/>
      <c r="V8" s="1932" t="s">
        <v>617</v>
      </c>
      <c r="W8" s="1935"/>
      <c r="X8" s="1935"/>
      <c r="Y8" s="1935"/>
      <c r="Z8" s="1935"/>
      <c r="AA8" s="1935"/>
      <c r="AB8" s="1935"/>
      <c r="AC8" s="1935"/>
      <c r="AD8" s="1936"/>
      <c r="AF8" s="1932" t="s">
        <v>617</v>
      </c>
      <c r="AG8" s="1935"/>
      <c r="AH8" s="1935"/>
      <c r="AI8" s="1935"/>
      <c r="AJ8" s="1935"/>
      <c r="AK8" s="1935"/>
      <c r="AL8" s="1935"/>
      <c r="AM8" s="1935"/>
      <c r="AN8" s="1936"/>
      <c r="AP8" s="1932" t="s">
        <v>617</v>
      </c>
      <c r="AQ8" s="1935"/>
      <c r="AR8" s="1935"/>
      <c r="AS8" s="1935"/>
      <c r="AT8" s="1935"/>
      <c r="AU8" s="1935"/>
      <c r="AV8" s="1935"/>
      <c r="AW8" s="1935"/>
      <c r="AX8" s="1936"/>
      <c r="AZ8" s="1932" t="s">
        <v>617</v>
      </c>
      <c r="BA8" s="1935"/>
      <c r="BB8" s="1935"/>
      <c r="BC8" s="1935"/>
      <c r="BD8" s="1935"/>
      <c r="BE8" s="1935"/>
      <c r="BF8" s="1935"/>
      <c r="BG8" s="1935"/>
      <c r="BH8" s="1936"/>
    </row>
    <row r="9" spans="2:90">
      <c r="B9" s="533" t="s">
        <v>1499</v>
      </c>
      <c r="C9" s="834">
        <f>SUM(C10:C13)</f>
        <v>8535.7796400000007</v>
      </c>
      <c r="D9" s="837">
        <v>168.41777888569882</v>
      </c>
      <c r="E9" s="986">
        <f>SUM(E10:E13)</f>
        <v>1437.5770480265699</v>
      </c>
      <c r="F9" s="1039">
        <f>E9/G9*7000</f>
        <v>8267.427595807676</v>
      </c>
      <c r="G9" s="2076">
        <f>SUM(G10:G13)</f>
        <v>1217.1911056455879</v>
      </c>
      <c r="H9" s="1483">
        <f t="shared" ref="H9:J9" si="0">SUM(H10:H13)</f>
        <v>6183.33</v>
      </c>
      <c r="I9" s="1483">
        <f t="shared" si="0"/>
        <v>7526.294279271533</v>
      </c>
      <c r="J9" s="1483" t="e">
        <f t="shared" si="0"/>
        <v>#DIV/0!</v>
      </c>
      <c r="L9" s="533" t="s">
        <v>1499</v>
      </c>
      <c r="M9" s="834">
        <f>SUM(M10:M13)</f>
        <v>6460.056239999999</v>
      </c>
      <c r="N9" s="2082">
        <v>168.9683</v>
      </c>
      <c r="O9" s="2076">
        <f>SUM(O10:O13)</f>
        <v>1091.544720777192</v>
      </c>
      <c r="P9" s="836">
        <v>8267.4279999999999</v>
      </c>
      <c r="Q9" s="2080">
        <f>O9/(P9/7000)</f>
        <v>924.20678419459398</v>
      </c>
      <c r="R9" s="834">
        <f>S9/Q9*1000</f>
        <v>6183.3300000000008</v>
      </c>
      <c r="S9" s="834">
        <f>SUM(S10:S13)</f>
        <v>5714.6755349139594</v>
      </c>
      <c r="T9" s="161">
        <f>S9/O9*1000</f>
        <v>5235.4021105475613</v>
      </c>
      <c r="V9" s="533" t="s">
        <v>1499</v>
      </c>
      <c r="W9" s="834">
        <f>SUM(W10:W13)</f>
        <v>480.96030000000002</v>
      </c>
      <c r="X9" s="837">
        <v>165.29503105590064</v>
      </c>
      <c r="Y9" s="1483">
        <f>SUM(Y10:Y13)</f>
        <v>79.500347725155279</v>
      </c>
      <c r="Z9" s="836">
        <v>8267.4279999999999</v>
      </c>
      <c r="AA9" s="2076">
        <f>Y9/(Z9/7000)</f>
        <v>67.312643554450901</v>
      </c>
      <c r="AB9" s="834">
        <f>SUM(AB10:AB13)</f>
        <v>6183.33</v>
      </c>
      <c r="AC9" s="834">
        <f>SUM(AC10:AC13)</f>
        <v>416.21628826954287</v>
      </c>
      <c r="AD9" s="161">
        <f>AC9/Y9*1000</f>
        <v>5235.4021105475604</v>
      </c>
      <c r="AF9" s="533" t="s">
        <v>1499</v>
      </c>
      <c r="AG9" s="834">
        <f>SUM(AG10:AG13)</f>
        <v>798.22533999999996</v>
      </c>
      <c r="AH9" s="2093">
        <v>165.29499999999999</v>
      </c>
      <c r="AI9" s="1483">
        <f>SUM(AI10:AI13)</f>
        <v>131.94265757529999</v>
      </c>
      <c r="AJ9" s="836">
        <v>8267.4279999999999</v>
      </c>
      <c r="AK9" s="2076">
        <f>AI9/(AJ9/7000)</f>
        <v>111.71534883969959</v>
      </c>
      <c r="AL9" s="834">
        <f>'Вхідні дані'!$D$21</f>
        <v>6183.33</v>
      </c>
      <c r="AM9" s="834">
        <f>SUM(AM10:AM13)</f>
        <v>690.77286794097972</v>
      </c>
      <c r="AN9" s="161">
        <f>AM9/AI9*1000</f>
        <v>5235.4021105475613</v>
      </c>
      <c r="AP9" s="533" t="s">
        <v>1499</v>
      </c>
      <c r="AQ9" s="834">
        <f>SUM(AQ10:AQ13)</f>
        <v>391.51855999999998</v>
      </c>
      <c r="AR9" s="2093">
        <v>168.96799999999999</v>
      </c>
      <c r="AS9" s="1483">
        <f>SUM(AS10:AS13)</f>
        <v>66.154108046079983</v>
      </c>
      <c r="AT9" s="836">
        <v>8267.4279999999999</v>
      </c>
      <c r="AU9" s="2076">
        <f>AS9/(AT9/7000)</f>
        <v>56.012432926245005</v>
      </c>
      <c r="AV9" s="834">
        <f>SUM(AV10:AV13)</f>
        <v>6183.33</v>
      </c>
      <c r="AW9" s="834">
        <f>SUM(AW10:AW13)</f>
        <v>346.34335688583855</v>
      </c>
      <c r="AX9" s="161">
        <f>AW9/AS9*1000</f>
        <v>5235.4021105475613</v>
      </c>
      <c r="AZ9" s="533" t="s">
        <v>1499</v>
      </c>
      <c r="BA9" s="834">
        <f>SUM(BA10:BA13)</f>
        <v>405.01920000000001</v>
      </c>
      <c r="BB9" s="2093">
        <v>168.96799999999999</v>
      </c>
      <c r="BC9" s="1483">
        <f>SUM(BC10:BC13)</f>
        <v>68.435284185599997</v>
      </c>
      <c r="BD9" s="836">
        <v>8267.4279999999999</v>
      </c>
      <c r="BE9" s="2076">
        <f>BC9/(BD9/7000)</f>
        <v>57.94389613059829</v>
      </c>
      <c r="BF9" s="834">
        <f>BF10</f>
        <v>6183.33</v>
      </c>
      <c r="BG9" s="834">
        <f>SUM(BG10:BG13)</f>
        <v>358.28623126121232</v>
      </c>
      <c r="BH9" s="161">
        <f>BG9/BC9*1000</f>
        <v>5235.4021105475613</v>
      </c>
      <c r="BJ9" s="1327">
        <f>C9-M9-W9-AG9-AQ9-BA9</f>
        <v>1.7621459846850485E-12</v>
      </c>
      <c r="BK9" s="1327"/>
      <c r="BL9" s="1327">
        <f t="shared" ref="BL9:BP24" si="1">E9-O9-Y9-AI9-AS9-BC9</f>
        <v>-7.0282757363315795E-5</v>
      </c>
      <c r="BM9" s="1327"/>
      <c r="BN9" s="1327">
        <f t="shared" si="1"/>
        <v>9.2370555648813024E-14</v>
      </c>
      <c r="BO9" s="1327"/>
      <c r="BP9" s="1327">
        <f t="shared" si="1"/>
        <v>0</v>
      </c>
      <c r="BQ9" s="1327"/>
      <c r="BR9" s="1327"/>
      <c r="BS9" s="1327"/>
      <c r="BT9" s="1327"/>
      <c r="BU9" s="1327"/>
      <c r="BV9" s="1327"/>
      <c r="BW9" s="1327"/>
      <c r="BX9" s="1327"/>
      <c r="BY9" s="1327"/>
      <c r="BZ9" s="1327"/>
      <c r="CA9" s="1327"/>
      <c r="CB9" s="1327"/>
      <c r="CC9" s="1327"/>
      <c r="CD9" s="1327"/>
      <c r="CE9" s="1327"/>
      <c r="CF9" s="1327"/>
      <c r="CG9" s="1327"/>
      <c r="CH9" s="1327"/>
      <c r="CI9" s="1327"/>
      <c r="CJ9" s="1327"/>
      <c r="CK9" s="1327"/>
      <c r="CL9" s="1327"/>
    </row>
    <row r="10" spans="2:90">
      <c r="B10" s="167" t="s">
        <v>3</v>
      </c>
      <c r="C10" s="836">
        <f>'Д 7_РП'!F75</f>
        <v>8535.7796400000007</v>
      </c>
      <c r="D10" s="837">
        <f>E10/C10*1000</f>
        <v>168.41777888569882</v>
      </c>
      <c r="E10" s="1040">
        <v>1437.5770480265699</v>
      </c>
      <c r="F10" s="984">
        <v>8267.4279999999999</v>
      </c>
      <c r="G10" s="982">
        <f>Q10+AA10+AK10+AU10+BE10</f>
        <v>1217.1911056455879</v>
      </c>
      <c r="H10" s="1484">
        <f>'Вхідні дані'!$D$21</f>
        <v>6183.33</v>
      </c>
      <c r="I10" s="836">
        <f>G10*H10/1000</f>
        <v>7526.294279271533</v>
      </c>
      <c r="J10" s="162">
        <f>I10/E10*1000</f>
        <v>5235.4023665049699</v>
      </c>
      <c r="L10" s="167" t="s">
        <v>3</v>
      </c>
      <c r="M10" s="836">
        <f>'Д 7_РП'!F79</f>
        <v>6460.056239999999</v>
      </c>
      <c r="N10" s="2082">
        <v>168.9683</v>
      </c>
      <c r="O10" s="2078">
        <f>M10*N10/1000</f>
        <v>1091.544720777192</v>
      </c>
      <c r="P10" s="836">
        <v>8267.4279999999999</v>
      </c>
      <c r="Q10" s="982">
        <f>O10/(P10/7000)</f>
        <v>924.20678419459398</v>
      </c>
      <c r="R10" s="836">
        <f>'Вхідні дані'!$D$21</f>
        <v>6183.33</v>
      </c>
      <c r="S10" s="836">
        <f>R10*Q10/1000</f>
        <v>5714.6755349139594</v>
      </c>
      <c r="T10" s="162">
        <f>S10/O10*1000</f>
        <v>5235.4021105475613</v>
      </c>
      <c r="V10" s="167" t="s">
        <v>3</v>
      </c>
      <c r="W10" s="836">
        <f>'Д 7_РП'!G184</f>
        <v>480.96030000000002</v>
      </c>
      <c r="X10" s="837">
        <v>165.29503105590064</v>
      </c>
      <c r="Y10" s="1484">
        <f>W10*X10/1000</f>
        <v>79.500347725155279</v>
      </c>
      <c r="Z10" s="836">
        <f>Z9</f>
        <v>8267.4279999999999</v>
      </c>
      <c r="AA10" s="982">
        <f>AA$9/(W$10+W$11+W$12+W$13)*W10</f>
        <v>67.312643554450901</v>
      </c>
      <c r="AB10" s="836">
        <f>'Вхідні дані'!$D$21</f>
        <v>6183.33</v>
      </c>
      <c r="AC10" s="836">
        <f>AB10*AA10/1000</f>
        <v>416.21628826954287</v>
      </c>
      <c r="AD10" s="162">
        <f>AC10/Y10*1000</f>
        <v>5235.4021105475604</v>
      </c>
      <c r="AF10" s="167" t="s">
        <v>3</v>
      </c>
      <c r="AG10" s="836">
        <f>'Д 7_РП'!H184</f>
        <v>798.22533999999996</v>
      </c>
      <c r="AH10" s="837">
        <f>AH9</f>
        <v>165.29499999999999</v>
      </c>
      <c r="AI10" s="1484">
        <f>AG10*AH10/1000</f>
        <v>131.94265757529999</v>
      </c>
      <c r="AJ10" s="836">
        <f>AJ9</f>
        <v>8267.4279999999999</v>
      </c>
      <c r="AK10" s="982">
        <f>AK$9/(AG$10+AG$11+AG$12+AG$13)*AG10</f>
        <v>111.7153488396996</v>
      </c>
      <c r="AL10" s="836">
        <f>'Вхідні дані'!$D$21</f>
        <v>6183.33</v>
      </c>
      <c r="AM10" s="836">
        <f>AL10*AK10/1000</f>
        <v>690.77286794097972</v>
      </c>
      <c r="AN10" s="162">
        <f>AM10/AI10*1000</f>
        <v>5235.4021105475613</v>
      </c>
      <c r="AP10" s="167" t="s">
        <v>3</v>
      </c>
      <c r="AQ10" s="836">
        <f>'Д 7_РП'!I184</f>
        <v>391.51855999999998</v>
      </c>
      <c r="AR10" s="837">
        <f>AR9</f>
        <v>168.96799999999999</v>
      </c>
      <c r="AS10" s="1484">
        <f>AQ10*AR10/1000</f>
        <v>66.154108046079983</v>
      </c>
      <c r="AT10" s="984">
        <f>AT9</f>
        <v>8267.4279999999999</v>
      </c>
      <c r="AU10" s="982">
        <f>AU$9/(AQ$10+AQ$11+AQ$12+AQ$13)*AQ10</f>
        <v>56.012432926245012</v>
      </c>
      <c r="AV10" s="836">
        <f>'Вхідні дані'!$D$21</f>
        <v>6183.33</v>
      </c>
      <c r="AW10" s="836">
        <f>AV10*AU10/1000</f>
        <v>346.34335688583855</v>
      </c>
      <c r="AX10" s="162">
        <f>AW10/AS10*1000</f>
        <v>5235.4021105475613</v>
      </c>
      <c r="AZ10" s="167" t="s">
        <v>3</v>
      </c>
      <c r="BA10" s="836">
        <f>'Д 7_РП'!J184</f>
        <v>405.01920000000001</v>
      </c>
      <c r="BB10" s="837">
        <f>BB9</f>
        <v>168.96799999999999</v>
      </c>
      <c r="BC10" s="1484">
        <f>BA10*BB10/1000</f>
        <v>68.435284185599997</v>
      </c>
      <c r="BD10" s="984">
        <f>BD9</f>
        <v>8267.4279999999999</v>
      </c>
      <c r="BE10" s="982">
        <f>BE$9/(BA$10+BA$11+BA$12+BA$13)*BA10</f>
        <v>57.94389613059829</v>
      </c>
      <c r="BF10" s="836">
        <f>'Вхідні дані'!$D$21</f>
        <v>6183.33</v>
      </c>
      <c r="BG10" s="836">
        <f>BF10*BE10/1000</f>
        <v>358.28623126121232</v>
      </c>
      <c r="BH10" s="162">
        <f>BG10/BC10*1000</f>
        <v>5235.4021105475613</v>
      </c>
      <c r="BJ10" s="1327">
        <f t="shared" ref="BJ10:BJ19" si="2">C10-M10-W10-AG10-AQ10-BA10</f>
        <v>1.7621459846850485E-12</v>
      </c>
      <c r="BL10" s="1327">
        <f t="shared" si="1"/>
        <v>-7.0282757363315795E-5</v>
      </c>
      <c r="BN10" s="1327">
        <f t="shared" si="1"/>
        <v>7.1054273576010019E-14</v>
      </c>
      <c r="BP10" s="1327">
        <f t="shared" si="1"/>
        <v>0</v>
      </c>
    </row>
    <row r="11" spans="2:90">
      <c r="B11" s="167" t="s">
        <v>159</v>
      </c>
      <c r="C11" s="836">
        <v>0</v>
      </c>
      <c r="D11" s="837"/>
      <c r="E11" s="1040">
        <v>0</v>
      </c>
      <c r="F11" s="984">
        <f>F10</f>
        <v>8267.4279999999999</v>
      </c>
      <c r="G11" s="982">
        <v>0</v>
      </c>
      <c r="H11" s="1484">
        <f>H12</f>
        <v>0</v>
      </c>
      <c r="I11" s="836">
        <f t="shared" ref="I11:I13" si="3">G11*H11</f>
        <v>0</v>
      </c>
      <c r="J11" s="162" t="e">
        <f>I11/E11*1000</f>
        <v>#DIV/0!</v>
      </c>
      <c r="L11" s="167" t="s">
        <v>159</v>
      </c>
      <c r="M11" s="836">
        <f>[34]план!AA48</f>
        <v>0</v>
      </c>
      <c r="N11" s="2077">
        <f>N10</f>
        <v>168.9683</v>
      </c>
      <c r="O11" s="1040">
        <f>M11*N11/1000</f>
        <v>0</v>
      </c>
      <c r="P11" s="836">
        <f>P10</f>
        <v>8267.4279999999999</v>
      </c>
      <c r="Q11" s="982">
        <f t="shared" ref="Q11:Q13" si="4">Q$9/(M$10+M$11+M$12+M$13)*M11</f>
        <v>0</v>
      </c>
      <c r="R11" s="836">
        <v>0</v>
      </c>
      <c r="S11" s="836">
        <f t="shared" ref="S11:S13" si="5">R11*Q11/1000</f>
        <v>0</v>
      </c>
      <c r="T11" s="162" t="e">
        <f>S11/O11*1000</f>
        <v>#DIV/0!</v>
      </c>
      <c r="V11" s="167" t="s">
        <v>159</v>
      </c>
      <c r="W11" s="836">
        <f>[34]план!AU17</f>
        <v>0</v>
      </c>
      <c r="X11" s="837">
        <f>X10</f>
        <v>165.29503105590064</v>
      </c>
      <c r="Y11" s="1484">
        <f>W11*X11/1000</f>
        <v>0</v>
      </c>
      <c r="Z11" s="836">
        <f>Z10</f>
        <v>8267.4279999999999</v>
      </c>
      <c r="AA11" s="982">
        <f t="shared" ref="AA11:AA13" si="6">AA$9/(W$10+W$11+W$12+W$13)*W11</f>
        <v>0</v>
      </c>
      <c r="AB11" s="836">
        <v>0</v>
      </c>
      <c r="AC11" s="836">
        <f t="shared" ref="AC11:AC13" si="7">AB11*AA11/1000</f>
        <v>0</v>
      </c>
      <c r="AD11" s="162" t="e">
        <f>AC11/Y11*1000</f>
        <v>#DIV/0!</v>
      </c>
      <c r="AF11" s="167" t="s">
        <v>159</v>
      </c>
      <c r="AG11" s="836">
        <f>[34]план!BE17</f>
        <v>0</v>
      </c>
      <c r="AH11" s="837">
        <f>AH10</f>
        <v>165.29499999999999</v>
      </c>
      <c r="AI11" s="1484">
        <f>AG11*AH11/1000</f>
        <v>0</v>
      </c>
      <c r="AJ11" s="836">
        <f>AJ10</f>
        <v>8267.4279999999999</v>
      </c>
      <c r="AK11" s="982">
        <f t="shared" ref="AK11:AK13" si="8">AK$9/(AG$10+AG$11+AG$12+AG$13)*AG11</f>
        <v>0</v>
      </c>
      <c r="AL11" s="836">
        <v>0</v>
      </c>
      <c r="AM11" s="836">
        <f t="shared" ref="AM11:AM13" si="9">AL11*AK11/1000</f>
        <v>0</v>
      </c>
      <c r="AN11" s="162" t="e">
        <f>AM11/AI11*1000</f>
        <v>#DIV/0!</v>
      </c>
      <c r="AP11" s="167" t="s">
        <v>159</v>
      </c>
      <c r="AQ11" s="836">
        <f>[34]план!BO17</f>
        <v>0</v>
      </c>
      <c r="AR11" s="837">
        <f>AR10</f>
        <v>168.96799999999999</v>
      </c>
      <c r="AS11" s="1484">
        <f>AQ11*AR11/1000</f>
        <v>0</v>
      </c>
      <c r="AT11" s="984">
        <f>AT10</f>
        <v>8267.4279999999999</v>
      </c>
      <c r="AU11" s="982">
        <f t="shared" ref="AU11:AU13" si="10">AU$9/(AQ$10+AQ$11+AQ$12+AQ$13)*AQ11</f>
        <v>0</v>
      </c>
      <c r="AV11" s="836">
        <v>0</v>
      </c>
      <c r="AW11" s="836">
        <f t="shared" ref="AW11:AW13" si="11">AV11*AU11/1000</f>
        <v>0</v>
      </c>
      <c r="AX11" s="162" t="e">
        <f>AW11/AS11*1000</f>
        <v>#DIV/0!</v>
      </c>
      <c r="AZ11" s="167" t="s">
        <v>159</v>
      </c>
      <c r="BA11" s="836">
        <f>[34]план!BY17</f>
        <v>0</v>
      </c>
      <c r="BB11" s="837">
        <f>BB10</f>
        <v>168.96799999999999</v>
      </c>
      <c r="BC11" s="1484">
        <f>BA11*BB11/1000</f>
        <v>0</v>
      </c>
      <c r="BD11" s="984">
        <f>BD10</f>
        <v>8267.4279999999999</v>
      </c>
      <c r="BE11" s="982">
        <f t="shared" ref="BE11:BE13" si="12">BE$9/(BA$10+BA$11+BA$12+BA$13)*BA11</f>
        <v>0</v>
      </c>
      <c r="BF11" s="836">
        <v>0</v>
      </c>
      <c r="BG11" s="836">
        <f t="shared" ref="BG11:BG13" si="13">BF11*BE11/1000</f>
        <v>0</v>
      </c>
      <c r="BH11" s="162" t="e">
        <f>BG11/BC11*1000</f>
        <v>#DIV/0!</v>
      </c>
      <c r="BJ11" s="1327">
        <f t="shared" si="2"/>
        <v>0</v>
      </c>
      <c r="BL11" s="1327">
        <f t="shared" si="1"/>
        <v>0</v>
      </c>
      <c r="BN11" s="1327">
        <f t="shared" si="1"/>
        <v>0</v>
      </c>
      <c r="BP11" s="1327">
        <f t="shared" si="1"/>
        <v>0</v>
      </c>
    </row>
    <row r="12" spans="2:90">
      <c r="B12" s="167" t="s">
        <v>92</v>
      </c>
      <c r="C12" s="836">
        <v>0</v>
      </c>
      <c r="D12" s="837"/>
      <c r="E12" s="1040">
        <v>0</v>
      </c>
      <c r="F12" s="984">
        <f>F11</f>
        <v>8267.4279999999999</v>
      </c>
      <c r="G12" s="982">
        <v>0</v>
      </c>
      <c r="H12" s="1484">
        <f>'Вхідні дані'!$D$22</f>
        <v>0</v>
      </c>
      <c r="I12" s="836">
        <f t="shared" si="3"/>
        <v>0</v>
      </c>
      <c r="J12" s="162" t="e">
        <f>I12/E12*1000</f>
        <v>#DIV/0!</v>
      </c>
      <c r="L12" s="167" t="s">
        <v>92</v>
      </c>
      <c r="M12" s="836">
        <f>[34]план!AA49</f>
        <v>0</v>
      </c>
      <c r="N12" s="2077">
        <f>N11</f>
        <v>168.9683</v>
      </c>
      <c r="O12" s="1040">
        <f>M12*N12/1000</f>
        <v>0</v>
      </c>
      <c r="P12" s="836">
        <f>P11</f>
        <v>8267.4279999999999</v>
      </c>
      <c r="Q12" s="982">
        <f t="shared" si="4"/>
        <v>0</v>
      </c>
      <c r="R12" s="836">
        <v>0</v>
      </c>
      <c r="S12" s="836">
        <f t="shared" si="5"/>
        <v>0</v>
      </c>
      <c r="T12" s="162" t="e">
        <f>S12/O12*1000</f>
        <v>#DIV/0!</v>
      </c>
      <c r="V12" s="167" t="s">
        <v>92</v>
      </c>
      <c r="W12" s="836">
        <f>[34]план!AU18</f>
        <v>0</v>
      </c>
      <c r="X12" s="837">
        <f>X11</f>
        <v>165.29503105590064</v>
      </c>
      <c r="Y12" s="1484">
        <f>W12*X12/1000</f>
        <v>0</v>
      </c>
      <c r="Z12" s="836">
        <f>Z11</f>
        <v>8267.4279999999999</v>
      </c>
      <c r="AA12" s="982">
        <f t="shared" si="6"/>
        <v>0</v>
      </c>
      <c r="AB12" s="836">
        <v>0</v>
      </c>
      <c r="AC12" s="836">
        <f t="shared" si="7"/>
        <v>0</v>
      </c>
      <c r="AD12" s="162" t="e">
        <f>AC12/Y12*1000</f>
        <v>#DIV/0!</v>
      </c>
      <c r="AF12" s="167" t="s">
        <v>92</v>
      </c>
      <c r="AG12" s="836">
        <f>[34]план!BE18</f>
        <v>0</v>
      </c>
      <c r="AH12" s="837">
        <f>AH11</f>
        <v>165.29499999999999</v>
      </c>
      <c r="AI12" s="1484">
        <f>AG12*AH12/1000</f>
        <v>0</v>
      </c>
      <c r="AJ12" s="836">
        <f>AJ11</f>
        <v>8267.4279999999999</v>
      </c>
      <c r="AK12" s="982">
        <f t="shared" si="8"/>
        <v>0</v>
      </c>
      <c r="AL12" s="836">
        <v>0</v>
      </c>
      <c r="AM12" s="836">
        <f t="shared" si="9"/>
        <v>0</v>
      </c>
      <c r="AN12" s="162" t="e">
        <f>AM12/AI12*1000</f>
        <v>#DIV/0!</v>
      </c>
      <c r="AP12" s="167" t="s">
        <v>92</v>
      </c>
      <c r="AQ12" s="836">
        <f>[34]план!BO18</f>
        <v>0</v>
      </c>
      <c r="AR12" s="837">
        <f>AR11</f>
        <v>168.96799999999999</v>
      </c>
      <c r="AS12" s="1484">
        <f>AQ12*AR12/1000</f>
        <v>0</v>
      </c>
      <c r="AT12" s="984">
        <f>AT11</f>
        <v>8267.4279999999999</v>
      </c>
      <c r="AU12" s="982">
        <f t="shared" si="10"/>
        <v>0</v>
      </c>
      <c r="AV12" s="836">
        <v>0</v>
      </c>
      <c r="AW12" s="836">
        <f t="shared" si="11"/>
        <v>0</v>
      </c>
      <c r="AX12" s="162" t="e">
        <f>AW12/AS12*1000</f>
        <v>#DIV/0!</v>
      </c>
      <c r="AZ12" s="167" t="s">
        <v>92</v>
      </c>
      <c r="BA12" s="836">
        <f>[34]план!BY18</f>
        <v>0</v>
      </c>
      <c r="BB12" s="837">
        <f>BB11</f>
        <v>168.96799999999999</v>
      </c>
      <c r="BC12" s="1484">
        <f>BA12*BB12/1000</f>
        <v>0</v>
      </c>
      <c r="BD12" s="984">
        <f>BD11</f>
        <v>8267.4279999999999</v>
      </c>
      <c r="BE12" s="982">
        <f t="shared" si="12"/>
        <v>0</v>
      </c>
      <c r="BF12" s="836">
        <v>0</v>
      </c>
      <c r="BG12" s="836">
        <f t="shared" si="13"/>
        <v>0</v>
      </c>
      <c r="BH12" s="162" t="e">
        <f>BG12/BC12*1000</f>
        <v>#DIV/0!</v>
      </c>
      <c r="BJ12" s="1327">
        <f t="shared" si="2"/>
        <v>0</v>
      </c>
      <c r="BL12" s="1327">
        <f t="shared" si="1"/>
        <v>0</v>
      </c>
      <c r="BN12" s="1327">
        <f t="shared" si="1"/>
        <v>0</v>
      </c>
      <c r="BP12" s="1327">
        <f t="shared" si="1"/>
        <v>0</v>
      </c>
    </row>
    <row r="13" spans="2:90" ht="15" thickBot="1">
      <c r="B13" s="534" t="s">
        <v>93</v>
      </c>
      <c r="C13" s="838">
        <v>0</v>
      </c>
      <c r="D13" s="839"/>
      <c r="E13" s="1041">
        <v>0</v>
      </c>
      <c r="F13" s="985">
        <f>F12</f>
        <v>8267.4279999999999</v>
      </c>
      <c r="G13" s="983">
        <v>0</v>
      </c>
      <c r="H13" s="1485">
        <f>'Вхідні дані'!$D$23</f>
        <v>0</v>
      </c>
      <c r="I13" s="836">
        <f t="shared" si="3"/>
        <v>0</v>
      </c>
      <c r="J13" s="163" t="e">
        <f>I13/E13*1000</f>
        <v>#DIV/0!</v>
      </c>
      <c r="L13" s="534" t="s">
        <v>93</v>
      </c>
      <c r="M13" s="836">
        <f>[34]план!AA50</f>
        <v>0</v>
      </c>
      <c r="N13" s="2079">
        <f>N12</f>
        <v>168.9683</v>
      </c>
      <c r="O13" s="1041">
        <f>M13*N13/1000</f>
        <v>0</v>
      </c>
      <c r="P13" s="838">
        <f>P12</f>
        <v>8267.4279999999999</v>
      </c>
      <c r="Q13" s="983">
        <f t="shared" si="4"/>
        <v>0</v>
      </c>
      <c r="R13" s="838">
        <v>0</v>
      </c>
      <c r="S13" s="836">
        <f t="shared" si="5"/>
        <v>0</v>
      </c>
      <c r="T13" s="163" t="e">
        <f>S13/O13*1000</f>
        <v>#DIV/0!</v>
      </c>
      <c r="V13" s="534" t="s">
        <v>93</v>
      </c>
      <c r="W13" s="836">
        <f>[34]план!AU19</f>
        <v>0</v>
      </c>
      <c r="X13" s="839">
        <f>X12</f>
        <v>165.29503105590064</v>
      </c>
      <c r="Y13" s="1485">
        <f>W13*X13/1000</f>
        <v>0</v>
      </c>
      <c r="Z13" s="838">
        <f>Z12</f>
        <v>8267.4279999999999</v>
      </c>
      <c r="AA13" s="983">
        <f t="shared" si="6"/>
        <v>0</v>
      </c>
      <c r="AB13" s="838">
        <v>0</v>
      </c>
      <c r="AC13" s="836">
        <f t="shared" si="7"/>
        <v>0</v>
      </c>
      <c r="AD13" s="163" t="e">
        <f>AC13/Y13*1000</f>
        <v>#DIV/0!</v>
      </c>
      <c r="AF13" s="534" t="s">
        <v>93</v>
      </c>
      <c r="AG13" s="836">
        <f>[34]план!BE19</f>
        <v>0</v>
      </c>
      <c r="AH13" s="839">
        <f>AH12</f>
        <v>165.29499999999999</v>
      </c>
      <c r="AI13" s="1485">
        <f>AG13*AH13/1000</f>
        <v>0</v>
      </c>
      <c r="AJ13" s="838">
        <f>AJ12</f>
        <v>8267.4279999999999</v>
      </c>
      <c r="AK13" s="983">
        <f t="shared" si="8"/>
        <v>0</v>
      </c>
      <c r="AL13" s="838">
        <v>0</v>
      </c>
      <c r="AM13" s="836">
        <f t="shared" si="9"/>
        <v>0</v>
      </c>
      <c r="AN13" s="163" t="e">
        <f>AM13/AI13*1000</f>
        <v>#DIV/0!</v>
      </c>
      <c r="AP13" s="534" t="s">
        <v>93</v>
      </c>
      <c r="AQ13" s="836">
        <f>[34]план!BO19</f>
        <v>0</v>
      </c>
      <c r="AR13" s="839">
        <f>AR12</f>
        <v>168.96799999999999</v>
      </c>
      <c r="AS13" s="1485">
        <f>AQ13*AR13/1000</f>
        <v>0</v>
      </c>
      <c r="AT13" s="985">
        <f>AT12</f>
        <v>8267.4279999999999</v>
      </c>
      <c r="AU13" s="983">
        <f t="shared" si="10"/>
        <v>0</v>
      </c>
      <c r="AV13" s="838">
        <v>0</v>
      </c>
      <c r="AW13" s="836">
        <f t="shared" si="11"/>
        <v>0</v>
      </c>
      <c r="AX13" s="163" t="e">
        <f>AW13/AS13*1000</f>
        <v>#DIV/0!</v>
      </c>
      <c r="AZ13" s="534" t="s">
        <v>93</v>
      </c>
      <c r="BA13" s="836">
        <f>[34]план!BY19</f>
        <v>0</v>
      </c>
      <c r="BB13" s="839">
        <f>BB12</f>
        <v>168.96799999999999</v>
      </c>
      <c r="BC13" s="1485">
        <f>BA13*BB13/1000</f>
        <v>0</v>
      </c>
      <c r="BD13" s="985">
        <f>BD12</f>
        <v>8267.4279999999999</v>
      </c>
      <c r="BE13" s="983">
        <f t="shared" si="12"/>
        <v>0</v>
      </c>
      <c r="BF13" s="838">
        <v>0</v>
      </c>
      <c r="BG13" s="836">
        <f t="shared" si="13"/>
        <v>0</v>
      </c>
      <c r="BH13" s="163" t="e">
        <f>BG13/BC13*1000</f>
        <v>#DIV/0!</v>
      </c>
      <c r="BJ13" s="1327">
        <f t="shared" si="2"/>
        <v>0</v>
      </c>
      <c r="BL13" s="1327">
        <f t="shared" si="1"/>
        <v>0</v>
      </c>
      <c r="BN13" s="1327">
        <f t="shared" si="1"/>
        <v>0</v>
      </c>
      <c r="BP13" s="1327">
        <f t="shared" si="1"/>
        <v>0</v>
      </c>
    </row>
    <row r="14" spans="2:90" ht="15" thickBot="1">
      <c r="B14" s="2741" t="s">
        <v>618</v>
      </c>
      <c r="C14" s="2742"/>
      <c r="D14" s="2742"/>
      <c r="E14" s="2742"/>
      <c r="F14" s="2742"/>
      <c r="G14" s="2742"/>
      <c r="H14" s="2742"/>
      <c r="I14" s="2742"/>
      <c r="J14" s="2743"/>
      <c r="L14" s="2741" t="s">
        <v>618</v>
      </c>
      <c r="M14" s="2742"/>
      <c r="N14" s="2742"/>
      <c r="O14" s="2742"/>
      <c r="P14" s="2742"/>
      <c r="Q14" s="2742"/>
      <c r="R14" s="2742"/>
      <c r="S14" s="2742"/>
      <c r="T14" s="2743"/>
      <c r="V14" s="1937" t="s">
        <v>618</v>
      </c>
      <c r="W14" s="1938"/>
      <c r="X14" s="1938"/>
      <c r="Y14" s="1938"/>
      <c r="Z14" s="1938"/>
      <c r="AA14" s="1938"/>
      <c r="AB14" s="1938"/>
      <c r="AC14" s="1938"/>
      <c r="AD14" s="1939"/>
      <c r="AF14" s="1937" t="s">
        <v>618</v>
      </c>
      <c r="AG14" s="1938"/>
      <c r="AH14" s="1938"/>
      <c r="AI14" s="1938"/>
      <c r="AJ14" s="1938"/>
      <c r="AK14" s="1938"/>
      <c r="AL14" s="1938"/>
      <c r="AM14" s="1938"/>
      <c r="AN14" s="1939"/>
      <c r="AP14" s="1937" t="s">
        <v>618</v>
      </c>
      <c r="AQ14" s="1938"/>
      <c r="AR14" s="1938"/>
      <c r="AS14" s="1938"/>
      <c r="AT14" s="1938"/>
      <c r="AU14" s="1938"/>
      <c r="AV14" s="1938"/>
      <c r="AW14" s="1938"/>
      <c r="AX14" s="1939"/>
      <c r="AZ14" s="1937" t="s">
        <v>618</v>
      </c>
      <c r="BA14" s="1938"/>
      <c r="BB14" s="1938"/>
      <c r="BC14" s="1938"/>
      <c r="BD14" s="1938"/>
      <c r="BE14" s="1938"/>
      <c r="BF14" s="1938"/>
      <c r="BG14" s="1938"/>
      <c r="BH14" s="1939"/>
      <c r="BJ14" s="1327"/>
      <c r="BL14" s="1327"/>
      <c r="BN14" s="1327"/>
      <c r="BP14" s="1327"/>
    </row>
    <row r="15" spans="2:90" ht="15" thickBot="1">
      <c r="B15" s="533" t="s">
        <v>1499</v>
      </c>
      <c r="C15" s="834">
        <f>C9</f>
        <v>8535.7796400000007</v>
      </c>
      <c r="D15" s="835">
        <f>D9</f>
        <v>168.41777888569882</v>
      </c>
      <c r="E15" s="834">
        <f>E9</f>
        <v>1437.5770480265699</v>
      </c>
      <c r="F15" s="834">
        <f>F9</f>
        <v>8267.427595807676</v>
      </c>
      <c r="G15" s="1483">
        <f>G9</f>
        <v>1217.1911056455879</v>
      </c>
      <c r="H15" s="1486">
        <f>'Вхідні дані'!$D$24*'Вхідні дані'!$D$26</f>
        <v>136.57599999999999</v>
      </c>
      <c r="I15" s="834">
        <f t="shared" ref="I15:I19" si="14">G15*H15/1000</f>
        <v>166.23909244465179</v>
      </c>
      <c r="J15" s="842">
        <f>I15/E15*1000</f>
        <v>115.63838798960798</v>
      </c>
      <c r="L15" s="533" t="s">
        <v>1499</v>
      </c>
      <c r="M15" s="834">
        <f>M9</f>
        <v>6460.056239999999</v>
      </c>
      <c r="N15" s="2084">
        <f>N9</f>
        <v>168.9683</v>
      </c>
      <c r="O15" s="834">
        <f>O9</f>
        <v>1091.544720777192</v>
      </c>
      <c r="P15" s="834">
        <f>P9</f>
        <v>8267.4279999999999</v>
      </c>
      <c r="Q15" s="834">
        <f>Q9</f>
        <v>924.20678419459398</v>
      </c>
      <c r="R15" s="2080">
        <f>124.16*1.1</f>
        <v>136.57599999999999</v>
      </c>
      <c r="S15" s="834">
        <f t="shared" ref="S15:S19" si="15">Q15*R15/1000</f>
        <v>126.22446575816086</v>
      </c>
      <c r="T15" s="842">
        <f>S15/O15*1000</f>
        <v>115.63838233607839</v>
      </c>
      <c r="V15" s="533" t="s">
        <v>1499</v>
      </c>
      <c r="W15" s="834">
        <f>SUM(W16:W19)</f>
        <v>480.96030000000002</v>
      </c>
      <c r="X15" s="837">
        <v>165.29503105590064</v>
      </c>
      <c r="Y15" s="836">
        <f>W15*X15/1000</f>
        <v>79.500347725155279</v>
      </c>
      <c r="Z15" s="834">
        <v>8267.4279999999999</v>
      </c>
      <c r="AA15" s="2076">
        <f>AA9</f>
        <v>67.312643554450901</v>
      </c>
      <c r="AB15" s="840">
        <f>'Вхідні дані'!$D$24*'Вхідні дані'!$D$26</f>
        <v>136.57599999999999</v>
      </c>
      <c r="AC15" s="834">
        <f t="shared" ref="AC15:AC19" si="16">AA15*AB15/1000</f>
        <v>9.1932916060926857</v>
      </c>
      <c r="AD15" s="842">
        <f>AC15/Y15*1000</f>
        <v>115.63838233607838</v>
      </c>
      <c r="AF15" s="533" t="s">
        <v>1499</v>
      </c>
      <c r="AG15" s="834">
        <f>AG9</f>
        <v>798.22533999999996</v>
      </c>
      <c r="AH15" s="835">
        <f>AH9</f>
        <v>165.29499999999999</v>
      </c>
      <c r="AI15" s="834">
        <f>AI9</f>
        <v>131.94265757529999</v>
      </c>
      <c r="AJ15" s="2085">
        <v>8267.43</v>
      </c>
      <c r="AK15" s="2076">
        <f>AK9</f>
        <v>111.71534883969959</v>
      </c>
      <c r="AL15" s="840">
        <f>'Вхідні дані'!$D$24*'Вхідні дані'!$D$26</f>
        <v>136.57599999999999</v>
      </c>
      <c r="AM15" s="834">
        <f t="shared" ref="AM15:AM19" si="17">AK15*AL15/1000</f>
        <v>15.257635483130811</v>
      </c>
      <c r="AN15" s="842">
        <f>AM15/AI15*1000</f>
        <v>115.63838233607839</v>
      </c>
      <c r="AP15" s="533" t="s">
        <v>1499</v>
      </c>
      <c r="AQ15" s="834">
        <f>AQ9</f>
        <v>391.51855999999998</v>
      </c>
      <c r="AR15" s="835">
        <f>AR9</f>
        <v>168.96799999999999</v>
      </c>
      <c r="AS15" s="834">
        <f>AS9</f>
        <v>66.154108046079983</v>
      </c>
      <c r="AT15" s="2085">
        <v>8267.43</v>
      </c>
      <c r="AU15" s="2076">
        <f>AU9</f>
        <v>56.012432926245005</v>
      </c>
      <c r="AV15" s="840">
        <f>'Вхідні дані'!$D$24*'Вхідні дані'!$D$26</f>
        <v>136.57599999999999</v>
      </c>
      <c r="AW15" s="834">
        <f t="shared" ref="AW15:AW19" si="18">AU15*AV15/1000</f>
        <v>7.6499540393348369</v>
      </c>
      <c r="AX15" s="842">
        <f>AW15/AS15*1000</f>
        <v>115.63838233607838</v>
      </c>
      <c r="AZ15" s="533" t="s">
        <v>1499</v>
      </c>
      <c r="BA15" s="834">
        <f>BA9</f>
        <v>405.01920000000001</v>
      </c>
      <c r="BB15" s="835">
        <f>BB9</f>
        <v>168.96799999999999</v>
      </c>
      <c r="BC15" s="834">
        <f>BC9</f>
        <v>68.435284185599997</v>
      </c>
      <c r="BD15" s="2086">
        <v>8267.43</v>
      </c>
      <c r="BE15" s="2076">
        <f>BE9</f>
        <v>57.94389613059829</v>
      </c>
      <c r="BF15" s="840">
        <f>BF16</f>
        <v>136.57599999999999</v>
      </c>
      <c r="BG15" s="834">
        <f t="shared" ref="BG15:BG19" si="19">BE15*BF15/1000</f>
        <v>7.9137455579325913</v>
      </c>
      <c r="BH15" s="842">
        <f>BG15/BC15*1000</f>
        <v>115.63838233607838</v>
      </c>
      <c r="BJ15" s="1327">
        <f t="shared" si="2"/>
        <v>1.7621459846850485E-12</v>
      </c>
      <c r="BL15" s="1327">
        <f t="shared" si="1"/>
        <v>-7.0282757363315795E-5</v>
      </c>
      <c r="BN15" s="1327">
        <f t="shared" si="1"/>
        <v>9.2370555648813024E-14</v>
      </c>
      <c r="BP15" s="1327">
        <f t="shared" si="1"/>
        <v>0</v>
      </c>
    </row>
    <row r="16" spans="2:90">
      <c r="B16" s="167" t="s">
        <v>3</v>
      </c>
      <c r="C16" s="836">
        <f t="shared" ref="C16:G19" si="20">C10</f>
        <v>8535.7796400000007</v>
      </c>
      <c r="D16" s="837">
        <f t="shared" si="20"/>
        <v>168.41777888569882</v>
      </c>
      <c r="E16" s="836">
        <f t="shared" si="20"/>
        <v>1437.5770480265699</v>
      </c>
      <c r="F16" s="836">
        <f t="shared" si="20"/>
        <v>8267.4279999999999</v>
      </c>
      <c r="G16" s="836">
        <f>G10</f>
        <v>1217.1911056455879</v>
      </c>
      <c r="H16" s="1487">
        <f>'Вхідні дані'!$D$24*'Вхідні дані'!$D$26</f>
        <v>136.57599999999999</v>
      </c>
      <c r="I16" s="836">
        <f t="shared" si="14"/>
        <v>166.23909244465179</v>
      </c>
      <c r="J16" s="842">
        <f>I16/E16*1000</f>
        <v>115.63838798960798</v>
      </c>
      <c r="L16" s="167" t="s">
        <v>3</v>
      </c>
      <c r="M16" s="836">
        <f>'Д 7_РП'!F184</f>
        <v>6460.0562399999999</v>
      </c>
      <c r="N16" s="2077">
        <f t="shared" ref="M16:P19" si="21">N10</f>
        <v>168.9683</v>
      </c>
      <c r="O16" s="836">
        <f t="shared" si="21"/>
        <v>1091.544720777192</v>
      </c>
      <c r="P16" s="836">
        <f t="shared" si="21"/>
        <v>8267.4279999999999</v>
      </c>
      <c r="Q16" s="836">
        <f>Q$15/(M$10+M$11+M$12+M$13)*M10</f>
        <v>924.20678419459387</v>
      </c>
      <c r="R16" s="982">
        <f>'Вхідні дані'!$D$24*'Вхідні дані'!$D$26</f>
        <v>136.57599999999999</v>
      </c>
      <c r="S16" s="836">
        <f t="shared" si="15"/>
        <v>126.22446575816085</v>
      </c>
      <c r="T16" s="842">
        <f>S16/O16*1000</f>
        <v>115.63838233607838</v>
      </c>
      <c r="V16" s="167" t="s">
        <v>3</v>
      </c>
      <c r="W16" s="836">
        <f>'Д 7_РП'!G184</f>
        <v>480.96030000000002</v>
      </c>
      <c r="X16" s="837">
        <v>165.29503105590064</v>
      </c>
      <c r="Y16" s="836">
        <f>W16*X16/1000</f>
        <v>79.500347725155279</v>
      </c>
      <c r="Z16" s="836">
        <v>8267.4279999999999</v>
      </c>
      <c r="AA16" s="982">
        <f>AA$15/(W$10+W$11+W$12+W$13)*W10</f>
        <v>67.312643554450901</v>
      </c>
      <c r="AB16" s="836">
        <f>'Вхідні дані'!$D$24*'Вхідні дані'!$D$26</f>
        <v>136.57599999999999</v>
      </c>
      <c r="AC16" s="836">
        <f t="shared" si="16"/>
        <v>9.1932916060926857</v>
      </c>
      <c r="AD16" s="842">
        <f>AC16/Y16*1000</f>
        <v>115.63838233607838</v>
      </c>
      <c r="AF16" s="167" t="s">
        <v>3</v>
      </c>
      <c r="AG16" s="836">
        <f>'Д 7_РП'!H184</f>
        <v>798.22533999999996</v>
      </c>
      <c r="AH16" s="837">
        <f t="shared" ref="AG16:AJ19" si="22">AH10</f>
        <v>165.29499999999999</v>
      </c>
      <c r="AI16" s="836">
        <f>AG16*AH16/1000</f>
        <v>131.94265757529999</v>
      </c>
      <c r="AJ16" s="2085">
        <v>8267.43</v>
      </c>
      <c r="AK16" s="982">
        <f>AK$15/(AG$10+AG$11+AG$12+AG$13)*AG10</f>
        <v>111.7153488396996</v>
      </c>
      <c r="AL16" s="836">
        <f>'Вхідні дані'!$D$24*'Вхідні дані'!$D$26</f>
        <v>136.57599999999999</v>
      </c>
      <c r="AM16" s="836">
        <f t="shared" si="17"/>
        <v>15.257635483130812</v>
      </c>
      <c r="AN16" s="842">
        <f>AM16/AI16*1000</f>
        <v>115.63838233607841</v>
      </c>
      <c r="AP16" s="167" t="s">
        <v>3</v>
      </c>
      <c r="AQ16" s="836">
        <f>'Д 7_РП'!I184</f>
        <v>391.51855999999998</v>
      </c>
      <c r="AR16" s="837">
        <f t="shared" ref="AQ16:AT19" si="23">AR10</f>
        <v>168.96799999999999</v>
      </c>
      <c r="AS16" s="836">
        <f>AQ16*AR16/1000</f>
        <v>66.154108046079983</v>
      </c>
      <c r="AT16" s="2085">
        <v>8267.43</v>
      </c>
      <c r="AU16" s="982">
        <f>AU$15/(AQ$10+AQ$11+AQ$12+AQ$13)*AQ10</f>
        <v>56.012432926245012</v>
      </c>
      <c r="AV16" s="836">
        <f>'Вхідні дані'!$D$24*'Вхідні дані'!$D$26</f>
        <v>136.57599999999999</v>
      </c>
      <c r="AW16" s="836">
        <f t="shared" si="18"/>
        <v>7.6499540393348378</v>
      </c>
      <c r="AX16" s="842">
        <f>AW16/AS16*1000</f>
        <v>115.63838233607839</v>
      </c>
      <c r="AZ16" s="167" t="s">
        <v>3</v>
      </c>
      <c r="BA16" s="836">
        <f>'Д 7_РП'!J184</f>
        <v>405.01920000000001</v>
      </c>
      <c r="BB16" s="837">
        <f t="shared" ref="BA16:BD19" si="24">BB10</f>
        <v>168.96799999999999</v>
      </c>
      <c r="BC16" s="836">
        <f>BA16*BB16/1000</f>
        <v>68.435284185599997</v>
      </c>
      <c r="BD16" s="2087">
        <v>8267.43</v>
      </c>
      <c r="BE16" s="982">
        <f>BE$15/(BA$10+BA$11+BA$12+BA$13)*BA10</f>
        <v>57.94389613059829</v>
      </c>
      <c r="BF16" s="836">
        <f>'Вхідні дані'!$D$24*'Вхідні дані'!$D$26</f>
        <v>136.57599999999999</v>
      </c>
      <c r="BG16" s="836">
        <f t="shared" si="19"/>
        <v>7.9137455579325913</v>
      </c>
      <c r="BH16" s="842">
        <f>BG16/BC16*1000</f>
        <v>115.63838233607838</v>
      </c>
      <c r="BJ16" s="1327">
        <f t="shared" si="2"/>
        <v>8.5265128291212022E-13</v>
      </c>
      <c r="BL16" s="1327">
        <f t="shared" si="1"/>
        <v>-7.0282757363315795E-5</v>
      </c>
      <c r="BN16" s="1327">
        <f t="shared" si="1"/>
        <v>1.8474111129762605E-13</v>
      </c>
      <c r="BP16" s="1327">
        <f t="shared" si="1"/>
        <v>1.5099033134902129E-14</v>
      </c>
    </row>
    <row r="17" spans="2:68">
      <c r="B17" s="167" t="s">
        <v>159</v>
      </c>
      <c r="C17" s="836">
        <f t="shared" si="20"/>
        <v>0</v>
      </c>
      <c r="D17" s="837">
        <f t="shared" si="20"/>
        <v>0</v>
      </c>
      <c r="E17" s="836">
        <f t="shared" si="20"/>
        <v>0</v>
      </c>
      <c r="F17" s="836">
        <f t="shared" si="20"/>
        <v>8267.4279999999999</v>
      </c>
      <c r="G17" s="836">
        <f t="shared" si="20"/>
        <v>0</v>
      </c>
      <c r="H17" s="1487">
        <f>'Вхідні дані'!$D$24*'Вхідні дані'!$D$26</f>
        <v>136.57599999999999</v>
      </c>
      <c r="I17" s="836">
        <f t="shared" si="14"/>
        <v>0</v>
      </c>
      <c r="J17" s="842" t="e">
        <f>I17/E17*1000</f>
        <v>#DIV/0!</v>
      </c>
      <c r="L17" s="167" t="s">
        <v>159</v>
      </c>
      <c r="M17" s="836">
        <f t="shared" si="21"/>
        <v>0</v>
      </c>
      <c r="N17" s="2077">
        <f t="shared" si="21"/>
        <v>168.9683</v>
      </c>
      <c r="O17" s="836">
        <f t="shared" si="21"/>
        <v>0</v>
      </c>
      <c r="P17" s="836">
        <f t="shared" si="21"/>
        <v>8267.4279999999999</v>
      </c>
      <c r="Q17" s="836">
        <f t="shared" ref="Q17:Q19" si="25">Q$15/(M$10+M$11+M$12+M$13)*M11</f>
        <v>0</v>
      </c>
      <c r="R17" s="836">
        <v>0</v>
      </c>
      <c r="S17" s="836">
        <f t="shared" si="15"/>
        <v>0</v>
      </c>
      <c r="T17" s="842" t="e">
        <f>S17/O17*1000</f>
        <v>#DIV/0!</v>
      </c>
      <c r="V17" s="167" t="s">
        <v>159</v>
      </c>
      <c r="W17" s="836">
        <f t="shared" ref="W17:Z19" si="26">W11</f>
        <v>0</v>
      </c>
      <c r="X17" s="837">
        <f t="shared" si="26"/>
        <v>165.29503105590064</v>
      </c>
      <c r="Y17" s="836">
        <f t="shared" si="26"/>
        <v>0</v>
      </c>
      <c r="Z17" s="836">
        <f t="shared" si="26"/>
        <v>8267.4279999999999</v>
      </c>
      <c r="AA17" s="836">
        <f t="shared" ref="AA17:AA19" si="27">AA$15/(W$10+W$11+W$12+W$13)*W11</f>
        <v>0</v>
      </c>
      <c r="AB17" s="836">
        <v>0</v>
      </c>
      <c r="AC17" s="836">
        <f t="shared" si="16"/>
        <v>0</v>
      </c>
      <c r="AD17" s="842" t="e">
        <f>AC17/Y17*1000</f>
        <v>#DIV/0!</v>
      </c>
      <c r="AF17" s="167" t="s">
        <v>159</v>
      </c>
      <c r="AG17" s="836">
        <f t="shared" si="22"/>
        <v>0</v>
      </c>
      <c r="AH17" s="837">
        <f t="shared" si="22"/>
        <v>165.29499999999999</v>
      </c>
      <c r="AI17" s="836">
        <f t="shared" si="22"/>
        <v>0</v>
      </c>
      <c r="AJ17" s="836">
        <f t="shared" si="22"/>
        <v>8267.4279999999999</v>
      </c>
      <c r="AK17" s="836">
        <f t="shared" ref="AK17:AK19" si="28">AK$15/(AG$10+AG$11+AG$12+AG$13)*AG11</f>
        <v>0</v>
      </c>
      <c r="AL17" s="836">
        <v>0</v>
      </c>
      <c r="AM17" s="836">
        <f t="shared" si="17"/>
        <v>0</v>
      </c>
      <c r="AN17" s="842" t="e">
        <f>AM17/AI17*1000</f>
        <v>#DIV/0!</v>
      </c>
      <c r="AP17" s="167" t="s">
        <v>159</v>
      </c>
      <c r="AQ17" s="836">
        <f t="shared" si="23"/>
        <v>0</v>
      </c>
      <c r="AR17" s="837">
        <f t="shared" si="23"/>
        <v>168.96799999999999</v>
      </c>
      <c r="AS17" s="836">
        <f t="shared" si="23"/>
        <v>0</v>
      </c>
      <c r="AT17" s="836">
        <f t="shared" si="23"/>
        <v>8267.4279999999999</v>
      </c>
      <c r="AU17" s="836">
        <f t="shared" ref="AU17:AU19" si="29">AU$15/(AQ$10+AQ$11+AQ$12+AQ$13)*AQ11</f>
        <v>0</v>
      </c>
      <c r="AV17" s="836">
        <v>0</v>
      </c>
      <c r="AW17" s="836">
        <f t="shared" si="18"/>
        <v>0</v>
      </c>
      <c r="AX17" s="842" t="e">
        <f>AW17/AS17*1000</f>
        <v>#DIV/0!</v>
      </c>
      <c r="AZ17" s="167" t="s">
        <v>159</v>
      </c>
      <c r="BA17" s="836">
        <f t="shared" si="24"/>
        <v>0</v>
      </c>
      <c r="BB17" s="837">
        <f t="shared" si="24"/>
        <v>168.96799999999999</v>
      </c>
      <c r="BC17" s="836">
        <f t="shared" si="24"/>
        <v>0</v>
      </c>
      <c r="BD17" s="836">
        <f t="shared" si="24"/>
        <v>8267.4279999999999</v>
      </c>
      <c r="BE17" s="836">
        <f t="shared" ref="BE17:BE19" si="30">BE$15/(BA$10+BA$11+BA$12+BA$13)*BA11</f>
        <v>0</v>
      </c>
      <c r="BF17" s="836">
        <v>0</v>
      </c>
      <c r="BG17" s="836">
        <f t="shared" si="19"/>
        <v>0</v>
      </c>
      <c r="BH17" s="842" t="e">
        <f>BG17/BC17*1000</f>
        <v>#DIV/0!</v>
      </c>
      <c r="BJ17" s="1327">
        <f t="shared" si="2"/>
        <v>0</v>
      </c>
      <c r="BL17" s="1327">
        <f t="shared" si="1"/>
        <v>0</v>
      </c>
      <c r="BN17" s="1327">
        <f t="shared" si="1"/>
        <v>0</v>
      </c>
      <c r="BP17" s="1327">
        <f t="shared" si="1"/>
        <v>0</v>
      </c>
    </row>
    <row r="18" spans="2:68">
      <c r="B18" s="167" t="s">
        <v>92</v>
      </c>
      <c r="C18" s="836">
        <f t="shared" si="20"/>
        <v>0</v>
      </c>
      <c r="D18" s="837">
        <f t="shared" si="20"/>
        <v>0</v>
      </c>
      <c r="E18" s="836">
        <f t="shared" si="20"/>
        <v>0</v>
      </c>
      <c r="F18" s="836">
        <f t="shared" si="20"/>
        <v>8267.4279999999999</v>
      </c>
      <c r="G18" s="836">
        <f t="shared" si="20"/>
        <v>0</v>
      </c>
      <c r="H18" s="1487">
        <f>'Вхідні дані'!$D$24*'Вхідні дані'!$D$26</f>
        <v>136.57599999999999</v>
      </c>
      <c r="I18" s="836">
        <f t="shared" si="14"/>
        <v>0</v>
      </c>
      <c r="J18" s="842" t="e">
        <f>I18/E18*1000</f>
        <v>#DIV/0!</v>
      </c>
      <c r="L18" s="167" t="s">
        <v>92</v>
      </c>
      <c r="M18" s="836">
        <f t="shared" si="21"/>
        <v>0</v>
      </c>
      <c r="N18" s="2077">
        <f t="shared" si="21"/>
        <v>168.9683</v>
      </c>
      <c r="O18" s="836">
        <f t="shared" si="21"/>
        <v>0</v>
      </c>
      <c r="P18" s="836">
        <f t="shared" si="21"/>
        <v>8267.4279999999999</v>
      </c>
      <c r="Q18" s="836">
        <f t="shared" si="25"/>
        <v>0</v>
      </c>
      <c r="R18" s="836">
        <v>0</v>
      </c>
      <c r="S18" s="836">
        <f t="shared" si="15"/>
        <v>0</v>
      </c>
      <c r="T18" s="842" t="e">
        <f>S18/O18*1000</f>
        <v>#DIV/0!</v>
      </c>
      <c r="V18" s="167" t="s">
        <v>92</v>
      </c>
      <c r="W18" s="836">
        <f t="shared" si="26"/>
        <v>0</v>
      </c>
      <c r="X18" s="837">
        <f t="shared" si="26"/>
        <v>165.29503105590064</v>
      </c>
      <c r="Y18" s="836">
        <f t="shared" si="26"/>
        <v>0</v>
      </c>
      <c r="Z18" s="836">
        <f t="shared" si="26"/>
        <v>8267.4279999999999</v>
      </c>
      <c r="AA18" s="836">
        <f t="shared" si="27"/>
        <v>0</v>
      </c>
      <c r="AB18" s="836">
        <v>0</v>
      </c>
      <c r="AC18" s="836">
        <f t="shared" si="16"/>
        <v>0</v>
      </c>
      <c r="AD18" s="842" t="e">
        <f>AC18/Y18*1000</f>
        <v>#DIV/0!</v>
      </c>
      <c r="AF18" s="167" t="s">
        <v>92</v>
      </c>
      <c r="AG18" s="836">
        <f t="shared" si="22"/>
        <v>0</v>
      </c>
      <c r="AH18" s="837">
        <f t="shared" si="22"/>
        <v>165.29499999999999</v>
      </c>
      <c r="AI18" s="836">
        <f t="shared" si="22"/>
        <v>0</v>
      </c>
      <c r="AJ18" s="836">
        <f t="shared" si="22"/>
        <v>8267.4279999999999</v>
      </c>
      <c r="AK18" s="836">
        <f t="shared" si="28"/>
        <v>0</v>
      </c>
      <c r="AL18" s="836">
        <v>0</v>
      </c>
      <c r="AM18" s="836">
        <f t="shared" si="17"/>
        <v>0</v>
      </c>
      <c r="AN18" s="842" t="e">
        <f>AM18/AI18*1000</f>
        <v>#DIV/0!</v>
      </c>
      <c r="AP18" s="167" t="s">
        <v>92</v>
      </c>
      <c r="AQ18" s="836">
        <f t="shared" si="23"/>
        <v>0</v>
      </c>
      <c r="AR18" s="837">
        <f t="shared" si="23"/>
        <v>168.96799999999999</v>
      </c>
      <c r="AS18" s="836">
        <f t="shared" si="23"/>
        <v>0</v>
      </c>
      <c r="AT18" s="836">
        <f t="shared" si="23"/>
        <v>8267.4279999999999</v>
      </c>
      <c r="AU18" s="836">
        <f t="shared" si="29"/>
        <v>0</v>
      </c>
      <c r="AV18" s="836">
        <v>0</v>
      </c>
      <c r="AW18" s="836">
        <f t="shared" si="18"/>
        <v>0</v>
      </c>
      <c r="AX18" s="842" t="e">
        <f>AW18/AS18*1000</f>
        <v>#DIV/0!</v>
      </c>
      <c r="AZ18" s="167" t="s">
        <v>92</v>
      </c>
      <c r="BA18" s="836">
        <f t="shared" si="24"/>
        <v>0</v>
      </c>
      <c r="BB18" s="837">
        <f t="shared" si="24"/>
        <v>168.96799999999999</v>
      </c>
      <c r="BC18" s="836">
        <f t="shared" si="24"/>
        <v>0</v>
      </c>
      <c r="BD18" s="836">
        <f t="shared" si="24"/>
        <v>8267.4279999999999</v>
      </c>
      <c r="BE18" s="836">
        <f t="shared" si="30"/>
        <v>0</v>
      </c>
      <c r="BF18" s="836">
        <v>0</v>
      </c>
      <c r="BG18" s="836">
        <f t="shared" si="19"/>
        <v>0</v>
      </c>
      <c r="BH18" s="842" t="e">
        <f>BG18/BC18*1000</f>
        <v>#DIV/0!</v>
      </c>
      <c r="BJ18" s="1327">
        <f t="shared" si="2"/>
        <v>0</v>
      </c>
      <c r="BL18" s="1327">
        <f t="shared" si="1"/>
        <v>0</v>
      </c>
      <c r="BN18" s="1327">
        <f t="shared" si="1"/>
        <v>0</v>
      </c>
      <c r="BP18" s="1327">
        <f t="shared" si="1"/>
        <v>0</v>
      </c>
    </row>
    <row r="19" spans="2:68" ht="15" thickBot="1">
      <c r="B19" s="534" t="s">
        <v>93</v>
      </c>
      <c r="C19" s="838">
        <f t="shared" si="20"/>
        <v>0</v>
      </c>
      <c r="D19" s="839">
        <f t="shared" si="20"/>
        <v>0</v>
      </c>
      <c r="E19" s="838">
        <f t="shared" si="20"/>
        <v>0</v>
      </c>
      <c r="F19" s="838">
        <f t="shared" si="20"/>
        <v>8267.4279999999999</v>
      </c>
      <c r="G19" s="836">
        <f t="shared" si="20"/>
        <v>0</v>
      </c>
      <c r="H19" s="1488">
        <f>'Вхідні дані'!$D$24*'Вхідні дані'!$D$26</f>
        <v>136.57599999999999</v>
      </c>
      <c r="I19" s="838">
        <f t="shared" si="14"/>
        <v>0</v>
      </c>
      <c r="J19" s="844" t="e">
        <f>I19/E19*1000</f>
        <v>#DIV/0!</v>
      </c>
      <c r="L19" s="534" t="s">
        <v>93</v>
      </c>
      <c r="M19" s="838">
        <f t="shared" si="21"/>
        <v>0</v>
      </c>
      <c r="N19" s="2079">
        <f t="shared" si="21"/>
        <v>168.9683</v>
      </c>
      <c r="O19" s="838">
        <f t="shared" si="21"/>
        <v>0</v>
      </c>
      <c r="P19" s="838">
        <f t="shared" si="21"/>
        <v>8267.4279999999999</v>
      </c>
      <c r="Q19" s="836">
        <f t="shared" si="25"/>
        <v>0</v>
      </c>
      <c r="R19" s="2083">
        <v>0</v>
      </c>
      <c r="S19" s="838">
        <f t="shared" si="15"/>
        <v>0</v>
      </c>
      <c r="T19" s="844" t="e">
        <f>S19/O19*1000</f>
        <v>#DIV/0!</v>
      </c>
      <c r="V19" s="534" t="s">
        <v>93</v>
      </c>
      <c r="W19" s="838">
        <f t="shared" si="26"/>
        <v>0</v>
      </c>
      <c r="X19" s="839">
        <f t="shared" si="26"/>
        <v>165.29503105590064</v>
      </c>
      <c r="Y19" s="838">
        <f t="shared" si="26"/>
        <v>0</v>
      </c>
      <c r="Z19" s="838">
        <f t="shared" si="26"/>
        <v>8267.4279999999999</v>
      </c>
      <c r="AA19" s="836">
        <f t="shared" si="27"/>
        <v>0</v>
      </c>
      <c r="AB19" s="843">
        <v>0</v>
      </c>
      <c r="AC19" s="838">
        <f t="shared" si="16"/>
        <v>0</v>
      </c>
      <c r="AD19" s="844" t="e">
        <f>AC19/Y19*1000</f>
        <v>#DIV/0!</v>
      </c>
      <c r="AF19" s="534" t="s">
        <v>93</v>
      </c>
      <c r="AG19" s="838">
        <f t="shared" si="22"/>
        <v>0</v>
      </c>
      <c r="AH19" s="839">
        <f t="shared" si="22"/>
        <v>165.29499999999999</v>
      </c>
      <c r="AI19" s="838">
        <f t="shared" si="22"/>
        <v>0</v>
      </c>
      <c r="AJ19" s="838">
        <f t="shared" si="22"/>
        <v>8267.4279999999999</v>
      </c>
      <c r="AK19" s="836">
        <f t="shared" si="28"/>
        <v>0</v>
      </c>
      <c r="AL19" s="843">
        <v>0</v>
      </c>
      <c r="AM19" s="838">
        <f t="shared" si="17"/>
        <v>0</v>
      </c>
      <c r="AN19" s="844" t="e">
        <f>AM19/AI19*1000</f>
        <v>#DIV/0!</v>
      </c>
      <c r="AP19" s="534" t="s">
        <v>93</v>
      </c>
      <c r="AQ19" s="838">
        <f t="shared" si="23"/>
        <v>0</v>
      </c>
      <c r="AR19" s="839">
        <f t="shared" si="23"/>
        <v>168.96799999999999</v>
      </c>
      <c r="AS19" s="838">
        <f t="shared" si="23"/>
        <v>0</v>
      </c>
      <c r="AT19" s="838">
        <f t="shared" si="23"/>
        <v>8267.4279999999999</v>
      </c>
      <c r="AU19" s="836">
        <f t="shared" si="29"/>
        <v>0</v>
      </c>
      <c r="AV19" s="843">
        <v>0</v>
      </c>
      <c r="AW19" s="838">
        <f t="shared" si="18"/>
        <v>0</v>
      </c>
      <c r="AX19" s="844" t="e">
        <f>AW19/AS19*1000</f>
        <v>#DIV/0!</v>
      </c>
      <c r="AZ19" s="534" t="s">
        <v>93</v>
      </c>
      <c r="BA19" s="838">
        <f t="shared" si="24"/>
        <v>0</v>
      </c>
      <c r="BB19" s="839">
        <f t="shared" si="24"/>
        <v>168.96799999999999</v>
      </c>
      <c r="BC19" s="838">
        <f t="shared" si="24"/>
        <v>0</v>
      </c>
      <c r="BD19" s="838">
        <f t="shared" si="24"/>
        <v>8267.4279999999999</v>
      </c>
      <c r="BE19" s="836">
        <f t="shared" si="30"/>
        <v>0</v>
      </c>
      <c r="BF19" s="843">
        <v>0</v>
      </c>
      <c r="BG19" s="838">
        <f t="shared" si="19"/>
        <v>0</v>
      </c>
      <c r="BH19" s="844" t="e">
        <f>BG19/BC19*1000</f>
        <v>#DIV/0!</v>
      </c>
      <c r="BJ19" s="1327">
        <f t="shared" si="2"/>
        <v>0</v>
      </c>
      <c r="BL19" s="1327">
        <f t="shared" si="1"/>
        <v>0</v>
      </c>
      <c r="BN19" s="1327">
        <f t="shared" si="1"/>
        <v>0</v>
      </c>
      <c r="BP19" s="1327">
        <f t="shared" si="1"/>
        <v>0</v>
      </c>
    </row>
    <row r="20" spans="2:68" ht="15" thickBot="1">
      <c r="B20" s="2747" t="s">
        <v>619</v>
      </c>
      <c r="C20" s="2748"/>
      <c r="D20" s="2748"/>
      <c r="E20" s="2748"/>
      <c r="F20" s="2748"/>
      <c r="G20" s="2748"/>
      <c r="H20" s="2748"/>
      <c r="I20" s="2748"/>
      <c r="J20" s="2749"/>
      <c r="L20" s="2738" t="s">
        <v>619</v>
      </c>
      <c r="M20" s="2739"/>
      <c r="N20" s="2739"/>
      <c r="O20" s="2739"/>
      <c r="P20" s="2739"/>
      <c r="Q20" s="2739"/>
      <c r="R20" s="2739"/>
      <c r="S20" s="2739"/>
      <c r="T20" s="2740"/>
      <c r="V20" s="1932" t="s">
        <v>619</v>
      </c>
      <c r="W20" s="1933"/>
      <c r="X20" s="1933"/>
      <c r="Y20" s="1933"/>
      <c r="Z20" s="1933"/>
      <c r="AA20" s="1933"/>
      <c r="AB20" s="1933"/>
      <c r="AC20" s="1933"/>
      <c r="AD20" s="1934"/>
      <c r="AF20" s="1932" t="s">
        <v>619</v>
      </c>
      <c r="AG20" s="1933"/>
      <c r="AH20" s="1933"/>
      <c r="AI20" s="1933"/>
      <c r="AJ20" s="1933"/>
      <c r="AK20" s="1933"/>
      <c r="AL20" s="1933"/>
      <c r="AM20" s="1933"/>
      <c r="AN20" s="1934"/>
      <c r="AP20" s="1932" t="s">
        <v>619</v>
      </c>
      <c r="AQ20" s="1933"/>
      <c r="AR20" s="1933"/>
      <c r="AS20" s="1933"/>
      <c r="AT20" s="1933"/>
      <c r="AU20" s="1933"/>
      <c r="AV20" s="1933"/>
      <c r="AW20" s="1933"/>
      <c r="AX20" s="1934"/>
      <c r="AZ20" s="1932" t="s">
        <v>619</v>
      </c>
      <c r="BA20" s="1933"/>
      <c r="BB20" s="1933"/>
      <c r="BC20" s="1933"/>
      <c r="BD20" s="1933"/>
      <c r="BE20" s="1933"/>
      <c r="BF20" s="1933"/>
      <c r="BG20" s="1933"/>
      <c r="BH20" s="1934"/>
      <c r="BJ20" s="1327"/>
      <c r="BN20" s="1327"/>
      <c r="BP20" s="1327"/>
    </row>
    <row r="21" spans="2:68" ht="14.4" customHeight="1" thickBot="1">
      <c r="B21" s="533" t="s">
        <v>1499</v>
      </c>
      <c r="C21" s="834" t="s">
        <v>300</v>
      </c>
      <c r="D21" s="834" t="s">
        <v>300</v>
      </c>
      <c r="E21" s="834" t="s">
        <v>300</v>
      </c>
      <c r="F21" s="834" t="s">
        <v>300</v>
      </c>
      <c r="G21" s="834">
        <f>SUM(G22:G25)</f>
        <v>559.78200000000004</v>
      </c>
      <c r="H21" s="834">
        <f>'Вхідні дані'!$D$25</f>
        <v>1090</v>
      </c>
      <c r="I21" s="840">
        <f>G21*H21/1000</f>
        <v>610.16237999999998</v>
      </c>
      <c r="J21" s="841" t="s">
        <v>300</v>
      </c>
      <c r="L21" s="533" t="s">
        <v>1499</v>
      </c>
      <c r="M21" s="834" t="s">
        <v>300</v>
      </c>
      <c r="N21" s="834" t="s">
        <v>300</v>
      </c>
      <c r="O21" s="834" t="s">
        <v>300</v>
      </c>
      <c r="P21" s="834" t="s">
        <v>300</v>
      </c>
      <c r="Q21" s="834">
        <f>SUM(Q22:Q25)</f>
        <v>390.44200000000001</v>
      </c>
      <c r="R21" s="834">
        <f>'Вхідні дані'!$D$25</f>
        <v>1090</v>
      </c>
      <c r="S21" s="840">
        <f>Q21*R21/1000</f>
        <v>425.58178000000004</v>
      </c>
      <c r="T21" s="841" t="s">
        <v>300</v>
      </c>
      <c r="V21" s="533" t="s">
        <v>1499</v>
      </c>
      <c r="W21" s="834" t="s">
        <v>300</v>
      </c>
      <c r="X21" s="834" t="s">
        <v>300</v>
      </c>
      <c r="Y21" s="834" t="s">
        <v>300</v>
      </c>
      <c r="Z21" s="834" t="s">
        <v>300</v>
      </c>
      <c r="AA21" s="834">
        <f>SUM(AA22:AA25)</f>
        <v>50.414000000000001</v>
      </c>
      <c r="AB21" s="834">
        <f>'Вхідні дані'!$D$25</f>
        <v>1090</v>
      </c>
      <c r="AC21" s="840">
        <f>AA21*AB21/1000</f>
        <v>54.951260000000005</v>
      </c>
      <c r="AD21" s="841" t="s">
        <v>300</v>
      </c>
      <c r="AF21" s="533" t="s">
        <v>1499</v>
      </c>
      <c r="AG21" s="834" t="s">
        <v>300</v>
      </c>
      <c r="AH21" s="834" t="s">
        <v>300</v>
      </c>
      <c r="AI21" s="834" t="s">
        <v>300</v>
      </c>
      <c r="AJ21" s="834" t="s">
        <v>300</v>
      </c>
      <c r="AK21" s="834">
        <f>SUM(AK22:AK25)</f>
        <v>70.438999999999993</v>
      </c>
      <c r="AL21" s="834">
        <f>'Вхідні дані'!$D$25</f>
        <v>1090</v>
      </c>
      <c r="AM21" s="840">
        <f>AK21*AL21/1000</f>
        <v>76.778509999999997</v>
      </c>
      <c r="AN21" s="841" t="s">
        <v>300</v>
      </c>
      <c r="AP21" s="533" t="s">
        <v>1499</v>
      </c>
      <c r="AQ21" s="834" t="s">
        <v>300</v>
      </c>
      <c r="AR21" s="834" t="s">
        <v>300</v>
      </c>
      <c r="AS21" s="834" t="s">
        <v>300</v>
      </c>
      <c r="AT21" s="834" t="s">
        <v>300</v>
      </c>
      <c r="AU21" s="834">
        <f>SUM(AU22:AU25)</f>
        <v>21.331</v>
      </c>
      <c r="AV21" s="834">
        <f>'Вхідні дані'!$D$25</f>
        <v>1090</v>
      </c>
      <c r="AW21" s="840">
        <f>AU21*AV21/1000</f>
        <v>23.250790000000002</v>
      </c>
      <c r="AX21" s="841" t="s">
        <v>300</v>
      </c>
      <c r="AZ21" s="533" t="s">
        <v>1499</v>
      </c>
      <c r="BA21" s="834" t="s">
        <v>300</v>
      </c>
      <c r="BB21" s="834" t="s">
        <v>300</v>
      </c>
      <c r="BC21" s="834" t="s">
        <v>300</v>
      </c>
      <c r="BD21" s="834" t="s">
        <v>300</v>
      </c>
      <c r="BE21" s="834">
        <f>SUM(BE22:BE25)</f>
        <v>27.155999999999999</v>
      </c>
      <c r="BF21" s="834">
        <f>'Вхідні дані'!$D$25</f>
        <v>1090</v>
      </c>
      <c r="BG21" s="840">
        <f>BE21*BF21/1000</f>
        <v>29.600039999999996</v>
      </c>
      <c r="BH21" s="841" t="s">
        <v>300</v>
      </c>
      <c r="BJ21" s="1327"/>
      <c r="BN21" s="1327">
        <f t="shared" si="1"/>
        <v>3.907985046680551E-14</v>
      </c>
      <c r="BP21" s="1327">
        <f t="shared" si="1"/>
        <v>-3.907985046680551E-14</v>
      </c>
    </row>
    <row r="22" spans="2:68">
      <c r="B22" s="167" t="s">
        <v>3</v>
      </c>
      <c r="C22" s="836" t="s">
        <v>300</v>
      </c>
      <c r="D22" s="836" t="s">
        <v>300</v>
      </c>
      <c r="E22" s="836" t="s">
        <v>300</v>
      </c>
      <c r="F22" s="836" t="s">
        <v>300</v>
      </c>
      <c r="G22" s="836">
        <f>(122822+267620+50414+70439+21331+27156)/1000</f>
        <v>559.78200000000004</v>
      </c>
      <c r="H22" s="836">
        <f>'Вхідні дані'!$D$25</f>
        <v>1090</v>
      </c>
      <c r="I22" s="836">
        <f>G22*H22/1000</f>
        <v>610.16237999999998</v>
      </c>
      <c r="J22" s="842" t="s">
        <v>300</v>
      </c>
      <c r="L22" s="167" t="s">
        <v>3</v>
      </c>
      <c r="M22" s="836" t="s">
        <v>300</v>
      </c>
      <c r="N22" s="836" t="s">
        <v>300</v>
      </c>
      <c r="O22" s="836" t="s">
        <v>300</v>
      </c>
      <c r="P22" s="836" t="s">
        <v>300</v>
      </c>
      <c r="Q22" s="836">
        <f>267620/1000+122822/1000</f>
        <v>390.44200000000001</v>
      </c>
      <c r="R22" s="836">
        <f>'Вхідні дані'!$D$25</f>
        <v>1090</v>
      </c>
      <c r="S22" s="836">
        <f>Q22*R22/1000</f>
        <v>425.58178000000004</v>
      </c>
      <c r="T22" s="842" t="s">
        <v>300</v>
      </c>
      <c r="V22" s="167" t="s">
        <v>3</v>
      </c>
      <c r="W22" s="836" t="s">
        <v>300</v>
      </c>
      <c r="X22" s="836" t="s">
        <v>300</v>
      </c>
      <c r="Y22" s="836" t="s">
        <v>300</v>
      </c>
      <c r="Z22" s="836" t="s">
        <v>300</v>
      </c>
      <c r="AA22" s="836">
        <f>50414/1000</f>
        <v>50.414000000000001</v>
      </c>
      <c r="AB22" s="836">
        <f>'Вхідні дані'!$D$25</f>
        <v>1090</v>
      </c>
      <c r="AC22" s="836">
        <f>AA22*AB22/1000</f>
        <v>54.951260000000005</v>
      </c>
      <c r="AD22" s="842" t="s">
        <v>300</v>
      </c>
      <c r="AF22" s="167" t="s">
        <v>3</v>
      </c>
      <c r="AG22" s="836" t="s">
        <v>300</v>
      </c>
      <c r="AH22" s="836" t="s">
        <v>300</v>
      </c>
      <c r="AI22" s="836" t="s">
        <v>300</v>
      </c>
      <c r="AJ22" s="836" t="s">
        <v>300</v>
      </c>
      <c r="AK22" s="836">
        <v>70.438999999999993</v>
      </c>
      <c r="AL22" s="836">
        <f>'Вхідні дані'!$D$25</f>
        <v>1090</v>
      </c>
      <c r="AM22" s="836">
        <f>AK22*AL22/1000</f>
        <v>76.778509999999997</v>
      </c>
      <c r="AN22" s="842" t="s">
        <v>300</v>
      </c>
      <c r="AP22" s="167" t="s">
        <v>3</v>
      </c>
      <c r="AQ22" s="836" t="s">
        <v>300</v>
      </c>
      <c r="AR22" s="836" t="s">
        <v>300</v>
      </c>
      <c r="AS22" s="836" t="s">
        <v>300</v>
      </c>
      <c r="AT22" s="836" t="s">
        <v>300</v>
      </c>
      <c r="AU22" s="836">
        <f>21331/1000</f>
        <v>21.331</v>
      </c>
      <c r="AV22" s="836">
        <f>'Вхідні дані'!$D$25</f>
        <v>1090</v>
      </c>
      <c r="AW22" s="836">
        <f>AU22*AV22/1000</f>
        <v>23.250790000000002</v>
      </c>
      <c r="AX22" s="842" t="s">
        <v>300</v>
      </c>
      <c r="AZ22" s="167" t="s">
        <v>3</v>
      </c>
      <c r="BA22" s="836" t="s">
        <v>300</v>
      </c>
      <c r="BB22" s="836" t="s">
        <v>300</v>
      </c>
      <c r="BC22" s="836" t="s">
        <v>300</v>
      </c>
      <c r="BD22" s="836" t="s">
        <v>300</v>
      </c>
      <c r="BE22" s="836">
        <f>27156/1000</f>
        <v>27.155999999999999</v>
      </c>
      <c r="BF22" s="834">
        <f>'Вхідні дані'!$D$25</f>
        <v>1090</v>
      </c>
      <c r="BG22" s="836">
        <f>BE22*BF22/1000</f>
        <v>29.600039999999996</v>
      </c>
      <c r="BH22" s="842" t="s">
        <v>300</v>
      </c>
      <c r="BJ22" s="1327"/>
      <c r="BN22" s="1327">
        <f t="shared" si="1"/>
        <v>3.907985046680551E-14</v>
      </c>
      <c r="BP22" s="1327">
        <f t="shared" si="1"/>
        <v>-3.907985046680551E-14</v>
      </c>
    </row>
    <row r="23" spans="2:68">
      <c r="B23" s="167" t="s">
        <v>159</v>
      </c>
      <c r="C23" s="836" t="s">
        <v>300</v>
      </c>
      <c r="D23" s="836" t="s">
        <v>300</v>
      </c>
      <c r="E23" s="836" t="s">
        <v>300</v>
      </c>
      <c r="F23" s="836" t="s">
        <v>300</v>
      </c>
      <c r="G23" s="836">
        <v>0</v>
      </c>
      <c r="H23" s="836">
        <f>'Вхідні дані'!$D$25</f>
        <v>1090</v>
      </c>
      <c r="I23" s="836">
        <f>G23*H23/1000</f>
        <v>0</v>
      </c>
      <c r="J23" s="842" t="s">
        <v>300</v>
      </c>
      <c r="L23" s="167" t="s">
        <v>159</v>
      </c>
      <c r="M23" s="836" t="s">
        <v>300</v>
      </c>
      <c r="N23" s="836" t="s">
        <v>300</v>
      </c>
      <c r="O23" s="836" t="s">
        <v>300</v>
      </c>
      <c r="P23" s="836" t="s">
        <v>300</v>
      </c>
      <c r="Q23" s="836">
        <v>0</v>
      </c>
      <c r="R23" s="836">
        <v>0</v>
      </c>
      <c r="S23" s="836">
        <f>Q23*R23/1000</f>
        <v>0</v>
      </c>
      <c r="T23" s="842" t="s">
        <v>300</v>
      </c>
      <c r="V23" s="167" t="s">
        <v>159</v>
      </c>
      <c r="W23" s="836" t="s">
        <v>300</v>
      </c>
      <c r="X23" s="836" t="s">
        <v>300</v>
      </c>
      <c r="Y23" s="836" t="s">
        <v>300</v>
      </c>
      <c r="Z23" s="836" t="s">
        <v>300</v>
      </c>
      <c r="AA23" s="836"/>
      <c r="AB23" s="836" t="str">
        <f>'[33]дод8 Котельня, 1Г'!$D$25</f>
        <v>х</v>
      </c>
      <c r="AC23" s="836" t="e">
        <f>AA23*AB23/1000</f>
        <v>#VALUE!</v>
      </c>
      <c r="AD23" s="842" t="s">
        <v>300</v>
      </c>
      <c r="AF23" s="167" t="s">
        <v>159</v>
      </c>
      <c r="AG23" s="836" t="s">
        <v>300</v>
      </c>
      <c r="AH23" s="836" t="s">
        <v>300</v>
      </c>
      <c r="AI23" s="836" t="s">
        <v>300</v>
      </c>
      <c r="AJ23" s="836" t="s">
        <v>300</v>
      </c>
      <c r="AK23" s="836"/>
      <c r="AL23" s="836" t="str">
        <f>'[33]дод8 Котельня, 1Г'!$D$25</f>
        <v>х</v>
      </c>
      <c r="AM23" s="836" t="e">
        <f>AK23*AL23/1000</f>
        <v>#VALUE!</v>
      </c>
      <c r="AN23" s="842" t="s">
        <v>300</v>
      </c>
      <c r="AP23" s="167" t="s">
        <v>159</v>
      </c>
      <c r="AQ23" s="836" t="s">
        <v>300</v>
      </c>
      <c r="AR23" s="836" t="s">
        <v>300</v>
      </c>
      <c r="AS23" s="836" t="s">
        <v>300</v>
      </c>
      <c r="AT23" s="836" t="s">
        <v>300</v>
      </c>
      <c r="AU23" s="836"/>
      <c r="AV23" s="836" t="str">
        <f>'[33]дод8 Котельня, 1Г'!$D$25</f>
        <v>х</v>
      </c>
      <c r="AW23" s="836" t="e">
        <f>AU23*AV23/1000</f>
        <v>#VALUE!</v>
      </c>
      <c r="AX23" s="842" t="s">
        <v>300</v>
      </c>
      <c r="AZ23" s="167" t="s">
        <v>159</v>
      </c>
      <c r="BA23" s="836" t="s">
        <v>300</v>
      </c>
      <c r="BB23" s="836" t="s">
        <v>300</v>
      </c>
      <c r="BC23" s="836" t="s">
        <v>300</v>
      </c>
      <c r="BD23" s="836" t="s">
        <v>300</v>
      </c>
      <c r="BE23" s="836"/>
      <c r="BF23" s="836" t="str">
        <f>'[33]дод8 Котельня, 1Г'!$D$25</f>
        <v>х</v>
      </c>
      <c r="BG23" s="836" t="e">
        <f>BE23*BF23/1000</f>
        <v>#VALUE!</v>
      </c>
      <c r="BH23" s="842" t="s">
        <v>300</v>
      </c>
      <c r="BJ23" s="1327"/>
      <c r="BN23" s="1327">
        <f t="shared" si="1"/>
        <v>0</v>
      </c>
      <c r="BP23" s="1327" t="e">
        <f t="shared" si="1"/>
        <v>#VALUE!</v>
      </c>
    </row>
    <row r="24" spans="2:68">
      <c r="B24" s="167" t="s">
        <v>92</v>
      </c>
      <c r="C24" s="836" t="s">
        <v>300</v>
      </c>
      <c r="D24" s="836" t="s">
        <v>300</v>
      </c>
      <c r="E24" s="836" t="s">
        <v>300</v>
      </c>
      <c r="F24" s="836" t="s">
        <v>300</v>
      </c>
      <c r="G24" s="836">
        <v>0</v>
      </c>
      <c r="H24" s="836">
        <f>'Вхідні дані'!$D$25</f>
        <v>1090</v>
      </c>
      <c r="I24" s="836">
        <f>G24*H24/1000</f>
        <v>0</v>
      </c>
      <c r="J24" s="842" t="s">
        <v>300</v>
      </c>
      <c r="L24" s="167" t="s">
        <v>92</v>
      </c>
      <c r="M24" s="836" t="s">
        <v>300</v>
      </c>
      <c r="N24" s="836" t="s">
        <v>300</v>
      </c>
      <c r="O24" s="836" t="s">
        <v>300</v>
      </c>
      <c r="P24" s="836" t="s">
        <v>300</v>
      </c>
      <c r="Q24" s="836">
        <v>0</v>
      </c>
      <c r="R24" s="836">
        <v>0</v>
      </c>
      <c r="S24" s="836">
        <f>Q24*R24/1000</f>
        <v>0</v>
      </c>
      <c r="T24" s="842" t="s">
        <v>300</v>
      </c>
      <c r="V24" s="167" t="s">
        <v>92</v>
      </c>
      <c r="W24" s="836" t="s">
        <v>300</v>
      </c>
      <c r="X24" s="836" t="s">
        <v>300</v>
      </c>
      <c r="Y24" s="836" t="s">
        <v>300</v>
      </c>
      <c r="Z24" s="836" t="s">
        <v>300</v>
      </c>
      <c r="AA24" s="836"/>
      <c r="AB24" s="836" t="str">
        <f>'[33]дод8 Котельня, 1Г'!$D$25</f>
        <v>х</v>
      </c>
      <c r="AC24" s="836" t="e">
        <f>AA24*AB24/1000</f>
        <v>#VALUE!</v>
      </c>
      <c r="AD24" s="842" t="s">
        <v>300</v>
      </c>
      <c r="AF24" s="167" t="s">
        <v>92</v>
      </c>
      <c r="AG24" s="836" t="s">
        <v>300</v>
      </c>
      <c r="AH24" s="836" t="s">
        <v>300</v>
      </c>
      <c r="AI24" s="836" t="s">
        <v>300</v>
      </c>
      <c r="AJ24" s="836" t="s">
        <v>300</v>
      </c>
      <c r="AK24" s="836"/>
      <c r="AL24" s="836" t="str">
        <f>'[33]дод8 Котельня, 1Г'!$D$25</f>
        <v>х</v>
      </c>
      <c r="AM24" s="836" t="e">
        <f>AK24*AL24/1000</f>
        <v>#VALUE!</v>
      </c>
      <c r="AN24" s="842" t="s">
        <v>300</v>
      </c>
      <c r="AP24" s="167" t="s">
        <v>92</v>
      </c>
      <c r="AQ24" s="836" t="s">
        <v>300</v>
      </c>
      <c r="AR24" s="836" t="s">
        <v>300</v>
      </c>
      <c r="AS24" s="836" t="s">
        <v>300</v>
      </c>
      <c r="AT24" s="836" t="s">
        <v>300</v>
      </c>
      <c r="AU24" s="836"/>
      <c r="AV24" s="836" t="str">
        <f>'[33]дод8 Котельня, 1Г'!$D$25</f>
        <v>х</v>
      </c>
      <c r="AW24" s="836" t="e">
        <f>AU24*AV24/1000</f>
        <v>#VALUE!</v>
      </c>
      <c r="AX24" s="842" t="s">
        <v>300</v>
      </c>
      <c r="AZ24" s="167" t="s">
        <v>92</v>
      </c>
      <c r="BA24" s="836" t="s">
        <v>300</v>
      </c>
      <c r="BB24" s="836" t="s">
        <v>300</v>
      </c>
      <c r="BC24" s="836" t="s">
        <v>300</v>
      </c>
      <c r="BD24" s="836" t="s">
        <v>300</v>
      </c>
      <c r="BE24" s="836"/>
      <c r="BF24" s="836" t="str">
        <f>'[33]дод8 Котельня, 1Г'!$D$25</f>
        <v>х</v>
      </c>
      <c r="BG24" s="836" t="e">
        <f>BE24*BF24/1000</f>
        <v>#VALUE!</v>
      </c>
      <c r="BH24" s="842" t="s">
        <v>300</v>
      </c>
      <c r="BJ24" s="1327"/>
      <c r="BN24" s="1327">
        <f t="shared" si="1"/>
        <v>0</v>
      </c>
      <c r="BP24" s="1327" t="e">
        <f t="shared" si="1"/>
        <v>#VALUE!</v>
      </c>
    </row>
    <row r="25" spans="2:68" ht="15" thickBot="1">
      <c r="B25" s="534" t="s">
        <v>93</v>
      </c>
      <c r="C25" s="838" t="s">
        <v>300</v>
      </c>
      <c r="D25" s="838" t="s">
        <v>300</v>
      </c>
      <c r="E25" s="838" t="s">
        <v>300</v>
      </c>
      <c r="F25" s="838" t="s">
        <v>300</v>
      </c>
      <c r="G25" s="838">
        <v>0</v>
      </c>
      <c r="H25" s="838">
        <f>'Вхідні дані'!$D$25</f>
        <v>1090</v>
      </c>
      <c r="I25" s="843">
        <f>G25*H25/1000</f>
        <v>0</v>
      </c>
      <c r="J25" s="844" t="s">
        <v>300</v>
      </c>
      <c r="L25" s="534" t="s">
        <v>93</v>
      </c>
      <c r="M25" s="838" t="s">
        <v>300</v>
      </c>
      <c r="N25" s="838" t="s">
        <v>300</v>
      </c>
      <c r="O25" s="838" t="s">
        <v>300</v>
      </c>
      <c r="P25" s="838" t="s">
        <v>300</v>
      </c>
      <c r="Q25" s="838">
        <v>0</v>
      </c>
      <c r="R25" s="838">
        <v>0</v>
      </c>
      <c r="S25" s="2088">
        <f>Q25*R25/1000</f>
        <v>0</v>
      </c>
      <c r="T25" s="844" t="s">
        <v>300</v>
      </c>
      <c r="V25" s="534" t="s">
        <v>93</v>
      </c>
      <c r="W25" s="838" t="s">
        <v>300</v>
      </c>
      <c r="X25" s="838" t="s">
        <v>300</v>
      </c>
      <c r="Y25" s="838" t="s">
        <v>300</v>
      </c>
      <c r="Z25" s="838" t="s">
        <v>300</v>
      </c>
      <c r="AA25" s="836"/>
      <c r="AB25" s="838" t="str">
        <f>'[33]дод8 Котельня, 1Г'!$D$25</f>
        <v>х</v>
      </c>
      <c r="AC25" s="843" t="e">
        <f>AA25*AB25/1000</f>
        <v>#VALUE!</v>
      </c>
      <c r="AD25" s="844" t="s">
        <v>300</v>
      </c>
      <c r="AF25" s="534" t="s">
        <v>93</v>
      </c>
      <c r="AG25" s="838" t="s">
        <v>300</v>
      </c>
      <c r="AH25" s="838" t="s">
        <v>300</v>
      </c>
      <c r="AI25" s="838" t="s">
        <v>300</v>
      </c>
      <c r="AJ25" s="838" t="s">
        <v>300</v>
      </c>
      <c r="AK25" s="836"/>
      <c r="AL25" s="838" t="str">
        <f>'[33]дод8 Котельня, 1Г'!$D$25</f>
        <v>х</v>
      </c>
      <c r="AM25" s="843" t="e">
        <f>AK25*AL25/1000</f>
        <v>#VALUE!</v>
      </c>
      <c r="AN25" s="844" t="s">
        <v>300</v>
      </c>
      <c r="AP25" s="534" t="s">
        <v>93</v>
      </c>
      <c r="AQ25" s="838" t="s">
        <v>300</v>
      </c>
      <c r="AR25" s="838" t="s">
        <v>300</v>
      </c>
      <c r="AS25" s="838" t="s">
        <v>300</v>
      </c>
      <c r="AT25" s="838" t="s">
        <v>300</v>
      </c>
      <c r="AU25" s="836"/>
      <c r="AV25" s="838" t="str">
        <f>'[33]дод8 Котельня, 1Г'!$D$25</f>
        <v>х</v>
      </c>
      <c r="AW25" s="843" t="e">
        <f>AU25*AV25/1000</f>
        <v>#VALUE!</v>
      </c>
      <c r="AX25" s="844" t="s">
        <v>300</v>
      </c>
      <c r="AZ25" s="534" t="s">
        <v>93</v>
      </c>
      <c r="BA25" s="838" t="s">
        <v>300</v>
      </c>
      <c r="BB25" s="838" t="s">
        <v>300</v>
      </c>
      <c r="BC25" s="838" t="s">
        <v>300</v>
      </c>
      <c r="BD25" s="838" t="s">
        <v>300</v>
      </c>
      <c r="BE25" s="836"/>
      <c r="BF25" s="838" t="str">
        <f>'[33]дод8 Котельня, 1Г'!$D$25</f>
        <v>х</v>
      </c>
      <c r="BG25" s="843" t="e">
        <f>BE25*BF25/1000</f>
        <v>#VALUE!</v>
      </c>
      <c r="BH25" s="844" t="s">
        <v>300</v>
      </c>
      <c r="BJ25" s="1327"/>
      <c r="BN25" s="1327">
        <f t="shared" ref="BN25" si="31">G25-Q25-AA25-AK25-AU25-BE25</f>
        <v>0</v>
      </c>
      <c r="BP25" s="1327" t="e">
        <f t="shared" ref="BP25" si="32">I25-S25-AC25-AM25-AW25-BG25</f>
        <v>#VALUE!</v>
      </c>
    </row>
    <row r="26" spans="2:68" ht="15" thickBot="1">
      <c r="B26" s="2747" t="s">
        <v>1502</v>
      </c>
      <c r="C26" s="2748"/>
      <c r="D26" s="2748"/>
      <c r="E26" s="2748"/>
      <c r="F26" s="2748"/>
      <c r="G26" s="2748"/>
      <c r="H26" s="2748"/>
      <c r="I26" s="2748"/>
      <c r="J26" s="2749"/>
      <c r="L26" s="2741" t="s">
        <v>1502</v>
      </c>
      <c r="M26" s="2742"/>
      <c r="N26" s="2742"/>
      <c r="O26" s="2742"/>
      <c r="P26" s="2742"/>
      <c r="Q26" s="2742"/>
      <c r="R26" s="2742"/>
      <c r="S26" s="2742"/>
      <c r="T26" s="2743"/>
      <c r="V26" s="1932" t="s">
        <v>1502</v>
      </c>
      <c r="W26" s="1933"/>
      <c r="X26" s="1933"/>
      <c r="Y26" s="1933"/>
      <c r="Z26" s="1933"/>
      <c r="AA26" s="1933"/>
      <c r="AB26" s="1933"/>
      <c r="AC26" s="1933"/>
      <c r="AD26" s="1934"/>
      <c r="AF26" s="1932" t="s">
        <v>1502</v>
      </c>
      <c r="AG26" s="1933"/>
      <c r="AH26" s="1933"/>
      <c r="AI26" s="1933"/>
      <c r="AJ26" s="1933"/>
      <c r="AK26" s="1933"/>
      <c r="AL26" s="1933"/>
      <c r="AM26" s="1933"/>
      <c r="AN26" s="1934"/>
      <c r="AP26" s="1932" t="s">
        <v>1502</v>
      </c>
      <c r="AQ26" s="1933"/>
      <c r="AR26" s="1933"/>
      <c r="AS26" s="1933"/>
      <c r="AT26" s="1933"/>
      <c r="AU26" s="1933"/>
      <c r="AV26" s="1933"/>
      <c r="AW26" s="1933"/>
      <c r="AX26" s="1934"/>
      <c r="AZ26" s="1932" t="s">
        <v>1502</v>
      </c>
      <c r="BA26" s="1933"/>
      <c r="BB26" s="1933"/>
      <c r="BC26" s="1933"/>
      <c r="BD26" s="1933"/>
      <c r="BE26" s="1933"/>
      <c r="BF26" s="1933"/>
      <c r="BG26" s="1933"/>
      <c r="BH26" s="1934"/>
    </row>
    <row r="27" spans="2:68" s="1042" customFormat="1" ht="26.4">
      <c r="B27" s="537" t="s">
        <v>1500</v>
      </c>
      <c r="C27" s="848">
        <f>C9</f>
        <v>8535.7796400000007</v>
      </c>
      <c r="D27" s="849">
        <f>D9</f>
        <v>168.41777888569882</v>
      </c>
      <c r="E27" s="848">
        <f>E9</f>
        <v>1437.5770480265699</v>
      </c>
      <c r="F27" s="848">
        <f>F9</f>
        <v>8267.427595807676</v>
      </c>
      <c r="G27" s="848" t="s">
        <v>300</v>
      </c>
      <c r="H27" s="848" t="s">
        <v>300</v>
      </c>
      <c r="I27" s="848">
        <f>I9+I15+I21</f>
        <v>8302.6957517161845</v>
      </c>
      <c r="J27" s="850">
        <f>I27/E27*1000</f>
        <v>5775.4787912854408</v>
      </c>
      <c r="L27" s="537" t="s">
        <v>1500</v>
      </c>
      <c r="M27" s="848">
        <f>M9</f>
        <v>6460.056239999999</v>
      </c>
      <c r="N27" s="849">
        <f>N9</f>
        <v>168.9683</v>
      </c>
      <c r="O27" s="848">
        <f>O9</f>
        <v>1091.544720777192</v>
      </c>
      <c r="P27" s="848">
        <f>P9</f>
        <v>8267.4279999999999</v>
      </c>
      <c r="Q27" s="848" t="s">
        <v>300</v>
      </c>
      <c r="R27" s="848" t="s">
        <v>300</v>
      </c>
      <c r="S27" s="848">
        <f>S9+S15+S21</f>
        <v>6266.4817806721203</v>
      </c>
      <c r="T27" s="850">
        <f>S27/O27*1000</f>
        <v>5740.9299512807102</v>
      </c>
      <c r="V27" s="537" t="s">
        <v>1500</v>
      </c>
      <c r="W27" s="848">
        <f>W9</f>
        <v>480.96030000000002</v>
      </c>
      <c r="X27" s="849">
        <f>X9</f>
        <v>165.29503105590064</v>
      </c>
      <c r="Y27" s="848">
        <f>Y9</f>
        <v>79.500347725155279</v>
      </c>
      <c r="Z27" s="848">
        <f>Z9</f>
        <v>8267.4279999999999</v>
      </c>
      <c r="AA27" s="848" t="s">
        <v>300</v>
      </c>
      <c r="AB27" s="848" t="s">
        <v>300</v>
      </c>
      <c r="AC27" s="848">
        <f>AC9+AC15+AC21</f>
        <v>480.36083987563558</v>
      </c>
      <c r="AD27" s="850">
        <f>AC27/Y27*1000</f>
        <v>6042.2482872190149</v>
      </c>
      <c r="AF27" s="537" t="s">
        <v>1500</v>
      </c>
      <c r="AG27" s="848">
        <f>AG9</f>
        <v>798.22533999999996</v>
      </c>
      <c r="AH27" s="849">
        <f>AH9</f>
        <v>165.29499999999999</v>
      </c>
      <c r="AI27" s="848">
        <f>AI9</f>
        <v>131.94265757529999</v>
      </c>
      <c r="AJ27" s="848">
        <f>AJ9</f>
        <v>8267.4279999999999</v>
      </c>
      <c r="AK27" s="848" t="s">
        <v>300</v>
      </c>
      <c r="AL27" s="848" t="s">
        <v>300</v>
      </c>
      <c r="AM27" s="848">
        <f>AM9+AM15+AM21</f>
        <v>782.8090134241105</v>
      </c>
      <c r="AN27" s="850">
        <f>AM27/AI27*1000</f>
        <v>5932.9486597415207</v>
      </c>
      <c r="AP27" s="537" t="s">
        <v>1500</v>
      </c>
      <c r="AQ27" s="848">
        <f>AQ9</f>
        <v>391.51855999999998</v>
      </c>
      <c r="AR27" s="849">
        <f>AR9</f>
        <v>168.96799999999999</v>
      </c>
      <c r="AS27" s="848">
        <f>AS9</f>
        <v>66.154108046079983</v>
      </c>
      <c r="AT27" s="848">
        <f>AT9</f>
        <v>8267.4279999999999</v>
      </c>
      <c r="AU27" s="848" t="s">
        <v>300</v>
      </c>
      <c r="AV27" s="848" t="s">
        <v>300</v>
      </c>
      <c r="AW27" s="848">
        <f>AW9+AW15+AW21</f>
        <v>377.24410092517337</v>
      </c>
      <c r="AX27" s="850">
        <f>AW27/AS27*1000</f>
        <v>5702.5045317276754</v>
      </c>
      <c r="AZ27" s="537" t="s">
        <v>1500</v>
      </c>
      <c r="BA27" s="848">
        <f>BA9</f>
        <v>405.01920000000001</v>
      </c>
      <c r="BB27" s="849">
        <f>BB9</f>
        <v>168.96799999999999</v>
      </c>
      <c r="BC27" s="848">
        <f>BC9</f>
        <v>68.435284185599997</v>
      </c>
      <c r="BD27" s="848">
        <f>BD9</f>
        <v>8267.4279999999999</v>
      </c>
      <c r="BE27" s="848" t="s">
        <v>300</v>
      </c>
      <c r="BF27" s="848" t="s">
        <v>300</v>
      </c>
      <c r="BG27" s="848">
        <f>BG9+BG15+BG21</f>
        <v>395.8000168191449</v>
      </c>
      <c r="BH27" s="850">
        <f>BG27/BC27*1000</f>
        <v>5783.5664968631527</v>
      </c>
    </row>
    <row r="28" spans="2:68">
      <c r="B28" s="167" t="s">
        <v>3</v>
      </c>
      <c r="C28" s="836">
        <f t="shared" ref="C28:E31" si="33">C10</f>
        <v>8535.7796400000007</v>
      </c>
      <c r="D28" s="837">
        <f t="shared" si="33"/>
        <v>168.41777888569882</v>
      </c>
      <c r="E28" s="836">
        <f t="shared" si="33"/>
        <v>1437.5770480265699</v>
      </c>
      <c r="F28" s="836">
        <f>F10</f>
        <v>8267.4279999999999</v>
      </c>
      <c r="G28" s="836" t="s">
        <v>300</v>
      </c>
      <c r="H28" s="836" t="s">
        <v>300</v>
      </c>
      <c r="I28" s="836">
        <f>I10+I16+I22</f>
        <v>8302.6957517161845</v>
      </c>
      <c r="J28" s="842">
        <f>I28/E28*1000</f>
        <v>5775.4787912854408</v>
      </c>
      <c r="L28" s="167" t="s">
        <v>3</v>
      </c>
      <c r="M28" s="836">
        <f t="shared" ref="M28:O31" si="34">M10</f>
        <v>6460.056239999999</v>
      </c>
      <c r="N28" s="837">
        <f t="shared" si="34"/>
        <v>168.9683</v>
      </c>
      <c r="O28" s="836">
        <f t="shared" si="34"/>
        <v>1091.544720777192</v>
      </c>
      <c r="P28" s="836">
        <f>P10</f>
        <v>8267.4279999999999</v>
      </c>
      <c r="Q28" s="836" t="s">
        <v>300</v>
      </c>
      <c r="R28" s="836" t="s">
        <v>300</v>
      </c>
      <c r="S28" s="836">
        <f>S10+S16+S22</f>
        <v>6266.4817806721203</v>
      </c>
      <c r="T28" s="842">
        <f>S28/O28*1000</f>
        <v>5740.9299512807102</v>
      </c>
      <c r="V28" s="167" t="s">
        <v>3</v>
      </c>
      <c r="W28" s="836">
        <f t="shared" ref="W28:Y31" si="35">W10</f>
        <v>480.96030000000002</v>
      </c>
      <c r="X28" s="837">
        <f t="shared" si="35"/>
        <v>165.29503105590064</v>
      </c>
      <c r="Y28" s="836">
        <f t="shared" si="35"/>
        <v>79.500347725155279</v>
      </c>
      <c r="Z28" s="836">
        <f>Z10</f>
        <v>8267.4279999999999</v>
      </c>
      <c r="AA28" s="836" t="s">
        <v>300</v>
      </c>
      <c r="AB28" s="836" t="s">
        <v>300</v>
      </c>
      <c r="AC28" s="836">
        <f>AC10+AC16+AC22</f>
        <v>480.36083987563558</v>
      </c>
      <c r="AD28" s="842">
        <f>AC28/Y28*1000</f>
        <v>6042.2482872190149</v>
      </c>
      <c r="AF28" s="167" t="s">
        <v>3</v>
      </c>
      <c r="AG28" s="836">
        <f t="shared" ref="AG28:AI31" si="36">AG10</f>
        <v>798.22533999999996</v>
      </c>
      <c r="AH28" s="837">
        <f t="shared" si="36"/>
        <v>165.29499999999999</v>
      </c>
      <c r="AI28" s="836">
        <f t="shared" si="36"/>
        <v>131.94265757529999</v>
      </c>
      <c r="AJ28" s="836">
        <f>AJ10</f>
        <v>8267.4279999999999</v>
      </c>
      <c r="AK28" s="836" t="s">
        <v>300</v>
      </c>
      <c r="AL28" s="836" t="s">
        <v>300</v>
      </c>
      <c r="AM28" s="836">
        <f>AM10+AM16+AM22</f>
        <v>782.8090134241105</v>
      </c>
      <c r="AN28" s="842">
        <f>AM28/AI28*1000</f>
        <v>5932.9486597415207</v>
      </c>
      <c r="AP28" s="167" t="s">
        <v>3</v>
      </c>
      <c r="AQ28" s="836">
        <f t="shared" ref="AQ28:AS31" si="37">AQ10</f>
        <v>391.51855999999998</v>
      </c>
      <c r="AR28" s="837">
        <f t="shared" si="37"/>
        <v>168.96799999999999</v>
      </c>
      <c r="AS28" s="836">
        <f t="shared" si="37"/>
        <v>66.154108046079983</v>
      </c>
      <c r="AT28" s="836">
        <f>AT10</f>
        <v>8267.4279999999999</v>
      </c>
      <c r="AU28" s="836" t="s">
        <v>300</v>
      </c>
      <c r="AV28" s="836" t="s">
        <v>300</v>
      </c>
      <c r="AW28" s="836">
        <f>AW10+AW16+AW22</f>
        <v>377.24410092517337</v>
      </c>
      <c r="AX28" s="842">
        <f>AW28/AS28*1000</f>
        <v>5702.5045317276754</v>
      </c>
      <c r="AZ28" s="167" t="s">
        <v>3</v>
      </c>
      <c r="BA28" s="836">
        <f t="shared" ref="BA28:BC31" si="38">BA10</f>
        <v>405.01920000000001</v>
      </c>
      <c r="BB28" s="837">
        <f t="shared" si="38"/>
        <v>168.96799999999999</v>
      </c>
      <c r="BC28" s="836">
        <f t="shared" si="38"/>
        <v>68.435284185599997</v>
      </c>
      <c r="BD28" s="836">
        <f>BD10</f>
        <v>8267.4279999999999</v>
      </c>
      <c r="BE28" s="836" t="s">
        <v>300</v>
      </c>
      <c r="BF28" s="836" t="s">
        <v>300</v>
      </c>
      <c r="BG28" s="836">
        <f>BG10+BG16+BG22</f>
        <v>395.8000168191449</v>
      </c>
      <c r="BH28" s="842">
        <f>BG28/BC28*1000</f>
        <v>5783.5664968631527</v>
      </c>
    </row>
    <row r="29" spans="2:68">
      <c r="B29" s="167" t="s">
        <v>159</v>
      </c>
      <c r="C29" s="836">
        <f t="shared" si="33"/>
        <v>0</v>
      </c>
      <c r="D29" s="837">
        <f t="shared" si="33"/>
        <v>0</v>
      </c>
      <c r="E29" s="836">
        <f t="shared" si="33"/>
        <v>0</v>
      </c>
      <c r="F29" s="836">
        <f>F11</f>
        <v>8267.4279999999999</v>
      </c>
      <c r="G29" s="836" t="s">
        <v>300</v>
      </c>
      <c r="H29" s="836" t="s">
        <v>300</v>
      </c>
      <c r="I29" s="836">
        <f>I11+I17+I23</f>
        <v>0</v>
      </c>
      <c r="J29" s="842" t="e">
        <f>I29/E29*1000</f>
        <v>#DIV/0!</v>
      </c>
      <c r="L29" s="167" t="s">
        <v>159</v>
      </c>
      <c r="M29" s="836">
        <f t="shared" si="34"/>
        <v>0</v>
      </c>
      <c r="N29" s="837">
        <f t="shared" si="34"/>
        <v>168.9683</v>
      </c>
      <c r="O29" s="836">
        <f t="shared" si="34"/>
        <v>0</v>
      </c>
      <c r="P29" s="836">
        <f>P11</f>
        <v>8267.4279999999999</v>
      </c>
      <c r="Q29" s="836" t="s">
        <v>300</v>
      </c>
      <c r="R29" s="836" t="s">
        <v>300</v>
      </c>
      <c r="S29" s="836">
        <f>S11+S17+S23</f>
        <v>0</v>
      </c>
      <c r="T29" s="842" t="e">
        <f>S29/O29*1000</f>
        <v>#DIV/0!</v>
      </c>
      <c r="V29" s="167" t="s">
        <v>159</v>
      </c>
      <c r="W29" s="836">
        <f t="shared" si="35"/>
        <v>0</v>
      </c>
      <c r="X29" s="837">
        <f t="shared" si="35"/>
        <v>165.29503105590064</v>
      </c>
      <c r="Y29" s="836">
        <f t="shared" si="35"/>
        <v>0</v>
      </c>
      <c r="Z29" s="836">
        <f>Z11</f>
        <v>8267.4279999999999</v>
      </c>
      <c r="AA29" s="836" t="s">
        <v>300</v>
      </c>
      <c r="AB29" s="836" t="s">
        <v>300</v>
      </c>
      <c r="AC29" s="836" t="e">
        <f>AC11+AC17+AC23</f>
        <v>#VALUE!</v>
      </c>
      <c r="AD29" s="842" t="e">
        <f>AC29/Y29*1000</f>
        <v>#VALUE!</v>
      </c>
      <c r="AF29" s="167" t="s">
        <v>159</v>
      </c>
      <c r="AG29" s="836">
        <f t="shared" si="36"/>
        <v>0</v>
      </c>
      <c r="AH29" s="837">
        <f t="shared" si="36"/>
        <v>165.29499999999999</v>
      </c>
      <c r="AI29" s="836">
        <f t="shared" si="36"/>
        <v>0</v>
      </c>
      <c r="AJ29" s="836">
        <f>AJ11</f>
        <v>8267.4279999999999</v>
      </c>
      <c r="AK29" s="836" t="s">
        <v>300</v>
      </c>
      <c r="AL29" s="836" t="s">
        <v>300</v>
      </c>
      <c r="AM29" s="836" t="e">
        <f>AM11+AM17+AM23</f>
        <v>#VALUE!</v>
      </c>
      <c r="AN29" s="842" t="e">
        <f>AM29/AI29*1000</f>
        <v>#VALUE!</v>
      </c>
      <c r="AP29" s="167" t="s">
        <v>159</v>
      </c>
      <c r="AQ29" s="836">
        <f t="shared" si="37"/>
        <v>0</v>
      </c>
      <c r="AR29" s="837">
        <f t="shared" si="37"/>
        <v>168.96799999999999</v>
      </c>
      <c r="AS29" s="836">
        <f t="shared" si="37"/>
        <v>0</v>
      </c>
      <c r="AT29" s="836">
        <f>AT11</f>
        <v>8267.4279999999999</v>
      </c>
      <c r="AU29" s="836" t="s">
        <v>300</v>
      </c>
      <c r="AV29" s="836" t="s">
        <v>300</v>
      </c>
      <c r="AW29" s="836" t="e">
        <f>AW11+AW17+AW23</f>
        <v>#VALUE!</v>
      </c>
      <c r="AX29" s="842" t="e">
        <f>AW29/AS29*1000</f>
        <v>#VALUE!</v>
      </c>
      <c r="AZ29" s="167" t="s">
        <v>159</v>
      </c>
      <c r="BA29" s="836">
        <f t="shared" si="38"/>
        <v>0</v>
      </c>
      <c r="BB29" s="837">
        <f t="shared" si="38"/>
        <v>168.96799999999999</v>
      </c>
      <c r="BC29" s="836">
        <f t="shared" si="38"/>
        <v>0</v>
      </c>
      <c r="BD29" s="836">
        <f>BD11</f>
        <v>8267.4279999999999</v>
      </c>
      <c r="BE29" s="836" t="s">
        <v>300</v>
      </c>
      <c r="BF29" s="836" t="s">
        <v>300</v>
      </c>
      <c r="BG29" s="836" t="e">
        <f>BG11+BG17+BG23</f>
        <v>#VALUE!</v>
      </c>
      <c r="BH29" s="842" t="e">
        <f>BG29/BC29*1000</f>
        <v>#VALUE!</v>
      </c>
    </row>
    <row r="30" spans="2:68">
      <c r="B30" s="167" t="s">
        <v>92</v>
      </c>
      <c r="C30" s="836">
        <f t="shared" si="33"/>
        <v>0</v>
      </c>
      <c r="D30" s="837">
        <f t="shared" si="33"/>
        <v>0</v>
      </c>
      <c r="E30" s="836">
        <f t="shared" si="33"/>
        <v>0</v>
      </c>
      <c r="F30" s="836">
        <f>F12</f>
        <v>8267.4279999999999</v>
      </c>
      <c r="G30" s="836" t="s">
        <v>300</v>
      </c>
      <c r="H30" s="836" t="s">
        <v>300</v>
      </c>
      <c r="I30" s="836">
        <f>I12+I18+I24</f>
        <v>0</v>
      </c>
      <c r="J30" s="842" t="e">
        <f>I30/E30*1000</f>
        <v>#DIV/0!</v>
      </c>
      <c r="L30" s="167" t="s">
        <v>92</v>
      </c>
      <c r="M30" s="836">
        <f t="shared" si="34"/>
        <v>0</v>
      </c>
      <c r="N30" s="837">
        <f t="shared" si="34"/>
        <v>168.9683</v>
      </c>
      <c r="O30" s="836">
        <f t="shared" si="34"/>
        <v>0</v>
      </c>
      <c r="P30" s="836">
        <f>P12</f>
        <v>8267.4279999999999</v>
      </c>
      <c r="Q30" s="836" t="s">
        <v>300</v>
      </c>
      <c r="R30" s="836" t="s">
        <v>300</v>
      </c>
      <c r="S30" s="836">
        <f>S12+S18+S24</f>
        <v>0</v>
      </c>
      <c r="T30" s="842" t="e">
        <f>S30/O30*1000</f>
        <v>#DIV/0!</v>
      </c>
      <c r="V30" s="167" t="s">
        <v>92</v>
      </c>
      <c r="W30" s="836">
        <f t="shared" si="35"/>
        <v>0</v>
      </c>
      <c r="X30" s="837">
        <f t="shared" si="35"/>
        <v>165.29503105590064</v>
      </c>
      <c r="Y30" s="836">
        <f t="shared" si="35"/>
        <v>0</v>
      </c>
      <c r="Z30" s="836">
        <f>Z12</f>
        <v>8267.4279999999999</v>
      </c>
      <c r="AA30" s="836" t="s">
        <v>300</v>
      </c>
      <c r="AB30" s="836" t="s">
        <v>300</v>
      </c>
      <c r="AC30" s="836" t="e">
        <f>AC12+AC18+AC24</f>
        <v>#VALUE!</v>
      </c>
      <c r="AD30" s="842" t="e">
        <f>AC30/Y30*1000</f>
        <v>#VALUE!</v>
      </c>
      <c r="AF30" s="167" t="s">
        <v>92</v>
      </c>
      <c r="AG30" s="836">
        <f t="shared" si="36"/>
        <v>0</v>
      </c>
      <c r="AH30" s="837">
        <f t="shared" si="36"/>
        <v>165.29499999999999</v>
      </c>
      <c r="AI30" s="836">
        <f t="shared" si="36"/>
        <v>0</v>
      </c>
      <c r="AJ30" s="836">
        <f>AJ12</f>
        <v>8267.4279999999999</v>
      </c>
      <c r="AK30" s="836" t="s">
        <v>300</v>
      </c>
      <c r="AL30" s="836" t="s">
        <v>300</v>
      </c>
      <c r="AM30" s="836" t="e">
        <f>AM12+AM18+AM24</f>
        <v>#VALUE!</v>
      </c>
      <c r="AN30" s="842" t="e">
        <f>AM30/AI30*1000</f>
        <v>#VALUE!</v>
      </c>
      <c r="AP30" s="167" t="s">
        <v>92</v>
      </c>
      <c r="AQ30" s="836">
        <f t="shared" si="37"/>
        <v>0</v>
      </c>
      <c r="AR30" s="837">
        <f t="shared" si="37"/>
        <v>168.96799999999999</v>
      </c>
      <c r="AS30" s="836">
        <f t="shared" si="37"/>
        <v>0</v>
      </c>
      <c r="AT30" s="836">
        <f>AT12</f>
        <v>8267.4279999999999</v>
      </c>
      <c r="AU30" s="836" t="s">
        <v>300</v>
      </c>
      <c r="AV30" s="836" t="s">
        <v>300</v>
      </c>
      <c r="AW30" s="836" t="e">
        <f>AW12+AW18+AW24</f>
        <v>#VALUE!</v>
      </c>
      <c r="AX30" s="842" t="e">
        <f>AW30/AS30*1000</f>
        <v>#VALUE!</v>
      </c>
      <c r="AZ30" s="167" t="s">
        <v>92</v>
      </c>
      <c r="BA30" s="836">
        <f t="shared" si="38"/>
        <v>0</v>
      </c>
      <c r="BB30" s="837">
        <f t="shared" si="38"/>
        <v>168.96799999999999</v>
      </c>
      <c r="BC30" s="836">
        <f t="shared" si="38"/>
        <v>0</v>
      </c>
      <c r="BD30" s="836">
        <f>BD12</f>
        <v>8267.4279999999999</v>
      </c>
      <c r="BE30" s="836" t="s">
        <v>300</v>
      </c>
      <c r="BF30" s="836" t="s">
        <v>300</v>
      </c>
      <c r="BG30" s="836" t="e">
        <f>BG12+BG18+BG24</f>
        <v>#VALUE!</v>
      </c>
      <c r="BH30" s="842" t="e">
        <f>BG30/BC30*1000</f>
        <v>#VALUE!</v>
      </c>
    </row>
    <row r="31" spans="2:68" ht="15" thickBot="1">
      <c r="B31" s="534" t="s">
        <v>93</v>
      </c>
      <c r="C31" s="838">
        <f t="shared" si="33"/>
        <v>0</v>
      </c>
      <c r="D31" s="839">
        <f t="shared" si="33"/>
        <v>0</v>
      </c>
      <c r="E31" s="838">
        <f t="shared" si="33"/>
        <v>0</v>
      </c>
      <c r="F31" s="838">
        <f>F13</f>
        <v>8267.4279999999999</v>
      </c>
      <c r="G31" s="838" t="s">
        <v>300</v>
      </c>
      <c r="H31" s="838" t="s">
        <v>300</v>
      </c>
      <c r="I31" s="838">
        <f>I13+I19+I25</f>
        <v>0</v>
      </c>
      <c r="J31" s="844" t="e">
        <f>I31/E31*1000</f>
        <v>#DIV/0!</v>
      </c>
      <c r="L31" s="534" t="s">
        <v>93</v>
      </c>
      <c r="M31" s="838">
        <f t="shared" si="34"/>
        <v>0</v>
      </c>
      <c r="N31" s="839">
        <f t="shared" si="34"/>
        <v>168.9683</v>
      </c>
      <c r="O31" s="838">
        <f t="shared" si="34"/>
        <v>0</v>
      </c>
      <c r="P31" s="838">
        <f>P13</f>
        <v>8267.4279999999999</v>
      </c>
      <c r="Q31" s="838" t="s">
        <v>300</v>
      </c>
      <c r="R31" s="838" t="s">
        <v>300</v>
      </c>
      <c r="S31" s="838">
        <f>S13+S19+S25</f>
        <v>0</v>
      </c>
      <c r="T31" s="844" t="e">
        <f>S31/O31*1000</f>
        <v>#DIV/0!</v>
      </c>
      <c r="V31" s="534" t="s">
        <v>93</v>
      </c>
      <c r="W31" s="838">
        <f t="shared" si="35"/>
        <v>0</v>
      </c>
      <c r="X31" s="839">
        <f t="shared" si="35"/>
        <v>165.29503105590064</v>
      </c>
      <c r="Y31" s="838">
        <f t="shared" si="35"/>
        <v>0</v>
      </c>
      <c r="Z31" s="838">
        <f>Z13</f>
        <v>8267.4279999999999</v>
      </c>
      <c r="AA31" s="838" t="s">
        <v>300</v>
      </c>
      <c r="AB31" s="838" t="s">
        <v>300</v>
      </c>
      <c r="AC31" s="838" t="e">
        <f>AC13+AC19+AC25</f>
        <v>#VALUE!</v>
      </c>
      <c r="AD31" s="844" t="e">
        <f>AC31/Y31*1000</f>
        <v>#VALUE!</v>
      </c>
      <c r="AF31" s="534" t="s">
        <v>93</v>
      </c>
      <c r="AG31" s="838">
        <f t="shared" si="36"/>
        <v>0</v>
      </c>
      <c r="AH31" s="839">
        <f t="shared" si="36"/>
        <v>165.29499999999999</v>
      </c>
      <c r="AI31" s="838">
        <f t="shared" si="36"/>
        <v>0</v>
      </c>
      <c r="AJ31" s="838">
        <f>AJ13</f>
        <v>8267.4279999999999</v>
      </c>
      <c r="AK31" s="838" t="s">
        <v>300</v>
      </c>
      <c r="AL31" s="838" t="s">
        <v>300</v>
      </c>
      <c r="AM31" s="838" t="e">
        <f>AM13+AM19+AM25</f>
        <v>#VALUE!</v>
      </c>
      <c r="AN31" s="844" t="e">
        <f>AM31/AI31*1000</f>
        <v>#VALUE!</v>
      </c>
      <c r="AP31" s="534" t="s">
        <v>93</v>
      </c>
      <c r="AQ31" s="838">
        <f t="shared" si="37"/>
        <v>0</v>
      </c>
      <c r="AR31" s="839">
        <f t="shared" si="37"/>
        <v>168.96799999999999</v>
      </c>
      <c r="AS31" s="838">
        <f t="shared" si="37"/>
        <v>0</v>
      </c>
      <c r="AT31" s="838">
        <f>AT13</f>
        <v>8267.4279999999999</v>
      </c>
      <c r="AU31" s="838" t="s">
        <v>300</v>
      </c>
      <c r="AV31" s="838" t="s">
        <v>300</v>
      </c>
      <c r="AW31" s="838" t="e">
        <f>AW13+AW19+AW25</f>
        <v>#VALUE!</v>
      </c>
      <c r="AX31" s="844" t="e">
        <f>AW31/AS31*1000</f>
        <v>#VALUE!</v>
      </c>
      <c r="AZ31" s="534" t="s">
        <v>93</v>
      </c>
      <c r="BA31" s="838">
        <f t="shared" si="38"/>
        <v>0</v>
      </c>
      <c r="BB31" s="839">
        <f t="shared" si="38"/>
        <v>168.96799999999999</v>
      </c>
      <c r="BC31" s="838">
        <f t="shared" si="38"/>
        <v>0</v>
      </c>
      <c r="BD31" s="838">
        <f>BD13</f>
        <v>8267.4279999999999</v>
      </c>
      <c r="BE31" s="838" t="s">
        <v>300</v>
      </c>
      <c r="BF31" s="838" t="s">
        <v>300</v>
      </c>
      <c r="BG31" s="838" t="e">
        <f>BG13+BG19+BG25</f>
        <v>#VALUE!</v>
      </c>
      <c r="BH31" s="844" t="e">
        <f>BG31/BC31*1000</f>
        <v>#VALUE!</v>
      </c>
    </row>
    <row r="32" spans="2:68" ht="27" hidden="1" thickBot="1">
      <c r="B32" s="535" t="s">
        <v>252</v>
      </c>
      <c r="C32" s="843">
        <v>0</v>
      </c>
      <c r="D32" s="843">
        <v>0</v>
      </c>
      <c r="E32" s="843">
        <v>0</v>
      </c>
      <c r="F32" s="843">
        <v>0</v>
      </c>
      <c r="G32" s="843">
        <v>0</v>
      </c>
      <c r="H32" s="843">
        <v>0</v>
      </c>
      <c r="I32" s="843">
        <v>0</v>
      </c>
      <c r="J32" s="845" t="s">
        <v>644</v>
      </c>
      <c r="L32" s="535" t="s">
        <v>252</v>
      </c>
      <c r="M32" s="843">
        <v>0</v>
      </c>
      <c r="N32" s="843">
        <v>0</v>
      </c>
      <c r="O32" s="843">
        <v>0</v>
      </c>
      <c r="P32" s="843">
        <v>0</v>
      </c>
      <c r="Q32" s="843">
        <v>0</v>
      </c>
      <c r="R32" s="843">
        <v>0</v>
      </c>
      <c r="S32" s="843">
        <v>0</v>
      </c>
      <c r="T32" s="845" t="s">
        <v>644</v>
      </c>
      <c r="V32" s="535" t="s">
        <v>252</v>
      </c>
      <c r="W32" s="843">
        <v>0</v>
      </c>
      <c r="X32" s="843">
        <v>0</v>
      </c>
      <c r="Y32" s="843">
        <v>0</v>
      </c>
      <c r="Z32" s="843">
        <v>0</v>
      </c>
      <c r="AA32" s="843">
        <v>0</v>
      </c>
      <c r="AB32" s="843">
        <v>0</v>
      </c>
      <c r="AC32" s="843">
        <v>0</v>
      </c>
      <c r="AD32" s="845" t="s">
        <v>644</v>
      </c>
      <c r="AF32" s="535" t="s">
        <v>252</v>
      </c>
      <c r="AG32" s="843">
        <v>0</v>
      </c>
      <c r="AH32" s="843">
        <v>0</v>
      </c>
      <c r="AI32" s="843">
        <v>0</v>
      </c>
      <c r="AJ32" s="843">
        <v>0</v>
      </c>
      <c r="AK32" s="843">
        <v>0</v>
      </c>
      <c r="AL32" s="843">
        <v>0</v>
      </c>
      <c r="AM32" s="843">
        <v>0</v>
      </c>
      <c r="AN32" s="845" t="s">
        <v>644</v>
      </c>
      <c r="AP32" s="535" t="s">
        <v>252</v>
      </c>
      <c r="AQ32" s="843">
        <v>0</v>
      </c>
      <c r="AR32" s="843">
        <v>0</v>
      </c>
      <c r="AS32" s="843">
        <v>0</v>
      </c>
      <c r="AT32" s="843">
        <v>0</v>
      </c>
      <c r="AU32" s="843">
        <v>0</v>
      </c>
      <c r="AV32" s="843">
        <v>0</v>
      </c>
      <c r="AW32" s="843">
        <v>0</v>
      </c>
      <c r="AX32" s="845" t="s">
        <v>644</v>
      </c>
      <c r="AZ32" s="535" t="s">
        <v>252</v>
      </c>
      <c r="BA32" s="843">
        <v>0</v>
      </c>
      <c r="BB32" s="843">
        <v>0</v>
      </c>
      <c r="BC32" s="843">
        <v>0</v>
      </c>
      <c r="BD32" s="843">
        <v>0</v>
      </c>
      <c r="BE32" s="843">
        <v>0</v>
      </c>
      <c r="BF32" s="843">
        <v>0</v>
      </c>
      <c r="BG32" s="843">
        <v>0</v>
      </c>
      <c r="BH32" s="845" t="s">
        <v>644</v>
      </c>
    </row>
    <row r="33" spans="2:60" ht="15" hidden="1" thickBot="1">
      <c r="B33" s="167" t="s">
        <v>3</v>
      </c>
      <c r="C33" s="836">
        <v>0</v>
      </c>
      <c r="D33" s="836">
        <v>0</v>
      </c>
      <c r="E33" s="836">
        <v>0</v>
      </c>
      <c r="F33" s="836">
        <v>0</v>
      </c>
      <c r="G33" s="836">
        <v>0</v>
      </c>
      <c r="H33" s="836">
        <v>0</v>
      </c>
      <c r="I33" s="836">
        <v>0</v>
      </c>
      <c r="J33" s="842">
        <v>0</v>
      </c>
      <c r="L33" s="167" t="s">
        <v>3</v>
      </c>
      <c r="M33" s="836">
        <v>0</v>
      </c>
      <c r="N33" s="836">
        <v>0</v>
      </c>
      <c r="O33" s="836">
        <v>0</v>
      </c>
      <c r="P33" s="836">
        <v>0</v>
      </c>
      <c r="Q33" s="836">
        <v>0</v>
      </c>
      <c r="R33" s="836">
        <v>0</v>
      </c>
      <c r="S33" s="836">
        <v>0</v>
      </c>
      <c r="T33" s="842">
        <v>0</v>
      </c>
      <c r="V33" s="167" t="s">
        <v>3</v>
      </c>
      <c r="W33" s="836">
        <v>0</v>
      </c>
      <c r="X33" s="836">
        <v>0</v>
      </c>
      <c r="Y33" s="836">
        <v>0</v>
      </c>
      <c r="Z33" s="836">
        <v>0</v>
      </c>
      <c r="AA33" s="836">
        <v>0</v>
      </c>
      <c r="AB33" s="836">
        <v>0</v>
      </c>
      <c r="AC33" s="836">
        <v>0</v>
      </c>
      <c r="AD33" s="842">
        <v>0</v>
      </c>
      <c r="AF33" s="167" t="s">
        <v>3</v>
      </c>
      <c r="AG33" s="836">
        <v>0</v>
      </c>
      <c r="AH33" s="836">
        <v>0</v>
      </c>
      <c r="AI33" s="836">
        <v>0</v>
      </c>
      <c r="AJ33" s="836">
        <v>0</v>
      </c>
      <c r="AK33" s="836">
        <v>0</v>
      </c>
      <c r="AL33" s="836">
        <v>0</v>
      </c>
      <c r="AM33" s="836">
        <v>0</v>
      </c>
      <c r="AN33" s="842">
        <v>0</v>
      </c>
      <c r="AP33" s="167" t="s">
        <v>3</v>
      </c>
      <c r="AQ33" s="836">
        <v>0</v>
      </c>
      <c r="AR33" s="836">
        <v>0</v>
      </c>
      <c r="AS33" s="836">
        <v>0</v>
      </c>
      <c r="AT33" s="836">
        <v>0</v>
      </c>
      <c r="AU33" s="836">
        <v>0</v>
      </c>
      <c r="AV33" s="836">
        <v>0</v>
      </c>
      <c r="AW33" s="836">
        <v>0</v>
      </c>
      <c r="AX33" s="842">
        <v>0</v>
      </c>
      <c r="AZ33" s="167" t="s">
        <v>3</v>
      </c>
      <c r="BA33" s="836">
        <v>0</v>
      </c>
      <c r="BB33" s="836">
        <v>0</v>
      </c>
      <c r="BC33" s="836">
        <v>0</v>
      </c>
      <c r="BD33" s="836">
        <v>0</v>
      </c>
      <c r="BE33" s="836">
        <v>0</v>
      </c>
      <c r="BF33" s="836">
        <v>0</v>
      </c>
      <c r="BG33" s="836">
        <v>0</v>
      </c>
      <c r="BH33" s="842">
        <v>0</v>
      </c>
    </row>
    <row r="34" spans="2:60" ht="15" hidden="1" thickBot="1">
      <c r="B34" s="167" t="s">
        <v>159</v>
      </c>
      <c r="C34" s="836">
        <v>0</v>
      </c>
      <c r="D34" s="836">
        <v>0</v>
      </c>
      <c r="E34" s="836">
        <v>0</v>
      </c>
      <c r="F34" s="836">
        <v>0</v>
      </c>
      <c r="G34" s="836">
        <v>0</v>
      </c>
      <c r="H34" s="836">
        <v>0</v>
      </c>
      <c r="I34" s="836">
        <v>0</v>
      </c>
      <c r="J34" s="842">
        <v>0</v>
      </c>
      <c r="L34" s="167" t="s">
        <v>159</v>
      </c>
      <c r="M34" s="836">
        <v>0</v>
      </c>
      <c r="N34" s="836">
        <v>0</v>
      </c>
      <c r="O34" s="836">
        <v>0</v>
      </c>
      <c r="P34" s="836">
        <v>0</v>
      </c>
      <c r="Q34" s="836">
        <v>0</v>
      </c>
      <c r="R34" s="836">
        <v>0</v>
      </c>
      <c r="S34" s="836">
        <v>0</v>
      </c>
      <c r="T34" s="842">
        <v>0</v>
      </c>
      <c r="V34" s="167" t="s">
        <v>159</v>
      </c>
      <c r="W34" s="836">
        <v>0</v>
      </c>
      <c r="X34" s="836">
        <v>0</v>
      </c>
      <c r="Y34" s="836">
        <v>0</v>
      </c>
      <c r="Z34" s="836">
        <v>0</v>
      </c>
      <c r="AA34" s="836">
        <v>0</v>
      </c>
      <c r="AB34" s="836">
        <v>0</v>
      </c>
      <c r="AC34" s="836">
        <v>0</v>
      </c>
      <c r="AD34" s="842">
        <v>0</v>
      </c>
      <c r="AF34" s="167" t="s">
        <v>159</v>
      </c>
      <c r="AG34" s="836">
        <v>0</v>
      </c>
      <c r="AH34" s="836">
        <v>0</v>
      </c>
      <c r="AI34" s="836">
        <v>0</v>
      </c>
      <c r="AJ34" s="836">
        <v>0</v>
      </c>
      <c r="AK34" s="836">
        <v>0</v>
      </c>
      <c r="AL34" s="836">
        <v>0</v>
      </c>
      <c r="AM34" s="836">
        <v>0</v>
      </c>
      <c r="AN34" s="842">
        <v>0</v>
      </c>
      <c r="AP34" s="167" t="s">
        <v>159</v>
      </c>
      <c r="AQ34" s="836">
        <v>0</v>
      </c>
      <c r="AR34" s="836">
        <v>0</v>
      </c>
      <c r="AS34" s="836">
        <v>0</v>
      </c>
      <c r="AT34" s="836">
        <v>0</v>
      </c>
      <c r="AU34" s="836">
        <v>0</v>
      </c>
      <c r="AV34" s="836">
        <v>0</v>
      </c>
      <c r="AW34" s="836">
        <v>0</v>
      </c>
      <c r="AX34" s="842">
        <v>0</v>
      </c>
      <c r="AZ34" s="167" t="s">
        <v>159</v>
      </c>
      <c r="BA34" s="836">
        <v>0</v>
      </c>
      <c r="BB34" s="836">
        <v>0</v>
      </c>
      <c r="BC34" s="836">
        <v>0</v>
      </c>
      <c r="BD34" s="836">
        <v>0</v>
      </c>
      <c r="BE34" s="836">
        <v>0</v>
      </c>
      <c r="BF34" s="836">
        <v>0</v>
      </c>
      <c r="BG34" s="836">
        <v>0</v>
      </c>
      <c r="BH34" s="842">
        <v>0</v>
      </c>
    </row>
    <row r="35" spans="2:60" ht="15" hidden="1" thickBot="1">
      <c r="B35" s="167" t="s">
        <v>92</v>
      </c>
      <c r="C35" s="836">
        <v>0</v>
      </c>
      <c r="D35" s="836">
        <v>0</v>
      </c>
      <c r="E35" s="836">
        <v>0</v>
      </c>
      <c r="F35" s="836">
        <v>0</v>
      </c>
      <c r="G35" s="836">
        <v>0</v>
      </c>
      <c r="H35" s="836">
        <v>0</v>
      </c>
      <c r="I35" s="836">
        <v>0</v>
      </c>
      <c r="J35" s="842">
        <v>0</v>
      </c>
      <c r="L35" s="167" t="s">
        <v>92</v>
      </c>
      <c r="M35" s="836">
        <v>0</v>
      </c>
      <c r="N35" s="836">
        <v>0</v>
      </c>
      <c r="O35" s="836">
        <v>0</v>
      </c>
      <c r="P35" s="836">
        <v>0</v>
      </c>
      <c r="Q35" s="836">
        <v>0</v>
      </c>
      <c r="R35" s="836">
        <v>0</v>
      </c>
      <c r="S35" s="836">
        <v>0</v>
      </c>
      <c r="T35" s="842">
        <v>0</v>
      </c>
      <c r="V35" s="167" t="s">
        <v>92</v>
      </c>
      <c r="W35" s="836">
        <v>0</v>
      </c>
      <c r="X35" s="836">
        <v>0</v>
      </c>
      <c r="Y35" s="836">
        <v>0</v>
      </c>
      <c r="Z35" s="836">
        <v>0</v>
      </c>
      <c r="AA35" s="836">
        <v>0</v>
      </c>
      <c r="AB35" s="836">
        <v>0</v>
      </c>
      <c r="AC35" s="836">
        <v>0</v>
      </c>
      <c r="AD35" s="842">
        <v>0</v>
      </c>
      <c r="AF35" s="167" t="s">
        <v>92</v>
      </c>
      <c r="AG35" s="836">
        <v>0</v>
      </c>
      <c r="AH35" s="836">
        <v>0</v>
      </c>
      <c r="AI35" s="836">
        <v>0</v>
      </c>
      <c r="AJ35" s="836">
        <v>0</v>
      </c>
      <c r="AK35" s="836">
        <v>0</v>
      </c>
      <c r="AL35" s="836">
        <v>0</v>
      </c>
      <c r="AM35" s="836">
        <v>0</v>
      </c>
      <c r="AN35" s="842">
        <v>0</v>
      </c>
      <c r="AP35" s="167" t="s">
        <v>92</v>
      </c>
      <c r="AQ35" s="836">
        <v>0</v>
      </c>
      <c r="AR35" s="836">
        <v>0</v>
      </c>
      <c r="AS35" s="836">
        <v>0</v>
      </c>
      <c r="AT35" s="836">
        <v>0</v>
      </c>
      <c r="AU35" s="836">
        <v>0</v>
      </c>
      <c r="AV35" s="836">
        <v>0</v>
      </c>
      <c r="AW35" s="836">
        <v>0</v>
      </c>
      <c r="AX35" s="842">
        <v>0</v>
      </c>
      <c r="AZ35" s="167" t="s">
        <v>92</v>
      </c>
      <c r="BA35" s="836">
        <v>0</v>
      </c>
      <c r="BB35" s="836">
        <v>0</v>
      </c>
      <c r="BC35" s="836">
        <v>0</v>
      </c>
      <c r="BD35" s="836">
        <v>0</v>
      </c>
      <c r="BE35" s="836">
        <v>0</v>
      </c>
      <c r="BF35" s="836">
        <v>0</v>
      </c>
      <c r="BG35" s="836">
        <v>0</v>
      </c>
      <c r="BH35" s="842">
        <v>0</v>
      </c>
    </row>
    <row r="36" spans="2:60" ht="15" hidden="1" thickBot="1">
      <c r="B36" s="167" t="s">
        <v>93</v>
      </c>
      <c r="C36" s="836">
        <v>0</v>
      </c>
      <c r="D36" s="836">
        <v>0</v>
      </c>
      <c r="E36" s="836">
        <v>0</v>
      </c>
      <c r="F36" s="836">
        <v>0</v>
      </c>
      <c r="G36" s="836">
        <v>0</v>
      </c>
      <c r="H36" s="836">
        <v>0</v>
      </c>
      <c r="I36" s="836">
        <v>0</v>
      </c>
      <c r="J36" s="842">
        <v>0</v>
      </c>
      <c r="L36" s="167" t="s">
        <v>93</v>
      </c>
      <c r="M36" s="836">
        <v>0</v>
      </c>
      <c r="N36" s="836">
        <v>0</v>
      </c>
      <c r="O36" s="836">
        <v>0</v>
      </c>
      <c r="P36" s="836">
        <v>0</v>
      </c>
      <c r="Q36" s="836">
        <v>0</v>
      </c>
      <c r="R36" s="836">
        <v>0</v>
      </c>
      <c r="S36" s="836">
        <v>0</v>
      </c>
      <c r="T36" s="842">
        <v>0</v>
      </c>
      <c r="V36" s="167" t="s">
        <v>93</v>
      </c>
      <c r="W36" s="836">
        <v>0</v>
      </c>
      <c r="X36" s="836">
        <v>0</v>
      </c>
      <c r="Y36" s="836">
        <v>0</v>
      </c>
      <c r="Z36" s="836">
        <v>0</v>
      </c>
      <c r="AA36" s="836">
        <v>0</v>
      </c>
      <c r="AB36" s="836">
        <v>0</v>
      </c>
      <c r="AC36" s="836">
        <v>0</v>
      </c>
      <c r="AD36" s="842">
        <v>0</v>
      </c>
      <c r="AF36" s="167" t="s">
        <v>93</v>
      </c>
      <c r="AG36" s="836">
        <v>0</v>
      </c>
      <c r="AH36" s="836">
        <v>0</v>
      </c>
      <c r="AI36" s="836">
        <v>0</v>
      </c>
      <c r="AJ36" s="836">
        <v>0</v>
      </c>
      <c r="AK36" s="836">
        <v>0</v>
      </c>
      <c r="AL36" s="836">
        <v>0</v>
      </c>
      <c r="AM36" s="836">
        <v>0</v>
      </c>
      <c r="AN36" s="842">
        <v>0</v>
      </c>
      <c r="AP36" s="167" t="s">
        <v>93</v>
      </c>
      <c r="AQ36" s="836">
        <v>0</v>
      </c>
      <c r="AR36" s="836">
        <v>0</v>
      </c>
      <c r="AS36" s="836">
        <v>0</v>
      </c>
      <c r="AT36" s="836">
        <v>0</v>
      </c>
      <c r="AU36" s="836">
        <v>0</v>
      </c>
      <c r="AV36" s="836">
        <v>0</v>
      </c>
      <c r="AW36" s="836">
        <v>0</v>
      </c>
      <c r="AX36" s="842">
        <v>0</v>
      </c>
      <c r="AZ36" s="167" t="s">
        <v>93</v>
      </c>
      <c r="BA36" s="836">
        <v>0</v>
      </c>
      <c r="BB36" s="836">
        <v>0</v>
      </c>
      <c r="BC36" s="836">
        <v>0</v>
      </c>
      <c r="BD36" s="836">
        <v>0</v>
      </c>
      <c r="BE36" s="836">
        <v>0</v>
      </c>
      <c r="BF36" s="836">
        <v>0</v>
      </c>
      <c r="BG36" s="836">
        <v>0</v>
      </c>
      <c r="BH36" s="842">
        <v>0</v>
      </c>
    </row>
    <row r="37" spans="2:60" ht="27" hidden="1" thickBot="1">
      <c r="B37" s="167" t="s">
        <v>253</v>
      </c>
      <c r="C37" s="836">
        <v>0</v>
      </c>
      <c r="D37" s="836">
        <v>0</v>
      </c>
      <c r="E37" s="836">
        <v>0</v>
      </c>
      <c r="F37" s="836">
        <v>0</v>
      </c>
      <c r="G37" s="836">
        <v>0</v>
      </c>
      <c r="H37" s="836">
        <v>0</v>
      </c>
      <c r="I37" s="836">
        <v>0</v>
      </c>
      <c r="J37" s="842">
        <v>0</v>
      </c>
      <c r="L37" s="167" t="s">
        <v>253</v>
      </c>
      <c r="M37" s="836">
        <v>0</v>
      </c>
      <c r="N37" s="836">
        <v>0</v>
      </c>
      <c r="O37" s="836">
        <v>0</v>
      </c>
      <c r="P37" s="836">
        <v>0</v>
      </c>
      <c r="Q37" s="836">
        <v>0</v>
      </c>
      <c r="R37" s="836">
        <v>0</v>
      </c>
      <c r="S37" s="836">
        <v>0</v>
      </c>
      <c r="T37" s="842">
        <v>0</v>
      </c>
      <c r="V37" s="167" t="s">
        <v>253</v>
      </c>
      <c r="W37" s="836">
        <v>0</v>
      </c>
      <c r="X37" s="836">
        <v>0</v>
      </c>
      <c r="Y37" s="836">
        <v>0</v>
      </c>
      <c r="Z37" s="836">
        <v>0</v>
      </c>
      <c r="AA37" s="836">
        <v>0</v>
      </c>
      <c r="AB37" s="836">
        <v>0</v>
      </c>
      <c r="AC37" s="836">
        <v>0</v>
      </c>
      <c r="AD37" s="842">
        <v>0</v>
      </c>
      <c r="AF37" s="167" t="s">
        <v>253</v>
      </c>
      <c r="AG37" s="836">
        <v>0</v>
      </c>
      <c r="AH37" s="836">
        <v>0</v>
      </c>
      <c r="AI37" s="836">
        <v>0</v>
      </c>
      <c r="AJ37" s="836">
        <v>0</v>
      </c>
      <c r="AK37" s="836">
        <v>0</v>
      </c>
      <c r="AL37" s="836">
        <v>0</v>
      </c>
      <c r="AM37" s="836">
        <v>0</v>
      </c>
      <c r="AN37" s="842">
        <v>0</v>
      </c>
      <c r="AP37" s="167" t="s">
        <v>253</v>
      </c>
      <c r="AQ37" s="836">
        <v>0</v>
      </c>
      <c r="AR37" s="836">
        <v>0</v>
      </c>
      <c r="AS37" s="836">
        <v>0</v>
      </c>
      <c r="AT37" s="836">
        <v>0</v>
      </c>
      <c r="AU37" s="836">
        <v>0</v>
      </c>
      <c r="AV37" s="836">
        <v>0</v>
      </c>
      <c r="AW37" s="836">
        <v>0</v>
      </c>
      <c r="AX37" s="842">
        <v>0</v>
      </c>
      <c r="AZ37" s="167" t="s">
        <v>253</v>
      </c>
      <c r="BA37" s="836">
        <v>0</v>
      </c>
      <c r="BB37" s="836">
        <v>0</v>
      </c>
      <c r="BC37" s="836">
        <v>0</v>
      </c>
      <c r="BD37" s="836">
        <v>0</v>
      </c>
      <c r="BE37" s="836">
        <v>0</v>
      </c>
      <c r="BF37" s="836">
        <v>0</v>
      </c>
      <c r="BG37" s="836">
        <v>0</v>
      </c>
      <c r="BH37" s="842">
        <v>0</v>
      </c>
    </row>
    <row r="38" spans="2:60" ht="15" hidden="1" thickBot="1">
      <c r="B38" s="167" t="s">
        <v>3</v>
      </c>
      <c r="C38" s="836">
        <v>0</v>
      </c>
      <c r="D38" s="836">
        <v>0</v>
      </c>
      <c r="E38" s="836">
        <v>0</v>
      </c>
      <c r="F38" s="836">
        <v>0</v>
      </c>
      <c r="G38" s="836">
        <v>0</v>
      </c>
      <c r="H38" s="836">
        <v>0</v>
      </c>
      <c r="I38" s="836">
        <v>0</v>
      </c>
      <c r="J38" s="842">
        <v>0</v>
      </c>
      <c r="L38" s="167" t="s">
        <v>3</v>
      </c>
      <c r="M38" s="836">
        <v>0</v>
      </c>
      <c r="N38" s="836">
        <v>0</v>
      </c>
      <c r="O38" s="836">
        <v>0</v>
      </c>
      <c r="P38" s="836">
        <v>0</v>
      </c>
      <c r="Q38" s="836">
        <v>0</v>
      </c>
      <c r="R38" s="836">
        <v>0</v>
      </c>
      <c r="S38" s="836">
        <v>0</v>
      </c>
      <c r="T38" s="842">
        <v>0</v>
      </c>
      <c r="V38" s="167" t="s">
        <v>3</v>
      </c>
      <c r="W38" s="836">
        <v>0</v>
      </c>
      <c r="X38" s="836">
        <v>0</v>
      </c>
      <c r="Y38" s="836">
        <v>0</v>
      </c>
      <c r="Z38" s="836">
        <v>0</v>
      </c>
      <c r="AA38" s="836">
        <v>0</v>
      </c>
      <c r="AB38" s="836">
        <v>0</v>
      </c>
      <c r="AC38" s="836">
        <v>0</v>
      </c>
      <c r="AD38" s="842">
        <v>0</v>
      </c>
      <c r="AF38" s="167" t="s">
        <v>3</v>
      </c>
      <c r="AG38" s="836">
        <v>0</v>
      </c>
      <c r="AH38" s="836">
        <v>0</v>
      </c>
      <c r="AI38" s="836">
        <v>0</v>
      </c>
      <c r="AJ38" s="836">
        <v>0</v>
      </c>
      <c r="AK38" s="836">
        <v>0</v>
      </c>
      <c r="AL38" s="836">
        <v>0</v>
      </c>
      <c r="AM38" s="836">
        <v>0</v>
      </c>
      <c r="AN38" s="842">
        <v>0</v>
      </c>
      <c r="AP38" s="167" t="s">
        <v>3</v>
      </c>
      <c r="AQ38" s="836">
        <v>0</v>
      </c>
      <c r="AR38" s="836">
        <v>0</v>
      </c>
      <c r="AS38" s="836">
        <v>0</v>
      </c>
      <c r="AT38" s="836">
        <v>0</v>
      </c>
      <c r="AU38" s="836">
        <v>0</v>
      </c>
      <c r="AV38" s="836">
        <v>0</v>
      </c>
      <c r="AW38" s="836">
        <v>0</v>
      </c>
      <c r="AX38" s="842">
        <v>0</v>
      </c>
      <c r="AZ38" s="167" t="s">
        <v>3</v>
      </c>
      <c r="BA38" s="836">
        <v>0</v>
      </c>
      <c r="BB38" s="836">
        <v>0</v>
      </c>
      <c r="BC38" s="836">
        <v>0</v>
      </c>
      <c r="BD38" s="836">
        <v>0</v>
      </c>
      <c r="BE38" s="836">
        <v>0</v>
      </c>
      <c r="BF38" s="836">
        <v>0</v>
      </c>
      <c r="BG38" s="836">
        <v>0</v>
      </c>
      <c r="BH38" s="842">
        <v>0</v>
      </c>
    </row>
    <row r="39" spans="2:60" ht="15" hidden="1" thickBot="1">
      <c r="B39" s="167" t="s">
        <v>159</v>
      </c>
      <c r="C39" s="836">
        <v>0</v>
      </c>
      <c r="D39" s="836">
        <v>0</v>
      </c>
      <c r="E39" s="836">
        <v>0</v>
      </c>
      <c r="F39" s="836">
        <v>0</v>
      </c>
      <c r="G39" s="836">
        <v>0</v>
      </c>
      <c r="H39" s="836">
        <v>0</v>
      </c>
      <c r="I39" s="836">
        <v>0</v>
      </c>
      <c r="J39" s="842">
        <v>0</v>
      </c>
      <c r="L39" s="167" t="s">
        <v>159</v>
      </c>
      <c r="M39" s="836">
        <v>0</v>
      </c>
      <c r="N39" s="836">
        <v>0</v>
      </c>
      <c r="O39" s="836">
        <v>0</v>
      </c>
      <c r="P39" s="836">
        <v>0</v>
      </c>
      <c r="Q39" s="836">
        <v>0</v>
      </c>
      <c r="R39" s="836">
        <v>0</v>
      </c>
      <c r="S39" s="836">
        <v>0</v>
      </c>
      <c r="T39" s="842">
        <v>0</v>
      </c>
      <c r="V39" s="167" t="s">
        <v>159</v>
      </c>
      <c r="W39" s="836">
        <v>0</v>
      </c>
      <c r="X39" s="836">
        <v>0</v>
      </c>
      <c r="Y39" s="836">
        <v>0</v>
      </c>
      <c r="Z39" s="836">
        <v>0</v>
      </c>
      <c r="AA39" s="836">
        <v>0</v>
      </c>
      <c r="AB39" s="836">
        <v>0</v>
      </c>
      <c r="AC39" s="836">
        <v>0</v>
      </c>
      <c r="AD39" s="842">
        <v>0</v>
      </c>
      <c r="AF39" s="167" t="s">
        <v>159</v>
      </c>
      <c r="AG39" s="836">
        <v>0</v>
      </c>
      <c r="AH39" s="836">
        <v>0</v>
      </c>
      <c r="AI39" s="836">
        <v>0</v>
      </c>
      <c r="AJ39" s="836">
        <v>0</v>
      </c>
      <c r="AK39" s="836">
        <v>0</v>
      </c>
      <c r="AL39" s="836">
        <v>0</v>
      </c>
      <c r="AM39" s="836">
        <v>0</v>
      </c>
      <c r="AN39" s="842">
        <v>0</v>
      </c>
      <c r="AP39" s="167" t="s">
        <v>159</v>
      </c>
      <c r="AQ39" s="836">
        <v>0</v>
      </c>
      <c r="AR39" s="836">
        <v>0</v>
      </c>
      <c r="AS39" s="836">
        <v>0</v>
      </c>
      <c r="AT39" s="836">
        <v>0</v>
      </c>
      <c r="AU39" s="836">
        <v>0</v>
      </c>
      <c r="AV39" s="836">
        <v>0</v>
      </c>
      <c r="AW39" s="836">
        <v>0</v>
      </c>
      <c r="AX39" s="842">
        <v>0</v>
      </c>
      <c r="AZ39" s="167" t="s">
        <v>159</v>
      </c>
      <c r="BA39" s="836">
        <v>0</v>
      </c>
      <c r="BB39" s="836">
        <v>0</v>
      </c>
      <c r="BC39" s="836">
        <v>0</v>
      </c>
      <c r="BD39" s="836">
        <v>0</v>
      </c>
      <c r="BE39" s="836">
        <v>0</v>
      </c>
      <c r="BF39" s="836">
        <v>0</v>
      </c>
      <c r="BG39" s="836">
        <v>0</v>
      </c>
      <c r="BH39" s="842">
        <v>0</v>
      </c>
    </row>
    <row r="40" spans="2:60" ht="15" hidden="1" thickBot="1">
      <c r="B40" s="167" t="s">
        <v>92</v>
      </c>
      <c r="C40" s="836">
        <v>0</v>
      </c>
      <c r="D40" s="836">
        <v>0</v>
      </c>
      <c r="E40" s="836">
        <v>0</v>
      </c>
      <c r="F40" s="836">
        <v>0</v>
      </c>
      <c r="G40" s="836">
        <v>0</v>
      </c>
      <c r="H40" s="836">
        <v>0</v>
      </c>
      <c r="I40" s="836">
        <v>0</v>
      </c>
      <c r="J40" s="842">
        <v>0</v>
      </c>
      <c r="L40" s="167" t="s">
        <v>92</v>
      </c>
      <c r="M40" s="836">
        <v>0</v>
      </c>
      <c r="N40" s="836">
        <v>0</v>
      </c>
      <c r="O40" s="836">
        <v>0</v>
      </c>
      <c r="P40" s="836">
        <v>0</v>
      </c>
      <c r="Q40" s="836">
        <v>0</v>
      </c>
      <c r="R40" s="836">
        <v>0</v>
      </c>
      <c r="S40" s="836">
        <v>0</v>
      </c>
      <c r="T40" s="842">
        <v>0</v>
      </c>
      <c r="V40" s="167" t="s">
        <v>92</v>
      </c>
      <c r="W40" s="836">
        <v>0</v>
      </c>
      <c r="X40" s="836">
        <v>0</v>
      </c>
      <c r="Y40" s="836">
        <v>0</v>
      </c>
      <c r="Z40" s="836">
        <v>0</v>
      </c>
      <c r="AA40" s="836">
        <v>0</v>
      </c>
      <c r="AB40" s="836">
        <v>0</v>
      </c>
      <c r="AC40" s="836">
        <v>0</v>
      </c>
      <c r="AD40" s="842">
        <v>0</v>
      </c>
      <c r="AF40" s="167" t="s">
        <v>92</v>
      </c>
      <c r="AG40" s="836">
        <v>0</v>
      </c>
      <c r="AH40" s="836">
        <v>0</v>
      </c>
      <c r="AI40" s="836">
        <v>0</v>
      </c>
      <c r="AJ40" s="836">
        <v>0</v>
      </c>
      <c r="AK40" s="836">
        <v>0</v>
      </c>
      <c r="AL40" s="836">
        <v>0</v>
      </c>
      <c r="AM40" s="836">
        <v>0</v>
      </c>
      <c r="AN40" s="842">
        <v>0</v>
      </c>
      <c r="AP40" s="167" t="s">
        <v>92</v>
      </c>
      <c r="AQ40" s="836">
        <v>0</v>
      </c>
      <c r="AR40" s="836">
        <v>0</v>
      </c>
      <c r="AS40" s="836">
        <v>0</v>
      </c>
      <c r="AT40" s="836">
        <v>0</v>
      </c>
      <c r="AU40" s="836">
        <v>0</v>
      </c>
      <c r="AV40" s="836">
        <v>0</v>
      </c>
      <c r="AW40" s="836">
        <v>0</v>
      </c>
      <c r="AX40" s="842">
        <v>0</v>
      </c>
      <c r="AZ40" s="167" t="s">
        <v>92</v>
      </c>
      <c r="BA40" s="836">
        <v>0</v>
      </c>
      <c r="BB40" s="836">
        <v>0</v>
      </c>
      <c r="BC40" s="836">
        <v>0</v>
      </c>
      <c r="BD40" s="836">
        <v>0</v>
      </c>
      <c r="BE40" s="836">
        <v>0</v>
      </c>
      <c r="BF40" s="836">
        <v>0</v>
      </c>
      <c r="BG40" s="836">
        <v>0</v>
      </c>
      <c r="BH40" s="842">
        <v>0</v>
      </c>
    </row>
    <row r="41" spans="2:60" ht="15" hidden="1" thickBot="1">
      <c r="B41" s="167" t="s">
        <v>93</v>
      </c>
      <c r="C41" s="836">
        <v>0</v>
      </c>
      <c r="D41" s="836">
        <v>0</v>
      </c>
      <c r="E41" s="836">
        <v>0</v>
      </c>
      <c r="F41" s="836">
        <v>0</v>
      </c>
      <c r="G41" s="836">
        <v>0</v>
      </c>
      <c r="H41" s="836">
        <v>0</v>
      </c>
      <c r="I41" s="836">
        <v>0</v>
      </c>
      <c r="J41" s="842">
        <v>0</v>
      </c>
      <c r="L41" s="167" t="s">
        <v>93</v>
      </c>
      <c r="M41" s="836">
        <v>0</v>
      </c>
      <c r="N41" s="836">
        <v>0</v>
      </c>
      <c r="O41" s="836">
        <v>0</v>
      </c>
      <c r="P41" s="836">
        <v>0</v>
      </c>
      <c r="Q41" s="836">
        <v>0</v>
      </c>
      <c r="R41" s="836">
        <v>0</v>
      </c>
      <c r="S41" s="836">
        <v>0</v>
      </c>
      <c r="T41" s="842">
        <v>0</v>
      </c>
      <c r="V41" s="167" t="s">
        <v>93</v>
      </c>
      <c r="W41" s="836">
        <v>0</v>
      </c>
      <c r="X41" s="836">
        <v>0</v>
      </c>
      <c r="Y41" s="836">
        <v>0</v>
      </c>
      <c r="Z41" s="836">
        <v>0</v>
      </c>
      <c r="AA41" s="836">
        <v>0</v>
      </c>
      <c r="AB41" s="836">
        <v>0</v>
      </c>
      <c r="AC41" s="836">
        <v>0</v>
      </c>
      <c r="AD41" s="842">
        <v>0</v>
      </c>
      <c r="AF41" s="167" t="s">
        <v>93</v>
      </c>
      <c r="AG41" s="836">
        <v>0</v>
      </c>
      <c r="AH41" s="836">
        <v>0</v>
      </c>
      <c r="AI41" s="836">
        <v>0</v>
      </c>
      <c r="AJ41" s="836">
        <v>0</v>
      </c>
      <c r="AK41" s="836">
        <v>0</v>
      </c>
      <c r="AL41" s="836">
        <v>0</v>
      </c>
      <c r="AM41" s="836">
        <v>0</v>
      </c>
      <c r="AN41" s="842">
        <v>0</v>
      </c>
      <c r="AP41" s="167" t="s">
        <v>93</v>
      </c>
      <c r="AQ41" s="836">
        <v>0</v>
      </c>
      <c r="AR41" s="836">
        <v>0</v>
      </c>
      <c r="AS41" s="836">
        <v>0</v>
      </c>
      <c r="AT41" s="836">
        <v>0</v>
      </c>
      <c r="AU41" s="836">
        <v>0</v>
      </c>
      <c r="AV41" s="836">
        <v>0</v>
      </c>
      <c r="AW41" s="836">
        <v>0</v>
      </c>
      <c r="AX41" s="842">
        <v>0</v>
      </c>
      <c r="AZ41" s="167" t="s">
        <v>93</v>
      </c>
      <c r="BA41" s="836">
        <v>0</v>
      </c>
      <c r="BB41" s="836">
        <v>0</v>
      </c>
      <c r="BC41" s="836">
        <v>0</v>
      </c>
      <c r="BD41" s="836">
        <v>0</v>
      </c>
      <c r="BE41" s="836">
        <v>0</v>
      </c>
      <c r="BF41" s="836">
        <v>0</v>
      </c>
      <c r="BG41" s="836">
        <v>0</v>
      </c>
      <c r="BH41" s="842">
        <v>0</v>
      </c>
    </row>
    <row r="42" spans="2:60" ht="13.95" hidden="1" customHeight="1">
      <c r="B42" s="167" t="s">
        <v>254</v>
      </c>
      <c r="C42" s="836">
        <v>0</v>
      </c>
      <c r="D42" s="836">
        <v>0</v>
      </c>
      <c r="E42" s="836">
        <v>0</v>
      </c>
      <c r="F42" s="836">
        <v>0</v>
      </c>
      <c r="G42" s="836">
        <v>0</v>
      </c>
      <c r="H42" s="836">
        <v>0</v>
      </c>
      <c r="I42" s="836">
        <v>0</v>
      </c>
      <c r="J42" s="842">
        <v>0</v>
      </c>
      <c r="L42" s="167" t="s">
        <v>254</v>
      </c>
      <c r="M42" s="836">
        <v>0</v>
      </c>
      <c r="N42" s="836">
        <v>0</v>
      </c>
      <c r="O42" s="836">
        <v>0</v>
      </c>
      <c r="P42" s="836">
        <v>0</v>
      </c>
      <c r="Q42" s="836">
        <v>0</v>
      </c>
      <c r="R42" s="836">
        <v>0</v>
      </c>
      <c r="S42" s="836">
        <v>0</v>
      </c>
      <c r="T42" s="842">
        <v>0</v>
      </c>
      <c r="V42" s="167" t="s">
        <v>254</v>
      </c>
      <c r="W42" s="836">
        <v>0</v>
      </c>
      <c r="X42" s="836">
        <v>0</v>
      </c>
      <c r="Y42" s="836">
        <v>0</v>
      </c>
      <c r="Z42" s="836">
        <v>0</v>
      </c>
      <c r="AA42" s="836">
        <v>0</v>
      </c>
      <c r="AB42" s="836">
        <v>0</v>
      </c>
      <c r="AC42" s="836">
        <v>0</v>
      </c>
      <c r="AD42" s="842">
        <v>0</v>
      </c>
      <c r="AF42" s="167" t="s">
        <v>254</v>
      </c>
      <c r="AG42" s="836">
        <v>0</v>
      </c>
      <c r="AH42" s="836">
        <v>0</v>
      </c>
      <c r="AI42" s="836">
        <v>0</v>
      </c>
      <c r="AJ42" s="836">
        <v>0</v>
      </c>
      <c r="AK42" s="836">
        <v>0</v>
      </c>
      <c r="AL42" s="836">
        <v>0</v>
      </c>
      <c r="AM42" s="836">
        <v>0</v>
      </c>
      <c r="AN42" s="842">
        <v>0</v>
      </c>
      <c r="AP42" s="167" t="s">
        <v>254</v>
      </c>
      <c r="AQ42" s="836">
        <v>0</v>
      </c>
      <c r="AR42" s="836">
        <v>0</v>
      </c>
      <c r="AS42" s="836">
        <v>0</v>
      </c>
      <c r="AT42" s="836">
        <v>0</v>
      </c>
      <c r="AU42" s="836">
        <v>0</v>
      </c>
      <c r="AV42" s="836">
        <v>0</v>
      </c>
      <c r="AW42" s="836">
        <v>0</v>
      </c>
      <c r="AX42" s="842">
        <v>0</v>
      </c>
      <c r="AZ42" s="167" t="s">
        <v>254</v>
      </c>
      <c r="BA42" s="836">
        <v>0</v>
      </c>
      <c r="BB42" s="836">
        <v>0</v>
      </c>
      <c r="BC42" s="836">
        <v>0</v>
      </c>
      <c r="BD42" s="836">
        <v>0</v>
      </c>
      <c r="BE42" s="836">
        <v>0</v>
      </c>
      <c r="BF42" s="836">
        <v>0</v>
      </c>
      <c r="BG42" s="836">
        <v>0</v>
      </c>
      <c r="BH42" s="842">
        <v>0</v>
      </c>
    </row>
    <row r="43" spans="2:60" ht="15" hidden="1" thickBot="1">
      <c r="B43" s="167" t="s">
        <v>3</v>
      </c>
      <c r="C43" s="836">
        <v>0</v>
      </c>
      <c r="D43" s="836">
        <v>0</v>
      </c>
      <c r="E43" s="836">
        <v>0</v>
      </c>
      <c r="F43" s="836">
        <v>0</v>
      </c>
      <c r="G43" s="836">
        <v>0</v>
      </c>
      <c r="H43" s="836">
        <v>0</v>
      </c>
      <c r="I43" s="836">
        <v>0</v>
      </c>
      <c r="J43" s="842">
        <v>0</v>
      </c>
      <c r="L43" s="167" t="s">
        <v>3</v>
      </c>
      <c r="M43" s="836">
        <v>0</v>
      </c>
      <c r="N43" s="836">
        <v>0</v>
      </c>
      <c r="O43" s="836">
        <v>0</v>
      </c>
      <c r="P43" s="836">
        <v>0</v>
      </c>
      <c r="Q43" s="836">
        <v>0</v>
      </c>
      <c r="R43" s="836">
        <v>0</v>
      </c>
      <c r="S43" s="836">
        <v>0</v>
      </c>
      <c r="T43" s="842">
        <v>0</v>
      </c>
      <c r="V43" s="167" t="s">
        <v>3</v>
      </c>
      <c r="W43" s="836">
        <v>0</v>
      </c>
      <c r="X43" s="836">
        <v>0</v>
      </c>
      <c r="Y43" s="836">
        <v>0</v>
      </c>
      <c r="Z43" s="836">
        <v>0</v>
      </c>
      <c r="AA43" s="836">
        <v>0</v>
      </c>
      <c r="AB43" s="836">
        <v>0</v>
      </c>
      <c r="AC43" s="836">
        <v>0</v>
      </c>
      <c r="AD43" s="842">
        <v>0</v>
      </c>
      <c r="AF43" s="167" t="s">
        <v>3</v>
      </c>
      <c r="AG43" s="836">
        <v>0</v>
      </c>
      <c r="AH43" s="836">
        <v>0</v>
      </c>
      <c r="AI43" s="836">
        <v>0</v>
      </c>
      <c r="AJ43" s="836">
        <v>0</v>
      </c>
      <c r="AK43" s="836">
        <v>0</v>
      </c>
      <c r="AL43" s="836">
        <v>0</v>
      </c>
      <c r="AM43" s="836">
        <v>0</v>
      </c>
      <c r="AN43" s="842">
        <v>0</v>
      </c>
      <c r="AP43" s="167" t="s">
        <v>3</v>
      </c>
      <c r="AQ43" s="836">
        <v>0</v>
      </c>
      <c r="AR43" s="836">
        <v>0</v>
      </c>
      <c r="AS43" s="836">
        <v>0</v>
      </c>
      <c r="AT43" s="836">
        <v>0</v>
      </c>
      <c r="AU43" s="836">
        <v>0</v>
      </c>
      <c r="AV43" s="836">
        <v>0</v>
      </c>
      <c r="AW43" s="836">
        <v>0</v>
      </c>
      <c r="AX43" s="842">
        <v>0</v>
      </c>
      <c r="AZ43" s="167" t="s">
        <v>3</v>
      </c>
      <c r="BA43" s="836">
        <v>0</v>
      </c>
      <c r="BB43" s="836">
        <v>0</v>
      </c>
      <c r="BC43" s="836">
        <v>0</v>
      </c>
      <c r="BD43" s="836">
        <v>0</v>
      </c>
      <c r="BE43" s="836">
        <v>0</v>
      </c>
      <c r="BF43" s="836">
        <v>0</v>
      </c>
      <c r="BG43" s="836">
        <v>0</v>
      </c>
      <c r="BH43" s="842">
        <v>0</v>
      </c>
    </row>
    <row r="44" spans="2:60" ht="15" hidden="1" thickBot="1">
      <c r="B44" s="167" t="s">
        <v>159</v>
      </c>
      <c r="C44" s="836">
        <v>0</v>
      </c>
      <c r="D44" s="836">
        <v>0</v>
      </c>
      <c r="E44" s="836">
        <v>0</v>
      </c>
      <c r="F44" s="836">
        <v>0</v>
      </c>
      <c r="G44" s="836">
        <v>0</v>
      </c>
      <c r="H44" s="836">
        <v>0</v>
      </c>
      <c r="I44" s="836">
        <v>0</v>
      </c>
      <c r="J44" s="842">
        <v>0</v>
      </c>
      <c r="L44" s="167" t="s">
        <v>159</v>
      </c>
      <c r="M44" s="836">
        <v>0</v>
      </c>
      <c r="N44" s="836">
        <v>0</v>
      </c>
      <c r="O44" s="836">
        <v>0</v>
      </c>
      <c r="P44" s="836">
        <v>0</v>
      </c>
      <c r="Q44" s="836">
        <v>0</v>
      </c>
      <c r="R44" s="836">
        <v>0</v>
      </c>
      <c r="S44" s="836">
        <v>0</v>
      </c>
      <c r="T44" s="842">
        <v>0</v>
      </c>
      <c r="V44" s="167" t="s">
        <v>159</v>
      </c>
      <c r="W44" s="836">
        <v>0</v>
      </c>
      <c r="X44" s="836">
        <v>0</v>
      </c>
      <c r="Y44" s="836">
        <v>0</v>
      </c>
      <c r="Z44" s="836">
        <v>0</v>
      </c>
      <c r="AA44" s="836">
        <v>0</v>
      </c>
      <c r="AB44" s="836">
        <v>0</v>
      </c>
      <c r="AC44" s="836">
        <v>0</v>
      </c>
      <c r="AD44" s="842">
        <v>0</v>
      </c>
      <c r="AF44" s="167" t="s">
        <v>159</v>
      </c>
      <c r="AG44" s="836">
        <v>0</v>
      </c>
      <c r="AH44" s="836">
        <v>0</v>
      </c>
      <c r="AI44" s="836">
        <v>0</v>
      </c>
      <c r="AJ44" s="836">
        <v>0</v>
      </c>
      <c r="AK44" s="836">
        <v>0</v>
      </c>
      <c r="AL44" s="836">
        <v>0</v>
      </c>
      <c r="AM44" s="836">
        <v>0</v>
      </c>
      <c r="AN44" s="842">
        <v>0</v>
      </c>
      <c r="AP44" s="167" t="s">
        <v>159</v>
      </c>
      <c r="AQ44" s="836">
        <v>0</v>
      </c>
      <c r="AR44" s="836">
        <v>0</v>
      </c>
      <c r="AS44" s="836">
        <v>0</v>
      </c>
      <c r="AT44" s="836">
        <v>0</v>
      </c>
      <c r="AU44" s="836">
        <v>0</v>
      </c>
      <c r="AV44" s="836">
        <v>0</v>
      </c>
      <c r="AW44" s="836">
        <v>0</v>
      </c>
      <c r="AX44" s="842">
        <v>0</v>
      </c>
      <c r="AZ44" s="167" t="s">
        <v>159</v>
      </c>
      <c r="BA44" s="836">
        <v>0</v>
      </c>
      <c r="BB44" s="836">
        <v>0</v>
      </c>
      <c r="BC44" s="836">
        <v>0</v>
      </c>
      <c r="BD44" s="836">
        <v>0</v>
      </c>
      <c r="BE44" s="836">
        <v>0</v>
      </c>
      <c r="BF44" s="836">
        <v>0</v>
      </c>
      <c r="BG44" s="836">
        <v>0</v>
      </c>
      <c r="BH44" s="842">
        <v>0</v>
      </c>
    </row>
    <row r="45" spans="2:60" ht="15" hidden="1" thickBot="1">
      <c r="B45" s="167" t="s">
        <v>92</v>
      </c>
      <c r="C45" s="836">
        <v>0</v>
      </c>
      <c r="D45" s="836">
        <v>0</v>
      </c>
      <c r="E45" s="836">
        <v>0</v>
      </c>
      <c r="F45" s="836">
        <v>0</v>
      </c>
      <c r="G45" s="836">
        <v>0</v>
      </c>
      <c r="H45" s="836">
        <v>0</v>
      </c>
      <c r="I45" s="836">
        <v>0</v>
      </c>
      <c r="J45" s="842">
        <v>0</v>
      </c>
      <c r="L45" s="167" t="s">
        <v>92</v>
      </c>
      <c r="M45" s="836">
        <v>0</v>
      </c>
      <c r="N45" s="836">
        <v>0</v>
      </c>
      <c r="O45" s="836">
        <v>0</v>
      </c>
      <c r="P45" s="836">
        <v>0</v>
      </c>
      <c r="Q45" s="836">
        <v>0</v>
      </c>
      <c r="R45" s="836">
        <v>0</v>
      </c>
      <c r="S45" s="836">
        <v>0</v>
      </c>
      <c r="T45" s="842">
        <v>0</v>
      </c>
      <c r="V45" s="167" t="s">
        <v>92</v>
      </c>
      <c r="W45" s="836">
        <v>0</v>
      </c>
      <c r="X45" s="836">
        <v>0</v>
      </c>
      <c r="Y45" s="836">
        <v>0</v>
      </c>
      <c r="Z45" s="836">
        <v>0</v>
      </c>
      <c r="AA45" s="836">
        <v>0</v>
      </c>
      <c r="AB45" s="836">
        <v>0</v>
      </c>
      <c r="AC45" s="836">
        <v>0</v>
      </c>
      <c r="AD45" s="842">
        <v>0</v>
      </c>
      <c r="AF45" s="167" t="s">
        <v>92</v>
      </c>
      <c r="AG45" s="836">
        <v>0</v>
      </c>
      <c r="AH45" s="836">
        <v>0</v>
      </c>
      <c r="AI45" s="836">
        <v>0</v>
      </c>
      <c r="AJ45" s="836">
        <v>0</v>
      </c>
      <c r="AK45" s="836">
        <v>0</v>
      </c>
      <c r="AL45" s="836">
        <v>0</v>
      </c>
      <c r="AM45" s="836">
        <v>0</v>
      </c>
      <c r="AN45" s="842">
        <v>0</v>
      </c>
      <c r="AP45" s="167" t="s">
        <v>92</v>
      </c>
      <c r="AQ45" s="836">
        <v>0</v>
      </c>
      <c r="AR45" s="836">
        <v>0</v>
      </c>
      <c r="AS45" s="836">
        <v>0</v>
      </c>
      <c r="AT45" s="836">
        <v>0</v>
      </c>
      <c r="AU45" s="836">
        <v>0</v>
      </c>
      <c r="AV45" s="836">
        <v>0</v>
      </c>
      <c r="AW45" s="836">
        <v>0</v>
      </c>
      <c r="AX45" s="842">
        <v>0</v>
      </c>
      <c r="AZ45" s="167" t="s">
        <v>92</v>
      </c>
      <c r="BA45" s="836">
        <v>0</v>
      </c>
      <c r="BB45" s="836">
        <v>0</v>
      </c>
      <c r="BC45" s="836">
        <v>0</v>
      </c>
      <c r="BD45" s="836">
        <v>0</v>
      </c>
      <c r="BE45" s="836">
        <v>0</v>
      </c>
      <c r="BF45" s="836">
        <v>0</v>
      </c>
      <c r="BG45" s="836">
        <v>0</v>
      </c>
      <c r="BH45" s="842">
        <v>0</v>
      </c>
    </row>
    <row r="46" spans="2:60" ht="15" hidden="1" thickBot="1">
      <c r="B46" s="536" t="s">
        <v>93</v>
      </c>
      <c r="C46" s="846"/>
      <c r="D46" s="846"/>
      <c r="E46" s="846"/>
      <c r="F46" s="846"/>
      <c r="G46" s="846"/>
      <c r="H46" s="846"/>
      <c r="I46" s="846"/>
      <c r="J46" s="847"/>
      <c r="L46" s="536" t="s">
        <v>93</v>
      </c>
      <c r="M46" s="846"/>
      <c r="N46" s="846"/>
      <c r="O46" s="846"/>
      <c r="P46" s="846"/>
      <c r="Q46" s="846"/>
      <c r="R46" s="846"/>
      <c r="S46" s="846"/>
      <c r="T46" s="847"/>
      <c r="V46" s="536" t="s">
        <v>93</v>
      </c>
      <c r="W46" s="846"/>
      <c r="X46" s="846"/>
      <c r="Y46" s="846"/>
      <c r="Z46" s="846"/>
      <c r="AA46" s="846"/>
      <c r="AB46" s="846"/>
      <c r="AC46" s="846"/>
      <c r="AD46" s="847"/>
      <c r="AF46" s="536" t="s">
        <v>93</v>
      </c>
      <c r="AG46" s="846"/>
      <c r="AH46" s="846"/>
      <c r="AI46" s="846"/>
      <c r="AJ46" s="846"/>
      <c r="AK46" s="846"/>
      <c r="AL46" s="846"/>
      <c r="AM46" s="846"/>
      <c r="AN46" s="847"/>
      <c r="AP46" s="536" t="s">
        <v>93</v>
      </c>
      <c r="AQ46" s="846"/>
      <c r="AR46" s="846"/>
      <c r="AS46" s="846"/>
      <c r="AT46" s="846"/>
      <c r="AU46" s="846"/>
      <c r="AV46" s="846"/>
      <c r="AW46" s="846"/>
      <c r="AX46" s="847"/>
      <c r="AZ46" s="536" t="s">
        <v>93</v>
      </c>
      <c r="BA46" s="846"/>
      <c r="BB46" s="846"/>
      <c r="BC46" s="846"/>
      <c r="BD46" s="846"/>
      <c r="BE46" s="846"/>
      <c r="BF46" s="846"/>
      <c r="BG46" s="846"/>
      <c r="BH46" s="847"/>
    </row>
    <row r="47" spans="2:60" ht="52.8">
      <c r="B47" s="537" t="s">
        <v>255</v>
      </c>
      <c r="C47" s="848">
        <f>C27+C32+C37+C42</f>
        <v>8535.7796400000007</v>
      </c>
      <c r="D47" s="849">
        <f>E47/C47*1000</f>
        <v>168.41777888569882</v>
      </c>
      <c r="E47" s="848">
        <f>E27+E32+E37+E42</f>
        <v>1437.5770480265699</v>
      </c>
      <c r="F47" s="834" t="s">
        <v>300</v>
      </c>
      <c r="G47" s="834" t="s">
        <v>300</v>
      </c>
      <c r="H47" s="834" t="s">
        <v>300</v>
      </c>
      <c r="I47" s="848">
        <f>I27+I32+I37+I42</f>
        <v>8302.6957517161845</v>
      </c>
      <c r="J47" s="850">
        <f>I47/E47*1000</f>
        <v>5775.4787912854408</v>
      </c>
      <c r="L47" s="537" t="s">
        <v>255</v>
      </c>
      <c r="M47" s="848">
        <f>M27+M32+M37+M42</f>
        <v>6460.056239999999</v>
      </c>
      <c r="N47" s="849">
        <f>O47/M47*1000</f>
        <v>168.96830000000003</v>
      </c>
      <c r="O47" s="848">
        <f>O27+O32+O37+O42</f>
        <v>1091.544720777192</v>
      </c>
      <c r="P47" s="834" t="s">
        <v>300</v>
      </c>
      <c r="Q47" s="834" t="s">
        <v>300</v>
      </c>
      <c r="R47" s="834" t="s">
        <v>300</v>
      </c>
      <c r="S47" s="848">
        <f>S27+S32+S37+S42</f>
        <v>6266.4817806721203</v>
      </c>
      <c r="T47" s="850">
        <f>S47/O47*1000</f>
        <v>5740.9299512807102</v>
      </c>
      <c r="V47" s="537" t="s">
        <v>255</v>
      </c>
      <c r="W47" s="848">
        <f>W27+W32+W37+W42</f>
        <v>480.96030000000002</v>
      </c>
      <c r="X47" s="849">
        <f>Y47/W47*1000</f>
        <v>165.29503105590064</v>
      </c>
      <c r="Y47" s="848">
        <f>Y27+Y32+Y37+Y42</f>
        <v>79.500347725155279</v>
      </c>
      <c r="Z47" s="834" t="s">
        <v>300</v>
      </c>
      <c r="AA47" s="834" t="s">
        <v>300</v>
      </c>
      <c r="AB47" s="834" t="s">
        <v>300</v>
      </c>
      <c r="AC47" s="848">
        <f>AC27+AC32+AC37+AC42</f>
        <v>480.36083987563558</v>
      </c>
      <c r="AD47" s="850">
        <f>AC47/Y47*1000</f>
        <v>6042.2482872190149</v>
      </c>
      <c r="AF47" s="537" t="s">
        <v>255</v>
      </c>
      <c r="AG47" s="848">
        <f>AG27+AG32+AG37+AG42</f>
        <v>798.22533999999996</v>
      </c>
      <c r="AH47" s="849">
        <f>AI47/AG47*1000</f>
        <v>165.29499999999999</v>
      </c>
      <c r="AI47" s="848">
        <f>AI27+AI32+AI37+AI42</f>
        <v>131.94265757529999</v>
      </c>
      <c r="AJ47" s="834" t="s">
        <v>300</v>
      </c>
      <c r="AK47" s="834" t="s">
        <v>300</v>
      </c>
      <c r="AL47" s="834" t="s">
        <v>300</v>
      </c>
      <c r="AM47" s="848">
        <f>AM27+AM32+AM37+AM42</f>
        <v>782.8090134241105</v>
      </c>
      <c r="AN47" s="850">
        <f>AM47/AI47*1000</f>
        <v>5932.9486597415207</v>
      </c>
      <c r="AP47" s="537" t="s">
        <v>255</v>
      </c>
      <c r="AQ47" s="848">
        <f>AQ27+AQ32+AQ37+AQ42</f>
        <v>391.51855999999998</v>
      </c>
      <c r="AR47" s="849">
        <f>AS47/AQ47*1000</f>
        <v>168.96799999999999</v>
      </c>
      <c r="AS47" s="848">
        <f>AS27+AS32+AS37+AS42</f>
        <v>66.154108046079983</v>
      </c>
      <c r="AT47" s="834" t="s">
        <v>300</v>
      </c>
      <c r="AU47" s="834" t="s">
        <v>300</v>
      </c>
      <c r="AV47" s="834" t="s">
        <v>300</v>
      </c>
      <c r="AW47" s="848">
        <f>AW27+AW32+AW37+AW42</f>
        <v>377.24410092517337</v>
      </c>
      <c r="AX47" s="850">
        <f>AW47/AS47*1000</f>
        <v>5702.5045317276754</v>
      </c>
      <c r="AZ47" s="537" t="s">
        <v>255</v>
      </c>
      <c r="BA47" s="848">
        <f>BA27+BA32+BA37+BA42</f>
        <v>405.01920000000001</v>
      </c>
      <c r="BB47" s="849">
        <f>BC47/BA47*1000</f>
        <v>168.96799999999999</v>
      </c>
      <c r="BC47" s="848">
        <f>BC27+BC32+BC37+BC42</f>
        <v>68.435284185599997</v>
      </c>
      <c r="BD47" s="834" t="s">
        <v>300</v>
      </c>
      <c r="BE47" s="834" t="s">
        <v>300</v>
      </c>
      <c r="BF47" s="834" t="s">
        <v>300</v>
      </c>
      <c r="BG47" s="848">
        <f>BG27+BG32+BG37+BG42</f>
        <v>395.8000168191449</v>
      </c>
      <c r="BH47" s="850">
        <f>BG47/BC47*1000</f>
        <v>5783.5664968631527</v>
      </c>
    </row>
    <row r="48" spans="2:60">
      <c r="B48" s="167" t="s">
        <v>3</v>
      </c>
      <c r="C48" s="836">
        <f t="shared" ref="C48:E51" si="39">C28+C33+C38+C43</f>
        <v>8535.7796400000007</v>
      </c>
      <c r="D48" s="837">
        <f>E48/C48*1000</f>
        <v>168.41777888569882</v>
      </c>
      <c r="E48" s="836">
        <f t="shared" si="39"/>
        <v>1437.5770480265699</v>
      </c>
      <c r="F48" s="836" t="s">
        <v>300</v>
      </c>
      <c r="G48" s="836" t="s">
        <v>300</v>
      </c>
      <c r="H48" s="836" t="s">
        <v>300</v>
      </c>
      <c r="I48" s="836">
        <f>I28+I33+I38+I43</f>
        <v>8302.6957517161845</v>
      </c>
      <c r="J48" s="842">
        <f>I48/E48*1000</f>
        <v>5775.4787912854408</v>
      </c>
      <c r="L48" s="167" t="s">
        <v>3</v>
      </c>
      <c r="M48" s="836">
        <f t="shared" ref="M48:O51" si="40">M28+M33+M38+M43</f>
        <v>6460.056239999999</v>
      </c>
      <c r="N48" s="837">
        <f>O48/M48*1000</f>
        <v>168.96830000000003</v>
      </c>
      <c r="O48" s="836">
        <f t="shared" si="40"/>
        <v>1091.544720777192</v>
      </c>
      <c r="P48" s="836" t="s">
        <v>300</v>
      </c>
      <c r="Q48" s="836" t="s">
        <v>300</v>
      </c>
      <c r="R48" s="836" t="s">
        <v>300</v>
      </c>
      <c r="S48" s="836">
        <f>S28+S33+S38+S43</f>
        <v>6266.4817806721203</v>
      </c>
      <c r="T48" s="842">
        <f>S48/O48*1000</f>
        <v>5740.9299512807102</v>
      </c>
      <c r="V48" s="167" t="s">
        <v>3</v>
      </c>
      <c r="W48" s="836">
        <f t="shared" ref="W48:Y51" si="41">W28+W33+W38+W43</f>
        <v>480.96030000000002</v>
      </c>
      <c r="X48" s="837">
        <f>Y48/W48*1000</f>
        <v>165.29503105590064</v>
      </c>
      <c r="Y48" s="836">
        <f t="shared" si="41"/>
        <v>79.500347725155279</v>
      </c>
      <c r="Z48" s="836" t="s">
        <v>300</v>
      </c>
      <c r="AA48" s="836" t="s">
        <v>300</v>
      </c>
      <c r="AB48" s="836" t="s">
        <v>300</v>
      </c>
      <c r="AC48" s="836">
        <f>AC28+AC33+AC38+AC43</f>
        <v>480.36083987563558</v>
      </c>
      <c r="AD48" s="842">
        <f>AC48/Y48*1000</f>
        <v>6042.2482872190149</v>
      </c>
      <c r="AF48" s="167" t="s">
        <v>3</v>
      </c>
      <c r="AG48" s="836">
        <f t="shared" ref="AG48:AI51" si="42">AG28+AG33+AG38+AG43</f>
        <v>798.22533999999996</v>
      </c>
      <c r="AH48" s="837">
        <f>AI48/AG48*1000</f>
        <v>165.29499999999999</v>
      </c>
      <c r="AI48" s="836">
        <f t="shared" si="42"/>
        <v>131.94265757529999</v>
      </c>
      <c r="AJ48" s="836" t="s">
        <v>300</v>
      </c>
      <c r="AK48" s="836" t="s">
        <v>300</v>
      </c>
      <c r="AL48" s="836" t="s">
        <v>300</v>
      </c>
      <c r="AM48" s="836">
        <f>AM28+AM33+AM38+AM43</f>
        <v>782.8090134241105</v>
      </c>
      <c r="AN48" s="842">
        <f>AM48/AI48*1000</f>
        <v>5932.9486597415207</v>
      </c>
      <c r="AP48" s="167" t="s">
        <v>3</v>
      </c>
      <c r="AQ48" s="836">
        <f t="shared" ref="AQ48:AS51" si="43">AQ28+AQ33+AQ38+AQ43</f>
        <v>391.51855999999998</v>
      </c>
      <c r="AR48" s="837">
        <f>AS48/AQ48*1000</f>
        <v>168.96799999999999</v>
      </c>
      <c r="AS48" s="836">
        <f t="shared" si="43"/>
        <v>66.154108046079983</v>
      </c>
      <c r="AT48" s="836" t="s">
        <v>300</v>
      </c>
      <c r="AU48" s="836" t="s">
        <v>300</v>
      </c>
      <c r="AV48" s="836" t="s">
        <v>300</v>
      </c>
      <c r="AW48" s="836">
        <f>AW28+AW33+AW38+AW43</f>
        <v>377.24410092517337</v>
      </c>
      <c r="AX48" s="842">
        <f>AW48/AS48*1000</f>
        <v>5702.5045317276754</v>
      </c>
      <c r="AZ48" s="167" t="s">
        <v>3</v>
      </c>
      <c r="BA48" s="836">
        <f t="shared" ref="BA48:BC51" si="44">BA28+BA33+BA38+BA43</f>
        <v>405.01920000000001</v>
      </c>
      <c r="BB48" s="837">
        <f>BC48/BA48*1000</f>
        <v>168.96799999999999</v>
      </c>
      <c r="BC48" s="836">
        <f t="shared" si="44"/>
        <v>68.435284185599997</v>
      </c>
      <c r="BD48" s="836" t="s">
        <v>300</v>
      </c>
      <c r="BE48" s="836" t="s">
        <v>300</v>
      </c>
      <c r="BF48" s="836" t="s">
        <v>300</v>
      </c>
      <c r="BG48" s="836">
        <f>BG28+BG33+BG38+BG43</f>
        <v>395.8000168191449</v>
      </c>
      <c r="BH48" s="842">
        <f>BG48/BC48*1000</f>
        <v>5783.5664968631527</v>
      </c>
    </row>
    <row r="49" spans="2:60">
      <c r="B49" s="167" t="s">
        <v>159</v>
      </c>
      <c r="C49" s="836">
        <f t="shared" si="39"/>
        <v>0</v>
      </c>
      <c r="D49" s="837" t="e">
        <f>E49/C49*1000</f>
        <v>#DIV/0!</v>
      </c>
      <c r="E49" s="836">
        <f t="shared" si="39"/>
        <v>0</v>
      </c>
      <c r="F49" s="836" t="s">
        <v>300</v>
      </c>
      <c r="G49" s="836" t="s">
        <v>300</v>
      </c>
      <c r="H49" s="836" t="s">
        <v>300</v>
      </c>
      <c r="I49" s="836">
        <f>I29+I34+I39+I44</f>
        <v>0</v>
      </c>
      <c r="J49" s="842" t="e">
        <f>I49/E49*1000</f>
        <v>#DIV/0!</v>
      </c>
      <c r="L49" s="167" t="s">
        <v>159</v>
      </c>
      <c r="M49" s="836">
        <f t="shared" si="40"/>
        <v>0</v>
      </c>
      <c r="N49" s="837" t="e">
        <f>O49/M49*1000</f>
        <v>#DIV/0!</v>
      </c>
      <c r="O49" s="836">
        <f t="shared" si="40"/>
        <v>0</v>
      </c>
      <c r="P49" s="836" t="s">
        <v>300</v>
      </c>
      <c r="Q49" s="836" t="s">
        <v>300</v>
      </c>
      <c r="R49" s="836" t="s">
        <v>300</v>
      </c>
      <c r="S49" s="836">
        <f>S29+S34+S39+S44</f>
        <v>0</v>
      </c>
      <c r="T49" s="842" t="e">
        <f>S49/O49*1000</f>
        <v>#DIV/0!</v>
      </c>
      <c r="V49" s="167" t="s">
        <v>159</v>
      </c>
      <c r="W49" s="836">
        <f t="shared" si="41"/>
        <v>0</v>
      </c>
      <c r="X49" s="837" t="e">
        <f>Y49/W49*1000</f>
        <v>#DIV/0!</v>
      </c>
      <c r="Y49" s="836">
        <f t="shared" si="41"/>
        <v>0</v>
      </c>
      <c r="Z49" s="836" t="s">
        <v>300</v>
      </c>
      <c r="AA49" s="836" t="s">
        <v>300</v>
      </c>
      <c r="AB49" s="836" t="s">
        <v>300</v>
      </c>
      <c r="AC49" s="836" t="e">
        <f>AC29+AC34+AC39+AC44</f>
        <v>#VALUE!</v>
      </c>
      <c r="AD49" s="842" t="e">
        <f>AC49/Y49*1000</f>
        <v>#VALUE!</v>
      </c>
      <c r="AF49" s="167" t="s">
        <v>159</v>
      </c>
      <c r="AG49" s="836">
        <f t="shared" si="42"/>
        <v>0</v>
      </c>
      <c r="AH49" s="837" t="e">
        <f>AI49/AG49*1000</f>
        <v>#DIV/0!</v>
      </c>
      <c r="AI49" s="836">
        <f t="shared" si="42"/>
        <v>0</v>
      </c>
      <c r="AJ49" s="836" t="s">
        <v>300</v>
      </c>
      <c r="AK49" s="836" t="s">
        <v>300</v>
      </c>
      <c r="AL49" s="836" t="s">
        <v>300</v>
      </c>
      <c r="AM49" s="836" t="e">
        <f>AM29+AM34+AM39+AM44</f>
        <v>#VALUE!</v>
      </c>
      <c r="AN49" s="842" t="e">
        <f>AM49/AI49*1000</f>
        <v>#VALUE!</v>
      </c>
      <c r="AP49" s="167" t="s">
        <v>159</v>
      </c>
      <c r="AQ49" s="836">
        <f t="shared" si="43"/>
        <v>0</v>
      </c>
      <c r="AR49" s="837" t="e">
        <f>AS49/AQ49*1000</f>
        <v>#DIV/0!</v>
      </c>
      <c r="AS49" s="836">
        <f t="shared" si="43"/>
        <v>0</v>
      </c>
      <c r="AT49" s="836" t="s">
        <v>300</v>
      </c>
      <c r="AU49" s="836" t="s">
        <v>300</v>
      </c>
      <c r="AV49" s="836" t="s">
        <v>300</v>
      </c>
      <c r="AW49" s="836" t="e">
        <f>AW29+AW34+AW39+AW44</f>
        <v>#VALUE!</v>
      </c>
      <c r="AX49" s="842" t="e">
        <f>AW49/AS49*1000</f>
        <v>#VALUE!</v>
      </c>
      <c r="AZ49" s="167" t="s">
        <v>159</v>
      </c>
      <c r="BA49" s="836">
        <f t="shared" si="44"/>
        <v>0</v>
      </c>
      <c r="BB49" s="837" t="e">
        <f>BC49/BA49*1000</f>
        <v>#DIV/0!</v>
      </c>
      <c r="BC49" s="836">
        <f t="shared" si="44"/>
        <v>0</v>
      </c>
      <c r="BD49" s="836" t="s">
        <v>300</v>
      </c>
      <c r="BE49" s="836" t="s">
        <v>300</v>
      </c>
      <c r="BF49" s="836" t="s">
        <v>300</v>
      </c>
      <c r="BG49" s="836" t="e">
        <f>BG29+BG34+BG39+BG44</f>
        <v>#VALUE!</v>
      </c>
      <c r="BH49" s="842" t="e">
        <f>BG49/BC49*1000</f>
        <v>#VALUE!</v>
      </c>
    </row>
    <row r="50" spans="2:60">
      <c r="B50" s="167" t="s">
        <v>92</v>
      </c>
      <c r="C50" s="836">
        <f t="shared" si="39"/>
        <v>0</v>
      </c>
      <c r="D50" s="837" t="e">
        <f>E50/C50*1000</f>
        <v>#DIV/0!</v>
      </c>
      <c r="E50" s="836">
        <f t="shared" si="39"/>
        <v>0</v>
      </c>
      <c r="F50" s="836" t="s">
        <v>300</v>
      </c>
      <c r="G50" s="836" t="s">
        <v>300</v>
      </c>
      <c r="H50" s="836" t="s">
        <v>300</v>
      </c>
      <c r="I50" s="836">
        <f>I30+I35+I40+I45</f>
        <v>0</v>
      </c>
      <c r="J50" s="842" t="e">
        <f>I50/E50*1000</f>
        <v>#DIV/0!</v>
      </c>
      <c r="L50" s="167" t="s">
        <v>92</v>
      </c>
      <c r="M50" s="836">
        <f t="shared" si="40"/>
        <v>0</v>
      </c>
      <c r="N50" s="837" t="e">
        <f>O50/M50*1000</f>
        <v>#DIV/0!</v>
      </c>
      <c r="O50" s="836">
        <f t="shared" si="40"/>
        <v>0</v>
      </c>
      <c r="P50" s="836" t="s">
        <v>300</v>
      </c>
      <c r="Q50" s="836" t="s">
        <v>300</v>
      </c>
      <c r="R50" s="836" t="s">
        <v>300</v>
      </c>
      <c r="S50" s="836">
        <f>S30+S35+S40+S45</f>
        <v>0</v>
      </c>
      <c r="T50" s="842" t="e">
        <f>S50/O50*1000</f>
        <v>#DIV/0!</v>
      </c>
      <c r="V50" s="167" t="s">
        <v>92</v>
      </c>
      <c r="W50" s="836">
        <f t="shared" si="41"/>
        <v>0</v>
      </c>
      <c r="X50" s="837" t="e">
        <f>Y50/W50*1000</f>
        <v>#DIV/0!</v>
      </c>
      <c r="Y50" s="836">
        <f t="shared" si="41"/>
        <v>0</v>
      </c>
      <c r="Z50" s="836" t="s">
        <v>300</v>
      </c>
      <c r="AA50" s="836" t="s">
        <v>300</v>
      </c>
      <c r="AB50" s="836" t="s">
        <v>300</v>
      </c>
      <c r="AC50" s="836" t="e">
        <f>AC30+AC35+AC40+AC45</f>
        <v>#VALUE!</v>
      </c>
      <c r="AD50" s="842" t="e">
        <f>AC50/Y50*1000</f>
        <v>#VALUE!</v>
      </c>
      <c r="AF50" s="167" t="s">
        <v>92</v>
      </c>
      <c r="AG50" s="836">
        <f t="shared" si="42"/>
        <v>0</v>
      </c>
      <c r="AH50" s="837" t="e">
        <f>AI50/AG50*1000</f>
        <v>#DIV/0!</v>
      </c>
      <c r="AI50" s="836">
        <f t="shared" si="42"/>
        <v>0</v>
      </c>
      <c r="AJ50" s="836" t="s">
        <v>300</v>
      </c>
      <c r="AK50" s="836" t="s">
        <v>300</v>
      </c>
      <c r="AL50" s="836" t="s">
        <v>300</v>
      </c>
      <c r="AM50" s="836" t="e">
        <f>AM30+AM35+AM40+AM45</f>
        <v>#VALUE!</v>
      </c>
      <c r="AN50" s="842" t="e">
        <f>AM50/AI50*1000</f>
        <v>#VALUE!</v>
      </c>
      <c r="AP50" s="167" t="s">
        <v>92</v>
      </c>
      <c r="AQ50" s="836">
        <f t="shared" si="43"/>
        <v>0</v>
      </c>
      <c r="AR50" s="837" t="e">
        <f>AS50/AQ50*1000</f>
        <v>#DIV/0!</v>
      </c>
      <c r="AS50" s="836">
        <f t="shared" si="43"/>
        <v>0</v>
      </c>
      <c r="AT50" s="836" t="s">
        <v>300</v>
      </c>
      <c r="AU50" s="836" t="s">
        <v>300</v>
      </c>
      <c r="AV50" s="836" t="s">
        <v>300</v>
      </c>
      <c r="AW50" s="836" t="e">
        <f>AW30+AW35+AW40+AW45</f>
        <v>#VALUE!</v>
      </c>
      <c r="AX50" s="842" t="e">
        <f>AW50/AS50*1000</f>
        <v>#VALUE!</v>
      </c>
      <c r="AZ50" s="167" t="s">
        <v>92</v>
      </c>
      <c r="BA50" s="836">
        <f t="shared" si="44"/>
        <v>0</v>
      </c>
      <c r="BB50" s="837" t="e">
        <f>BC50/BA50*1000</f>
        <v>#DIV/0!</v>
      </c>
      <c r="BC50" s="836">
        <f t="shared" si="44"/>
        <v>0</v>
      </c>
      <c r="BD50" s="836" t="s">
        <v>300</v>
      </c>
      <c r="BE50" s="836" t="s">
        <v>300</v>
      </c>
      <c r="BF50" s="836" t="s">
        <v>300</v>
      </c>
      <c r="BG50" s="836" t="e">
        <f>BG30+BG35+BG40+BG45</f>
        <v>#VALUE!</v>
      </c>
      <c r="BH50" s="842" t="e">
        <f>BG50/BC50*1000</f>
        <v>#VALUE!</v>
      </c>
    </row>
    <row r="51" spans="2:60" ht="15" thickBot="1">
      <c r="B51" s="534" t="s">
        <v>93</v>
      </c>
      <c r="C51" s="838">
        <f t="shared" si="39"/>
        <v>0</v>
      </c>
      <c r="D51" s="839" t="e">
        <f>E51/C51*1000</f>
        <v>#DIV/0!</v>
      </c>
      <c r="E51" s="838">
        <f t="shared" si="39"/>
        <v>0</v>
      </c>
      <c r="F51" s="838" t="s">
        <v>300</v>
      </c>
      <c r="G51" s="838" t="s">
        <v>300</v>
      </c>
      <c r="H51" s="838" t="s">
        <v>300</v>
      </c>
      <c r="I51" s="838">
        <f>I31+I36+I41+I46</f>
        <v>0</v>
      </c>
      <c r="J51" s="844" t="e">
        <f>I51/E51*1000</f>
        <v>#DIV/0!</v>
      </c>
      <c r="L51" s="534" t="s">
        <v>93</v>
      </c>
      <c r="M51" s="838">
        <f t="shared" si="40"/>
        <v>0</v>
      </c>
      <c r="N51" s="839" t="e">
        <f>O51/M51*1000</f>
        <v>#DIV/0!</v>
      </c>
      <c r="O51" s="838">
        <f t="shared" si="40"/>
        <v>0</v>
      </c>
      <c r="P51" s="838" t="s">
        <v>300</v>
      </c>
      <c r="Q51" s="838" t="s">
        <v>300</v>
      </c>
      <c r="R51" s="838" t="s">
        <v>300</v>
      </c>
      <c r="S51" s="838">
        <f>S31+S36+S41+S46</f>
        <v>0</v>
      </c>
      <c r="T51" s="844" t="e">
        <f>S51/O51*1000</f>
        <v>#DIV/0!</v>
      </c>
      <c r="V51" s="534" t="s">
        <v>93</v>
      </c>
      <c r="W51" s="838">
        <f t="shared" si="41"/>
        <v>0</v>
      </c>
      <c r="X51" s="839" t="e">
        <f>Y51/W51*1000</f>
        <v>#DIV/0!</v>
      </c>
      <c r="Y51" s="838">
        <f t="shared" si="41"/>
        <v>0</v>
      </c>
      <c r="Z51" s="838" t="s">
        <v>300</v>
      </c>
      <c r="AA51" s="838" t="s">
        <v>300</v>
      </c>
      <c r="AB51" s="838" t="s">
        <v>300</v>
      </c>
      <c r="AC51" s="838" t="e">
        <f>AC31+AC36+AC41+AC46</f>
        <v>#VALUE!</v>
      </c>
      <c r="AD51" s="844" t="e">
        <f>AC51/Y51*1000</f>
        <v>#VALUE!</v>
      </c>
      <c r="AF51" s="534" t="s">
        <v>93</v>
      </c>
      <c r="AG51" s="838">
        <f t="shared" si="42"/>
        <v>0</v>
      </c>
      <c r="AH51" s="839" t="e">
        <f>AI51/AG51*1000</f>
        <v>#DIV/0!</v>
      </c>
      <c r="AI51" s="838">
        <f t="shared" si="42"/>
        <v>0</v>
      </c>
      <c r="AJ51" s="838" t="s">
        <v>300</v>
      </c>
      <c r="AK51" s="838" t="s">
        <v>300</v>
      </c>
      <c r="AL51" s="838" t="s">
        <v>300</v>
      </c>
      <c r="AM51" s="838" t="e">
        <f>AM31+AM36+AM41+AM46</f>
        <v>#VALUE!</v>
      </c>
      <c r="AN51" s="844" t="e">
        <f>AM51/AI51*1000</f>
        <v>#VALUE!</v>
      </c>
      <c r="AP51" s="534" t="s">
        <v>93</v>
      </c>
      <c r="AQ51" s="838">
        <f t="shared" si="43"/>
        <v>0</v>
      </c>
      <c r="AR51" s="839" t="e">
        <f>AS51/AQ51*1000</f>
        <v>#DIV/0!</v>
      </c>
      <c r="AS51" s="838">
        <f t="shared" si="43"/>
        <v>0</v>
      </c>
      <c r="AT51" s="838" t="s">
        <v>300</v>
      </c>
      <c r="AU51" s="838" t="s">
        <v>300</v>
      </c>
      <c r="AV51" s="838" t="s">
        <v>300</v>
      </c>
      <c r="AW51" s="838" t="e">
        <f>AW31+AW36+AW41+AW46</f>
        <v>#VALUE!</v>
      </c>
      <c r="AX51" s="844" t="e">
        <f>AW51/AS51*1000</f>
        <v>#VALUE!</v>
      </c>
      <c r="AZ51" s="534" t="s">
        <v>93</v>
      </c>
      <c r="BA51" s="838">
        <f t="shared" si="44"/>
        <v>0</v>
      </c>
      <c r="BB51" s="839" t="e">
        <f>BC51/BA51*1000</f>
        <v>#DIV/0!</v>
      </c>
      <c r="BC51" s="838">
        <f t="shared" si="44"/>
        <v>0</v>
      </c>
      <c r="BD51" s="838" t="s">
        <v>300</v>
      </c>
      <c r="BE51" s="838" t="s">
        <v>300</v>
      </c>
      <c r="BF51" s="838" t="s">
        <v>300</v>
      </c>
      <c r="BG51" s="838" t="e">
        <f>BG31+BG36+BG41+BG46</f>
        <v>#VALUE!</v>
      </c>
      <c r="BH51" s="844" t="e">
        <f>BG51/BC51*1000</f>
        <v>#VALUE!</v>
      </c>
    </row>
    <row r="52" spans="2:60" ht="15" customHeight="1">
      <c r="B52" s="2756"/>
      <c r="C52" s="2756"/>
      <c r="D52" s="2756"/>
      <c r="E52" s="2756"/>
      <c r="F52" s="2756"/>
      <c r="G52" s="2756"/>
      <c r="H52" s="2756"/>
      <c r="I52" s="2756"/>
      <c r="J52" s="2756"/>
      <c r="L52" s="2756"/>
      <c r="M52" s="2756"/>
      <c r="N52" s="2756"/>
      <c r="O52" s="2756"/>
      <c r="P52" s="2756"/>
      <c r="Q52" s="2756"/>
      <c r="R52" s="2756"/>
      <c r="S52" s="2756"/>
      <c r="T52" s="2756"/>
      <c r="V52" s="1037"/>
      <c r="W52" s="1037"/>
      <c r="X52" s="1037"/>
      <c r="Y52" s="1037"/>
      <c r="Z52" s="1037"/>
      <c r="AA52" s="1037"/>
      <c r="AB52" s="1037"/>
      <c r="AC52" s="1037"/>
      <c r="AD52" s="1037"/>
      <c r="AF52" s="1037"/>
      <c r="AG52" s="1037"/>
      <c r="AH52" s="1037"/>
      <c r="AI52" s="1037"/>
      <c r="AJ52" s="1037"/>
      <c r="AK52" s="1037"/>
      <c r="AL52" s="1037"/>
      <c r="AM52" s="1037"/>
      <c r="AN52" s="1037"/>
      <c r="AP52" s="1037"/>
      <c r="AQ52" s="1037"/>
      <c r="AR52" s="1037"/>
      <c r="AS52" s="1037"/>
      <c r="AT52" s="1037"/>
      <c r="AU52" s="1037"/>
      <c r="AV52" s="1037"/>
      <c r="AW52" s="1037"/>
      <c r="AX52" s="1037"/>
      <c r="AZ52" s="1037"/>
      <c r="BA52" s="1037"/>
      <c r="BB52" s="1037"/>
      <c r="BC52" s="1037"/>
      <c r="BD52" s="1037"/>
      <c r="BE52" s="1037"/>
      <c r="BF52" s="1037"/>
      <c r="BG52" s="1037"/>
      <c r="BH52" s="1037"/>
    </row>
    <row r="53" spans="2:60">
      <c r="B53" s="224"/>
      <c r="C53" s="224"/>
      <c r="D53" s="224"/>
      <c r="L53" s="224"/>
      <c r="M53" s="224"/>
      <c r="N53" s="224"/>
      <c r="O53" s="160"/>
      <c r="P53" s="160"/>
      <c r="Q53" s="160"/>
      <c r="R53" s="160"/>
      <c r="S53" s="160"/>
      <c r="T53" s="160"/>
      <c r="V53" s="224"/>
      <c r="W53" s="224"/>
      <c r="X53" s="224"/>
      <c r="AF53" s="224"/>
      <c r="AG53" s="224"/>
      <c r="AH53" s="224"/>
      <c r="AP53" s="224"/>
      <c r="AQ53" s="224"/>
      <c r="AR53" s="224"/>
      <c r="AZ53" s="224"/>
      <c r="BA53" s="224"/>
      <c r="BB53" s="224"/>
    </row>
    <row r="54" spans="2:60" s="2426" customFormat="1">
      <c r="B54" s="949" t="str">
        <f>'Вхідні дані'!B13</f>
        <v>Директор підприємства</v>
      </c>
      <c r="C54" s="2425"/>
      <c r="D54" s="2425"/>
      <c r="E54" s="2757" t="s">
        <v>125</v>
      </c>
      <c r="F54" s="2757"/>
      <c r="G54" s="950"/>
      <c r="H54" s="2746" t="str">
        <f>'Вхідні дані'!F13</f>
        <v>Сергій НІКУЛЬЧА</v>
      </c>
      <c r="I54" s="2746"/>
      <c r="J54" s="2746"/>
      <c r="L54" s="949" t="str">
        <f>B54</f>
        <v>Директор підприємства</v>
      </c>
      <c r="M54" s="2425"/>
      <c r="N54" s="2425"/>
      <c r="O54" s="2757" t="s">
        <v>125</v>
      </c>
      <c r="P54" s="2757"/>
      <c r="Q54" s="950"/>
      <c r="R54" s="2758" t="str">
        <f>H54</f>
        <v>Сергій НІКУЛЬЧА</v>
      </c>
      <c r="S54" s="2758"/>
      <c r="T54" s="2758"/>
      <c r="V54" s="949" t="str">
        <f>B54</f>
        <v>Директор підприємства</v>
      </c>
      <c r="W54" s="2425"/>
      <c r="X54" s="2425"/>
      <c r="Y54" s="2428"/>
      <c r="Z54" s="2427"/>
      <c r="AA54" s="950"/>
      <c r="AB54" s="2764" t="str">
        <f>R54</f>
        <v>Сергій НІКУЛЬЧА</v>
      </c>
      <c r="AC54" s="2764"/>
      <c r="AD54" s="949"/>
      <c r="AF54" s="949" t="str">
        <f>B54</f>
        <v>Директор підприємства</v>
      </c>
      <c r="AG54" s="2425"/>
      <c r="AH54" s="2757" t="s">
        <v>125</v>
      </c>
      <c r="AI54" s="2757"/>
      <c r="AJ54" s="2757"/>
      <c r="AK54" s="950"/>
      <c r="AL54" s="2746" t="str">
        <f>AB54</f>
        <v>Сергій НІКУЛЬЧА</v>
      </c>
      <c r="AM54" s="2746"/>
      <c r="AN54" s="949"/>
      <c r="AP54" s="949" t="str">
        <f>B54</f>
        <v>Директор підприємства</v>
      </c>
      <c r="AQ54" s="2425"/>
      <c r="AR54" s="2757" t="s">
        <v>125</v>
      </c>
      <c r="AS54" s="2757"/>
      <c r="AT54" s="2757"/>
      <c r="AU54" s="950"/>
      <c r="AV54" s="2746" t="str">
        <f>AL54</f>
        <v>Сергій НІКУЛЬЧА</v>
      </c>
      <c r="AW54" s="2746"/>
      <c r="AX54" s="949"/>
      <c r="AZ54" s="949" t="s">
        <v>1864</v>
      </c>
      <c r="BA54" s="2425"/>
      <c r="BB54" s="2757" t="s">
        <v>125</v>
      </c>
      <c r="BC54" s="2757"/>
      <c r="BD54" s="2757"/>
      <c r="BE54" s="950"/>
      <c r="BF54" s="2746" t="str">
        <f>AV54</f>
        <v>Сергій НІКУЛЬЧА</v>
      </c>
      <c r="BG54" s="2746"/>
      <c r="BH54" s="949"/>
    </row>
    <row r="55" spans="2:60" s="2424" customFormat="1" ht="26.4" customHeight="1">
      <c r="B55" s="2422" t="s">
        <v>218</v>
      </c>
      <c r="C55" s="2423"/>
      <c r="D55" s="2423"/>
      <c r="E55" s="2763" t="s">
        <v>95</v>
      </c>
      <c r="F55" s="2763"/>
      <c r="G55" s="951"/>
      <c r="H55" s="2763" t="s">
        <v>251</v>
      </c>
      <c r="I55" s="2763"/>
      <c r="J55" s="2763"/>
      <c r="L55" s="2422" t="s">
        <v>218</v>
      </c>
      <c r="M55" s="2423"/>
      <c r="N55" s="2423"/>
      <c r="O55" s="2763" t="s">
        <v>95</v>
      </c>
      <c r="P55" s="2763"/>
      <c r="Q55" s="951"/>
      <c r="R55" s="2763" t="s">
        <v>251</v>
      </c>
      <c r="S55" s="2763"/>
      <c r="T55" s="2763"/>
      <c r="V55" s="2422" t="s">
        <v>218</v>
      </c>
      <c r="W55" s="2423"/>
      <c r="X55" s="2423"/>
      <c r="Y55" s="2422" t="s">
        <v>95</v>
      </c>
      <c r="Z55" s="2422"/>
      <c r="AA55" s="951"/>
      <c r="AB55" s="2765" t="s">
        <v>251</v>
      </c>
      <c r="AC55" s="2765"/>
      <c r="AD55" s="2422"/>
      <c r="AF55" s="2422" t="s">
        <v>218</v>
      </c>
      <c r="AG55" s="2423"/>
      <c r="AH55" s="2423"/>
      <c r="AI55" s="2422" t="s">
        <v>95</v>
      </c>
      <c r="AJ55" s="2422"/>
      <c r="AK55" s="951"/>
      <c r="AL55" s="2763" t="s">
        <v>251</v>
      </c>
      <c r="AM55" s="2763"/>
      <c r="AN55" s="2422"/>
      <c r="AP55" s="2422" t="s">
        <v>218</v>
      </c>
      <c r="AQ55" s="2423"/>
      <c r="AR55" s="2423"/>
      <c r="AS55" s="2422" t="s">
        <v>95</v>
      </c>
      <c r="AT55" s="2422"/>
      <c r="AU55" s="951"/>
      <c r="AV55" s="2763" t="s">
        <v>251</v>
      </c>
      <c r="AW55" s="2763"/>
      <c r="AX55" s="2422"/>
      <c r="AZ55" s="2422" t="s">
        <v>218</v>
      </c>
      <c r="BA55" s="2423"/>
      <c r="BB55" s="2423"/>
      <c r="BC55" s="2422" t="s">
        <v>95</v>
      </c>
      <c r="BD55" s="2422"/>
      <c r="BE55" s="951"/>
      <c r="BF55" s="2763" t="s">
        <v>251</v>
      </c>
      <c r="BG55" s="2763"/>
      <c r="BH55" s="2422"/>
    </row>
    <row r="56" spans="2:60">
      <c r="B56" s="224"/>
      <c r="C56" s="225"/>
      <c r="D56" s="225"/>
      <c r="L56" s="224"/>
      <c r="M56" s="225"/>
      <c r="N56" s="225"/>
      <c r="O56" s="160"/>
      <c r="P56" s="160"/>
      <c r="Q56" s="160"/>
      <c r="R56" s="160"/>
      <c r="S56" s="160"/>
      <c r="T56" s="160"/>
      <c r="V56" s="224"/>
      <c r="W56" s="225"/>
      <c r="X56" s="225"/>
      <c r="AF56" s="224"/>
      <c r="AG56" s="225"/>
      <c r="AH56" s="225"/>
      <c r="AP56" s="224"/>
      <c r="AQ56" s="225"/>
      <c r="AR56" s="225"/>
      <c r="AZ56" s="224"/>
      <c r="BA56" s="225"/>
      <c r="BB56" s="225"/>
    </row>
    <row r="57" spans="2:60">
      <c r="L57" s="2081"/>
      <c r="M57" s="160"/>
      <c r="N57" s="160"/>
      <c r="O57" s="160"/>
      <c r="P57" s="160"/>
      <c r="Q57" s="160"/>
      <c r="R57" s="2750"/>
      <c r="S57" s="2750"/>
      <c r="T57" s="2750"/>
    </row>
    <row r="58" spans="2:60">
      <c r="L58" s="160"/>
      <c r="M58" s="160"/>
      <c r="N58" s="160"/>
      <c r="O58" s="160"/>
      <c r="P58" s="160"/>
      <c r="Q58" s="160"/>
      <c r="R58" s="160"/>
      <c r="S58" s="160"/>
      <c r="T58" s="160"/>
    </row>
    <row r="59" spans="2:60">
      <c r="L59" s="160"/>
      <c r="M59" s="160"/>
      <c r="N59" s="160"/>
      <c r="O59" s="160"/>
      <c r="P59" s="160"/>
      <c r="Q59" s="160"/>
      <c r="R59" s="160"/>
      <c r="S59" s="160"/>
      <c r="T59" s="160"/>
    </row>
    <row r="60" spans="2:60">
      <c r="L60" s="160"/>
      <c r="M60" s="160"/>
      <c r="N60" s="160"/>
      <c r="O60" s="160"/>
      <c r="P60" s="160"/>
      <c r="Q60" s="160"/>
      <c r="R60" s="160"/>
      <c r="S60" s="160"/>
      <c r="T60" s="160"/>
    </row>
    <row r="61" spans="2:60" ht="27.6">
      <c r="L61" s="1043" t="s">
        <v>1501</v>
      </c>
      <c r="M61" s="1044">
        <f>SUM(M62:M65)</f>
        <v>6266.4817806721203</v>
      </c>
      <c r="N61" s="1045">
        <f>SUM(N62:N65)</f>
        <v>1</v>
      </c>
      <c r="O61" s="160"/>
      <c r="P61" s="160"/>
      <c r="Q61" s="160"/>
      <c r="R61" s="160"/>
      <c r="S61" s="160"/>
      <c r="T61" s="160"/>
      <c r="V61" s="1043" t="s">
        <v>1501</v>
      </c>
      <c r="W61" s="1044">
        <f>SUM(W62:W65)</f>
        <v>480.36083987563558</v>
      </c>
      <c r="X61" s="1045">
        <f>SUM(X62:X65)</f>
        <v>1</v>
      </c>
      <c r="AF61" s="1043" t="s">
        <v>1501</v>
      </c>
      <c r="AG61" s="1044">
        <f>SUM(AG62:AG65)</f>
        <v>782.8090134241105</v>
      </c>
      <c r="AH61" s="1045">
        <f>SUM(AH62:AH65)</f>
        <v>1</v>
      </c>
      <c r="AP61" s="1043" t="s">
        <v>1501</v>
      </c>
      <c r="AQ61" s="1044">
        <f>SUM(AQ62:AQ65)</f>
        <v>377.24410092517337</v>
      </c>
      <c r="AR61" s="1045">
        <f>SUM(AR62:AR65)</f>
        <v>1</v>
      </c>
      <c r="AZ61" s="1043" t="s">
        <v>1501</v>
      </c>
      <c r="BA61" s="1044">
        <f>SUM(BA62:BA65)</f>
        <v>395.8000168191449</v>
      </c>
      <c r="BB61" s="1045">
        <f>SUM(BB62:BB65)</f>
        <v>1.0000000000000002</v>
      </c>
    </row>
    <row r="62" spans="2:60" ht="27.6">
      <c r="L62" s="1046" t="str">
        <f>L8</f>
        <v>Постачання природного газу</v>
      </c>
      <c r="M62" s="1047">
        <f>S9</f>
        <v>5714.6755349139594</v>
      </c>
      <c r="N62" s="1048">
        <f>M62/M61</f>
        <v>0.91194321390032407</v>
      </c>
      <c r="O62" s="160"/>
      <c r="P62" s="160"/>
      <c r="Q62" s="160"/>
      <c r="R62" s="160"/>
      <c r="S62" s="160"/>
      <c r="T62" s="160"/>
      <c r="V62" s="1046" t="str">
        <f>V8</f>
        <v>Постачання природного газу</v>
      </c>
      <c r="W62" s="1047">
        <f>AC9</f>
        <v>416.21628826954287</v>
      </c>
      <c r="X62" s="1048">
        <f>W62/W61</f>
        <v>0.86646590171109783</v>
      </c>
      <c r="AF62" s="1046" t="str">
        <f>AF8</f>
        <v>Постачання природного газу</v>
      </c>
      <c r="AG62" s="1047">
        <f>AM9</f>
        <v>690.77286794097972</v>
      </c>
      <c r="AH62" s="1048">
        <f>AG62/AG61</f>
        <v>0.88242835237607642</v>
      </c>
      <c r="AP62" s="1046" t="str">
        <f>AP8</f>
        <v>Постачання природного газу</v>
      </c>
      <c r="AQ62" s="1047">
        <f>AW9</f>
        <v>346.34335688583855</v>
      </c>
      <c r="AR62" s="1048">
        <f>AQ62/AQ61</f>
        <v>0.91808819816253662</v>
      </c>
      <c r="AZ62" s="1046" t="str">
        <f>AZ8</f>
        <v>Постачання природного газу</v>
      </c>
      <c r="BA62" s="1047">
        <f>BG9</f>
        <v>358.28623126121232</v>
      </c>
      <c r="BB62" s="1048">
        <f>BA62/BA61</f>
        <v>0.90522035380540689</v>
      </c>
    </row>
    <row r="63" spans="2:60" ht="27.6">
      <c r="L63" s="1046" t="str">
        <f>L14</f>
        <v>Транспортування природного газу</v>
      </c>
      <c r="M63" s="1047">
        <f>S15</f>
        <v>126.22446575816086</v>
      </c>
      <c r="N63" s="1048">
        <f>M63/M61</f>
        <v>2.0142796257299974E-2</v>
      </c>
      <c r="O63" s="160"/>
      <c r="P63" s="160"/>
      <c r="Q63" s="160"/>
      <c r="R63" s="160"/>
      <c r="S63" s="160"/>
      <c r="T63" s="160"/>
      <c r="V63" s="1046" t="str">
        <f>V14</f>
        <v>Транспортування природного газу</v>
      </c>
      <c r="W63" s="1047">
        <f>AC15</f>
        <v>9.1932916060926857</v>
      </c>
      <c r="X63" s="1048">
        <f>W63/W61</f>
        <v>1.9138303631230244E-2</v>
      </c>
      <c r="AF63" s="1046" t="str">
        <f>AF14</f>
        <v>Транспортування природного газу</v>
      </c>
      <c r="AG63" s="1047">
        <f>AM15</f>
        <v>15.257635483130811</v>
      </c>
      <c r="AH63" s="1048">
        <f>AG63/AG61</f>
        <v>1.9490878645344014E-2</v>
      </c>
      <c r="AP63" s="1046" t="str">
        <f>AP14</f>
        <v>Транспортування природного газу</v>
      </c>
      <c r="AQ63" s="1047">
        <f>AW15</f>
        <v>7.6499540393348369</v>
      </c>
      <c r="AR63" s="1048">
        <f>AQ63/AQ61</f>
        <v>2.0278525285282619E-2</v>
      </c>
      <c r="AZ63" s="1046" t="str">
        <f>AZ14</f>
        <v>Транспортування природного газу</v>
      </c>
      <c r="BA63" s="1047">
        <f>BG15</f>
        <v>7.9137455579325913</v>
      </c>
      <c r="BB63" s="1048">
        <f>BA63/BA61</f>
        <v>1.9994303238113968E-2</v>
      </c>
    </row>
    <row r="64" spans="2:60" ht="27.6">
      <c r="L64" s="1046" t="str">
        <f>L20</f>
        <v>Розподіл природного газу</v>
      </c>
      <c r="M64" s="1047">
        <f>S21</f>
        <v>425.58178000000004</v>
      </c>
      <c r="N64" s="1048">
        <f>M64/M61</f>
        <v>6.7913989842375899E-2</v>
      </c>
      <c r="O64" s="160"/>
      <c r="P64" s="160"/>
      <c r="Q64" s="160"/>
      <c r="R64" s="160"/>
      <c r="S64" s="160"/>
      <c r="T64" s="160"/>
      <c r="V64" s="1046" t="str">
        <f>V20</f>
        <v>Розподіл природного газу</v>
      </c>
      <c r="W64" s="1047">
        <f>AC21</f>
        <v>54.951260000000005</v>
      </c>
      <c r="X64" s="1048">
        <f>W64/W61</f>
        <v>0.11439579465767187</v>
      </c>
      <c r="AF64" s="1046" t="str">
        <f>AF20</f>
        <v>Розподіл природного газу</v>
      </c>
      <c r="AG64" s="1047">
        <f>AM21</f>
        <v>76.778509999999997</v>
      </c>
      <c r="AH64" s="1048">
        <f>AG64/AG61</f>
        <v>9.8080768978579591E-2</v>
      </c>
      <c r="AP64" s="1046" t="str">
        <f>AP20</f>
        <v>Розподіл природного газу</v>
      </c>
      <c r="AQ64" s="1047">
        <f>AW21</f>
        <v>23.250790000000002</v>
      </c>
      <c r="AR64" s="1048">
        <f>AQ64/AQ61</f>
        <v>6.1633276552180767E-2</v>
      </c>
      <c r="AZ64" s="1046" t="str">
        <f>AZ20</f>
        <v>Розподіл природного газу</v>
      </c>
      <c r="BA64" s="1047">
        <f>BG21</f>
        <v>29.600039999999996</v>
      </c>
      <c r="BB64" s="1048">
        <f>BA64/BA61</f>
        <v>7.478534295647922E-2</v>
      </c>
    </row>
    <row r="65" spans="12:54">
      <c r="L65" s="1043" t="s">
        <v>1194</v>
      </c>
      <c r="M65" s="1044">
        <v>0</v>
      </c>
      <c r="N65" s="1045">
        <f>M65/M61</f>
        <v>0</v>
      </c>
      <c r="O65" s="160"/>
      <c r="P65" s="160"/>
      <c r="Q65" s="160"/>
      <c r="R65" s="160"/>
      <c r="S65" s="160"/>
      <c r="T65" s="160"/>
      <c r="V65" s="1043" t="s">
        <v>1194</v>
      </c>
      <c r="W65" s="1044">
        <v>0</v>
      </c>
      <c r="X65" s="1045">
        <f>W65/W61</f>
        <v>0</v>
      </c>
      <c r="AF65" s="1043" t="s">
        <v>1194</v>
      </c>
      <c r="AG65" s="1044">
        <v>0</v>
      </c>
      <c r="AH65" s="1045">
        <f>AG65/AG61</f>
        <v>0</v>
      </c>
      <c r="AP65" s="1043" t="s">
        <v>1194</v>
      </c>
      <c r="AQ65" s="1044">
        <v>0</v>
      </c>
      <c r="AR65" s="1045">
        <f>AQ65/AQ61</f>
        <v>0</v>
      </c>
      <c r="AZ65" s="1043" t="s">
        <v>1194</v>
      </c>
      <c r="BA65" s="1044">
        <v>0</v>
      </c>
      <c r="BB65" s="1045">
        <f>BA65/BA61</f>
        <v>0</v>
      </c>
    </row>
    <row r="66" spans="12:54">
      <c r="L66" s="160"/>
      <c r="M66" s="160"/>
      <c r="N66" s="160"/>
      <c r="O66" s="160"/>
      <c r="P66" s="160"/>
      <c r="Q66" s="160"/>
      <c r="R66" s="160"/>
      <c r="S66" s="160"/>
      <c r="T66" s="160"/>
    </row>
    <row r="67" spans="12:54">
      <c r="L67" s="160"/>
      <c r="M67" s="160"/>
      <c r="N67" s="160"/>
      <c r="O67" s="160"/>
      <c r="P67" s="160"/>
      <c r="Q67" s="160"/>
      <c r="R67" s="160"/>
      <c r="S67" s="160"/>
      <c r="T67" s="160"/>
    </row>
    <row r="68" spans="12:54">
      <c r="L68" s="160"/>
      <c r="M68" s="160"/>
      <c r="N68" s="160"/>
      <c r="O68" s="160"/>
      <c r="P68" s="160"/>
      <c r="Q68" s="160"/>
      <c r="R68" s="160"/>
      <c r="S68" s="160"/>
      <c r="T68" s="160"/>
    </row>
    <row r="69" spans="12:54">
      <c r="L69" s="160"/>
      <c r="M69" s="160"/>
      <c r="N69" s="160"/>
      <c r="O69" s="160"/>
      <c r="P69" s="160"/>
      <c r="Q69" s="160"/>
      <c r="R69" s="160"/>
      <c r="S69" s="160"/>
      <c r="T69" s="160"/>
    </row>
    <row r="70" spans="12:54">
      <c r="L70" s="160"/>
      <c r="M70" s="160"/>
      <c r="N70" s="160"/>
      <c r="O70" s="160"/>
      <c r="P70" s="160"/>
      <c r="Q70" s="160"/>
      <c r="R70" s="160"/>
      <c r="S70" s="160"/>
      <c r="T70" s="160"/>
    </row>
    <row r="71" spans="12:54">
      <c r="L71" s="160"/>
      <c r="M71" s="160"/>
      <c r="N71" s="160"/>
      <c r="O71" s="160"/>
      <c r="P71" s="160"/>
      <c r="Q71" s="160"/>
      <c r="R71" s="160"/>
      <c r="S71" s="160"/>
      <c r="T71" s="160"/>
    </row>
    <row r="72" spans="12:54">
      <c r="L72" s="160"/>
      <c r="M72" s="160"/>
      <c r="N72" s="160"/>
      <c r="O72" s="160"/>
      <c r="P72" s="160"/>
      <c r="Q72" s="160"/>
      <c r="R72" s="160"/>
      <c r="S72" s="160"/>
      <c r="T72" s="160"/>
    </row>
    <row r="73" spans="12:54">
      <c r="L73" s="160"/>
      <c r="M73" s="160"/>
      <c r="N73" s="160"/>
      <c r="O73" s="160"/>
      <c r="P73" s="160"/>
      <c r="Q73" s="160"/>
      <c r="R73" s="160"/>
      <c r="S73" s="160"/>
      <c r="T73" s="160"/>
    </row>
    <row r="74" spans="12:54">
      <c r="L74" s="160"/>
      <c r="M74" s="160"/>
      <c r="N74" s="160"/>
      <c r="O74" s="160"/>
      <c r="P74" s="160"/>
      <c r="Q74" s="160"/>
      <c r="R74" s="160"/>
      <c r="S74" s="160"/>
      <c r="T74" s="160"/>
    </row>
    <row r="75" spans="12:54">
      <c r="L75" s="160"/>
      <c r="M75" s="160"/>
      <c r="N75" s="160"/>
      <c r="O75" s="160"/>
      <c r="P75" s="160"/>
      <c r="Q75" s="160"/>
      <c r="R75" s="160"/>
      <c r="S75" s="160"/>
      <c r="T75" s="160"/>
    </row>
    <row r="76" spans="12:54">
      <c r="L76" s="160"/>
      <c r="M76" s="160"/>
      <c r="N76" s="160"/>
      <c r="O76" s="160"/>
      <c r="P76" s="160"/>
      <c r="Q76" s="160"/>
      <c r="R76" s="160"/>
      <c r="S76" s="160"/>
      <c r="T76" s="160"/>
    </row>
    <row r="77" spans="12:54">
      <c r="L77" s="160"/>
      <c r="M77" s="160"/>
      <c r="N77" s="160"/>
      <c r="O77" s="160"/>
      <c r="P77" s="160"/>
      <c r="Q77" s="160"/>
      <c r="R77" s="160"/>
      <c r="S77" s="160"/>
      <c r="T77" s="160"/>
    </row>
    <row r="78" spans="12:54">
      <c r="L78" s="160"/>
      <c r="M78" s="160"/>
      <c r="N78" s="160"/>
      <c r="O78" s="160"/>
      <c r="P78" s="160"/>
      <c r="Q78" s="160"/>
      <c r="R78" s="160"/>
      <c r="S78" s="160"/>
      <c r="T78" s="160"/>
    </row>
    <row r="79" spans="12:54">
      <c r="L79" s="160"/>
      <c r="M79" s="160"/>
      <c r="N79" s="160"/>
      <c r="O79" s="160"/>
      <c r="P79" s="160"/>
      <c r="Q79" s="160"/>
      <c r="R79" s="160"/>
      <c r="S79" s="160"/>
      <c r="T79" s="160"/>
    </row>
    <row r="80" spans="12:54">
      <c r="L80" s="160"/>
      <c r="M80" s="160"/>
      <c r="N80" s="160"/>
      <c r="O80" s="160"/>
      <c r="P80" s="160"/>
      <c r="Q80" s="160"/>
      <c r="R80" s="160"/>
      <c r="S80" s="160"/>
      <c r="T80" s="160"/>
    </row>
    <row r="81" spans="12:20">
      <c r="L81" s="160"/>
      <c r="M81" s="160"/>
      <c r="N81" s="160"/>
      <c r="O81" s="160"/>
      <c r="P81" s="160"/>
      <c r="Q81" s="160"/>
      <c r="R81" s="160"/>
      <c r="S81" s="160"/>
      <c r="T81" s="160"/>
    </row>
    <row r="82" spans="12:20">
      <c r="L82" s="160"/>
      <c r="M82" s="160"/>
      <c r="N82" s="160"/>
      <c r="O82" s="160"/>
      <c r="P82" s="160"/>
      <c r="Q82" s="160"/>
      <c r="R82" s="160"/>
      <c r="S82" s="160"/>
      <c r="T82" s="160"/>
    </row>
    <row r="83" spans="12:20">
      <c r="L83" s="160"/>
      <c r="M83" s="160"/>
      <c r="N83" s="160"/>
      <c r="O83" s="160"/>
      <c r="P83" s="160"/>
      <c r="Q83" s="160"/>
      <c r="R83" s="160"/>
      <c r="S83" s="160"/>
      <c r="T83" s="160"/>
    </row>
    <row r="84" spans="12:20">
      <c r="L84" s="160"/>
      <c r="M84" s="160"/>
      <c r="N84" s="160"/>
      <c r="O84" s="160"/>
      <c r="P84" s="160"/>
      <c r="Q84" s="160"/>
      <c r="R84" s="160"/>
      <c r="S84" s="160"/>
      <c r="T84" s="160"/>
    </row>
    <row r="85" spans="12:20">
      <c r="L85" s="160"/>
      <c r="M85" s="160"/>
      <c r="N85" s="160"/>
      <c r="O85" s="160"/>
      <c r="P85" s="160"/>
      <c r="Q85" s="160"/>
      <c r="R85" s="160"/>
      <c r="S85" s="160"/>
      <c r="T85" s="160"/>
    </row>
    <row r="86" spans="12:20">
      <c r="L86" s="160"/>
      <c r="M86" s="160"/>
      <c r="N86" s="160"/>
      <c r="O86" s="160"/>
      <c r="P86" s="160"/>
      <c r="Q86" s="160"/>
      <c r="R86" s="160"/>
      <c r="S86" s="160"/>
      <c r="T86" s="160"/>
    </row>
    <row r="87" spans="12:20">
      <c r="L87" s="160"/>
      <c r="M87" s="160"/>
      <c r="N87" s="160"/>
      <c r="O87" s="160"/>
      <c r="P87" s="160"/>
      <c r="Q87" s="160"/>
      <c r="R87" s="160"/>
      <c r="S87" s="160"/>
      <c r="T87" s="160"/>
    </row>
    <row r="88" spans="12:20">
      <c r="L88" s="160"/>
      <c r="M88" s="160"/>
      <c r="N88" s="160"/>
      <c r="O88" s="160"/>
      <c r="P88" s="160"/>
      <c r="Q88" s="160"/>
      <c r="R88" s="160"/>
      <c r="S88" s="160"/>
      <c r="T88" s="160"/>
    </row>
    <row r="89" spans="12:20">
      <c r="L89" s="160"/>
      <c r="M89" s="160"/>
      <c r="N89" s="160"/>
      <c r="O89" s="160"/>
      <c r="P89" s="160"/>
      <c r="Q89" s="160"/>
      <c r="R89" s="160"/>
      <c r="S89" s="160"/>
      <c r="T89" s="160"/>
    </row>
    <row r="90" spans="12:20">
      <c r="L90" s="160"/>
      <c r="M90" s="160"/>
      <c r="N90" s="160"/>
      <c r="O90" s="160"/>
      <c r="P90" s="160"/>
      <c r="Q90" s="160"/>
      <c r="R90" s="160"/>
      <c r="S90" s="160"/>
      <c r="T90" s="160"/>
    </row>
    <row r="91" spans="12:20">
      <c r="L91" s="160"/>
      <c r="M91" s="160"/>
      <c r="N91" s="160"/>
      <c r="O91" s="160"/>
      <c r="P91" s="160"/>
      <c r="Q91" s="160"/>
      <c r="R91" s="160"/>
      <c r="S91" s="160"/>
      <c r="T91" s="160"/>
    </row>
    <row r="92" spans="12:20">
      <c r="L92" s="160"/>
      <c r="M92" s="160"/>
      <c r="N92" s="160"/>
      <c r="O92" s="160"/>
      <c r="P92" s="160"/>
      <c r="Q92" s="160"/>
      <c r="R92" s="160"/>
      <c r="S92" s="160"/>
      <c r="T92" s="160"/>
    </row>
    <row r="93" spans="12:20">
      <c r="L93" s="160"/>
      <c r="M93" s="160"/>
      <c r="N93" s="160"/>
      <c r="O93" s="160"/>
      <c r="P93" s="160"/>
      <c r="Q93" s="160"/>
      <c r="R93" s="160"/>
      <c r="S93" s="160"/>
      <c r="T93" s="160"/>
    </row>
    <row r="94" spans="12:20">
      <c r="L94" s="160"/>
      <c r="M94" s="160"/>
      <c r="N94" s="160"/>
      <c r="O94" s="160"/>
      <c r="P94" s="160"/>
      <c r="Q94" s="160"/>
      <c r="R94" s="160"/>
      <c r="S94" s="160"/>
      <c r="T94" s="160"/>
    </row>
    <row r="95" spans="12:20">
      <c r="L95" s="160"/>
      <c r="M95" s="160"/>
      <c r="N95" s="160"/>
      <c r="O95" s="160"/>
      <c r="P95" s="160"/>
      <c r="Q95" s="160"/>
      <c r="R95" s="160"/>
      <c r="S95" s="160"/>
      <c r="T95" s="160"/>
    </row>
    <row r="96" spans="12:20">
      <c r="L96" s="160"/>
      <c r="M96" s="160"/>
      <c r="N96" s="160"/>
      <c r="O96" s="160"/>
      <c r="P96" s="160"/>
      <c r="Q96" s="160"/>
      <c r="R96" s="160"/>
      <c r="S96" s="160"/>
      <c r="T96" s="160"/>
    </row>
    <row r="97" spans="12:20">
      <c r="L97" s="160"/>
      <c r="M97" s="160"/>
      <c r="N97" s="160"/>
      <c r="O97" s="160"/>
      <c r="P97" s="160"/>
      <c r="Q97" s="160"/>
      <c r="R97" s="160"/>
      <c r="S97" s="160"/>
      <c r="T97" s="160"/>
    </row>
    <row r="98" spans="12:20">
      <c r="L98" s="160"/>
      <c r="M98" s="160"/>
      <c r="N98" s="160"/>
      <c r="O98" s="160"/>
      <c r="P98" s="160"/>
      <c r="Q98" s="160"/>
      <c r="R98" s="160"/>
      <c r="S98" s="160"/>
      <c r="T98" s="160"/>
    </row>
    <row r="99" spans="12:20">
      <c r="L99" s="160"/>
      <c r="M99" s="160"/>
      <c r="N99" s="160"/>
      <c r="O99" s="160"/>
      <c r="P99" s="160"/>
      <c r="Q99" s="160"/>
      <c r="R99" s="160"/>
      <c r="S99" s="160"/>
      <c r="T99" s="160"/>
    </row>
    <row r="100" spans="12:20">
      <c r="L100" s="160"/>
      <c r="M100" s="160"/>
      <c r="N100" s="160"/>
      <c r="O100" s="160"/>
      <c r="P100" s="160"/>
      <c r="Q100" s="160"/>
      <c r="R100" s="160"/>
      <c r="S100" s="160"/>
      <c r="T100" s="160"/>
    </row>
    <row r="101" spans="12:20">
      <c r="L101" s="160"/>
      <c r="M101" s="160"/>
      <c r="N101" s="160"/>
      <c r="O101" s="160"/>
      <c r="P101" s="160"/>
      <c r="Q101" s="160"/>
      <c r="R101" s="160"/>
      <c r="S101" s="160"/>
      <c r="T101" s="160"/>
    </row>
    <row r="102" spans="12:20">
      <c r="L102" s="160"/>
      <c r="M102" s="160"/>
      <c r="N102" s="160"/>
      <c r="O102" s="160"/>
      <c r="P102" s="160"/>
      <c r="Q102" s="160"/>
      <c r="R102" s="160"/>
      <c r="S102" s="160"/>
      <c r="T102" s="160"/>
    </row>
    <row r="103" spans="12:20">
      <c r="L103" s="160"/>
      <c r="M103" s="160"/>
      <c r="N103" s="160"/>
      <c r="O103" s="160"/>
      <c r="P103" s="160"/>
      <c r="Q103" s="160"/>
      <c r="R103" s="160"/>
      <c r="S103" s="160"/>
      <c r="T103" s="160"/>
    </row>
    <row r="104" spans="12:20">
      <c r="L104" s="160"/>
      <c r="M104" s="160"/>
      <c r="N104" s="160"/>
      <c r="O104" s="160"/>
      <c r="P104" s="160"/>
      <c r="Q104" s="160"/>
      <c r="R104" s="160"/>
      <c r="S104" s="160"/>
      <c r="T104" s="160"/>
    </row>
    <row r="105" spans="12:20">
      <c r="L105" s="160"/>
      <c r="M105" s="160"/>
      <c r="N105" s="160"/>
      <c r="O105" s="160"/>
      <c r="P105" s="160"/>
      <c r="Q105" s="160"/>
      <c r="R105" s="160"/>
      <c r="S105" s="160"/>
      <c r="T105" s="160"/>
    </row>
    <row r="106" spans="12:20">
      <c r="L106" s="160"/>
      <c r="M106" s="160"/>
      <c r="N106" s="160"/>
      <c r="O106" s="160"/>
      <c r="P106" s="160"/>
      <c r="Q106" s="160"/>
      <c r="R106" s="160"/>
      <c r="S106" s="160"/>
      <c r="T106" s="160"/>
    </row>
    <row r="107" spans="12:20">
      <c r="L107" s="160"/>
      <c r="M107" s="160"/>
      <c r="N107" s="160"/>
      <c r="O107" s="160"/>
      <c r="P107" s="160"/>
      <c r="Q107" s="160"/>
      <c r="R107" s="160"/>
      <c r="S107" s="160"/>
      <c r="T107" s="160"/>
    </row>
    <row r="108" spans="12:20">
      <c r="L108" s="160"/>
      <c r="M108" s="160"/>
      <c r="N108" s="160"/>
      <c r="O108" s="160"/>
      <c r="P108" s="160"/>
      <c r="Q108" s="160"/>
      <c r="R108" s="160"/>
      <c r="S108" s="160"/>
      <c r="T108" s="160"/>
    </row>
    <row r="109" spans="12:20">
      <c r="L109" s="160"/>
      <c r="M109" s="160"/>
      <c r="N109" s="160"/>
      <c r="O109" s="160"/>
      <c r="P109" s="160"/>
      <c r="Q109" s="160"/>
      <c r="R109" s="160"/>
      <c r="S109" s="160"/>
      <c r="T109" s="160"/>
    </row>
    <row r="110" spans="12:20">
      <c r="L110" s="160"/>
      <c r="M110" s="160"/>
      <c r="N110" s="160"/>
      <c r="O110" s="160"/>
      <c r="P110" s="160"/>
      <c r="Q110" s="160"/>
      <c r="R110" s="160"/>
      <c r="S110" s="160"/>
      <c r="T110" s="160"/>
    </row>
    <row r="111" spans="12:20">
      <c r="L111" s="160"/>
      <c r="M111" s="160"/>
      <c r="N111" s="160"/>
      <c r="O111" s="160"/>
      <c r="P111" s="160"/>
      <c r="Q111" s="160"/>
      <c r="R111" s="160"/>
      <c r="S111" s="160"/>
      <c r="T111" s="160"/>
    </row>
    <row r="112" spans="12:20">
      <c r="L112" s="160"/>
      <c r="M112" s="160"/>
      <c r="N112" s="160"/>
      <c r="O112" s="160"/>
      <c r="P112" s="160"/>
      <c r="Q112" s="160"/>
      <c r="R112" s="160"/>
      <c r="S112" s="160"/>
      <c r="T112" s="160"/>
    </row>
    <row r="113" spans="12:20">
      <c r="L113" s="160"/>
      <c r="M113" s="160"/>
      <c r="N113" s="160"/>
      <c r="O113" s="160"/>
      <c r="P113" s="160"/>
      <c r="Q113" s="160"/>
      <c r="R113" s="160"/>
      <c r="S113" s="160"/>
      <c r="T113" s="160"/>
    </row>
    <row r="114" spans="12:20">
      <c r="L114" s="160"/>
      <c r="M114" s="160"/>
      <c r="N114" s="160"/>
      <c r="O114" s="160"/>
      <c r="P114" s="160"/>
      <c r="Q114" s="160"/>
      <c r="R114" s="160"/>
      <c r="S114" s="160"/>
      <c r="T114" s="160"/>
    </row>
    <row r="115" spans="12:20">
      <c r="L115" s="160"/>
      <c r="M115" s="160"/>
      <c r="N115" s="160"/>
      <c r="O115" s="160"/>
      <c r="P115" s="160"/>
      <c r="Q115" s="160"/>
      <c r="R115" s="160"/>
      <c r="S115" s="160"/>
      <c r="T115" s="160"/>
    </row>
    <row r="116" spans="12:20">
      <c r="L116" s="160"/>
      <c r="M116" s="160"/>
      <c r="N116" s="160"/>
      <c r="O116" s="160"/>
      <c r="P116" s="160"/>
      <c r="Q116" s="160"/>
      <c r="R116" s="160"/>
      <c r="S116" s="160"/>
      <c r="T116" s="160"/>
    </row>
    <row r="117" spans="12:20">
      <c r="L117" s="160"/>
      <c r="M117" s="160"/>
      <c r="N117" s="160"/>
      <c r="O117" s="160"/>
      <c r="P117" s="160"/>
      <c r="Q117" s="160"/>
      <c r="R117" s="160"/>
      <c r="S117" s="160"/>
      <c r="T117" s="160"/>
    </row>
    <row r="118" spans="12:20">
      <c r="L118" s="160"/>
      <c r="M118" s="160"/>
      <c r="N118" s="160"/>
      <c r="O118" s="160"/>
      <c r="P118" s="160"/>
      <c r="Q118" s="160"/>
      <c r="R118" s="160"/>
      <c r="S118" s="160"/>
      <c r="T118" s="160"/>
    </row>
    <row r="119" spans="12:20">
      <c r="L119" s="160"/>
      <c r="M119" s="160"/>
      <c r="N119" s="160"/>
      <c r="O119" s="160"/>
      <c r="P119" s="160"/>
      <c r="Q119" s="160"/>
      <c r="R119" s="160"/>
      <c r="S119" s="160"/>
      <c r="T119" s="160"/>
    </row>
    <row r="120" spans="12:20">
      <c r="L120" s="160"/>
      <c r="M120" s="160"/>
      <c r="N120" s="160"/>
      <c r="O120" s="160"/>
      <c r="P120" s="160"/>
      <c r="Q120" s="160"/>
      <c r="R120" s="160"/>
      <c r="S120" s="160"/>
      <c r="T120" s="160"/>
    </row>
    <row r="121" spans="12:20">
      <c r="L121" s="160"/>
      <c r="M121" s="160"/>
      <c r="N121" s="160"/>
      <c r="O121" s="160"/>
      <c r="P121" s="160"/>
      <c r="Q121" s="160"/>
      <c r="R121" s="160"/>
      <c r="S121" s="160"/>
      <c r="T121" s="160"/>
    </row>
    <row r="122" spans="12:20">
      <c r="L122" s="160"/>
      <c r="M122" s="160"/>
      <c r="N122" s="160"/>
      <c r="O122" s="160"/>
      <c r="P122" s="160"/>
      <c r="Q122" s="160"/>
      <c r="R122" s="160"/>
      <c r="S122" s="160"/>
      <c r="T122" s="160"/>
    </row>
    <row r="123" spans="12:20">
      <c r="L123" s="160"/>
      <c r="M123" s="160"/>
      <c r="N123" s="160"/>
      <c r="O123" s="160"/>
      <c r="P123" s="160"/>
      <c r="Q123" s="160"/>
      <c r="R123" s="160"/>
      <c r="S123" s="160"/>
      <c r="T123" s="160"/>
    </row>
    <row r="124" spans="12:20">
      <c r="L124" s="160"/>
      <c r="M124" s="160"/>
      <c r="N124" s="160"/>
      <c r="O124" s="160"/>
      <c r="P124" s="160"/>
      <c r="Q124" s="160"/>
      <c r="R124" s="160"/>
      <c r="S124" s="160"/>
      <c r="T124" s="160"/>
    </row>
    <row r="125" spans="12:20">
      <c r="L125" s="160"/>
      <c r="M125" s="160"/>
      <c r="N125" s="160"/>
      <c r="O125" s="160"/>
      <c r="P125" s="160"/>
      <c r="Q125" s="160"/>
      <c r="R125" s="160"/>
      <c r="S125" s="160"/>
      <c r="T125" s="160"/>
    </row>
    <row r="126" spans="12:20">
      <c r="L126" s="160"/>
      <c r="M126" s="160"/>
      <c r="N126" s="160"/>
      <c r="O126" s="160"/>
      <c r="P126" s="160"/>
      <c r="Q126" s="160"/>
      <c r="R126" s="160"/>
      <c r="S126" s="160"/>
      <c r="T126" s="160"/>
    </row>
    <row r="127" spans="12:20">
      <c r="L127" s="160"/>
      <c r="M127" s="160"/>
      <c r="N127" s="160"/>
      <c r="O127" s="160"/>
      <c r="P127" s="160"/>
      <c r="Q127" s="160"/>
      <c r="R127" s="160"/>
      <c r="S127" s="160"/>
      <c r="T127" s="160"/>
    </row>
    <row r="128" spans="12:20">
      <c r="L128" s="160"/>
      <c r="M128" s="160"/>
      <c r="N128" s="160"/>
      <c r="O128" s="160"/>
      <c r="P128" s="160"/>
      <c r="Q128" s="160"/>
      <c r="R128" s="160"/>
      <c r="S128" s="160"/>
      <c r="T128" s="160"/>
    </row>
    <row r="129" spans="12:20">
      <c r="L129" s="160"/>
      <c r="M129" s="160"/>
      <c r="N129" s="160"/>
      <c r="O129" s="160"/>
      <c r="P129" s="160"/>
      <c r="Q129" s="160"/>
      <c r="R129" s="160"/>
      <c r="S129" s="160"/>
      <c r="T129" s="160"/>
    </row>
    <row r="130" spans="12:20">
      <c r="L130" s="160"/>
      <c r="M130" s="160"/>
      <c r="N130" s="160"/>
      <c r="O130" s="160"/>
      <c r="P130" s="160"/>
      <c r="Q130" s="160"/>
      <c r="R130" s="160"/>
      <c r="S130" s="160"/>
      <c r="T130" s="160"/>
    </row>
    <row r="131" spans="12:20">
      <c r="L131" s="160"/>
      <c r="M131" s="160"/>
      <c r="N131" s="160"/>
      <c r="O131" s="160"/>
      <c r="P131" s="160"/>
      <c r="Q131" s="160"/>
      <c r="R131" s="160"/>
      <c r="S131" s="160"/>
      <c r="T131" s="160"/>
    </row>
    <row r="132" spans="12:20">
      <c r="L132" s="160"/>
      <c r="M132" s="160"/>
      <c r="N132" s="160"/>
      <c r="O132" s="160"/>
      <c r="P132" s="160"/>
      <c r="Q132" s="160"/>
      <c r="R132" s="160"/>
      <c r="S132" s="160"/>
      <c r="T132" s="160"/>
    </row>
    <row r="133" spans="12:20">
      <c r="L133" s="160"/>
      <c r="M133" s="160"/>
      <c r="N133" s="160"/>
      <c r="O133" s="160"/>
      <c r="P133" s="160"/>
      <c r="Q133" s="160"/>
      <c r="R133" s="160"/>
      <c r="S133" s="160"/>
      <c r="T133" s="160"/>
    </row>
    <row r="134" spans="12:20">
      <c r="L134" s="160"/>
      <c r="M134" s="160"/>
      <c r="N134" s="160"/>
      <c r="O134" s="160"/>
      <c r="P134" s="160"/>
      <c r="Q134" s="160"/>
      <c r="R134" s="160"/>
      <c r="S134" s="160"/>
      <c r="T134" s="160"/>
    </row>
    <row r="135" spans="12:20">
      <c r="L135" s="160"/>
      <c r="M135" s="160"/>
      <c r="N135" s="160"/>
      <c r="O135" s="160"/>
      <c r="P135" s="160"/>
      <c r="Q135" s="160"/>
      <c r="R135" s="160"/>
      <c r="S135" s="160"/>
      <c r="T135" s="160"/>
    </row>
    <row r="136" spans="12:20">
      <c r="L136" s="160"/>
      <c r="M136" s="160"/>
      <c r="N136" s="160"/>
      <c r="O136" s="160"/>
      <c r="P136" s="160"/>
      <c r="Q136" s="160"/>
      <c r="R136" s="160"/>
      <c r="S136" s="160"/>
      <c r="T136" s="160"/>
    </row>
    <row r="137" spans="12:20">
      <c r="L137" s="160"/>
      <c r="M137" s="160"/>
      <c r="N137" s="160"/>
      <c r="O137" s="160"/>
      <c r="P137" s="160"/>
      <c r="Q137" s="160"/>
      <c r="R137" s="160"/>
      <c r="S137" s="160"/>
      <c r="T137" s="160"/>
    </row>
    <row r="138" spans="12:20">
      <c r="L138" s="160"/>
      <c r="M138" s="160"/>
      <c r="N138" s="160"/>
      <c r="O138" s="160"/>
      <c r="P138" s="160"/>
      <c r="Q138" s="160"/>
      <c r="R138" s="160"/>
      <c r="S138" s="160"/>
      <c r="T138" s="160"/>
    </row>
    <row r="139" spans="12:20">
      <c r="L139" s="160"/>
      <c r="M139" s="160"/>
      <c r="N139" s="160"/>
      <c r="O139" s="160"/>
      <c r="P139" s="160"/>
      <c r="Q139" s="160"/>
      <c r="R139" s="160"/>
      <c r="S139" s="160"/>
      <c r="T139" s="160"/>
    </row>
    <row r="140" spans="12:20">
      <c r="L140" s="160"/>
      <c r="M140" s="160"/>
      <c r="N140" s="160"/>
      <c r="O140" s="160"/>
      <c r="P140" s="160"/>
      <c r="Q140" s="160"/>
      <c r="R140" s="160"/>
      <c r="S140" s="160"/>
      <c r="T140" s="160"/>
    </row>
    <row r="141" spans="12:20">
      <c r="L141" s="160"/>
      <c r="M141" s="160"/>
      <c r="N141" s="160"/>
      <c r="O141" s="160"/>
      <c r="P141" s="160"/>
      <c r="Q141" s="160"/>
      <c r="R141" s="160"/>
      <c r="S141" s="160"/>
      <c r="T141" s="160"/>
    </row>
    <row r="142" spans="12:20">
      <c r="L142" s="160"/>
      <c r="M142" s="160"/>
      <c r="N142" s="160"/>
      <c r="O142" s="160"/>
      <c r="P142" s="160"/>
      <c r="Q142" s="160"/>
      <c r="R142" s="160"/>
      <c r="S142" s="160"/>
      <c r="T142" s="160"/>
    </row>
    <row r="143" spans="12:20">
      <c r="L143" s="160"/>
      <c r="M143" s="160"/>
      <c r="N143" s="160"/>
      <c r="O143" s="160"/>
      <c r="P143" s="160"/>
      <c r="Q143" s="160"/>
      <c r="R143" s="160"/>
      <c r="S143" s="160"/>
      <c r="T143" s="160"/>
    </row>
    <row r="144" spans="12:20">
      <c r="L144" s="160"/>
      <c r="M144" s="160"/>
      <c r="N144" s="160"/>
      <c r="O144" s="160"/>
      <c r="P144" s="160"/>
      <c r="Q144" s="160"/>
      <c r="R144" s="160"/>
      <c r="S144" s="160"/>
      <c r="T144" s="160"/>
    </row>
    <row r="145" spans="12:20">
      <c r="L145" s="160"/>
      <c r="M145" s="160"/>
      <c r="N145" s="160"/>
      <c r="O145" s="160"/>
      <c r="P145" s="160"/>
      <c r="Q145" s="160"/>
      <c r="R145" s="160"/>
      <c r="S145" s="160"/>
      <c r="T145" s="160"/>
    </row>
    <row r="146" spans="12:20">
      <c r="L146" s="160"/>
      <c r="M146" s="160"/>
      <c r="N146" s="160"/>
      <c r="O146" s="160"/>
      <c r="P146" s="160"/>
      <c r="Q146" s="160"/>
      <c r="R146" s="160"/>
      <c r="S146" s="160"/>
      <c r="T146" s="160"/>
    </row>
    <row r="147" spans="12:20">
      <c r="L147" s="160"/>
      <c r="M147" s="160"/>
      <c r="N147" s="160"/>
      <c r="O147" s="160"/>
      <c r="P147" s="160"/>
      <c r="Q147" s="160"/>
      <c r="R147" s="160"/>
      <c r="S147" s="160"/>
      <c r="T147" s="160"/>
    </row>
    <row r="148" spans="12:20">
      <c r="L148" s="160"/>
      <c r="M148" s="160"/>
      <c r="N148" s="160"/>
      <c r="O148" s="160"/>
      <c r="P148" s="160"/>
      <c r="Q148" s="160"/>
      <c r="R148" s="160"/>
      <c r="S148" s="160"/>
      <c r="T148" s="160"/>
    </row>
    <row r="149" spans="12:20">
      <c r="L149" s="160"/>
      <c r="M149" s="160"/>
      <c r="N149" s="160"/>
      <c r="O149" s="160"/>
      <c r="P149" s="160"/>
      <c r="Q149" s="160"/>
      <c r="R149" s="160"/>
      <c r="S149" s="160"/>
      <c r="T149" s="160"/>
    </row>
  </sheetData>
  <mergeCells count="53">
    <mergeCell ref="AR54:AT54"/>
    <mergeCell ref="AV54:AW54"/>
    <mergeCell ref="AV55:AW55"/>
    <mergeCell ref="BB54:BD54"/>
    <mergeCell ref="BF54:BG54"/>
    <mergeCell ref="BF55:BG55"/>
    <mergeCell ref="AB54:AC54"/>
    <mergeCell ref="AB55:AC55"/>
    <mergeCell ref="AH54:AJ54"/>
    <mergeCell ref="AL54:AM54"/>
    <mergeCell ref="AL55:AM55"/>
    <mergeCell ref="O55:P55"/>
    <mergeCell ref="R55:T55"/>
    <mergeCell ref="G2:I2"/>
    <mergeCell ref="G1:J1"/>
    <mergeCell ref="B3:J3"/>
    <mergeCell ref="B4:J4"/>
    <mergeCell ref="B6:J6"/>
    <mergeCell ref="H55:J55"/>
    <mergeCell ref="B8:J8"/>
    <mergeCell ref="B14:J14"/>
    <mergeCell ref="B20:J20"/>
    <mergeCell ref="E54:F54"/>
    <mergeCell ref="E55:F55"/>
    <mergeCell ref="B52:D52"/>
    <mergeCell ref="E52:G52"/>
    <mergeCell ref="H52:J52"/>
    <mergeCell ref="H54:J54"/>
    <mergeCell ref="B26:J26"/>
    <mergeCell ref="R57:T57"/>
    <mergeCell ref="Q1:T1"/>
    <mergeCell ref="Q2:S2"/>
    <mergeCell ref="L3:T3"/>
    <mergeCell ref="L4:T4"/>
    <mergeCell ref="M5:R5"/>
    <mergeCell ref="L52:N52"/>
    <mergeCell ref="O52:Q52"/>
    <mergeCell ref="R52:T52"/>
    <mergeCell ref="O54:P54"/>
    <mergeCell ref="R54:T54"/>
    <mergeCell ref="L6:T6"/>
    <mergeCell ref="L8:T8"/>
    <mergeCell ref="L14:T14"/>
    <mergeCell ref="L20:T20"/>
    <mergeCell ref="L26:T26"/>
    <mergeCell ref="AZ4:BD4"/>
    <mergeCell ref="AZ5:BD5"/>
    <mergeCell ref="V4:Z4"/>
    <mergeCell ref="V5:Z5"/>
    <mergeCell ref="AF4:AJ4"/>
    <mergeCell ref="AF5:AJ5"/>
    <mergeCell ref="AP4:AT4"/>
    <mergeCell ref="AP5:AT5"/>
  </mergeCells>
  <printOptions horizontalCentered="1"/>
  <pageMargins left="0" right="0" top="0.98425196850393704" bottom="0" header="0.74803149606299213" footer="0"/>
  <pageSetup paperSize="9" fitToHeight="0" orientation="portrait" r:id="rId1"/>
  <headerFooter differentFirst="1">
    <oddHeader>&amp;Rпродовження додатку 8</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30">
    <tabColor rgb="FF7030A0"/>
    <pageSetUpPr fitToPage="1"/>
  </sheetPr>
  <dimension ref="A1:Z289"/>
  <sheetViews>
    <sheetView zoomScaleNormal="100" zoomScaleSheetLayoutView="85" workbookViewId="0">
      <pane xSplit="4" ySplit="8" topLeftCell="E179" activePane="bottomRight" state="frozen"/>
      <selection pane="topRight" activeCell="E1" sqref="E1"/>
      <selection pane="bottomLeft" activeCell="A9" sqref="A9"/>
      <selection pane="bottomRight" activeCell="N91" sqref="N91"/>
    </sheetView>
  </sheetViews>
  <sheetFormatPr defaultColWidth="9.109375" defaultRowHeight="18"/>
  <cols>
    <col min="1" max="1" width="2.44140625" style="598" customWidth="1"/>
    <col min="2" max="2" width="31.33203125" style="598" customWidth="1"/>
    <col min="3" max="3" width="14.5546875" style="598" customWidth="1"/>
    <col min="4" max="4" width="11.6640625" style="598" customWidth="1"/>
    <col min="5" max="5" width="11" style="598" customWidth="1"/>
    <col min="6" max="6" width="9.88671875" style="598" customWidth="1"/>
    <col min="7" max="7" width="10.5546875" style="598" customWidth="1"/>
    <col min="8" max="8" width="9.6640625" style="598" customWidth="1"/>
    <col min="9" max="9" width="9.5546875" style="598" customWidth="1"/>
    <col min="10" max="10" width="9.6640625" style="598" customWidth="1"/>
    <col min="11" max="12" width="8.6640625" style="598" customWidth="1"/>
    <col min="13" max="16" width="8.44140625" style="598" customWidth="1"/>
    <col min="17" max="17" width="10.33203125" style="598" customWidth="1"/>
    <col min="18" max="18" width="10.44140625" style="1052" customWidth="1"/>
    <col min="19" max="19" width="25.6640625" style="598" customWidth="1"/>
    <col min="20" max="20" width="12.88671875" style="597" customWidth="1"/>
    <col min="21" max="16384" width="9.109375" style="598"/>
  </cols>
  <sheetData>
    <row r="1" spans="2:17" ht="16.2" customHeight="1">
      <c r="L1" s="2751" t="s">
        <v>1606</v>
      </c>
      <c r="M1" s="2751"/>
      <c r="N1" s="2751"/>
      <c r="O1" s="2751"/>
      <c r="P1" s="2751"/>
      <c r="Q1" s="150"/>
    </row>
    <row r="2" spans="2:17" ht="14.4" customHeight="1">
      <c r="L2" s="598" t="str">
        <f>'Вхідні дані'!F1</f>
        <v>станом на 01.09.2023 року</v>
      </c>
      <c r="Q2" s="9"/>
    </row>
    <row r="3" spans="2:17">
      <c r="B3" s="2753" t="s">
        <v>432</v>
      </c>
      <c r="C3" s="2753"/>
      <c r="D3" s="2753"/>
      <c r="E3" s="2753"/>
      <c r="F3" s="2753"/>
      <c r="G3" s="2753"/>
      <c r="H3" s="2753"/>
      <c r="I3" s="2753"/>
      <c r="J3" s="2753"/>
      <c r="K3" s="2782"/>
      <c r="L3" s="2782"/>
      <c r="M3" s="2782"/>
      <c r="N3" s="2782"/>
      <c r="O3" s="2782"/>
      <c r="P3" s="2782"/>
      <c r="Q3" s="150"/>
    </row>
    <row r="4" spans="2:17">
      <c r="B4" s="2753" t="s">
        <v>256</v>
      </c>
      <c r="C4" s="2753"/>
      <c r="D4" s="2753"/>
      <c r="E4" s="2753"/>
      <c r="F4" s="2753"/>
      <c r="G4" s="2753"/>
      <c r="H4" s="2753"/>
      <c r="I4" s="2753"/>
      <c r="J4" s="2753"/>
      <c r="K4" s="2753"/>
      <c r="L4" s="2753"/>
      <c r="M4" s="2753"/>
      <c r="N4" s="2753"/>
      <c r="O4" s="2753"/>
      <c r="P4" s="2753"/>
    </row>
    <row r="5" spans="2:17">
      <c r="B5" s="2783" t="s">
        <v>197</v>
      </c>
      <c r="C5" s="2784"/>
      <c r="D5" s="2784"/>
      <c r="E5" s="2784"/>
      <c r="F5" s="2784"/>
      <c r="G5" s="2784"/>
      <c r="H5" s="2784"/>
      <c r="I5" s="2784"/>
      <c r="J5" s="2784"/>
      <c r="K5" s="2784"/>
      <c r="L5" s="2784"/>
      <c r="M5" s="2784"/>
      <c r="N5" s="2784"/>
      <c r="O5" s="2784"/>
      <c r="P5" s="2784"/>
      <c r="Q5" s="150"/>
    </row>
    <row r="6" spans="2:17">
      <c r="B6" s="2785" t="s">
        <v>104</v>
      </c>
      <c r="C6" s="2785" t="s">
        <v>34</v>
      </c>
      <c r="D6" s="85" t="s">
        <v>126</v>
      </c>
      <c r="E6" s="2776" t="s">
        <v>18</v>
      </c>
      <c r="F6" s="2776" t="s">
        <v>19</v>
      </c>
      <c r="G6" s="2776" t="s">
        <v>20</v>
      </c>
      <c r="H6" s="2776" t="s">
        <v>10</v>
      </c>
      <c r="I6" s="2776" t="s">
        <v>11</v>
      </c>
      <c r="J6" s="2776" t="s">
        <v>12</v>
      </c>
      <c r="K6" s="2776" t="s">
        <v>13</v>
      </c>
      <c r="L6" s="2776" t="s">
        <v>127</v>
      </c>
      <c r="M6" s="2776" t="s">
        <v>14</v>
      </c>
      <c r="N6" s="2776" t="s">
        <v>15</v>
      </c>
      <c r="O6" s="2776" t="s">
        <v>16</v>
      </c>
      <c r="P6" s="2776" t="s">
        <v>17</v>
      </c>
      <c r="Q6" s="150"/>
    </row>
    <row r="7" spans="2:17">
      <c r="B7" s="2786"/>
      <c r="C7" s="2786"/>
      <c r="D7" s="85" t="str">
        <f>'Вхідні дані'!$F$6</f>
        <v>2023-2024</v>
      </c>
      <c r="E7" s="2777"/>
      <c r="F7" s="2777"/>
      <c r="G7" s="2777"/>
      <c r="H7" s="2777"/>
      <c r="I7" s="2777"/>
      <c r="J7" s="2777"/>
      <c r="K7" s="2777"/>
      <c r="L7" s="2777"/>
      <c r="M7" s="2777"/>
      <c r="N7" s="2777"/>
      <c r="O7" s="2777"/>
      <c r="P7" s="2777"/>
      <c r="Q7" s="150"/>
    </row>
    <row r="8" spans="2:17">
      <c r="B8" s="1053">
        <v>1</v>
      </c>
      <c r="C8" s="85">
        <v>2</v>
      </c>
      <c r="D8" s="85">
        <v>3</v>
      </c>
      <c r="E8" s="85">
        <v>4</v>
      </c>
      <c r="F8" s="85">
        <v>5</v>
      </c>
      <c r="G8" s="85">
        <v>6</v>
      </c>
      <c r="H8" s="85">
        <v>7</v>
      </c>
      <c r="I8" s="85">
        <v>8</v>
      </c>
      <c r="J8" s="85">
        <v>9</v>
      </c>
      <c r="K8" s="85">
        <v>10</v>
      </c>
      <c r="L8" s="85">
        <v>11</v>
      </c>
      <c r="M8" s="85">
        <v>12</v>
      </c>
      <c r="N8" s="85">
        <v>13</v>
      </c>
      <c r="O8" s="85">
        <v>14</v>
      </c>
      <c r="P8" s="85">
        <v>15</v>
      </c>
    </row>
    <row r="9" spans="2:17" ht="8.4" customHeight="1">
      <c r="B9" s="1431"/>
      <c r="C9" s="1432"/>
      <c r="D9" s="1432"/>
      <c r="E9" s="1432"/>
      <c r="F9" s="1432"/>
      <c r="G9" s="1432"/>
      <c r="H9" s="1432"/>
      <c r="I9" s="1432"/>
      <c r="J9" s="1432"/>
      <c r="K9" s="1432"/>
      <c r="L9" s="1432"/>
      <c r="M9" s="1432"/>
      <c r="N9" s="1432"/>
      <c r="O9" s="1432"/>
      <c r="P9" s="940"/>
    </row>
    <row r="10" spans="2:17">
      <c r="B10" s="2779" t="s">
        <v>179</v>
      </c>
      <c r="C10" s="2780"/>
      <c r="D10" s="2780"/>
      <c r="E10" s="2780"/>
      <c r="F10" s="2780"/>
      <c r="G10" s="2780"/>
      <c r="H10" s="2780"/>
      <c r="I10" s="2780"/>
      <c r="J10" s="2780"/>
      <c r="K10" s="2780"/>
      <c r="L10" s="2780"/>
      <c r="M10" s="2780"/>
      <c r="N10" s="2780"/>
      <c r="O10" s="2780"/>
      <c r="P10" s="2781"/>
    </row>
    <row r="11" spans="2:17" ht="26.4">
      <c r="B11" s="1" t="s">
        <v>171</v>
      </c>
      <c r="C11" s="85" t="s">
        <v>21</v>
      </c>
      <c r="D11" s="1054">
        <f>'Д 7_РП'!F23</f>
        <v>8535.7796400000007</v>
      </c>
      <c r="E11" s="1054">
        <f>'Д 7_РП'!G23</f>
        <v>112.2876</v>
      </c>
      <c r="F11" s="1054">
        <f>'Д 7_РП'!H23</f>
        <v>1230.1056000000001</v>
      </c>
      <c r="G11" s="1054">
        <f>'Д 7_РП'!I23</f>
        <v>1762.4095200000002</v>
      </c>
      <c r="H11" s="1054">
        <f>'Д 7_РП'!J23</f>
        <v>2012.2410000000002</v>
      </c>
      <c r="I11" s="1054">
        <f>'Д 7_РП'!K23</f>
        <v>1814.9452799999997</v>
      </c>
      <c r="J11" s="1054">
        <f>'Д 7_РП'!L23</f>
        <v>1574.2519199999999</v>
      </c>
      <c r="K11" s="1054">
        <f>'Д 7_РП'!M23</f>
        <v>29.538719999999998</v>
      </c>
      <c r="L11" s="1054">
        <f>'Д 7_РП'!N13</f>
        <v>0</v>
      </c>
      <c r="M11" s="1054">
        <f>'Д 7_РП'!O13</f>
        <v>0</v>
      </c>
      <c r="N11" s="1054">
        <f>'Д 7_РП'!P13</f>
        <v>0</v>
      </c>
      <c r="O11" s="1054">
        <f>'Д 7_РП'!Q13</f>
        <v>0</v>
      </c>
      <c r="P11" s="1054">
        <f>'Д 7_РП'!R13</f>
        <v>0</v>
      </c>
    </row>
    <row r="12" spans="2:17" ht="26.4">
      <c r="B12" s="1" t="s">
        <v>128</v>
      </c>
      <c r="C12" s="85" t="s">
        <v>74</v>
      </c>
      <c r="D12" s="2111">
        <f>D13/D11*1000</f>
        <v>49.220780579258445</v>
      </c>
      <c r="E12" s="1054">
        <v>49.220780579258445</v>
      </c>
      <c r="F12" s="1054">
        <v>49.220780579258445</v>
      </c>
      <c r="G12" s="1054">
        <v>49.220780579258445</v>
      </c>
      <c r="H12" s="1054">
        <v>49.220780579258445</v>
      </c>
      <c r="I12" s="1054">
        <v>49.220780579258445</v>
      </c>
      <c r="J12" s="1054">
        <v>49.220780579258445</v>
      </c>
      <c r="K12" s="1054">
        <v>49.220780579258445</v>
      </c>
      <c r="L12" s="1054">
        <v>0</v>
      </c>
      <c r="M12" s="1054">
        <v>0</v>
      </c>
      <c r="N12" s="1054">
        <v>0</v>
      </c>
      <c r="O12" s="1054">
        <v>0</v>
      </c>
      <c r="P12" s="1054">
        <v>0</v>
      </c>
    </row>
    <row r="13" spans="2:17" ht="26.4">
      <c r="B13" s="1" t="s">
        <v>129</v>
      </c>
      <c r="C13" s="85" t="s">
        <v>130</v>
      </c>
      <c r="D13" s="1055">
        <f>SUM(E13:K13)</f>
        <v>420.13773673334168</v>
      </c>
      <c r="E13" s="1320">
        <f>E12*E11/1000</f>
        <v>5.5268833213715407</v>
      </c>
      <c r="F13" s="1320">
        <f t="shared" ref="F13:K13" si="0">F12*F11/1000</f>
        <v>60.546757826917066</v>
      </c>
      <c r="G13" s="1320">
        <f t="shared" si="0"/>
        <v>86.747172274716206</v>
      </c>
      <c r="H13" s="1320">
        <f t="shared" si="0"/>
        <v>99.044072733587598</v>
      </c>
      <c r="I13" s="1320">
        <f t="shared" si="0"/>
        <v>89.333023390240768</v>
      </c>
      <c r="J13" s="1320">
        <f t="shared" si="0"/>
        <v>77.48590833079632</v>
      </c>
      <c r="K13" s="1320">
        <f t="shared" si="0"/>
        <v>1.453918855712153</v>
      </c>
      <c r="L13" s="1320">
        <f t="shared" ref="L13:P13" si="1">$D$13/$D$11*L11</f>
        <v>0</v>
      </c>
      <c r="M13" s="1320">
        <f t="shared" si="1"/>
        <v>0</v>
      </c>
      <c r="N13" s="1320">
        <f t="shared" si="1"/>
        <v>0</v>
      </c>
      <c r="O13" s="1320">
        <f t="shared" si="1"/>
        <v>0</v>
      </c>
      <c r="P13" s="1320">
        <f t="shared" si="1"/>
        <v>0</v>
      </c>
      <c r="Q13" s="1056">
        <v>0</v>
      </c>
    </row>
    <row r="14" spans="2:17" ht="26.4">
      <c r="B14" s="1057" t="str">
        <f>'Вхідні дані'!$B$28</f>
        <v>Тариф на електричну енергію, без ПДВ</v>
      </c>
      <c r="C14" s="85" t="s">
        <v>594</v>
      </c>
      <c r="D14" s="1058">
        <f>'Вхідні дані'!$D$28</f>
        <v>2.1999999999999997</v>
      </c>
      <c r="E14" s="1058">
        <f>D14</f>
        <v>2.1999999999999997</v>
      </c>
      <c r="F14" s="1058">
        <f t="shared" ref="F14:P14" si="2">E14</f>
        <v>2.1999999999999997</v>
      </c>
      <c r="G14" s="1058">
        <f t="shared" si="2"/>
        <v>2.1999999999999997</v>
      </c>
      <c r="H14" s="1058">
        <f t="shared" si="2"/>
        <v>2.1999999999999997</v>
      </c>
      <c r="I14" s="1058">
        <f t="shared" si="2"/>
        <v>2.1999999999999997</v>
      </c>
      <c r="J14" s="1058">
        <f t="shared" si="2"/>
        <v>2.1999999999999997</v>
      </c>
      <c r="K14" s="1058">
        <f t="shared" si="2"/>
        <v>2.1999999999999997</v>
      </c>
      <c r="L14" s="1058">
        <f t="shared" si="2"/>
        <v>2.1999999999999997</v>
      </c>
      <c r="M14" s="1058">
        <f t="shared" si="2"/>
        <v>2.1999999999999997</v>
      </c>
      <c r="N14" s="1058">
        <f t="shared" si="2"/>
        <v>2.1999999999999997</v>
      </c>
      <c r="O14" s="1058">
        <f t="shared" si="2"/>
        <v>2.1999999999999997</v>
      </c>
      <c r="P14" s="1058">
        <f t="shared" si="2"/>
        <v>2.1999999999999997</v>
      </c>
      <c r="Q14" s="150"/>
    </row>
    <row r="15" spans="2:17">
      <c r="B15" s="1057" t="s">
        <v>593</v>
      </c>
      <c r="C15" s="85" t="s">
        <v>36</v>
      </c>
      <c r="D15" s="1376">
        <f>D13*D14</f>
        <v>924.30302081335162</v>
      </c>
      <c r="E15" s="1059">
        <f t="shared" ref="E15:P15" si="3">E13*E14</f>
        <v>12.159143307017388</v>
      </c>
      <c r="F15" s="1059">
        <f t="shared" si="3"/>
        <v>133.20286721921752</v>
      </c>
      <c r="G15" s="1059">
        <f t="shared" si="3"/>
        <v>190.84377900437562</v>
      </c>
      <c r="H15" s="1059">
        <f t="shared" si="3"/>
        <v>217.89696001389268</v>
      </c>
      <c r="I15" s="1059">
        <f t="shared" si="3"/>
        <v>196.53265145852967</v>
      </c>
      <c r="J15" s="1059">
        <f t="shared" si="3"/>
        <v>170.46899832775188</v>
      </c>
      <c r="K15" s="1059">
        <f t="shared" si="3"/>
        <v>3.1986214825667361</v>
      </c>
      <c r="L15" s="1059">
        <f t="shared" si="3"/>
        <v>0</v>
      </c>
      <c r="M15" s="1059">
        <f t="shared" si="3"/>
        <v>0</v>
      </c>
      <c r="N15" s="1059">
        <f t="shared" si="3"/>
        <v>0</v>
      </c>
      <c r="O15" s="1059">
        <f t="shared" si="3"/>
        <v>0</v>
      </c>
      <c r="P15" s="1059">
        <f t="shared" si="3"/>
        <v>0</v>
      </c>
      <c r="Q15" s="150"/>
    </row>
    <row r="16" spans="2:17" ht="26.4">
      <c r="B16" s="1057" t="str">
        <f>'Вхідні дані'!$B$30</f>
        <v>Тариф на послуги з розподілу електричної енергії, без ПДВ</v>
      </c>
      <c r="C16" s="85" t="s">
        <v>594</v>
      </c>
      <c r="D16" s="1060">
        <f>'Вхідні дані'!$D$30</f>
        <v>1.1399999999999999</v>
      </c>
      <c r="E16" s="1060">
        <f>D16</f>
        <v>1.1399999999999999</v>
      </c>
      <c r="F16" s="1060">
        <f t="shared" ref="F16:P16" si="4">E16</f>
        <v>1.1399999999999999</v>
      </c>
      <c r="G16" s="1060">
        <f t="shared" si="4"/>
        <v>1.1399999999999999</v>
      </c>
      <c r="H16" s="1060">
        <f t="shared" si="4"/>
        <v>1.1399999999999999</v>
      </c>
      <c r="I16" s="1060">
        <f t="shared" si="4"/>
        <v>1.1399999999999999</v>
      </c>
      <c r="J16" s="1060">
        <f t="shared" si="4"/>
        <v>1.1399999999999999</v>
      </c>
      <c r="K16" s="1060">
        <f t="shared" si="4"/>
        <v>1.1399999999999999</v>
      </c>
      <c r="L16" s="1060">
        <f t="shared" si="4"/>
        <v>1.1399999999999999</v>
      </c>
      <c r="M16" s="1060">
        <f t="shared" si="4"/>
        <v>1.1399999999999999</v>
      </c>
      <c r="N16" s="1060">
        <f t="shared" si="4"/>
        <v>1.1399999999999999</v>
      </c>
      <c r="O16" s="1060">
        <f t="shared" si="4"/>
        <v>1.1399999999999999</v>
      </c>
      <c r="P16" s="1060">
        <f t="shared" si="4"/>
        <v>1.1399999999999999</v>
      </c>
      <c r="Q16" s="150"/>
    </row>
    <row r="17" spans="2:26">
      <c r="B17" s="1057" t="s">
        <v>595</v>
      </c>
      <c r="C17" s="85" t="s">
        <v>36</v>
      </c>
      <c r="D17" s="1377">
        <f>D13*D16-X17</f>
        <v>478.9570198760095</v>
      </c>
      <c r="E17" s="595">
        <f t="shared" ref="E17:P17" si="5">E13*E16</f>
        <v>6.3006469863635557</v>
      </c>
      <c r="F17" s="595">
        <f t="shared" si="5"/>
        <v>69.023303922685443</v>
      </c>
      <c r="G17" s="595">
        <f t="shared" si="5"/>
        <v>98.891776393176471</v>
      </c>
      <c r="H17" s="595">
        <f t="shared" si="5"/>
        <v>112.91024291628985</v>
      </c>
      <c r="I17" s="595">
        <f t="shared" si="5"/>
        <v>101.83964666487446</v>
      </c>
      <c r="J17" s="595">
        <f t="shared" si="5"/>
        <v>88.333935497107802</v>
      </c>
      <c r="K17" s="595">
        <f t="shared" si="5"/>
        <v>1.6574674955118542</v>
      </c>
      <c r="L17" s="595">
        <f t="shared" si="5"/>
        <v>0</v>
      </c>
      <c r="M17" s="595">
        <f t="shared" si="5"/>
        <v>0</v>
      </c>
      <c r="N17" s="595">
        <f t="shared" si="5"/>
        <v>0</v>
      </c>
      <c r="O17" s="595">
        <f t="shared" si="5"/>
        <v>0</v>
      </c>
      <c r="P17" s="595">
        <f t="shared" si="5"/>
        <v>0</v>
      </c>
      <c r="Q17" s="150"/>
      <c r="V17" s="597"/>
      <c r="Z17" s="597"/>
    </row>
    <row r="18" spans="2:26" ht="26.4">
      <c r="B18" s="1" t="s">
        <v>131</v>
      </c>
      <c r="C18" s="85" t="s">
        <v>36</v>
      </c>
      <c r="D18" s="1061">
        <f>D15+D17</f>
        <v>1403.2600406893612</v>
      </c>
      <c r="E18" s="1061">
        <f t="shared" ref="E18:P18" si="6">E15+E17</f>
        <v>18.459790293380944</v>
      </c>
      <c r="F18" s="1061">
        <f t="shared" si="6"/>
        <v>202.22617114190297</v>
      </c>
      <c r="G18" s="1061">
        <f t="shared" si="6"/>
        <v>289.7355553975521</v>
      </c>
      <c r="H18" s="1061">
        <f t="shared" si="6"/>
        <v>330.80720293018254</v>
      </c>
      <c r="I18" s="1061">
        <f t="shared" si="6"/>
        <v>298.37229812340411</v>
      </c>
      <c r="J18" s="1061">
        <f t="shared" si="6"/>
        <v>258.80293382485968</v>
      </c>
      <c r="K18" s="1061">
        <f t="shared" si="6"/>
        <v>4.8560889780785903</v>
      </c>
      <c r="L18" s="1061">
        <f t="shared" si="6"/>
        <v>0</v>
      </c>
      <c r="M18" s="1061">
        <f t="shared" si="6"/>
        <v>0</v>
      </c>
      <c r="N18" s="1061">
        <f t="shared" si="6"/>
        <v>0</v>
      </c>
      <c r="O18" s="1061">
        <f t="shared" si="6"/>
        <v>0</v>
      </c>
      <c r="P18" s="1061">
        <f t="shared" si="6"/>
        <v>0</v>
      </c>
      <c r="Q18" s="1032">
        <v>0</v>
      </c>
      <c r="R18" s="596"/>
    </row>
    <row r="19" spans="2:26" ht="26.4">
      <c r="B19" s="1" t="s">
        <v>172</v>
      </c>
      <c r="C19" s="1087" t="s">
        <v>132</v>
      </c>
      <c r="D19" s="1050">
        <f>SUM(E19:P19)</f>
        <v>0</v>
      </c>
      <c r="E19" s="2110">
        <v>0</v>
      </c>
      <c r="F19" s="2110">
        <v>0</v>
      </c>
      <c r="G19" s="2110">
        <v>0</v>
      </c>
      <c r="H19" s="2110">
        <v>0</v>
      </c>
      <c r="I19" s="2110">
        <v>0</v>
      </c>
      <c r="J19" s="2110">
        <v>0</v>
      </c>
      <c r="K19" s="2110">
        <v>0</v>
      </c>
      <c r="L19" s="1320">
        <v>0</v>
      </c>
      <c r="M19" s="1320">
        <v>0</v>
      </c>
      <c r="N19" s="1320">
        <v>0</v>
      </c>
      <c r="O19" s="1320">
        <v>0</v>
      </c>
      <c r="P19" s="1320">
        <v>0</v>
      </c>
      <c r="Q19" s="1032">
        <v>0</v>
      </c>
    </row>
    <row r="20" spans="2:26" ht="39.6">
      <c r="B20" s="1" t="str">
        <f>'Вхідні дані'!$B$32</f>
        <v>Тариф для розрахунку плати за перетікання реактивної електроенергії, без ПДВ</v>
      </c>
      <c r="C20" s="1087" t="s">
        <v>596</v>
      </c>
      <c r="D20" s="1062">
        <f>'Вхідні дані'!$D$32</f>
        <v>9.9999999999999992E-2</v>
      </c>
      <c r="E20" s="1062">
        <f>D20</f>
        <v>9.9999999999999992E-2</v>
      </c>
      <c r="F20" s="1062">
        <f t="shared" ref="F20:P20" si="7">E20</f>
        <v>9.9999999999999992E-2</v>
      </c>
      <c r="G20" s="1062">
        <f t="shared" si="7"/>
        <v>9.9999999999999992E-2</v>
      </c>
      <c r="H20" s="1062">
        <f t="shared" si="7"/>
        <v>9.9999999999999992E-2</v>
      </c>
      <c r="I20" s="1062">
        <f t="shared" si="7"/>
        <v>9.9999999999999992E-2</v>
      </c>
      <c r="J20" s="1062">
        <f t="shared" si="7"/>
        <v>9.9999999999999992E-2</v>
      </c>
      <c r="K20" s="1062">
        <f t="shared" si="7"/>
        <v>9.9999999999999992E-2</v>
      </c>
      <c r="L20" s="1062">
        <f t="shared" si="7"/>
        <v>9.9999999999999992E-2</v>
      </c>
      <c r="M20" s="1062">
        <f t="shared" si="7"/>
        <v>9.9999999999999992E-2</v>
      </c>
      <c r="N20" s="1062">
        <f t="shared" si="7"/>
        <v>9.9999999999999992E-2</v>
      </c>
      <c r="O20" s="1062">
        <f t="shared" si="7"/>
        <v>9.9999999999999992E-2</v>
      </c>
      <c r="P20" s="1062">
        <f t="shared" si="7"/>
        <v>9.9999999999999992E-2</v>
      </c>
      <c r="Q20" s="150"/>
    </row>
    <row r="21" spans="2:26" ht="26.4">
      <c r="B21" s="1" t="s">
        <v>606</v>
      </c>
      <c r="C21" s="85" t="s">
        <v>36</v>
      </c>
      <c r="D21" s="1063">
        <f>D19*D20</f>
        <v>0</v>
      </c>
      <c r="E21" s="595">
        <f t="shared" ref="E21:P21" si="8">E19*E20</f>
        <v>0</v>
      </c>
      <c r="F21" s="595">
        <f t="shared" si="8"/>
        <v>0</v>
      </c>
      <c r="G21" s="595">
        <f t="shared" si="8"/>
        <v>0</v>
      </c>
      <c r="H21" s="595">
        <f t="shared" si="8"/>
        <v>0</v>
      </c>
      <c r="I21" s="595">
        <f t="shared" si="8"/>
        <v>0</v>
      </c>
      <c r="J21" s="595">
        <f t="shared" si="8"/>
        <v>0</v>
      </c>
      <c r="K21" s="595">
        <f t="shared" si="8"/>
        <v>0</v>
      </c>
      <c r="L21" s="595">
        <f t="shared" si="8"/>
        <v>0</v>
      </c>
      <c r="M21" s="595">
        <f t="shared" si="8"/>
        <v>0</v>
      </c>
      <c r="N21" s="595">
        <f t="shared" si="8"/>
        <v>0</v>
      </c>
      <c r="O21" s="595">
        <f t="shared" si="8"/>
        <v>0</v>
      </c>
      <c r="P21" s="595">
        <f t="shared" si="8"/>
        <v>0</v>
      </c>
    </row>
    <row r="22" spans="2:26" ht="26.4">
      <c r="B22" s="1" t="s">
        <v>605</v>
      </c>
      <c r="C22" s="1087" t="s">
        <v>132</v>
      </c>
      <c r="D22" s="1050">
        <f>SUM(E22:P22)</f>
        <v>0</v>
      </c>
      <c r="E22" s="1320">
        <v>0</v>
      </c>
      <c r="F22" s="1320">
        <v>0</v>
      </c>
      <c r="G22" s="1320">
        <v>0</v>
      </c>
      <c r="H22" s="1320">
        <v>0</v>
      </c>
      <c r="I22" s="1320">
        <v>0</v>
      </c>
      <c r="J22" s="1320">
        <v>0</v>
      </c>
      <c r="K22" s="1320">
        <v>0</v>
      </c>
      <c r="L22" s="1320">
        <v>0</v>
      </c>
      <c r="M22" s="1320">
        <v>0</v>
      </c>
      <c r="N22" s="1320">
        <v>0</v>
      </c>
      <c r="O22" s="1320">
        <v>0</v>
      </c>
      <c r="P22" s="1320">
        <v>0</v>
      </c>
      <c r="Q22" s="1056">
        <v>0</v>
      </c>
    </row>
    <row r="23" spans="2:26" ht="39.6">
      <c r="B23" s="1" t="str">
        <f>'Вхідні дані'!$B$34</f>
        <v>Тариф для розрахунку плати за генерацію реактивної електроенергії, без ПДВ</v>
      </c>
      <c r="C23" s="1087" t="s">
        <v>596</v>
      </c>
      <c r="D23" s="1062">
        <f>'Вхідні дані'!$D$34</f>
        <v>0</v>
      </c>
      <c r="E23" s="1062">
        <f>D23</f>
        <v>0</v>
      </c>
      <c r="F23" s="1062">
        <f t="shared" ref="F23:P23" si="9">E23</f>
        <v>0</v>
      </c>
      <c r="G23" s="1062">
        <f t="shared" si="9"/>
        <v>0</v>
      </c>
      <c r="H23" s="1062">
        <f t="shared" si="9"/>
        <v>0</v>
      </c>
      <c r="I23" s="1062">
        <f t="shared" si="9"/>
        <v>0</v>
      </c>
      <c r="J23" s="1062">
        <f t="shared" si="9"/>
        <v>0</v>
      </c>
      <c r="K23" s="1062">
        <f t="shared" si="9"/>
        <v>0</v>
      </c>
      <c r="L23" s="1062">
        <f t="shared" si="9"/>
        <v>0</v>
      </c>
      <c r="M23" s="1062">
        <f t="shared" si="9"/>
        <v>0</v>
      </c>
      <c r="N23" s="1062">
        <f t="shared" si="9"/>
        <v>0</v>
      </c>
      <c r="O23" s="1062">
        <f t="shared" si="9"/>
        <v>0</v>
      </c>
      <c r="P23" s="1062">
        <f t="shared" si="9"/>
        <v>0</v>
      </c>
      <c r="Q23" s="150" t="s">
        <v>541</v>
      </c>
    </row>
    <row r="24" spans="2:26" ht="26.4">
      <c r="B24" s="1" t="s">
        <v>607</v>
      </c>
      <c r="C24" s="85" t="s">
        <v>36</v>
      </c>
      <c r="D24" s="595">
        <f t="shared" ref="D24:P24" si="10">D22*D23</f>
        <v>0</v>
      </c>
      <c r="E24" s="595">
        <f t="shared" si="10"/>
        <v>0</v>
      </c>
      <c r="F24" s="595">
        <f t="shared" si="10"/>
        <v>0</v>
      </c>
      <c r="G24" s="595">
        <f t="shared" si="10"/>
        <v>0</v>
      </c>
      <c r="H24" s="595">
        <f t="shared" si="10"/>
        <v>0</v>
      </c>
      <c r="I24" s="595">
        <f t="shared" si="10"/>
        <v>0</v>
      </c>
      <c r="J24" s="595">
        <f t="shared" si="10"/>
        <v>0</v>
      </c>
      <c r="K24" s="595">
        <f t="shared" si="10"/>
        <v>0</v>
      </c>
      <c r="L24" s="595">
        <f t="shared" si="10"/>
        <v>0</v>
      </c>
      <c r="M24" s="595">
        <f t="shared" si="10"/>
        <v>0</v>
      </c>
      <c r="N24" s="595">
        <f t="shared" si="10"/>
        <v>0</v>
      </c>
      <c r="O24" s="595">
        <f t="shared" si="10"/>
        <v>0</v>
      </c>
      <c r="P24" s="595">
        <f t="shared" si="10"/>
        <v>0</v>
      </c>
      <c r="Q24" s="150" t="s">
        <v>541</v>
      </c>
    </row>
    <row r="25" spans="2:26" ht="26.4">
      <c r="B25" s="1" t="s">
        <v>629</v>
      </c>
      <c r="C25" s="85" t="s">
        <v>36</v>
      </c>
      <c r="D25" s="1061">
        <f>D24+D21</f>
        <v>0</v>
      </c>
      <c r="E25" s="1061">
        <f t="shared" ref="E25:P25" si="11">E24+E21</f>
        <v>0</v>
      </c>
      <c r="F25" s="1061">
        <f t="shared" si="11"/>
        <v>0</v>
      </c>
      <c r="G25" s="1061">
        <f t="shared" si="11"/>
        <v>0</v>
      </c>
      <c r="H25" s="1061">
        <f t="shared" si="11"/>
        <v>0</v>
      </c>
      <c r="I25" s="1061">
        <f t="shared" si="11"/>
        <v>0</v>
      </c>
      <c r="J25" s="1061">
        <f t="shared" si="11"/>
        <v>0</v>
      </c>
      <c r="K25" s="1061">
        <f t="shared" si="11"/>
        <v>0</v>
      </c>
      <c r="L25" s="1061">
        <f t="shared" si="11"/>
        <v>0</v>
      </c>
      <c r="M25" s="1061">
        <f t="shared" si="11"/>
        <v>0</v>
      </c>
      <c r="N25" s="1061">
        <f t="shared" si="11"/>
        <v>0</v>
      </c>
      <c r="O25" s="1061">
        <f t="shared" si="11"/>
        <v>0</v>
      </c>
      <c r="P25" s="1061">
        <f t="shared" si="11"/>
        <v>0</v>
      </c>
      <c r="Q25" s="150"/>
      <c r="R25" s="1064"/>
    </row>
    <row r="26" spans="2:26" ht="39.6">
      <c r="B26" s="1" t="s">
        <v>173</v>
      </c>
      <c r="C26" s="85" t="s">
        <v>36</v>
      </c>
      <c r="D26" s="1065">
        <f>D18+D25</f>
        <v>1403.2600406893612</v>
      </c>
      <c r="E26" s="1065">
        <f t="shared" ref="E26:P26" si="12">E18+E25</f>
        <v>18.459790293380944</v>
      </c>
      <c r="F26" s="1065">
        <f t="shared" si="12"/>
        <v>202.22617114190297</v>
      </c>
      <c r="G26" s="1065">
        <f t="shared" si="12"/>
        <v>289.7355553975521</v>
      </c>
      <c r="H26" s="1065">
        <f t="shared" si="12"/>
        <v>330.80720293018254</v>
      </c>
      <c r="I26" s="1065">
        <f t="shared" si="12"/>
        <v>298.37229812340411</v>
      </c>
      <c r="J26" s="1065">
        <f t="shared" si="12"/>
        <v>258.80293382485968</v>
      </c>
      <c r="K26" s="1065">
        <f t="shared" si="12"/>
        <v>4.8560889780785903</v>
      </c>
      <c r="L26" s="1065">
        <f t="shared" si="12"/>
        <v>0</v>
      </c>
      <c r="M26" s="1065">
        <f t="shared" si="12"/>
        <v>0</v>
      </c>
      <c r="N26" s="1065">
        <f t="shared" si="12"/>
        <v>0</v>
      </c>
      <c r="O26" s="1065">
        <f t="shared" si="12"/>
        <v>0</v>
      </c>
      <c r="P26" s="1065">
        <f t="shared" si="12"/>
        <v>0</v>
      </c>
      <c r="Q26" s="1032">
        <v>0</v>
      </c>
      <c r="R26" s="1064"/>
    </row>
    <row r="27" spans="2:26" ht="15" hidden="1" customHeight="1">
      <c r="B27" s="2770" t="s">
        <v>174</v>
      </c>
      <c r="C27" s="2771"/>
      <c r="D27" s="2778"/>
      <c r="E27" s="2771"/>
      <c r="F27" s="2771"/>
      <c r="G27" s="2771"/>
      <c r="H27" s="2771"/>
      <c r="I27" s="2771"/>
      <c r="J27" s="2771"/>
      <c r="K27" s="2771"/>
      <c r="L27" s="2771"/>
      <c r="M27" s="2771"/>
      <c r="N27" s="2771"/>
      <c r="O27" s="2771"/>
      <c r="P27" s="2772"/>
    </row>
    <row r="28" spans="2:26" ht="39.6" hidden="1">
      <c r="B28" s="1" t="s">
        <v>1522</v>
      </c>
      <c r="C28" s="1066" t="s">
        <v>175</v>
      </c>
      <c r="D28" s="1067">
        <v>0</v>
      </c>
      <c r="E28" s="1068">
        <v>0</v>
      </c>
      <c r="F28" s="1068">
        <v>0</v>
      </c>
      <c r="G28" s="1068">
        <v>0</v>
      </c>
      <c r="H28" s="1068">
        <v>0</v>
      </c>
      <c r="I28" s="1068">
        <v>0</v>
      </c>
      <c r="J28" s="1068">
        <v>0</v>
      </c>
      <c r="K28" s="1068">
        <v>0</v>
      </c>
      <c r="L28" s="1068">
        <v>0</v>
      </c>
      <c r="M28" s="1068">
        <v>0</v>
      </c>
      <c r="N28" s="1068">
        <v>0</v>
      </c>
      <c r="O28" s="1068">
        <v>0</v>
      </c>
      <c r="P28" s="1068">
        <v>0</v>
      </c>
      <c r="S28" s="1069"/>
    </row>
    <row r="29" spans="2:26" hidden="1">
      <c r="B29" s="1070" t="s">
        <v>536</v>
      </c>
      <c r="C29" s="1066" t="s">
        <v>175</v>
      </c>
      <c r="D29" s="1050">
        <v>0</v>
      </c>
      <c r="E29" s="1050">
        <v>0</v>
      </c>
      <c r="F29" s="1050">
        <v>0</v>
      </c>
      <c r="G29" s="1050">
        <v>0</v>
      </c>
      <c r="H29" s="1050">
        <v>0</v>
      </c>
      <c r="I29" s="1050">
        <v>0</v>
      </c>
      <c r="J29" s="1050">
        <v>0</v>
      </c>
      <c r="K29" s="1050">
        <v>0</v>
      </c>
      <c r="L29" s="1050">
        <v>0</v>
      </c>
      <c r="M29" s="1050">
        <v>0</v>
      </c>
      <c r="N29" s="1050">
        <v>0</v>
      </c>
      <c r="O29" s="1050">
        <v>0</v>
      </c>
      <c r="P29" s="1050">
        <v>0</v>
      </c>
      <c r="Q29" s="150" t="s">
        <v>622</v>
      </c>
      <c r="S29" s="1069"/>
    </row>
    <row r="30" spans="2:26" hidden="1">
      <c r="B30" s="1070" t="s">
        <v>535</v>
      </c>
      <c r="C30" s="1066" t="s">
        <v>175</v>
      </c>
      <c r="D30" s="1050">
        <v>0</v>
      </c>
      <c r="E30" s="1050">
        <v>0</v>
      </c>
      <c r="F30" s="1050">
        <v>0</v>
      </c>
      <c r="G30" s="1050">
        <v>0</v>
      </c>
      <c r="H30" s="1050">
        <v>0</v>
      </c>
      <c r="I30" s="1050">
        <v>0</v>
      </c>
      <c r="J30" s="1050">
        <v>0</v>
      </c>
      <c r="K30" s="1050">
        <v>0</v>
      </c>
      <c r="L30" s="1050">
        <v>0</v>
      </c>
      <c r="M30" s="1050">
        <v>0</v>
      </c>
      <c r="N30" s="1050">
        <v>0</v>
      </c>
      <c r="O30" s="1050">
        <v>0</v>
      </c>
      <c r="P30" s="1050">
        <v>0</v>
      </c>
      <c r="Q30" s="150" t="s">
        <v>622</v>
      </c>
      <c r="S30" s="1069"/>
    </row>
    <row r="31" spans="2:26" ht="39.6" hidden="1">
      <c r="B31" s="1" t="s">
        <v>609</v>
      </c>
      <c r="C31" s="85" t="s">
        <v>176</v>
      </c>
      <c r="D31" s="1051">
        <v>0</v>
      </c>
      <c r="E31" s="1051">
        <f>IF(E28=0,0,E34/E28*1000)</f>
        <v>0</v>
      </c>
      <c r="F31" s="1051">
        <f t="shared" ref="F31:K31" si="13">IF(F28=0,0,F34/F28*1000)</f>
        <v>0</v>
      </c>
      <c r="G31" s="1051">
        <f t="shared" si="13"/>
        <v>0</v>
      </c>
      <c r="H31" s="1051">
        <f t="shared" si="13"/>
        <v>0</v>
      </c>
      <c r="I31" s="1051">
        <f t="shared" si="13"/>
        <v>0</v>
      </c>
      <c r="J31" s="1051">
        <f t="shared" si="13"/>
        <v>0</v>
      </c>
      <c r="K31" s="1051">
        <f t="shared" si="13"/>
        <v>0</v>
      </c>
      <c r="L31" s="1051">
        <v>0</v>
      </c>
      <c r="M31" s="1051">
        <v>0</v>
      </c>
      <c r="N31" s="1051">
        <v>0</v>
      </c>
      <c r="O31" s="1051">
        <v>0</v>
      </c>
      <c r="P31" s="1051">
        <v>0</v>
      </c>
      <c r="Q31" s="598" t="s">
        <v>541</v>
      </c>
    </row>
    <row r="32" spans="2:26" hidden="1">
      <c r="B32" s="1070" t="s">
        <v>536</v>
      </c>
      <c r="C32" s="85" t="s">
        <v>176</v>
      </c>
      <c r="D32" s="1051" t="e">
        <f>D35/D29*1000</f>
        <v>#DIV/0!</v>
      </c>
      <c r="E32" s="1051">
        <f>IF(E29=0,0,E35/E29*1000)</f>
        <v>0</v>
      </c>
      <c r="F32" s="1051">
        <f t="shared" ref="F32:J33" si="14">IF(F29=0,0,F35/F29*1000)</f>
        <v>0</v>
      </c>
      <c r="G32" s="1051">
        <f t="shared" si="14"/>
        <v>0</v>
      </c>
      <c r="H32" s="1051">
        <f t="shared" si="14"/>
        <v>0</v>
      </c>
      <c r="I32" s="1051">
        <f t="shared" si="14"/>
        <v>0</v>
      </c>
      <c r="J32" s="1051">
        <f t="shared" si="14"/>
        <v>0</v>
      </c>
      <c r="K32" s="1051" t="e">
        <f>K35/K29*1000</f>
        <v>#DIV/0!</v>
      </c>
      <c r="L32" s="1051">
        <v>0</v>
      </c>
      <c r="M32" s="1051">
        <v>0</v>
      </c>
      <c r="N32" s="1051">
        <v>0</v>
      </c>
      <c r="O32" s="1051">
        <v>0</v>
      </c>
      <c r="P32" s="1051">
        <v>0</v>
      </c>
      <c r="Q32" s="150" t="s">
        <v>622</v>
      </c>
    </row>
    <row r="33" spans="2:22" hidden="1">
      <c r="B33" s="1070" t="s">
        <v>535</v>
      </c>
      <c r="C33" s="85" t="s">
        <v>176</v>
      </c>
      <c r="D33" s="1051" t="e">
        <f>D36/D30*1000</f>
        <v>#DIV/0!</v>
      </c>
      <c r="E33" s="1051">
        <f>IF(E30=0,0,E36/E30*1000)</f>
        <v>0</v>
      </c>
      <c r="F33" s="1051">
        <f t="shared" si="14"/>
        <v>0</v>
      </c>
      <c r="G33" s="1051">
        <f t="shared" si="14"/>
        <v>0</v>
      </c>
      <c r="H33" s="1051">
        <f t="shared" si="14"/>
        <v>0</v>
      </c>
      <c r="I33" s="1051">
        <f t="shared" si="14"/>
        <v>0</v>
      </c>
      <c r="J33" s="1051">
        <f t="shared" si="14"/>
        <v>0</v>
      </c>
      <c r="K33" s="1051" t="e">
        <f>K36/K30*1000</f>
        <v>#DIV/0!</v>
      </c>
      <c r="L33" s="1051">
        <v>0</v>
      </c>
      <c r="M33" s="1051">
        <v>0</v>
      </c>
      <c r="N33" s="1051">
        <v>0</v>
      </c>
      <c r="O33" s="1051">
        <v>0</v>
      </c>
      <c r="P33" s="1051">
        <v>0</v>
      </c>
      <c r="Q33" s="150" t="s">
        <v>622</v>
      </c>
    </row>
    <row r="34" spans="2:22" ht="26.4" hidden="1">
      <c r="B34" s="1" t="s">
        <v>608</v>
      </c>
      <c r="C34" s="85" t="s">
        <v>178</v>
      </c>
      <c r="D34" s="1071">
        <f>D35+D36</f>
        <v>0</v>
      </c>
      <c r="E34" s="1054">
        <f>E35+E36</f>
        <v>0</v>
      </c>
      <c r="F34" s="1054">
        <f t="shared" ref="F34:P34" si="15">F35+F36</f>
        <v>0</v>
      </c>
      <c r="G34" s="1054">
        <f t="shared" si="15"/>
        <v>0</v>
      </c>
      <c r="H34" s="1054">
        <f t="shared" si="15"/>
        <v>0</v>
      </c>
      <c r="I34" s="1054">
        <f t="shared" si="15"/>
        <v>0</v>
      </c>
      <c r="J34" s="1054">
        <f t="shared" si="15"/>
        <v>0</v>
      </c>
      <c r="K34" s="1054">
        <f t="shared" si="15"/>
        <v>0</v>
      </c>
      <c r="L34" s="1054">
        <f t="shared" si="15"/>
        <v>0</v>
      </c>
      <c r="M34" s="1054">
        <f t="shared" si="15"/>
        <v>0</v>
      </c>
      <c r="N34" s="1054">
        <f t="shared" si="15"/>
        <v>0</v>
      </c>
      <c r="O34" s="1054">
        <f t="shared" si="15"/>
        <v>0</v>
      </c>
      <c r="P34" s="1054">
        <f t="shared" si="15"/>
        <v>0</v>
      </c>
      <c r="S34" s="597">
        <f>R34-D34</f>
        <v>0</v>
      </c>
    </row>
    <row r="35" spans="2:22" hidden="1">
      <c r="B35" s="1070" t="s">
        <v>536</v>
      </c>
      <c r="C35" s="85" t="s">
        <v>178</v>
      </c>
      <c r="D35" s="1071">
        <f>SUM(E35:P35)</f>
        <v>0</v>
      </c>
      <c r="E35" s="1320"/>
      <c r="F35" s="1320"/>
      <c r="G35" s="1320"/>
      <c r="H35" s="1320"/>
      <c r="I35" s="1320"/>
      <c r="J35" s="1320"/>
      <c r="K35" s="1320"/>
      <c r="L35" s="1320"/>
      <c r="M35" s="1320"/>
      <c r="N35" s="1320"/>
      <c r="O35" s="1320"/>
      <c r="P35" s="1320"/>
      <c r="Q35" s="150" t="s">
        <v>622</v>
      </c>
      <c r="S35" s="1072">
        <f>R35-D35</f>
        <v>0</v>
      </c>
    </row>
    <row r="36" spans="2:22" hidden="1">
      <c r="B36" s="1070" t="s">
        <v>535</v>
      </c>
      <c r="C36" s="85" t="s">
        <v>178</v>
      </c>
      <c r="D36" s="1071">
        <f>SUM(E36:P36)</f>
        <v>0</v>
      </c>
      <c r="E36" s="1320"/>
      <c r="F36" s="1320"/>
      <c r="G36" s="1320"/>
      <c r="H36" s="1320"/>
      <c r="I36" s="1320"/>
      <c r="J36" s="1320"/>
      <c r="K36" s="1320"/>
      <c r="L36" s="1320"/>
      <c r="M36" s="1320"/>
      <c r="N36" s="1320"/>
      <c r="O36" s="1320"/>
      <c r="P36" s="1320"/>
      <c r="Q36" s="150" t="s">
        <v>622</v>
      </c>
      <c r="S36" s="1072">
        <f>R36-D36</f>
        <v>0</v>
      </c>
    </row>
    <row r="37" spans="2:22" ht="26.4" hidden="1">
      <c r="B37" s="1057" t="str">
        <f>'Вхідні дані'!$B$28</f>
        <v>Тариф на електричну енергію, без ПДВ</v>
      </c>
      <c r="C37" s="85" t="s">
        <v>594</v>
      </c>
      <c r="D37" s="1058">
        <f>'Вхідні дані'!$D$28</f>
        <v>2.1999999999999997</v>
      </c>
      <c r="E37" s="1058">
        <f>D37</f>
        <v>2.1999999999999997</v>
      </c>
      <c r="F37" s="1058">
        <f t="shared" ref="F37:P37" si="16">E37</f>
        <v>2.1999999999999997</v>
      </c>
      <c r="G37" s="1058">
        <f t="shared" si="16"/>
        <v>2.1999999999999997</v>
      </c>
      <c r="H37" s="1058">
        <f t="shared" si="16"/>
        <v>2.1999999999999997</v>
      </c>
      <c r="I37" s="1058">
        <f t="shared" si="16"/>
        <v>2.1999999999999997</v>
      </c>
      <c r="J37" s="1058">
        <f t="shared" si="16"/>
        <v>2.1999999999999997</v>
      </c>
      <c r="K37" s="1058">
        <f t="shared" si="16"/>
        <v>2.1999999999999997</v>
      </c>
      <c r="L37" s="1058">
        <f t="shared" si="16"/>
        <v>2.1999999999999997</v>
      </c>
      <c r="M37" s="1058">
        <f t="shared" si="16"/>
        <v>2.1999999999999997</v>
      </c>
      <c r="N37" s="1058">
        <f t="shared" si="16"/>
        <v>2.1999999999999997</v>
      </c>
      <c r="O37" s="1058">
        <f t="shared" si="16"/>
        <v>2.1999999999999997</v>
      </c>
      <c r="P37" s="1058">
        <f t="shared" si="16"/>
        <v>2.1999999999999997</v>
      </c>
      <c r="Q37" s="150" t="s">
        <v>541</v>
      </c>
    </row>
    <row r="38" spans="2:22" ht="26.4" hidden="1">
      <c r="B38" s="1057" t="s">
        <v>610</v>
      </c>
      <c r="C38" s="85" t="s">
        <v>36</v>
      </c>
      <c r="D38" s="1059">
        <f>D34*D37</f>
        <v>0</v>
      </c>
      <c r="E38" s="1059">
        <f t="shared" ref="E38:P38" si="17">E34*E37</f>
        <v>0</v>
      </c>
      <c r="F38" s="1059">
        <f t="shared" si="17"/>
        <v>0</v>
      </c>
      <c r="G38" s="1059">
        <f t="shared" si="17"/>
        <v>0</v>
      </c>
      <c r="H38" s="1059">
        <f t="shared" si="17"/>
        <v>0</v>
      </c>
      <c r="I38" s="1059">
        <f t="shared" si="17"/>
        <v>0</v>
      </c>
      <c r="J38" s="1059">
        <f t="shared" si="17"/>
        <v>0</v>
      </c>
      <c r="K38" s="1059">
        <f t="shared" si="17"/>
        <v>0</v>
      </c>
      <c r="L38" s="1059">
        <f t="shared" si="17"/>
        <v>0</v>
      </c>
      <c r="M38" s="1059">
        <f t="shared" si="17"/>
        <v>0</v>
      </c>
      <c r="N38" s="1059">
        <f t="shared" si="17"/>
        <v>0</v>
      </c>
      <c r="O38" s="1059">
        <f t="shared" si="17"/>
        <v>0</v>
      </c>
      <c r="P38" s="1059">
        <f t="shared" si="17"/>
        <v>0</v>
      </c>
      <c r="Q38" s="150" t="s">
        <v>541</v>
      </c>
      <c r="R38" s="1052">
        <v>5037.1097660397427</v>
      </c>
    </row>
    <row r="39" spans="2:22" hidden="1">
      <c r="B39" s="1070" t="s">
        <v>536</v>
      </c>
      <c r="C39" s="85" t="s">
        <v>36</v>
      </c>
      <c r="D39" s="1054">
        <f>D35*D37</f>
        <v>0</v>
      </c>
      <c r="E39" s="1054">
        <f t="shared" ref="E39:P39" si="18">E35*E37</f>
        <v>0</v>
      </c>
      <c r="F39" s="1054">
        <f t="shared" si="18"/>
        <v>0</v>
      </c>
      <c r="G39" s="1054">
        <f t="shared" si="18"/>
        <v>0</v>
      </c>
      <c r="H39" s="1054">
        <f t="shared" si="18"/>
        <v>0</v>
      </c>
      <c r="I39" s="1054">
        <f t="shared" si="18"/>
        <v>0</v>
      </c>
      <c r="J39" s="1054">
        <f t="shared" si="18"/>
        <v>0</v>
      </c>
      <c r="K39" s="1054">
        <f t="shared" si="18"/>
        <v>0</v>
      </c>
      <c r="L39" s="1054">
        <f t="shared" si="18"/>
        <v>0</v>
      </c>
      <c r="M39" s="1054">
        <f t="shared" si="18"/>
        <v>0</v>
      </c>
      <c r="N39" s="1054">
        <f t="shared" si="18"/>
        <v>0</v>
      </c>
      <c r="O39" s="1054">
        <f t="shared" si="18"/>
        <v>0</v>
      </c>
      <c r="P39" s="1054">
        <f t="shared" si="18"/>
        <v>0</v>
      </c>
      <c r="Q39" s="150" t="s">
        <v>622</v>
      </c>
    </row>
    <row r="40" spans="2:22" hidden="1">
      <c r="B40" s="1070" t="s">
        <v>535</v>
      </c>
      <c r="C40" s="85" t="s">
        <v>36</v>
      </c>
      <c r="D40" s="1054">
        <f>D36*D37</f>
        <v>0</v>
      </c>
      <c r="E40" s="1054">
        <f t="shared" ref="E40:P40" si="19">E36*E37</f>
        <v>0</v>
      </c>
      <c r="F40" s="1054">
        <f t="shared" si="19"/>
        <v>0</v>
      </c>
      <c r="G40" s="1054">
        <f t="shared" si="19"/>
        <v>0</v>
      </c>
      <c r="H40" s="1054">
        <f t="shared" si="19"/>
        <v>0</v>
      </c>
      <c r="I40" s="1054">
        <f t="shared" si="19"/>
        <v>0</v>
      </c>
      <c r="J40" s="1054">
        <f t="shared" si="19"/>
        <v>0</v>
      </c>
      <c r="K40" s="1054">
        <f t="shared" si="19"/>
        <v>0</v>
      </c>
      <c r="L40" s="1054">
        <f t="shared" si="19"/>
        <v>0</v>
      </c>
      <c r="M40" s="1054">
        <f t="shared" si="19"/>
        <v>0</v>
      </c>
      <c r="N40" s="1054">
        <f t="shared" si="19"/>
        <v>0</v>
      </c>
      <c r="O40" s="1054">
        <f t="shared" si="19"/>
        <v>0</v>
      </c>
      <c r="P40" s="1054">
        <f t="shared" si="19"/>
        <v>0</v>
      </c>
      <c r="Q40" s="150" t="s">
        <v>622</v>
      </c>
    </row>
    <row r="41" spans="2:22" ht="26.4" hidden="1">
      <c r="B41" s="1057" t="str">
        <f>'Вхідні дані'!$B$30</f>
        <v>Тариф на послуги з розподілу електричної енергії, без ПДВ</v>
      </c>
      <c r="C41" s="85" t="s">
        <v>594</v>
      </c>
      <c r="D41" s="1060">
        <f>'Вхідні дані'!$D$30</f>
        <v>1.1399999999999999</v>
      </c>
      <c r="E41" s="1060">
        <f>D41</f>
        <v>1.1399999999999999</v>
      </c>
      <c r="F41" s="1060">
        <f t="shared" ref="F41:P41" si="20">E41</f>
        <v>1.1399999999999999</v>
      </c>
      <c r="G41" s="1060">
        <f t="shared" si="20"/>
        <v>1.1399999999999999</v>
      </c>
      <c r="H41" s="1060">
        <f t="shared" si="20"/>
        <v>1.1399999999999999</v>
      </c>
      <c r="I41" s="1060">
        <f t="shared" si="20"/>
        <v>1.1399999999999999</v>
      </c>
      <c r="J41" s="1060">
        <f t="shared" si="20"/>
        <v>1.1399999999999999</v>
      </c>
      <c r="K41" s="1060">
        <f t="shared" si="20"/>
        <v>1.1399999999999999</v>
      </c>
      <c r="L41" s="1060">
        <f t="shared" si="20"/>
        <v>1.1399999999999999</v>
      </c>
      <c r="M41" s="1060">
        <f t="shared" si="20"/>
        <v>1.1399999999999999</v>
      </c>
      <c r="N41" s="1060">
        <f t="shared" si="20"/>
        <v>1.1399999999999999</v>
      </c>
      <c r="O41" s="1060">
        <f t="shared" si="20"/>
        <v>1.1399999999999999</v>
      </c>
      <c r="P41" s="1060">
        <f t="shared" si="20"/>
        <v>1.1399999999999999</v>
      </c>
      <c r="Q41" s="150" t="s">
        <v>541</v>
      </c>
    </row>
    <row r="42" spans="2:22" ht="26.4" hidden="1">
      <c r="B42" s="1057" t="s">
        <v>611</v>
      </c>
      <c r="C42" s="85" t="s">
        <v>36</v>
      </c>
      <c r="D42" s="595">
        <f>D34*D41-X42</f>
        <v>0</v>
      </c>
      <c r="E42" s="595">
        <f t="shared" ref="E42:P42" si="21">E34*E41</f>
        <v>0</v>
      </c>
      <c r="F42" s="595">
        <f t="shared" si="21"/>
        <v>0</v>
      </c>
      <c r="G42" s="595">
        <f t="shared" si="21"/>
        <v>0</v>
      </c>
      <c r="H42" s="595">
        <f t="shared" si="21"/>
        <v>0</v>
      </c>
      <c r="I42" s="595">
        <f t="shared" si="21"/>
        <v>0</v>
      </c>
      <c r="J42" s="595">
        <f t="shared" si="21"/>
        <v>0</v>
      </c>
      <c r="K42" s="595">
        <f t="shared" si="21"/>
        <v>0</v>
      </c>
      <c r="L42" s="595">
        <f t="shared" si="21"/>
        <v>0</v>
      </c>
      <c r="M42" s="595">
        <f t="shared" si="21"/>
        <v>0</v>
      </c>
      <c r="N42" s="595">
        <f t="shared" si="21"/>
        <v>0</v>
      </c>
      <c r="O42" s="595">
        <f t="shared" si="21"/>
        <v>0</v>
      </c>
      <c r="P42" s="595">
        <f t="shared" si="21"/>
        <v>0</v>
      </c>
      <c r="Q42" s="150" t="s">
        <v>541</v>
      </c>
      <c r="V42" s="597"/>
    </row>
    <row r="43" spans="2:22" hidden="1">
      <c r="B43" s="1070" t="s">
        <v>536</v>
      </c>
      <c r="C43" s="85" t="s">
        <v>36</v>
      </c>
      <c r="D43" s="1050">
        <f>D35*D41</f>
        <v>0</v>
      </c>
      <c r="E43" s="1050">
        <f t="shared" ref="E43:P43" si="22">E35*E41</f>
        <v>0</v>
      </c>
      <c r="F43" s="1050">
        <f t="shared" si="22"/>
        <v>0</v>
      </c>
      <c r="G43" s="1050">
        <f t="shared" si="22"/>
        <v>0</v>
      </c>
      <c r="H43" s="1050">
        <f t="shared" si="22"/>
        <v>0</v>
      </c>
      <c r="I43" s="1050">
        <f t="shared" si="22"/>
        <v>0</v>
      </c>
      <c r="J43" s="1050">
        <f t="shared" si="22"/>
        <v>0</v>
      </c>
      <c r="K43" s="1050">
        <f t="shared" si="22"/>
        <v>0</v>
      </c>
      <c r="L43" s="1050">
        <f t="shared" si="22"/>
        <v>0</v>
      </c>
      <c r="M43" s="1050">
        <f t="shared" si="22"/>
        <v>0</v>
      </c>
      <c r="N43" s="1050">
        <f t="shared" si="22"/>
        <v>0</v>
      </c>
      <c r="O43" s="1050">
        <f t="shared" si="22"/>
        <v>0</v>
      </c>
      <c r="P43" s="1050">
        <f t="shared" si="22"/>
        <v>0</v>
      </c>
      <c r="Q43" s="150" t="s">
        <v>622</v>
      </c>
    </row>
    <row r="44" spans="2:22" hidden="1">
      <c r="B44" s="1070" t="s">
        <v>535</v>
      </c>
      <c r="C44" s="85" t="s">
        <v>36</v>
      </c>
      <c r="D44" s="1050">
        <f>D36*D41</f>
        <v>0</v>
      </c>
      <c r="E44" s="1050">
        <f t="shared" ref="E44:P44" si="23">E36*E41</f>
        <v>0</v>
      </c>
      <c r="F44" s="1050">
        <f t="shared" si="23"/>
        <v>0</v>
      </c>
      <c r="G44" s="1050">
        <f t="shared" si="23"/>
        <v>0</v>
      </c>
      <c r="H44" s="1050">
        <f t="shared" si="23"/>
        <v>0</v>
      </c>
      <c r="I44" s="1050">
        <f t="shared" si="23"/>
        <v>0</v>
      </c>
      <c r="J44" s="1050">
        <f t="shared" si="23"/>
        <v>0</v>
      </c>
      <c r="K44" s="1050">
        <f t="shared" si="23"/>
        <v>0</v>
      </c>
      <c r="L44" s="1050">
        <f t="shared" si="23"/>
        <v>0</v>
      </c>
      <c r="M44" s="1050">
        <f t="shared" si="23"/>
        <v>0</v>
      </c>
      <c r="N44" s="1050">
        <f t="shared" si="23"/>
        <v>0</v>
      </c>
      <c r="O44" s="1050">
        <f t="shared" si="23"/>
        <v>0</v>
      </c>
      <c r="P44" s="1050">
        <f t="shared" si="23"/>
        <v>0</v>
      </c>
      <c r="Q44" s="150" t="s">
        <v>622</v>
      </c>
    </row>
    <row r="45" spans="2:22" ht="26.4" hidden="1">
      <c r="B45" s="1" t="s">
        <v>623</v>
      </c>
      <c r="C45" s="85" t="s">
        <v>36</v>
      </c>
      <c r="D45" s="1061">
        <f>D38+D42</f>
        <v>0</v>
      </c>
      <c r="E45" s="1061">
        <f t="shared" ref="E45:P45" si="24">E38+E42</f>
        <v>0</v>
      </c>
      <c r="F45" s="1061">
        <f t="shared" si="24"/>
        <v>0</v>
      </c>
      <c r="G45" s="1061">
        <f t="shared" si="24"/>
        <v>0</v>
      </c>
      <c r="H45" s="1061">
        <f t="shared" si="24"/>
        <v>0</v>
      </c>
      <c r="I45" s="1061">
        <f t="shared" si="24"/>
        <v>0</v>
      </c>
      <c r="J45" s="1061">
        <f t="shared" si="24"/>
        <v>0</v>
      </c>
      <c r="K45" s="1061">
        <f t="shared" si="24"/>
        <v>0</v>
      </c>
      <c r="L45" s="1061">
        <f t="shared" si="24"/>
        <v>0</v>
      </c>
      <c r="M45" s="1061">
        <f t="shared" si="24"/>
        <v>0</v>
      </c>
      <c r="N45" s="1061">
        <f t="shared" si="24"/>
        <v>0</v>
      </c>
      <c r="O45" s="1061">
        <f t="shared" si="24"/>
        <v>0</v>
      </c>
      <c r="P45" s="1061">
        <f t="shared" si="24"/>
        <v>0</v>
      </c>
      <c r="Q45" s="150" t="s">
        <v>541</v>
      </c>
      <c r="R45" s="1052">
        <v>7319.8803239470981</v>
      </c>
      <c r="S45" s="597">
        <f>D45-R45</f>
        <v>-7319.8803239470981</v>
      </c>
    </row>
    <row r="46" spans="2:22" hidden="1">
      <c r="B46" s="1070" t="s">
        <v>536</v>
      </c>
      <c r="C46" s="85" t="s">
        <v>36</v>
      </c>
      <c r="D46" s="1050">
        <f t="shared" ref="D46:P47" si="25">D39+D43</f>
        <v>0</v>
      </c>
      <c r="E46" s="1050">
        <f t="shared" si="25"/>
        <v>0</v>
      </c>
      <c r="F46" s="1050">
        <f t="shared" si="25"/>
        <v>0</v>
      </c>
      <c r="G46" s="1050">
        <f t="shared" si="25"/>
        <v>0</v>
      </c>
      <c r="H46" s="1050">
        <f t="shared" si="25"/>
        <v>0</v>
      </c>
      <c r="I46" s="1050">
        <f t="shared" si="25"/>
        <v>0</v>
      </c>
      <c r="J46" s="1050">
        <f t="shared" si="25"/>
        <v>0</v>
      </c>
      <c r="K46" s="1050">
        <f t="shared" si="25"/>
        <v>0</v>
      </c>
      <c r="L46" s="1050">
        <f t="shared" si="25"/>
        <v>0</v>
      </c>
      <c r="M46" s="1050">
        <f t="shared" si="25"/>
        <v>0</v>
      </c>
      <c r="N46" s="1050">
        <f t="shared" si="25"/>
        <v>0</v>
      </c>
      <c r="O46" s="1050">
        <f t="shared" si="25"/>
        <v>0</v>
      </c>
      <c r="P46" s="1050">
        <f t="shared" si="25"/>
        <v>0</v>
      </c>
      <c r="Q46" s="150" t="s">
        <v>622</v>
      </c>
    </row>
    <row r="47" spans="2:22" hidden="1">
      <c r="B47" s="1070" t="s">
        <v>535</v>
      </c>
      <c r="C47" s="85" t="s">
        <v>36</v>
      </c>
      <c r="D47" s="1050">
        <f t="shared" si="25"/>
        <v>0</v>
      </c>
      <c r="E47" s="1050">
        <f t="shared" si="25"/>
        <v>0</v>
      </c>
      <c r="F47" s="1050">
        <f t="shared" si="25"/>
        <v>0</v>
      </c>
      <c r="G47" s="1050">
        <f t="shared" si="25"/>
        <v>0</v>
      </c>
      <c r="H47" s="1050">
        <f t="shared" si="25"/>
        <v>0</v>
      </c>
      <c r="I47" s="1050">
        <f t="shared" si="25"/>
        <v>0</v>
      </c>
      <c r="J47" s="1050">
        <f t="shared" si="25"/>
        <v>0</v>
      </c>
      <c r="K47" s="1050">
        <f t="shared" si="25"/>
        <v>0</v>
      </c>
      <c r="L47" s="1050">
        <f t="shared" si="25"/>
        <v>0</v>
      </c>
      <c r="M47" s="1050">
        <f t="shared" si="25"/>
        <v>0</v>
      </c>
      <c r="N47" s="1050">
        <f t="shared" si="25"/>
        <v>0</v>
      </c>
      <c r="O47" s="1050">
        <f t="shared" si="25"/>
        <v>0</v>
      </c>
      <c r="P47" s="1050">
        <f t="shared" si="25"/>
        <v>0</v>
      </c>
      <c r="Q47" s="150" t="s">
        <v>622</v>
      </c>
    </row>
    <row r="48" spans="2:22" ht="26.4" hidden="1">
      <c r="B48" s="1" t="s">
        <v>625</v>
      </c>
      <c r="C48" s="1087" t="s">
        <v>132</v>
      </c>
      <c r="D48" s="1050">
        <f>D49+D50</f>
        <v>0</v>
      </c>
      <c r="E48" s="1054">
        <f>E49+E50</f>
        <v>0</v>
      </c>
      <c r="F48" s="1054">
        <f t="shared" ref="F48:P48" si="26">F49+F50</f>
        <v>0</v>
      </c>
      <c r="G48" s="1054">
        <f t="shared" si="26"/>
        <v>0</v>
      </c>
      <c r="H48" s="1054">
        <f t="shared" si="26"/>
        <v>0</v>
      </c>
      <c r="I48" s="1054">
        <f t="shared" si="26"/>
        <v>0</v>
      </c>
      <c r="J48" s="1054">
        <f t="shared" si="26"/>
        <v>0</v>
      </c>
      <c r="K48" s="1054">
        <f t="shared" si="26"/>
        <v>0</v>
      </c>
      <c r="L48" s="1054">
        <f t="shared" si="26"/>
        <v>0</v>
      </c>
      <c r="M48" s="1054">
        <f t="shared" si="26"/>
        <v>0</v>
      </c>
      <c r="N48" s="1054">
        <f t="shared" si="26"/>
        <v>0</v>
      </c>
      <c r="O48" s="1054">
        <f t="shared" si="26"/>
        <v>0</v>
      </c>
      <c r="P48" s="1054">
        <f t="shared" si="26"/>
        <v>0</v>
      </c>
      <c r="Q48" s="150" t="s">
        <v>541</v>
      </c>
    </row>
    <row r="49" spans="2:17" hidden="1">
      <c r="B49" s="1070" t="s">
        <v>536</v>
      </c>
      <c r="C49" s="1087" t="s">
        <v>132</v>
      </c>
      <c r="D49" s="1050">
        <f>SUM(E49:P49)</f>
        <v>0</v>
      </c>
      <c r="E49" s="1320"/>
      <c r="F49" s="1320"/>
      <c r="G49" s="1320"/>
      <c r="H49" s="1320"/>
      <c r="I49" s="1320"/>
      <c r="J49" s="1320"/>
      <c r="K49" s="1320"/>
      <c r="L49" s="1320"/>
      <c r="M49" s="1320"/>
      <c r="N49" s="1320"/>
      <c r="O49" s="1320"/>
      <c r="P49" s="1320"/>
      <c r="Q49" s="150" t="s">
        <v>622</v>
      </c>
    </row>
    <row r="50" spans="2:17" hidden="1">
      <c r="B50" s="1070" t="s">
        <v>535</v>
      </c>
      <c r="C50" s="1087" t="s">
        <v>132</v>
      </c>
      <c r="D50" s="1050">
        <f>SUM(E50:P50)</f>
        <v>0</v>
      </c>
      <c r="E50" s="1320"/>
      <c r="F50" s="1320"/>
      <c r="G50" s="1320"/>
      <c r="H50" s="1320"/>
      <c r="I50" s="1320"/>
      <c r="J50" s="1320"/>
      <c r="K50" s="1320"/>
      <c r="L50" s="1320"/>
      <c r="M50" s="1320"/>
      <c r="N50" s="1320"/>
      <c r="O50" s="1320"/>
      <c r="P50" s="1320"/>
      <c r="Q50" s="150" t="s">
        <v>622</v>
      </c>
    </row>
    <row r="51" spans="2:17" ht="39.6" hidden="1">
      <c r="B51" s="1" t="str">
        <f>'Вхідні дані'!$B$32</f>
        <v>Тариф для розрахунку плати за перетікання реактивної електроенергії, без ПДВ</v>
      </c>
      <c r="C51" s="1087" t="s">
        <v>596</v>
      </c>
      <c r="D51" s="1062">
        <f>'Вхідні дані'!$D$32</f>
        <v>9.9999999999999992E-2</v>
      </c>
      <c r="E51" s="1062">
        <f>D51</f>
        <v>9.9999999999999992E-2</v>
      </c>
      <c r="F51" s="1062">
        <f t="shared" ref="F51:P51" si="27">E51</f>
        <v>9.9999999999999992E-2</v>
      </c>
      <c r="G51" s="1062">
        <f t="shared" si="27"/>
        <v>9.9999999999999992E-2</v>
      </c>
      <c r="H51" s="1062">
        <f t="shared" si="27"/>
        <v>9.9999999999999992E-2</v>
      </c>
      <c r="I51" s="1062">
        <f t="shared" si="27"/>
        <v>9.9999999999999992E-2</v>
      </c>
      <c r="J51" s="1062">
        <f t="shared" si="27"/>
        <v>9.9999999999999992E-2</v>
      </c>
      <c r="K51" s="1062">
        <f t="shared" si="27"/>
        <v>9.9999999999999992E-2</v>
      </c>
      <c r="L51" s="1062">
        <f t="shared" si="27"/>
        <v>9.9999999999999992E-2</v>
      </c>
      <c r="M51" s="1062">
        <f t="shared" si="27"/>
        <v>9.9999999999999992E-2</v>
      </c>
      <c r="N51" s="1062">
        <f t="shared" si="27"/>
        <v>9.9999999999999992E-2</v>
      </c>
      <c r="O51" s="1062">
        <f t="shared" si="27"/>
        <v>9.9999999999999992E-2</v>
      </c>
      <c r="P51" s="1062">
        <f t="shared" si="27"/>
        <v>9.9999999999999992E-2</v>
      </c>
      <c r="Q51" s="150" t="s">
        <v>541</v>
      </c>
    </row>
    <row r="52" spans="2:17" ht="39.6" hidden="1">
      <c r="B52" s="1" t="s">
        <v>624</v>
      </c>
      <c r="C52" s="85" t="s">
        <v>36</v>
      </c>
      <c r="D52" s="1050">
        <f t="shared" ref="D52:D57" si="28">SUM(E52:P52)</f>
        <v>0</v>
      </c>
      <c r="E52" s="595">
        <f t="shared" ref="E52:P52" si="29">E48*E51</f>
        <v>0</v>
      </c>
      <c r="F52" s="595">
        <f t="shared" si="29"/>
        <v>0</v>
      </c>
      <c r="G52" s="595">
        <f t="shared" si="29"/>
        <v>0</v>
      </c>
      <c r="H52" s="595">
        <f t="shared" si="29"/>
        <v>0</v>
      </c>
      <c r="I52" s="595">
        <f t="shared" si="29"/>
        <v>0</v>
      </c>
      <c r="J52" s="595">
        <f t="shared" si="29"/>
        <v>0</v>
      </c>
      <c r="K52" s="595">
        <f t="shared" si="29"/>
        <v>0</v>
      </c>
      <c r="L52" s="595">
        <f t="shared" si="29"/>
        <v>0</v>
      </c>
      <c r="M52" s="595">
        <f t="shared" si="29"/>
        <v>0</v>
      </c>
      <c r="N52" s="595">
        <f t="shared" si="29"/>
        <v>0</v>
      </c>
      <c r="O52" s="595">
        <f t="shared" si="29"/>
        <v>0</v>
      </c>
      <c r="P52" s="595">
        <f t="shared" si="29"/>
        <v>0</v>
      </c>
      <c r="Q52" s="150" t="s">
        <v>541</v>
      </c>
    </row>
    <row r="53" spans="2:17" hidden="1">
      <c r="B53" s="1070" t="s">
        <v>536</v>
      </c>
      <c r="C53" s="85" t="s">
        <v>36</v>
      </c>
      <c r="D53" s="1050">
        <f t="shared" si="28"/>
        <v>0</v>
      </c>
      <c r="E53" s="1050">
        <f t="shared" ref="E53:P53" si="30">E49*E51</f>
        <v>0</v>
      </c>
      <c r="F53" s="1050">
        <f t="shared" si="30"/>
        <v>0</v>
      </c>
      <c r="G53" s="1050">
        <f t="shared" si="30"/>
        <v>0</v>
      </c>
      <c r="H53" s="1050">
        <f t="shared" si="30"/>
        <v>0</v>
      </c>
      <c r="I53" s="1050">
        <f t="shared" si="30"/>
        <v>0</v>
      </c>
      <c r="J53" s="1050">
        <f t="shared" si="30"/>
        <v>0</v>
      </c>
      <c r="K53" s="1050">
        <f t="shared" si="30"/>
        <v>0</v>
      </c>
      <c r="L53" s="1050">
        <f t="shared" si="30"/>
        <v>0</v>
      </c>
      <c r="M53" s="1050">
        <f t="shared" si="30"/>
        <v>0</v>
      </c>
      <c r="N53" s="1050">
        <f t="shared" si="30"/>
        <v>0</v>
      </c>
      <c r="O53" s="1050">
        <f t="shared" si="30"/>
        <v>0</v>
      </c>
      <c r="P53" s="1050">
        <f t="shared" si="30"/>
        <v>0</v>
      </c>
      <c r="Q53" s="150" t="s">
        <v>622</v>
      </c>
    </row>
    <row r="54" spans="2:17" hidden="1">
      <c r="B54" s="1070" t="s">
        <v>535</v>
      </c>
      <c r="C54" s="85" t="s">
        <v>36</v>
      </c>
      <c r="D54" s="1050">
        <f t="shared" si="28"/>
        <v>0</v>
      </c>
      <c r="E54" s="1050">
        <f t="shared" ref="E54:P54" si="31">E50*E51</f>
        <v>0</v>
      </c>
      <c r="F54" s="1050">
        <f t="shared" si="31"/>
        <v>0</v>
      </c>
      <c r="G54" s="1050">
        <f t="shared" si="31"/>
        <v>0</v>
      </c>
      <c r="H54" s="1050">
        <f t="shared" si="31"/>
        <v>0</v>
      </c>
      <c r="I54" s="1050">
        <f t="shared" si="31"/>
        <v>0</v>
      </c>
      <c r="J54" s="1050">
        <f t="shared" si="31"/>
        <v>0</v>
      </c>
      <c r="K54" s="1050">
        <f t="shared" si="31"/>
        <v>0</v>
      </c>
      <c r="L54" s="1050">
        <f t="shared" si="31"/>
        <v>0</v>
      </c>
      <c r="M54" s="1050">
        <f t="shared" si="31"/>
        <v>0</v>
      </c>
      <c r="N54" s="1050">
        <f t="shared" si="31"/>
        <v>0</v>
      </c>
      <c r="O54" s="1050">
        <f t="shared" si="31"/>
        <v>0</v>
      </c>
      <c r="P54" s="1050">
        <f t="shared" si="31"/>
        <v>0</v>
      </c>
      <c r="Q54" s="150" t="s">
        <v>622</v>
      </c>
    </row>
    <row r="55" spans="2:17" ht="26.4" hidden="1">
      <c r="B55" s="1" t="s">
        <v>626</v>
      </c>
      <c r="C55" s="1087" t="s">
        <v>132</v>
      </c>
      <c r="D55" s="1050">
        <f t="shared" si="28"/>
        <v>0</v>
      </c>
      <c r="E55" s="1054">
        <f>E56+E57</f>
        <v>0</v>
      </c>
      <c r="F55" s="1054">
        <f t="shared" ref="F55:P55" si="32">F56+F57</f>
        <v>0</v>
      </c>
      <c r="G55" s="1054">
        <f t="shared" si="32"/>
        <v>0</v>
      </c>
      <c r="H55" s="1054">
        <f t="shared" si="32"/>
        <v>0</v>
      </c>
      <c r="I55" s="1054">
        <f t="shared" si="32"/>
        <v>0</v>
      </c>
      <c r="J55" s="1054">
        <f t="shared" si="32"/>
        <v>0</v>
      </c>
      <c r="K55" s="1054">
        <f t="shared" si="32"/>
        <v>0</v>
      </c>
      <c r="L55" s="1054">
        <f t="shared" si="32"/>
        <v>0</v>
      </c>
      <c r="M55" s="1054">
        <f t="shared" si="32"/>
        <v>0</v>
      </c>
      <c r="N55" s="1054">
        <f t="shared" si="32"/>
        <v>0</v>
      </c>
      <c r="O55" s="1054">
        <f t="shared" si="32"/>
        <v>0</v>
      </c>
      <c r="P55" s="1054">
        <f t="shared" si="32"/>
        <v>0</v>
      </c>
      <c r="Q55" s="150" t="s">
        <v>541</v>
      </c>
    </row>
    <row r="56" spans="2:17" hidden="1">
      <c r="B56" s="1070" t="s">
        <v>536</v>
      </c>
      <c r="C56" s="1087" t="s">
        <v>132</v>
      </c>
      <c r="D56" s="1050">
        <f t="shared" si="28"/>
        <v>0</v>
      </c>
      <c r="E56" s="1320"/>
      <c r="F56" s="1320"/>
      <c r="G56" s="1320"/>
      <c r="H56" s="1320"/>
      <c r="I56" s="1320"/>
      <c r="J56" s="1320"/>
      <c r="K56" s="1320"/>
      <c r="L56" s="1320"/>
      <c r="M56" s="1320"/>
      <c r="N56" s="1320"/>
      <c r="O56" s="1320"/>
      <c r="P56" s="1320"/>
      <c r="Q56" s="150" t="s">
        <v>622</v>
      </c>
    </row>
    <row r="57" spans="2:17" hidden="1">
      <c r="B57" s="1070" t="s">
        <v>535</v>
      </c>
      <c r="C57" s="1087" t="s">
        <v>132</v>
      </c>
      <c r="D57" s="1050">
        <f t="shared" si="28"/>
        <v>0</v>
      </c>
      <c r="E57" s="1320"/>
      <c r="F57" s="1320"/>
      <c r="G57" s="1320"/>
      <c r="H57" s="1320"/>
      <c r="I57" s="1320"/>
      <c r="J57" s="1320"/>
      <c r="K57" s="1320"/>
      <c r="L57" s="1320"/>
      <c r="M57" s="1320"/>
      <c r="N57" s="1320"/>
      <c r="O57" s="1320"/>
      <c r="P57" s="1320"/>
      <c r="Q57" s="150" t="s">
        <v>622</v>
      </c>
    </row>
    <row r="58" spans="2:17" ht="39.6" hidden="1">
      <c r="B58" s="1" t="str">
        <f>'Вхідні дані'!$B$34</f>
        <v>Тариф для розрахунку плати за генерацію реактивної електроенергії, без ПДВ</v>
      </c>
      <c r="C58" s="1087" t="s">
        <v>596</v>
      </c>
      <c r="D58" s="1062">
        <f>'Вхідні дані'!$D$34</f>
        <v>0</v>
      </c>
      <c r="E58" s="1062">
        <f t="shared" ref="E58:P58" si="33">D58</f>
        <v>0</v>
      </c>
      <c r="F58" s="1062">
        <f t="shared" si="33"/>
        <v>0</v>
      </c>
      <c r="G58" s="1062">
        <f t="shared" si="33"/>
        <v>0</v>
      </c>
      <c r="H58" s="1062">
        <f t="shared" si="33"/>
        <v>0</v>
      </c>
      <c r="I58" s="1062">
        <f t="shared" si="33"/>
        <v>0</v>
      </c>
      <c r="J58" s="1062">
        <f t="shared" si="33"/>
        <v>0</v>
      </c>
      <c r="K58" s="1062">
        <f t="shared" si="33"/>
        <v>0</v>
      </c>
      <c r="L58" s="1062">
        <f t="shared" si="33"/>
        <v>0</v>
      </c>
      <c r="M58" s="1062">
        <f t="shared" si="33"/>
        <v>0</v>
      </c>
      <c r="N58" s="1062">
        <f t="shared" si="33"/>
        <v>0</v>
      </c>
      <c r="O58" s="1062">
        <f t="shared" si="33"/>
        <v>0</v>
      </c>
      <c r="P58" s="1062">
        <f t="shared" si="33"/>
        <v>0</v>
      </c>
      <c r="Q58" s="150" t="s">
        <v>541</v>
      </c>
    </row>
    <row r="59" spans="2:17" ht="39.6" hidden="1">
      <c r="B59" s="1" t="s">
        <v>627</v>
      </c>
      <c r="C59" s="85" t="s">
        <v>36</v>
      </c>
      <c r="D59" s="595">
        <f>D55*D58</f>
        <v>0</v>
      </c>
      <c r="E59" s="595">
        <f t="shared" ref="E59:P59" si="34">E55*E58</f>
        <v>0</v>
      </c>
      <c r="F59" s="595">
        <f t="shared" si="34"/>
        <v>0</v>
      </c>
      <c r="G59" s="595">
        <f t="shared" si="34"/>
        <v>0</v>
      </c>
      <c r="H59" s="595">
        <f t="shared" si="34"/>
        <v>0</v>
      </c>
      <c r="I59" s="595">
        <f t="shared" si="34"/>
        <v>0</v>
      </c>
      <c r="J59" s="595">
        <f t="shared" si="34"/>
        <v>0</v>
      </c>
      <c r="K59" s="595">
        <f t="shared" si="34"/>
        <v>0</v>
      </c>
      <c r="L59" s="595">
        <f t="shared" si="34"/>
        <v>0</v>
      </c>
      <c r="M59" s="595">
        <f t="shared" si="34"/>
        <v>0</v>
      </c>
      <c r="N59" s="595">
        <f t="shared" si="34"/>
        <v>0</v>
      </c>
      <c r="O59" s="595">
        <f t="shared" si="34"/>
        <v>0</v>
      </c>
      <c r="P59" s="595">
        <f t="shared" si="34"/>
        <v>0</v>
      </c>
    </row>
    <row r="60" spans="2:17" hidden="1">
      <c r="B60" s="1070" t="s">
        <v>536</v>
      </c>
      <c r="C60" s="85" t="s">
        <v>36</v>
      </c>
      <c r="D60" s="1050">
        <f>D56*D58</f>
        <v>0</v>
      </c>
      <c r="E60" s="1050">
        <f t="shared" ref="E60:O60" si="35">E56*E58</f>
        <v>0</v>
      </c>
      <c r="F60" s="1050">
        <f t="shared" si="35"/>
        <v>0</v>
      </c>
      <c r="G60" s="1050">
        <f t="shared" si="35"/>
        <v>0</v>
      </c>
      <c r="H60" s="1050">
        <f t="shared" si="35"/>
        <v>0</v>
      </c>
      <c r="I60" s="1050">
        <f t="shared" si="35"/>
        <v>0</v>
      </c>
      <c r="J60" s="1050">
        <f t="shared" si="35"/>
        <v>0</v>
      </c>
      <c r="K60" s="1050">
        <f t="shared" si="35"/>
        <v>0</v>
      </c>
      <c r="L60" s="1050">
        <f t="shared" si="35"/>
        <v>0</v>
      </c>
      <c r="M60" s="1050">
        <f t="shared" si="35"/>
        <v>0</v>
      </c>
      <c r="N60" s="1050">
        <f t="shared" si="35"/>
        <v>0</v>
      </c>
      <c r="O60" s="1050">
        <f t="shared" si="35"/>
        <v>0</v>
      </c>
      <c r="P60" s="1050">
        <f>P56*P58</f>
        <v>0</v>
      </c>
    </row>
    <row r="61" spans="2:17" hidden="1">
      <c r="B61" s="1070" t="s">
        <v>535</v>
      </c>
      <c r="C61" s="85" t="s">
        <v>36</v>
      </c>
      <c r="D61" s="1050">
        <f>D57*D58</f>
        <v>0</v>
      </c>
      <c r="E61" s="1050">
        <f t="shared" ref="E61:P61" si="36">E57*E58</f>
        <v>0</v>
      </c>
      <c r="F61" s="1050">
        <f t="shared" si="36"/>
        <v>0</v>
      </c>
      <c r="G61" s="1050">
        <f t="shared" si="36"/>
        <v>0</v>
      </c>
      <c r="H61" s="1050">
        <f t="shared" si="36"/>
        <v>0</v>
      </c>
      <c r="I61" s="1050">
        <f t="shared" si="36"/>
        <v>0</v>
      </c>
      <c r="J61" s="1050">
        <f t="shared" si="36"/>
        <v>0</v>
      </c>
      <c r="K61" s="1050">
        <f t="shared" si="36"/>
        <v>0</v>
      </c>
      <c r="L61" s="1050">
        <f t="shared" si="36"/>
        <v>0</v>
      </c>
      <c r="M61" s="1050">
        <f t="shared" si="36"/>
        <v>0</v>
      </c>
      <c r="N61" s="1050">
        <f t="shared" si="36"/>
        <v>0</v>
      </c>
      <c r="O61" s="1050">
        <f t="shared" si="36"/>
        <v>0</v>
      </c>
      <c r="P61" s="1050">
        <f t="shared" si="36"/>
        <v>0</v>
      </c>
    </row>
    <row r="62" spans="2:17" ht="26.4" hidden="1">
      <c r="B62" s="1" t="s">
        <v>630</v>
      </c>
      <c r="C62" s="85" t="s">
        <v>36</v>
      </c>
      <c r="D62" s="1061">
        <f>D52+D59</f>
        <v>0</v>
      </c>
      <c r="E62" s="1061">
        <f t="shared" ref="E62:P62" si="37">E52+E59</f>
        <v>0</v>
      </c>
      <c r="F62" s="1061">
        <f t="shared" si="37"/>
        <v>0</v>
      </c>
      <c r="G62" s="1061">
        <f t="shared" si="37"/>
        <v>0</v>
      </c>
      <c r="H62" s="1061">
        <f t="shared" si="37"/>
        <v>0</v>
      </c>
      <c r="I62" s="1061">
        <f t="shared" si="37"/>
        <v>0</v>
      </c>
      <c r="J62" s="1061">
        <f t="shared" si="37"/>
        <v>0</v>
      </c>
      <c r="K62" s="1061">
        <f t="shared" si="37"/>
        <v>0</v>
      </c>
      <c r="L62" s="1061">
        <f t="shared" si="37"/>
        <v>0</v>
      </c>
      <c r="M62" s="1061">
        <f t="shared" si="37"/>
        <v>0</v>
      </c>
      <c r="N62" s="1061">
        <f t="shared" si="37"/>
        <v>0</v>
      </c>
      <c r="O62" s="1061">
        <f t="shared" si="37"/>
        <v>0</v>
      </c>
      <c r="P62" s="1061">
        <f t="shared" si="37"/>
        <v>0</v>
      </c>
    </row>
    <row r="63" spans="2:17" hidden="1">
      <c r="B63" s="1070" t="s">
        <v>536</v>
      </c>
      <c r="C63" s="85" t="s">
        <v>36</v>
      </c>
      <c r="D63" s="1050">
        <f>D53+D60</f>
        <v>0</v>
      </c>
      <c r="E63" s="1050">
        <f t="shared" ref="E63:P64" si="38">E53+E60</f>
        <v>0</v>
      </c>
      <c r="F63" s="1050">
        <f t="shared" si="38"/>
        <v>0</v>
      </c>
      <c r="G63" s="1050">
        <f t="shared" si="38"/>
        <v>0</v>
      </c>
      <c r="H63" s="1050">
        <f t="shared" si="38"/>
        <v>0</v>
      </c>
      <c r="I63" s="1050">
        <f t="shared" si="38"/>
        <v>0</v>
      </c>
      <c r="J63" s="1050">
        <f t="shared" si="38"/>
        <v>0</v>
      </c>
      <c r="K63" s="1050">
        <f t="shared" si="38"/>
        <v>0</v>
      </c>
      <c r="L63" s="1050">
        <f t="shared" si="38"/>
        <v>0</v>
      </c>
      <c r="M63" s="1050">
        <f t="shared" si="38"/>
        <v>0</v>
      </c>
      <c r="N63" s="1050">
        <f t="shared" si="38"/>
        <v>0</v>
      </c>
      <c r="O63" s="1050">
        <f t="shared" si="38"/>
        <v>0</v>
      </c>
      <c r="P63" s="1050">
        <f t="shared" si="38"/>
        <v>0</v>
      </c>
    </row>
    <row r="64" spans="2:17" hidden="1">
      <c r="B64" s="1070" t="s">
        <v>535</v>
      </c>
      <c r="C64" s="85" t="s">
        <v>36</v>
      </c>
      <c r="D64" s="1050">
        <f>D54+D61</f>
        <v>0</v>
      </c>
      <c r="E64" s="1050">
        <f t="shared" si="38"/>
        <v>0</v>
      </c>
      <c r="F64" s="1050">
        <f t="shared" si="38"/>
        <v>0</v>
      </c>
      <c r="G64" s="1050">
        <f t="shared" si="38"/>
        <v>0</v>
      </c>
      <c r="H64" s="1050">
        <f t="shared" si="38"/>
        <v>0</v>
      </c>
      <c r="I64" s="1050">
        <f t="shared" si="38"/>
        <v>0</v>
      </c>
      <c r="J64" s="1050">
        <f t="shared" si="38"/>
        <v>0</v>
      </c>
      <c r="K64" s="1050">
        <f t="shared" si="38"/>
        <v>0</v>
      </c>
      <c r="L64" s="1050">
        <f t="shared" si="38"/>
        <v>0</v>
      </c>
      <c r="M64" s="1050">
        <f t="shared" si="38"/>
        <v>0</v>
      </c>
      <c r="N64" s="1050">
        <f t="shared" si="38"/>
        <v>0</v>
      </c>
      <c r="O64" s="1050">
        <f t="shared" si="38"/>
        <v>0</v>
      </c>
      <c r="P64" s="1050">
        <f t="shared" si="38"/>
        <v>0</v>
      </c>
    </row>
    <row r="65" spans="2:22" ht="39.6" hidden="1">
      <c r="B65" s="1" t="s">
        <v>628</v>
      </c>
      <c r="C65" s="85" t="s">
        <v>36</v>
      </c>
      <c r="D65" s="1065">
        <f>D62+D45</f>
        <v>0</v>
      </c>
      <c r="E65" s="1065">
        <f t="shared" ref="E65:P65" si="39">E62+E45</f>
        <v>0</v>
      </c>
      <c r="F65" s="1065">
        <f t="shared" si="39"/>
        <v>0</v>
      </c>
      <c r="G65" s="1065">
        <f t="shared" si="39"/>
        <v>0</v>
      </c>
      <c r="H65" s="1065">
        <f t="shared" si="39"/>
        <v>0</v>
      </c>
      <c r="I65" s="1065">
        <f t="shared" si="39"/>
        <v>0</v>
      </c>
      <c r="J65" s="1065">
        <f t="shared" si="39"/>
        <v>0</v>
      </c>
      <c r="K65" s="1065">
        <f t="shared" si="39"/>
        <v>0</v>
      </c>
      <c r="L65" s="1065">
        <f t="shared" si="39"/>
        <v>0</v>
      </c>
      <c r="M65" s="1065">
        <f t="shared" si="39"/>
        <v>0</v>
      </c>
      <c r="N65" s="1065">
        <f t="shared" si="39"/>
        <v>0</v>
      </c>
      <c r="O65" s="1065">
        <f t="shared" si="39"/>
        <v>0</v>
      </c>
      <c r="P65" s="1065">
        <f t="shared" si="39"/>
        <v>0</v>
      </c>
      <c r="R65" s="1064">
        <f>Q65-D65</f>
        <v>0</v>
      </c>
      <c r="S65" s="598" t="e">
        <f>D65/D28*1000</f>
        <v>#DIV/0!</v>
      </c>
    </row>
    <row r="66" spans="2:22" hidden="1">
      <c r="B66" s="1070" t="s">
        <v>536</v>
      </c>
      <c r="C66" s="85" t="s">
        <v>36</v>
      </c>
      <c r="D66" s="1071">
        <f t="shared" ref="D66:P67" si="40">D63+D46</f>
        <v>0</v>
      </c>
      <c r="E66" s="1071">
        <f t="shared" si="40"/>
        <v>0</v>
      </c>
      <c r="F66" s="1071">
        <f t="shared" si="40"/>
        <v>0</v>
      </c>
      <c r="G66" s="1071">
        <f t="shared" si="40"/>
        <v>0</v>
      </c>
      <c r="H66" s="1071">
        <f t="shared" si="40"/>
        <v>0</v>
      </c>
      <c r="I66" s="1071">
        <f t="shared" si="40"/>
        <v>0</v>
      </c>
      <c r="J66" s="1071">
        <f t="shared" si="40"/>
        <v>0</v>
      </c>
      <c r="K66" s="1071">
        <f t="shared" si="40"/>
        <v>0</v>
      </c>
      <c r="L66" s="1071">
        <f t="shared" si="40"/>
        <v>0</v>
      </c>
      <c r="M66" s="1071">
        <f t="shared" si="40"/>
        <v>0</v>
      </c>
      <c r="N66" s="1071">
        <f t="shared" si="40"/>
        <v>0</v>
      </c>
      <c r="O66" s="1071">
        <f t="shared" si="40"/>
        <v>0</v>
      </c>
      <c r="P66" s="1071">
        <f t="shared" si="40"/>
        <v>0</v>
      </c>
      <c r="R66" s="1064">
        <f>Q66-D66</f>
        <v>0</v>
      </c>
      <c r="S66" s="598" t="e">
        <f>D66/D29*1000</f>
        <v>#DIV/0!</v>
      </c>
    </row>
    <row r="67" spans="2:22" hidden="1">
      <c r="B67" s="1070" t="s">
        <v>535</v>
      </c>
      <c r="C67" s="85" t="s">
        <v>36</v>
      </c>
      <c r="D67" s="1071">
        <f>D64+D47</f>
        <v>0</v>
      </c>
      <c r="E67" s="1071">
        <f t="shared" si="40"/>
        <v>0</v>
      </c>
      <c r="F67" s="1071">
        <f t="shared" si="40"/>
        <v>0</v>
      </c>
      <c r="G67" s="1071">
        <f t="shared" si="40"/>
        <v>0</v>
      </c>
      <c r="H67" s="1071">
        <f t="shared" si="40"/>
        <v>0</v>
      </c>
      <c r="I67" s="1071">
        <f t="shared" si="40"/>
        <v>0</v>
      </c>
      <c r="J67" s="1071">
        <f t="shared" si="40"/>
        <v>0</v>
      </c>
      <c r="K67" s="1071">
        <f t="shared" si="40"/>
        <v>0</v>
      </c>
      <c r="L67" s="1071">
        <f t="shared" si="40"/>
        <v>0</v>
      </c>
      <c r="M67" s="1071">
        <f t="shared" si="40"/>
        <v>0</v>
      </c>
      <c r="N67" s="1071">
        <f t="shared" si="40"/>
        <v>0</v>
      </c>
      <c r="O67" s="1071">
        <f t="shared" si="40"/>
        <v>0</v>
      </c>
      <c r="P67" s="1071">
        <f t="shared" si="40"/>
        <v>0</v>
      </c>
      <c r="R67" s="1064">
        <f>Q67-D67</f>
        <v>0</v>
      </c>
      <c r="S67" s="598" t="e">
        <f>D67/D30*1000</f>
        <v>#DIV/0!</v>
      </c>
    </row>
    <row r="68" spans="2:22">
      <c r="B68" s="2770" t="s">
        <v>257</v>
      </c>
      <c r="C68" s="2771"/>
      <c r="D68" s="2771"/>
      <c r="E68" s="2771"/>
      <c r="F68" s="2771"/>
      <c r="G68" s="2771"/>
      <c r="H68" s="2771"/>
      <c r="I68" s="2771"/>
      <c r="J68" s="2771"/>
      <c r="K68" s="2771"/>
      <c r="L68" s="2771"/>
      <c r="M68" s="2771"/>
      <c r="N68" s="2771"/>
      <c r="O68" s="2771"/>
      <c r="P68" s="2772"/>
    </row>
    <row r="69" spans="2:22">
      <c r="B69" s="1" t="s">
        <v>1523</v>
      </c>
      <c r="C69" s="85" t="s">
        <v>175</v>
      </c>
      <c r="D69" s="1071">
        <f>D11</f>
        <v>8535.7796400000007</v>
      </c>
      <c r="E69" s="1071">
        <f t="shared" ref="E69:P69" si="41">E11</f>
        <v>112.2876</v>
      </c>
      <c r="F69" s="1071">
        <f t="shared" si="41"/>
        <v>1230.1056000000001</v>
      </c>
      <c r="G69" s="1071">
        <f t="shared" si="41"/>
        <v>1762.4095200000002</v>
      </c>
      <c r="H69" s="1071">
        <f t="shared" si="41"/>
        <v>2012.2410000000002</v>
      </c>
      <c r="I69" s="1071">
        <f t="shared" si="41"/>
        <v>1814.9452799999997</v>
      </c>
      <c r="J69" s="1071">
        <f t="shared" si="41"/>
        <v>1574.2519199999999</v>
      </c>
      <c r="K69" s="1071">
        <f t="shared" si="41"/>
        <v>29.538719999999998</v>
      </c>
      <c r="L69" s="1071">
        <f t="shared" si="41"/>
        <v>0</v>
      </c>
      <c r="M69" s="1071">
        <f t="shared" si="41"/>
        <v>0</v>
      </c>
      <c r="N69" s="1071">
        <f t="shared" si="41"/>
        <v>0</v>
      </c>
      <c r="O69" s="1071">
        <f t="shared" si="41"/>
        <v>0</v>
      </c>
      <c r="P69" s="1071">
        <f t="shared" si="41"/>
        <v>0</v>
      </c>
    </row>
    <row r="70" spans="2:22" ht="26.4">
      <c r="B70" s="1" t="s">
        <v>258</v>
      </c>
      <c r="C70" s="85" t="s">
        <v>176</v>
      </c>
      <c r="D70" s="1073">
        <f>D71/D69*1000</f>
        <v>0</v>
      </c>
      <c r="E70" s="1073">
        <f>IF(E69=0,0,E71/E69*1000)</f>
        <v>0</v>
      </c>
      <c r="F70" s="1073">
        <f t="shared" ref="F70:K70" si="42">F71/F69*1000</f>
        <v>0</v>
      </c>
      <c r="G70" s="1073">
        <f t="shared" si="42"/>
        <v>0</v>
      </c>
      <c r="H70" s="1073">
        <f t="shared" si="42"/>
        <v>0</v>
      </c>
      <c r="I70" s="1073">
        <f t="shared" si="42"/>
        <v>0</v>
      </c>
      <c r="J70" s="1073">
        <f t="shared" si="42"/>
        <v>0</v>
      </c>
      <c r="K70" s="1073">
        <f t="shared" si="42"/>
        <v>0</v>
      </c>
      <c r="L70" s="1073">
        <v>0</v>
      </c>
      <c r="M70" s="1073">
        <v>0</v>
      </c>
      <c r="N70" s="1073">
        <v>0</v>
      </c>
      <c r="O70" s="1073">
        <v>0</v>
      </c>
      <c r="P70" s="1073">
        <v>0</v>
      </c>
      <c r="Q70" s="598" t="s">
        <v>1520</v>
      </c>
    </row>
    <row r="71" spans="2:22" ht="26.4">
      <c r="B71" s="1" t="s">
        <v>177</v>
      </c>
      <c r="C71" s="85" t="s">
        <v>178</v>
      </c>
      <c r="D71" s="1033">
        <f>SUM(E71:P71)</f>
        <v>0</v>
      </c>
      <c r="E71" s="1320"/>
      <c r="F71" s="1320"/>
      <c r="G71" s="1320"/>
      <c r="H71" s="1320"/>
      <c r="I71" s="1320"/>
      <c r="J71" s="1320"/>
      <c r="K71" s="1320"/>
      <c r="L71" s="1320"/>
      <c r="M71" s="1320"/>
      <c r="N71" s="1320"/>
      <c r="O71" s="1320"/>
      <c r="P71" s="1320"/>
      <c r="Q71" s="1074" t="e">
        <f>#REF!-D71</f>
        <v>#REF!</v>
      </c>
    </row>
    <row r="72" spans="2:22" ht="26.4">
      <c r="B72" s="1057" t="str">
        <f>'Вхідні дані'!$B$28</f>
        <v>Тариф на електричну енергію, без ПДВ</v>
      </c>
      <c r="C72" s="85" t="s">
        <v>594</v>
      </c>
      <c r="D72" s="1058">
        <f>'Вхідні дані'!$D$28</f>
        <v>2.1999999999999997</v>
      </c>
      <c r="E72" s="1058">
        <f t="shared" ref="E72:P72" si="43">D72</f>
        <v>2.1999999999999997</v>
      </c>
      <c r="F72" s="1058">
        <f t="shared" si="43"/>
        <v>2.1999999999999997</v>
      </c>
      <c r="G72" s="1058">
        <f t="shared" si="43"/>
        <v>2.1999999999999997</v>
      </c>
      <c r="H72" s="1058">
        <f t="shared" si="43"/>
        <v>2.1999999999999997</v>
      </c>
      <c r="I72" s="1058">
        <f t="shared" si="43"/>
        <v>2.1999999999999997</v>
      </c>
      <c r="J72" s="1058">
        <f t="shared" si="43"/>
        <v>2.1999999999999997</v>
      </c>
      <c r="K72" s="1058">
        <f t="shared" si="43"/>
        <v>2.1999999999999997</v>
      </c>
      <c r="L72" s="1058">
        <f t="shared" si="43"/>
        <v>2.1999999999999997</v>
      </c>
      <c r="M72" s="1058">
        <f t="shared" si="43"/>
        <v>2.1999999999999997</v>
      </c>
      <c r="N72" s="1058">
        <f t="shared" si="43"/>
        <v>2.1999999999999997</v>
      </c>
      <c r="O72" s="1058">
        <f t="shared" si="43"/>
        <v>2.1999999999999997</v>
      </c>
      <c r="P72" s="1058">
        <f t="shared" si="43"/>
        <v>2.1999999999999997</v>
      </c>
      <c r="Q72" s="150" t="s">
        <v>541</v>
      </c>
    </row>
    <row r="73" spans="2:22">
      <c r="B73" s="1057" t="s">
        <v>593</v>
      </c>
      <c r="C73" s="85" t="s">
        <v>36</v>
      </c>
      <c r="D73" s="1059">
        <f>D71*D72</f>
        <v>0</v>
      </c>
      <c r="E73" s="1059">
        <f t="shared" ref="E73:P73" si="44">E71*E72</f>
        <v>0</v>
      </c>
      <c r="F73" s="1059">
        <f t="shared" si="44"/>
        <v>0</v>
      </c>
      <c r="G73" s="1059">
        <f t="shared" si="44"/>
        <v>0</v>
      </c>
      <c r="H73" s="1059">
        <f t="shared" si="44"/>
        <v>0</v>
      </c>
      <c r="I73" s="1059">
        <f t="shared" si="44"/>
        <v>0</v>
      </c>
      <c r="J73" s="1059">
        <f t="shared" si="44"/>
        <v>0</v>
      </c>
      <c r="K73" s="1059">
        <f t="shared" si="44"/>
        <v>0</v>
      </c>
      <c r="L73" s="1059">
        <f t="shared" si="44"/>
        <v>0</v>
      </c>
      <c r="M73" s="1059">
        <f t="shared" si="44"/>
        <v>0</v>
      </c>
      <c r="N73" s="1059">
        <f t="shared" si="44"/>
        <v>0</v>
      </c>
      <c r="O73" s="1059">
        <f t="shared" si="44"/>
        <v>0</v>
      </c>
      <c r="P73" s="1059">
        <f t="shared" si="44"/>
        <v>0</v>
      </c>
      <c r="Q73" s="150" t="s">
        <v>541</v>
      </c>
    </row>
    <row r="74" spans="2:22" ht="26.4">
      <c r="B74" s="1057" t="str">
        <f>'Вхідні дані'!$B$30</f>
        <v>Тариф на послуги з розподілу електричної енергії, без ПДВ</v>
      </c>
      <c r="C74" s="85" t="s">
        <v>594</v>
      </c>
      <c r="D74" s="1060">
        <f>'Вхідні дані'!$D$30</f>
        <v>1.1399999999999999</v>
      </c>
      <c r="E74" s="1060">
        <f t="shared" ref="E74:P74" si="45">D74</f>
        <v>1.1399999999999999</v>
      </c>
      <c r="F74" s="1060">
        <f t="shared" si="45"/>
        <v>1.1399999999999999</v>
      </c>
      <c r="G74" s="1060">
        <f t="shared" si="45"/>
        <v>1.1399999999999999</v>
      </c>
      <c r="H74" s="1060">
        <f t="shared" si="45"/>
        <v>1.1399999999999999</v>
      </c>
      <c r="I74" s="1060">
        <f t="shared" si="45"/>
        <v>1.1399999999999999</v>
      </c>
      <c r="J74" s="1060">
        <f t="shared" si="45"/>
        <v>1.1399999999999999</v>
      </c>
      <c r="K74" s="1060">
        <f t="shared" si="45"/>
        <v>1.1399999999999999</v>
      </c>
      <c r="L74" s="1060">
        <f t="shared" si="45"/>
        <v>1.1399999999999999</v>
      </c>
      <c r="M74" s="1060">
        <f t="shared" si="45"/>
        <v>1.1399999999999999</v>
      </c>
      <c r="N74" s="1060">
        <f t="shared" si="45"/>
        <v>1.1399999999999999</v>
      </c>
      <c r="O74" s="1060">
        <f t="shared" si="45"/>
        <v>1.1399999999999999</v>
      </c>
      <c r="P74" s="1060">
        <f t="shared" si="45"/>
        <v>1.1399999999999999</v>
      </c>
      <c r="Q74" s="150" t="s">
        <v>541</v>
      </c>
    </row>
    <row r="75" spans="2:22">
      <c r="B75" s="1057" t="s">
        <v>595</v>
      </c>
      <c r="C75" s="85" t="s">
        <v>36</v>
      </c>
      <c r="D75" s="595">
        <f>D71*D74-X75</f>
        <v>0</v>
      </c>
      <c r="E75" s="595">
        <f t="shared" ref="E75:P75" si="46">E71*E74</f>
        <v>0</v>
      </c>
      <c r="F75" s="595">
        <f t="shared" si="46"/>
        <v>0</v>
      </c>
      <c r="G75" s="595">
        <f t="shared" si="46"/>
        <v>0</v>
      </c>
      <c r="H75" s="595">
        <f t="shared" si="46"/>
        <v>0</v>
      </c>
      <c r="I75" s="595">
        <f t="shared" si="46"/>
        <v>0</v>
      </c>
      <c r="J75" s="595">
        <f t="shared" si="46"/>
        <v>0</v>
      </c>
      <c r="K75" s="595">
        <f t="shared" si="46"/>
        <v>0</v>
      </c>
      <c r="L75" s="595">
        <f t="shared" si="46"/>
        <v>0</v>
      </c>
      <c r="M75" s="595">
        <f t="shared" si="46"/>
        <v>0</v>
      </c>
      <c r="N75" s="595">
        <f t="shared" si="46"/>
        <v>0</v>
      </c>
      <c r="O75" s="595">
        <f t="shared" si="46"/>
        <v>0</v>
      </c>
      <c r="P75" s="595">
        <f t="shared" si="46"/>
        <v>0</v>
      </c>
      <c r="Q75" s="150" t="s">
        <v>541</v>
      </c>
      <c r="V75" s="597"/>
    </row>
    <row r="76" spans="2:22" ht="26.4">
      <c r="B76" s="1" t="s">
        <v>131</v>
      </c>
      <c r="C76" s="85" t="s">
        <v>36</v>
      </c>
      <c r="D76" s="1061">
        <f>D73+D75</f>
        <v>0</v>
      </c>
      <c r="E76" s="1061">
        <f t="shared" ref="E76:P76" si="47">E73+E75</f>
        <v>0</v>
      </c>
      <c r="F76" s="1061">
        <f t="shared" si="47"/>
        <v>0</v>
      </c>
      <c r="G76" s="1061">
        <f t="shared" si="47"/>
        <v>0</v>
      </c>
      <c r="H76" s="1061">
        <f t="shared" si="47"/>
        <v>0</v>
      </c>
      <c r="I76" s="1061">
        <f t="shared" si="47"/>
        <v>0</v>
      </c>
      <c r="J76" s="1061">
        <f t="shared" si="47"/>
        <v>0</v>
      </c>
      <c r="K76" s="1061">
        <f t="shared" si="47"/>
        <v>0</v>
      </c>
      <c r="L76" s="1061">
        <f t="shared" si="47"/>
        <v>0</v>
      </c>
      <c r="M76" s="1061">
        <f t="shared" si="47"/>
        <v>0</v>
      </c>
      <c r="N76" s="1061">
        <f t="shared" si="47"/>
        <v>0</v>
      </c>
      <c r="O76" s="1061">
        <f t="shared" si="47"/>
        <v>0</v>
      </c>
      <c r="P76" s="1061">
        <f t="shared" si="47"/>
        <v>0</v>
      </c>
    </row>
    <row r="77" spans="2:22" ht="26.4">
      <c r="B77" s="1" t="s">
        <v>172</v>
      </c>
      <c r="C77" s="1087" t="s">
        <v>132</v>
      </c>
      <c r="D77" s="1062" t="e">
        <f>SUM(E77:P77)</f>
        <v>#REF!</v>
      </c>
      <c r="E77" s="1320" t="e">
        <f>#REF!</f>
        <v>#REF!</v>
      </c>
      <c r="F77" s="1320" t="e">
        <f>#REF!+#REF!</f>
        <v>#REF!</v>
      </c>
      <c r="G77" s="1320" t="e">
        <f>#REF!</f>
        <v>#REF!</v>
      </c>
      <c r="H77" s="1320" t="e">
        <f>#REF!</f>
        <v>#REF!</v>
      </c>
      <c r="I77" s="1320" t="e">
        <f>#REF!</f>
        <v>#REF!</v>
      </c>
      <c r="J77" s="1320" t="e">
        <f>#REF!</f>
        <v>#REF!</v>
      </c>
      <c r="K77" s="1320" t="e">
        <f>#REF!+#REF!</f>
        <v>#REF!</v>
      </c>
      <c r="L77" s="1320" t="e">
        <f>#REF!</f>
        <v>#REF!</v>
      </c>
      <c r="M77" s="1320" t="e">
        <f>#REF!</f>
        <v>#REF!</v>
      </c>
      <c r="N77" s="1320" t="e">
        <f>#REF!</f>
        <v>#REF!</v>
      </c>
      <c r="O77" s="1320" t="e">
        <f>#REF!</f>
        <v>#REF!</v>
      </c>
      <c r="P77" s="1320" t="e">
        <f>#REF!</f>
        <v>#REF!</v>
      </c>
    </row>
    <row r="78" spans="2:22" ht="39.6">
      <c r="B78" s="1" t="str">
        <f>'Вхідні дані'!$B$32</f>
        <v>Тариф для розрахунку плати за перетікання реактивної електроенергії, без ПДВ</v>
      </c>
      <c r="C78" s="1087" t="s">
        <v>596</v>
      </c>
      <c r="D78" s="1062">
        <f>'Вхідні дані'!$D$32</f>
        <v>9.9999999999999992E-2</v>
      </c>
      <c r="E78" s="1062">
        <f t="shared" ref="E78:P78" si="48">D78</f>
        <v>9.9999999999999992E-2</v>
      </c>
      <c r="F78" s="1062">
        <f t="shared" si="48"/>
        <v>9.9999999999999992E-2</v>
      </c>
      <c r="G78" s="1062">
        <f t="shared" si="48"/>
        <v>9.9999999999999992E-2</v>
      </c>
      <c r="H78" s="1062">
        <f t="shared" si="48"/>
        <v>9.9999999999999992E-2</v>
      </c>
      <c r="I78" s="1062">
        <f t="shared" si="48"/>
        <v>9.9999999999999992E-2</v>
      </c>
      <c r="J78" s="1062">
        <f t="shared" si="48"/>
        <v>9.9999999999999992E-2</v>
      </c>
      <c r="K78" s="1062">
        <f t="shared" si="48"/>
        <v>9.9999999999999992E-2</v>
      </c>
      <c r="L78" s="1062">
        <f t="shared" si="48"/>
        <v>9.9999999999999992E-2</v>
      </c>
      <c r="M78" s="1062">
        <f t="shared" si="48"/>
        <v>9.9999999999999992E-2</v>
      </c>
      <c r="N78" s="1062">
        <f t="shared" si="48"/>
        <v>9.9999999999999992E-2</v>
      </c>
      <c r="O78" s="1062">
        <f t="shared" si="48"/>
        <v>9.9999999999999992E-2</v>
      </c>
      <c r="P78" s="1062">
        <f t="shared" si="48"/>
        <v>9.9999999999999992E-2</v>
      </c>
      <c r="Q78" s="150" t="s">
        <v>541</v>
      </c>
    </row>
    <row r="79" spans="2:22" ht="26.4">
      <c r="B79" s="1" t="s">
        <v>606</v>
      </c>
      <c r="C79" s="85" t="s">
        <v>36</v>
      </c>
      <c r="D79" s="595" t="e">
        <f>D77*D78</f>
        <v>#REF!</v>
      </c>
      <c r="E79" s="595" t="e">
        <f t="shared" ref="E79:P79" si="49">E77*E78</f>
        <v>#REF!</v>
      </c>
      <c r="F79" s="595" t="e">
        <f t="shared" si="49"/>
        <v>#REF!</v>
      </c>
      <c r="G79" s="595" t="e">
        <f t="shared" si="49"/>
        <v>#REF!</v>
      </c>
      <c r="H79" s="595" t="e">
        <f t="shared" si="49"/>
        <v>#REF!</v>
      </c>
      <c r="I79" s="595" t="e">
        <f t="shared" si="49"/>
        <v>#REF!</v>
      </c>
      <c r="J79" s="595" t="e">
        <f t="shared" si="49"/>
        <v>#REF!</v>
      </c>
      <c r="K79" s="595" t="e">
        <f t="shared" si="49"/>
        <v>#REF!</v>
      </c>
      <c r="L79" s="595" t="e">
        <f t="shared" si="49"/>
        <v>#REF!</v>
      </c>
      <c r="M79" s="595" t="e">
        <f t="shared" si="49"/>
        <v>#REF!</v>
      </c>
      <c r="N79" s="595" t="e">
        <f t="shared" si="49"/>
        <v>#REF!</v>
      </c>
      <c r="O79" s="595" t="e">
        <f t="shared" si="49"/>
        <v>#REF!</v>
      </c>
      <c r="P79" s="595" t="e">
        <f t="shared" si="49"/>
        <v>#REF!</v>
      </c>
    </row>
    <row r="80" spans="2:22" ht="26.4">
      <c r="B80" s="1" t="s">
        <v>605</v>
      </c>
      <c r="C80" s="1087" t="s">
        <v>132</v>
      </c>
      <c r="D80" s="1062" t="e">
        <f>SUM(E80:P80)</f>
        <v>#REF!</v>
      </c>
      <c r="E80" s="1320" t="e">
        <f>#REF!</f>
        <v>#REF!</v>
      </c>
      <c r="F80" s="1320" t="e">
        <f>#REF!+#REF!</f>
        <v>#REF!</v>
      </c>
      <c r="G80" s="1320" t="e">
        <f>#REF!</f>
        <v>#REF!</v>
      </c>
      <c r="H80" s="1320" t="e">
        <f>#REF!</f>
        <v>#REF!</v>
      </c>
      <c r="I80" s="1320" t="e">
        <f>#REF!</f>
        <v>#REF!</v>
      </c>
      <c r="J80" s="1320" t="e">
        <f>#REF!</f>
        <v>#REF!</v>
      </c>
      <c r="K80" s="1320" t="e">
        <f>#REF!+#REF!</f>
        <v>#REF!</v>
      </c>
      <c r="L80" s="1320" t="e">
        <f>#REF!</f>
        <v>#REF!</v>
      </c>
      <c r="M80" s="1320" t="e">
        <f>#REF!</f>
        <v>#REF!</v>
      </c>
      <c r="N80" s="1320" t="e">
        <f>#REF!</f>
        <v>#REF!</v>
      </c>
      <c r="O80" s="1320" t="e">
        <f>#REF!</f>
        <v>#REF!</v>
      </c>
      <c r="P80" s="1320" t="e">
        <f>#REF!</f>
        <v>#REF!</v>
      </c>
      <c r="Q80" s="150" t="s">
        <v>541</v>
      </c>
    </row>
    <row r="81" spans="2:18" ht="39.6">
      <c r="B81" s="1" t="str">
        <f>'Вхідні дані'!$B$34</f>
        <v>Тариф для розрахунку плати за генерацію реактивної електроенергії, без ПДВ</v>
      </c>
      <c r="C81" s="1087" t="s">
        <v>596</v>
      </c>
      <c r="D81" s="1062">
        <f>'Вхідні дані'!$D$34</f>
        <v>0</v>
      </c>
      <c r="E81" s="1062">
        <f t="shared" ref="E81:P81" si="50">D81</f>
        <v>0</v>
      </c>
      <c r="F81" s="1062">
        <f t="shared" si="50"/>
        <v>0</v>
      </c>
      <c r="G81" s="1062">
        <f t="shared" si="50"/>
        <v>0</v>
      </c>
      <c r="H81" s="1062">
        <f t="shared" si="50"/>
        <v>0</v>
      </c>
      <c r="I81" s="1062">
        <f t="shared" si="50"/>
        <v>0</v>
      </c>
      <c r="J81" s="1062">
        <f t="shared" si="50"/>
        <v>0</v>
      </c>
      <c r="K81" s="1062">
        <f t="shared" si="50"/>
        <v>0</v>
      </c>
      <c r="L81" s="1062">
        <f t="shared" si="50"/>
        <v>0</v>
      </c>
      <c r="M81" s="1062">
        <f t="shared" si="50"/>
        <v>0</v>
      </c>
      <c r="N81" s="1062">
        <f t="shared" si="50"/>
        <v>0</v>
      </c>
      <c r="O81" s="1062">
        <f t="shared" si="50"/>
        <v>0</v>
      </c>
      <c r="P81" s="1062">
        <f t="shared" si="50"/>
        <v>0</v>
      </c>
      <c r="Q81" s="150" t="s">
        <v>541</v>
      </c>
    </row>
    <row r="82" spans="2:18" ht="26.4">
      <c r="B82" s="1" t="s">
        <v>607</v>
      </c>
      <c r="C82" s="85" t="s">
        <v>36</v>
      </c>
      <c r="D82" s="595" t="e">
        <f>D80*D81</f>
        <v>#REF!</v>
      </c>
      <c r="E82" s="595" t="e">
        <f t="shared" ref="E82:P82" si="51">E80*E81</f>
        <v>#REF!</v>
      </c>
      <c r="F82" s="595" t="e">
        <f t="shared" si="51"/>
        <v>#REF!</v>
      </c>
      <c r="G82" s="595" t="e">
        <f t="shared" si="51"/>
        <v>#REF!</v>
      </c>
      <c r="H82" s="595" t="e">
        <f t="shared" si="51"/>
        <v>#REF!</v>
      </c>
      <c r="I82" s="595" t="e">
        <f t="shared" si="51"/>
        <v>#REF!</v>
      </c>
      <c r="J82" s="595" t="e">
        <f t="shared" si="51"/>
        <v>#REF!</v>
      </c>
      <c r="K82" s="595" t="e">
        <f t="shared" si="51"/>
        <v>#REF!</v>
      </c>
      <c r="L82" s="595" t="e">
        <f t="shared" si="51"/>
        <v>#REF!</v>
      </c>
      <c r="M82" s="595" t="e">
        <f t="shared" si="51"/>
        <v>#REF!</v>
      </c>
      <c r="N82" s="595" t="e">
        <f t="shared" si="51"/>
        <v>#REF!</v>
      </c>
      <c r="O82" s="595" t="e">
        <f t="shared" si="51"/>
        <v>#REF!</v>
      </c>
      <c r="P82" s="595" t="e">
        <f t="shared" si="51"/>
        <v>#REF!</v>
      </c>
      <c r="Q82" s="150" t="s">
        <v>541</v>
      </c>
    </row>
    <row r="83" spans="2:18" ht="26.4">
      <c r="B83" s="1" t="s">
        <v>629</v>
      </c>
      <c r="C83" s="85" t="s">
        <v>36</v>
      </c>
      <c r="D83" s="1075" t="e">
        <f>D82+D79</f>
        <v>#REF!</v>
      </c>
      <c r="E83" s="1075" t="e">
        <f t="shared" ref="E83:P83" si="52">E82+E79</f>
        <v>#REF!</v>
      </c>
      <c r="F83" s="1075" t="e">
        <f t="shared" si="52"/>
        <v>#REF!</v>
      </c>
      <c r="G83" s="1075" t="e">
        <f t="shared" si="52"/>
        <v>#REF!</v>
      </c>
      <c r="H83" s="1075" t="e">
        <f t="shared" si="52"/>
        <v>#REF!</v>
      </c>
      <c r="I83" s="1075" t="e">
        <f t="shared" si="52"/>
        <v>#REF!</v>
      </c>
      <c r="J83" s="1075" t="e">
        <f t="shared" si="52"/>
        <v>#REF!</v>
      </c>
      <c r="K83" s="1075" t="e">
        <f t="shared" si="52"/>
        <v>#REF!</v>
      </c>
      <c r="L83" s="1075" t="e">
        <f t="shared" si="52"/>
        <v>#REF!</v>
      </c>
      <c r="M83" s="1075" t="e">
        <f t="shared" si="52"/>
        <v>#REF!</v>
      </c>
      <c r="N83" s="1075" t="e">
        <f t="shared" si="52"/>
        <v>#REF!</v>
      </c>
      <c r="O83" s="1075" t="e">
        <f t="shared" si="52"/>
        <v>#REF!</v>
      </c>
      <c r="P83" s="1075" t="e">
        <f t="shared" si="52"/>
        <v>#REF!</v>
      </c>
      <c r="Q83" s="150"/>
      <c r="R83" s="1052" t="e">
        <f>D84/D69*1000</f>
        <v>#REF!</v>
      </c>
    </row>
    <row r="84" spans="2:18" ht="39.6">
      <c r="B84" s="1" t="s">
        <v>971</v>
      </c>
      <c r="C84" s="85" t="s">
        <v>36</v>
      </c>
      <c r="D84" s="1065" t="e">
        <f>D76+D83</f>
        <v>#REF!</v>
      </c>
      <c r="E84" s="1065" t="e">
        <f t="shared" ref="E84:P84" si="53">E76+E83</f>
        <v>#REF!</v>
      </c>
      <c r="F84" s="1065" t="e">
        <f t="shared" si="53"/>
        <v>#REF!</v>
      </c>
      <c r="G84" s="1065" t="e">
        <f t="shared" si="53"/>
        <v>#REF!</v>
      </c>
      <c r="H84" s="1065" t="e">
        <f t="shared" si="53"/>
        <v>#REF!</v>
      </c>
      <c r="I84" s="1065" t="e">
        <f t="shared" si="53"/>
        <v>#REF!</v>
      </c>
      <c r="J84" s="1065" t="e">
        <f t="shared" si="53"/>
        <v>#REF!</v>
      </c>
      <c r="K84" s="1065" t="e">
        <f t="shared" si="53"/>
        <v>#REF!</v>
      </c>
      <c r="L84" s="1065" t="e">
        <f t="shared" si="53"/>
        <v>#REF!</v>
      </c>
      <c r="M84" s="1065" t="e">
        <f t="shared" si="53"/>
        <v>#REF!</v>
      </c>
      <c r="N84" s="1065" t="e">
        <f t="shared" si="53"/>
        <v>#REF!</v>
      </c>
      <c r="O84" s="1065" t="e">
        <f t="shared" si="53"/>
        <v>#REF!</v>
      </c>
      <c r="P84" s="1065" t="e">
        <f t="shared" si="53"/>
        <v>#REF!</v>
      </c>
      <c r="Q84" s="150"/>
      <c r="R84" s="1064" t="e">
        <f>Q84-D84</f>
        <v>#REF!</v>
      </c>
    </row>
    <row r="85" spans="2:18">
      <c r="B85" s="1076"/>
      <c r="C85" s="1037"/>
      <c r="D85" s="1077"/>
      <c r="E85" s="1077"/>
      <c r="F85" s="1077"/>
      <c r="G85" s="1077"/>
      <c r="H85" s="1077"/>
      <c r="I85" s="1077"/>
      <c r="J85" s="1077"/>
      <c r="K85" s="1077"/>
      <c r="L85" s="1077"/>
      <c r="M85" s="1077"/>
      <c r="N85" s="1077"/>
      <c r="O85" s="1077"/>
      <c r="P85" s="1077"/>
    </row>
    <row r="87" spans="2:18">
      <c r="C87" s="2773" t="str">
        <f>'Вхідні дані'!B13</f>
        <v>Директор підприємства</v>
      </c>
      <c r="D87" s="2774"/>
      <c r="G87" s="2768" t="s">
        <v>259</v>
      </c>
      <c r="H87" s="2769"/>
      <c r="I87" s="2769"/>
      <c r="M87" s="2775" t="str">
        <f>'Вхідні дані'!F13</f>
        <v>Сергій НІКУЛЬЧА</v>
      </c>
      <c r="N87" s="2775"/>
      <c r="O87" s="2775"/>
      <c r="P87" s="2775"/>
    </row>
    <row r="88" spans="2:18">
      <c r="C88" s="2756" t="s">
        <v>218</v>
      </c>
      <c r="D88" s="2769"/>
      <c r="G88" s="2768" t="s">
        <v>196</v>
      </c>
      <c r="H88" s="2769"/>
      <c r="I88" s="2769"/>
      <c r="M88" s="2768" t="s">
        <v>216</v>
      </c>
      <c r="N88" s="2768"/>
      <c r="O88" s="2768"/>
      <c r="P88" s="2768"/>
    </row>
    <row r="90" spans="2:18">
      <c r="N90" s="598" t="s">
        <v>631</v>
      </c>
    </row>
    <row r="92" spans="2:18">
      <c r="B92" s="2753" t="s">
        <v>432</v>
      </c>
      <c r="C92" s="2753"/>
      <c r="D92" s="2753"/>
      <c r="E92" s="2753"/>
      <c r="F92" s="2753"/>
      <c r="G92" s="2753"/>
      <c r="H92" s="2753"/>
      <c r="I92" s="2753"/>
      <c r="J92" s="2753"/>
      <c r="K92" s="2782"/>
      <c r="L92" s="2782"/>
      <c r="M92" s="2782"/>
      <c r="N92" s="2782"/>
      <c r="O92" s="2782"/>
      <c r="P92" s="2782"/>
      <c r="Q92" s="150"/>
    </row>
    <row r="93" spans="2:18">
      <c r="B93" s="2787" t="s">
        <v>632</v>
      </c>
      <c r="C93" s="2787"/>
      <c r="D93" s="2787"/>
      <c r="E93" s="2787"/>
      <c r="F93" s="2787"/>
      <c r="G93" s="2787"/>
      <c r="H93" s="2787"/>
      <c r="I93" s="2787"/>
      <c r="J93" s="2787"/>
      <c r="K93" s="2787"/>
      <c r="L93" s="2787"/>
      <c r="M93" s="2787"/>
      <c r="N93" s="2787"/>
      <c r="O93" s="2787"/>
      <c r="P93" s="2787"/>
    </row>
    <row r="94" spans="2:18" ht="18.600000000000001" thickBot="1">
      <c r="B94" s="2788" t="s">
        <v>197</v>
      </c>
      <c r="C94" s="2789"/>
      <c r="D94" s="2789"/>
      <c r="E94" s="2789"/>
      <c r="F94" s="2789"/>
      <c r="G94" s="2789"/>
      <c r="H94" s="2789"/>
      <c r="I94" s="2789"/>
      <c r="J94" s="2789"/>
      <c r="K94" s="2789"/>
      <c r="L94" s="2789"/>
      <c r="M94" s="2789"/>
      <c r="N94" s="2789"/>
      <c r="O94" s="2789"/>
      <c r="P94" s="2789"/>
      <c r="Q94" s="150"/>
    </row>
    <row r="95" spans="2:18">
      <c r="B95" s="2790" t="s">
        <v>104</v>
      </c>
      <c r="C95" s="2792" t="s">
        <v>34</v>
      </c>
      <c r="D95" s="1078" t="s">
        <v>126</v>
      </c>
      <c r="E95" s="2792" t="s">
        <v>18</v>
      </c>
      <c r="F95" s="2792" t="s">
        <v>19</v>
      </c>
      <c r="G95" s="2792" t="s">
        <v>20</v>
      </c>
      <c r="H95" s="2792" t="s">
        <v>10</v>
      </c>
      <c r="I95" s="2792" t="s">
        <v>11</v>
      </c>
      <c r="J95" s="2792" t="s">
        <v>12</v>
      </c>
      <c r="K95" s="2792" t="s">
        <v>13</v>
      </c>
      <c r="L95" s="2792" t="s">
        <v>127</v>
      </c>
      <c r="M95" s="2792" t="s">
        <v>14</v>
      </c>
      <c r="N95" s="2792" t="s">
        <v>15</v>
      </c>
      <c r="O95" s="2792" t="s">
        <v>16</v>
      </c>
      <c r="P95" s="2794" t="s">
        <v>17</v>
      </c>
      <c r="Q95" s="150"/>
    </row>
    <row r="96" spans="2:18">
      <c r="B96" s="2791"/>
      <c r="C96" s="2776"/>
      <c r="D96" s="85" t="str">
        <f>'Вхідні дані'!$F$6</f>
        <v>2023-2024</v>
      </c>
      <c r="E96" s="2777"/>
      <c r="F96" s="2777"/>
      <c r="G96" s="2777"/>
      <c r="H96" s="2777"/>
      <c r="I96" s="2777"/>
      <c r="J96" s="2777"/>
      <c r="K96" s="2777"/>
      <c r="L96" s="2777"/>
      <c r="M96" s="2777"/>
      <c r="N96" s="2777"/>
      <c r="O96" s="2777"/>
      <c r="P96" s="2796"/>
      <c r="Q96" s="150"/>
    </row>
    <row r="97" spans="2:22">
      <c r="B97" s="1081">
        <v>1</v>
      </c>
      <c r="C97" s="85">
        <v>2</v>
      </c>
      <c r="D97" s="85">
        <v>3</v>
      </c>
      <c r="E97" s="85">
        <v>4</v>
      </c>
      <c r="F97" s="85">
        <v>5</v>
      </c>
      <c r="G97" s="85">
        <v>6</v>
      </c>
      <c r="H97" s="85">
        <v>7</v>
      </c>
      <c r="I97" s="85">
        <v>8</v>
      </c>
      <c r="J97" s="85">
        <v>9</v>
      </c>
      <c r="K97" s="85">
        <v>10</v>
      </c>
      <c r="L97" s="85">
        <v>11</v>
      </c>
      <c r="M97" s="85">
        <v>12</v>
      </c>
      <c r="N97" s="85">
        <v>13</v>
      </c>
      <c r="O97" s="85">
        <v>14</v>
      </c>
      <c r="P97" s="1082">
        <v>15</v>
      </c>
    </row>
    <row r="98" spans="2:22" ht="26.4">
      <c r="B98" s="165" t="s">
        <v>608</v>
      </c>
      <c r="C98" s="85" t="s">
        <v>178</v>
      </c>
      <c r="D98" s="1071">
        <f>D99+D101+D100</f>
        <v>0</v>
      </c>
      <c r="E98" s="1071">
        <f t="shared" ref="E98:P98" si="54">E99+E101+E100</f>
        <v>0</v>
      </c>
      <c r="F98" s="1071">
        <f t="shared" si="54"/>
        <v>0</v>
      </c>
      <c r="G98" s="1071">
        <f t="shared" si="54"/>
        <v>0</v>
      </c>
      <c r="H98" s="1071">
        <f t="shared" si="54"/>
        <v>0</v>
      </c>
      <c r="I98" s="1071">
        <f t="shared" si="54"/>
        <v>0</v>
      </c>
      <c r="J98" s="1071">
        <f t="shared" si="54"/>
        <v>0</v>
      </c>
      <c r="K98" s="1071">
        <f t="shared" si="54"/>
        <v>0</v>
      </c>
      <c r="L98" s="1071">
        <f t="shared" si="54"/>
        <v>0</v>
      </c>
      <c r="M98" s="1071">
        <f t="shared" si="54"/>
        <v>0</v>
      </c>
      <c r="N98" s="1071">
        <f t="shared" si="54"/>
        <v>0</v>
      </c>
      <c r="O98" s="1071">
        <f t="shared" si="54"/>
        <v>0</v>
      </c>
      <c r="P98" s="1080">
        <f t="shared" si="54"/>
        <v>0</v>
      </c>
    </row>
    <row r="99" spans="2:22" ht="26.4">
      <c r="B99" s="166" t="s">
        <v>778</v>
      </c>
      <c r="C99" s="85" t="s">
        <v>178</v>
      </c>
      <c r="D99" s="1071">
        <f>SUM(E99:P99)</f>
        <v>0</v>
      </c>
      <c r="E99" s="1320"/>
      <c r="F99" s="1320"/>
      <c r="G99" s="1320"/>
      <c r="H99" s="1320"/>
      <c r="I99" s="1320"/>
      <c r="J99" s="1320"/>
      <c r="K99" s="1320"/>
      <c r="L99" s="1320"/>
      <c r="M99" s="1320"/>
      <c r="N99" s="1320"/>
      <c r="O99" s="1320"/>
      <c r="P99" s="1320"/>
      <c r="Q99" s="150"/>
    </row>
    <row r="100" spans="2:22">
      <c r="B100" s="166" t="s">
        <v>779</v>
      </c>
      <c r="C100" s="85" t="s">
        <v>178</v>
      </c>
      <c r="D100" s="1071">
        <f>SUM(E100:P100)</f>
        <v>0</v>
      </c>
      <c r="E100" s="1320"/>
      <c r="F100" s="1320"/>
      <c r="G100" s="1320"/>
      <c r="H100" s="1320"/>
      <c r="I100" s="1320"/>
      <c r="J100" s="1320"/>
      <c r="K100" s="1320"/>
      <c r="L100" s="1320"/>
      <c r="M100" s="1320"/>
      <c r="N100" s="1320"/>
      <c r="O100" s="1320"/>
      <c r="P100" s="1320"/>
      <c r="Q100" s="150"/>
    </row>
    <row r="101" spans="2:22">
      <c r="B101" s="166" t="s">
        <v>633</v>
      </c>
      <c r="C101" s="85" t="s">
        <v>178</v>
      </c>
      <c r="D101" s="1071">
        <f>SUM(E101:P101)</f>
        <v>0</v>
      </c>
      <c r="E101" s="1320"/>
      <c r="F101" s="1320"/>
      <c r="G101" s="1320"/>
      <c r="H101" s="1320"/>
      <c r="I101" s="1320"/>
      <c r="J101" s="1320"/>
      <c r="K101" s="1320"/>
      <c r="L101" s="1320"/>
      <c r="M101" s="1320"/>
      <c r="N101" s="1320"/>
      <c r="O101" s="1320"/>
      <c r="P101" s="1320"/>
      <c r="Q101" s="150"/>
    </row>
    <row r="102" spans="2:22" ht="29.4" customHeight="1">
      <c r="B102" s="167" t="str">
        <f>'Вхідні дані'!$B$28</f>
        <v>Тариф на електричну енергію, без ПДВ</v>
      </c>
      <c r="C102" s="85" t="s">
        <v>594</v>
      </c>
      <c r="D102" s="1058">
        <f>'Вхідні дані'!$D$28</f>
        <v>2.1999999999999997</v>
      </c>
      <c r="E102" s="1058">
        <f t="shared" ref="E102:P102" si="55">D102</f>
        <v>2.1999999999999997</v>
      </c>
      <c r="F102" s="1058">
        <f t="shared" si="55"/>
        <v>2.1999999999999997</v>
      </c>
      <c r="G102" s="1058">
        <f t="shared" si="55"/>
        <v>2.1999999999999997</v>
      </c>
      <c r="H102" s="1058">
        <f t="shared" si="55"/>
        <v>2.1999999999999997</v>
      </c>
      <c r="I102" s="1058">
        <f t="shared" si="55"/>
        <v>2.1999999999999997</v>
      </c>
      <c r="J102" s="1058">
        <f t="shared" si="55"/>
        <v>2.1999999999999997</v>
      </c>
      <c r="K102" s="1058">
        <f t="shared" si="55"/>
        <v>2.1999999999999997</v>
      </c>
      <c r="L102" s="1058">
        <f t="shared" si="55"/>
        <v>2.1999999999999997</v>
      </c>
      <c r="M102" s="1058">
        <f t="shared" si="55"/>
        <v>2.1999999999999997</v>
      </c>
      <c r="N102" s="1058">
        <f t="shared" si="55"/>
        <v>2.1999999999999997</v>
      </c>
      <c r="O102" s="1058">
        <f t="shared" si="55"/>
        <v>2.1999999999999997</v>
      </c>
      <c r="P102" s="1083">
        <f t="shared" si="55"/>
        <v>2.1999999999999997</v>
      </c>
      <c r="Q102" s="150"/>
    </row>
    <row r="103" spans="2:22" ht="26.4">
      <c r="B103" s="167" t="s">
        <v>610</v>
      </c>
      <c r="C103" s="85" t="s">
        <v>36</v>
      </c>
      <c r="D103" s="1054">
        <f>D98*D102</f>
        <v>0</v>
      </c>
      <c r="E103" s="1054">
        <f t="shared" ref="E103:P103" si="56">E98*E102</f>
        <v>0</v>
      </c>
      <c r="F103" s="1054">
        <f t="shared" si="56"/>
        <v>0</v>
      </c>
      <c r="G103" s="1054">
        <f t="shared" si="56"/>
        <v>0</v>
      </c>
      <c r="H103" s="1054">
        <f t="shared" si="56"/>
        <v>0</v>
      </c>
      <c r="I103" s="1054">
        <f t="shared" si="56"/>
        <v>0</v>
      </c>
      <c r="J103" s="1054">
        <f t="shared" si="56"/>
        <v>0</v>
      </c>
      <c r="K103" s="1054">
        <f t="shared" si="56"/>
        <v>0</v>
      </c>
      <c r="L103" s="1054">
        <f t="shared" si="56"/>
        <v>0</v>
      </c>
      <c r="M103" s="1054">
        <f t="shared" si="56"/>
        <v>0</v>
      </c>
      <c r="N103" s="1054">
        <f t="shared" si="56"/>
        <v>0</v>
      </c>
      <c r="O103" s="1054">
        <f t="shared" si="56"/>
        <v>0</v>
      </c>
      <c r="P103" s="1084">
        <f t="shared" si="56"/>
        <v>0</v>
      </c>
      <c r="Q103" s="150"/>
    </row>
    <row r="104" spans="2:22" ht="26.4">
      <c r="B104" s="166" t="str">
        <f>B99</f>
        <v>загальновиробничі потреби, крім ремонтів</v>
      </c>
      <c r="C104" s="85" t="s">
        <v>36</v>
      </c>
      <c r="D104" s="1054">
        <f>D99*D102</f>
        <v>0</v>
      </c>
      <c r="E104" s="1054">
        <f t="shared" ref="E104:P104" si="57">E99*E102</f>
        <v>0</v>
      </c>
      <c r="F104" s="1054">
        <f t="shared" si="57"/>
        <v>0</v>
      </c>
      <c r="G104" s="1054">
        <f t="shared" si="57"/>
        <v>0</v>
      </c>
      <c r="H104" s="1054">
        <f t="shared" si="57"/>
        <v>0</v>
      </c>
      <c r="I104" s="1054">
        <f t="shared" si="57"/>
        <v>0</v>
      </c>
      <c r="J104" s="1054">
        <f t="shared" si="57"/>
        <v>0</v>
      </c>
      <c r="K104" s="1054">
        <f t="shared" si="57"/>
        <v>0</v>
      </c>
      <c r="L104" s="1054">
        <f t="shared" si="57"/>
        <v>0</v>
      </c>
      <c r="M104" s="1054">
        <f t="shared" si="57"/>
        <v>0</v>
      </c>
      <c r="N104" s="1054">
        <f t="shared" si="57"/>
        <v>0</v>
      </c>
      <c r="O104" s="1054">
        <f t="shared" si="57"/>
        <v>0</v>
      </c>
      <c r="P104" s="1084">
        <f t="shared" si="57"/>
        <v>0</v>
      </c>
      <c r="Q104" s="150"/>
    </row>
    <row r="105" spans="2:22">
      <c r="B105" s="166" t="str">
        <f>B100</f>
        <v>на ремонти</v>
      </c>
      <c r="C105" s="85" t="s">
        <v>36</v>
      </c>
      <c r="D105" s="1054">
        <f>D100*D102</f>
        <v>0</v>
      </c>
      <c r="E105" s="1054">
        <f t="shared" ref="E105:P105" si="58">E100*E102</f>
        <v>0</v>
      </c>
      <c r="F105" s="1054">
        <f t="shared" si="58"/>
        <v>0</v>
      </c>
      <c r="G105" s="1054">
        <f t="shared" si="58"/>
        <v>0</v>
      </c>
      <c r="H105" s="1054">
        <f t="shared" si="58"/>
        <v>0</v>
      </c>
      <c r="I105" s="1054">
        <f t="shared" si="58"/>
        <v>0</v>
      </c>
      <c r="J105" s="1054">
        <f t="shared" si="58"/>
        <v>0</v>
      </c>
      <c r="K105" s="1054">
        <f t="shared" si="58"/>
        <v>0</v>
      </c>
      <c r="L105" s="1054">
        <f t="shared" si="58"/>
        <v>0</v>
      </c>
      <c r="M105" s="1054">
        <f t="shared" si="58"/>
        <v>0</v>
      </c>
      <c r="N105" s="1054">
        <f t="shared" si="58"/>
        <v>0</v>
      </c>
      <c r="O105" s="1054">
        <f t="shared" si="58"/>
        <v>0</v>
      </c>
      <c r="P105" s="1084">
        <f t="shared" si="58"/>
        <v>0</v>
      </c>
      <c r="Q105" s="150"/>
    </row>
    <row r="106" spans="2:22">
      <c r="B106" s="166" t="str">
        <f>B101</f>
        <v>загальногосподарські потреби</v>
      </c>
      <c r="C106" s="85" t="s">
        <v>36</v>
      </c>
      <c r="D106" s="1054">
        <f>D101*D102</f>
        <v>0</v>
      </c>
      <c r="E106" s="1054">
        <f t="shared" ref="E106:P106" si="59">E101*E102</f>
        <v>0</v>
      </c>
      <c r="F106" s="1054">
        <f t="shared" si="59"/>
        <v>0</v>
      </c>
      <c r="G106" s="1054">
        <f t="shared" si="59"/>
        <v>0</v>
      </c>
      <c r="H106" s="1054">
        <f t="shared" si="59"/>
        <v>0</v>
      </c>
      <c r="I106" s="1054">
        <f t="shared" si="59"/>
        <v>0</v>
      </c>
      <c r="J106" s="1054">
        <f t="shared" si="59"/>
        <v>0</v>
      </c>
      <c r="K106" s="1054">
        <f t="shared" si="59"/>
        <v>0</v>
      </c>
      <c r="L106" s="1054">
        <f t="shared" si="59"/>
        <v>0</v>
      </c>
      <c r="M106" s="1054">
        <f t="shared" si="59"/>
        <v>0</v>
      </c>
      <c r="N106" s="1054">
        <f t="shared" si="59"/>
        <v>0</v>
      </c>
      <c r="O106" s="1054">
        <f t="shared" si="59"/>
        <v>0</v>
      </c>
      <c r="P106" s="1084">
        <f t="shared" si="59"/>
        <v>0</v>
      </c>
      <c r="Q106" s="150"/>
    </row>
    <row r="107" spans="2:22" ht="26.4">
      <c r="B107" s="167" t="str">
        <f>'Вхідні дані'!$B$30</f>
        <v>Тариф на послуги з розподілу електричної енергії, без ПДВ</v>
      </c>
      <c r="C107" s="85" t="s">
        <v>594</v>
      </c>
      <c r="D107" s="1060">
        <f>'Вхідні дані'!$D$30</f>
        <v>1.1399999999999999</v>
      </c>
      <c r="E107" s="1060">
        <f t="shared" ref="E107:P107" si="60">D107</f>
        <v>1.1399999999999999</v>
      </c>
      <c r="F107" s="1060">
        <f t="shared" si="60"/>
        <v>1.1399999999999999</v>
      </c>
      <c r="G107" s="1060">
        <f t="shared" si="60"/>
        <v>1.1399999999999999</v>
      </c>
      <c r="H107" s="1060">
        <f t="shared" si="60"/>
        <v>1.1399999999999999</v>
      </c>
      <c r="I107" s="1060">
        <f t="shared" si="60"/>
        <v>1.1399999999999999</v>
      </c>
      <c r="J107" s="1060">
        <f t="shared" si="60"/>
        <v>1.1399999999999999</v>
      </c>
      <c r="K107" s="1060">
        <f t="shared" si="60"/>
        <v>1.1399999999999999</v>
      </c>
      <c r="L107" s="1060">
        <f t="shared" si="60"/>
        <v>1.1399999999999999</v>
      </c>
      <c r="M107" s="1060">
        <f t="shared" si="60"/>
        <v>1.1399999999999999</v>
      </c>
      <c r="N107" s="1060">
        <f t="shared" si="60"/>
        <v>1.1399999999999999</v>
      </c>
      <c r="O107" s="1060">
        <f t="shared" si="60"/>
        <v>1.1399999999999999</v>
      </c>
      <c r="P107" s="1085">
        <f t="shared" si="60"/>
        <v>1.1399999999999999</v>
      </c>
      <c r="Q107" s="150"/>
    </row>
    <row r="108" spans="2:22" ht="26.4">
      <c r="B108" s="167" t="s">
        <v>611</v>
      </c>
      <c r="C108" s="85" t="s">
        <v>36</v>
      </c>
      <c r="D108" s="1050">
        <f>D98*D107-X108</f>
        <v>0</v>
      </c>
      <c r="E108" s="1050">
        <f t="shared" ref="E108:P108" si="61">E98*E107</f>
        <v>0</v>
      </c>
      <c r="F108" s="1050">
        <f t="shared" si="61"/>
        <v>0</v>
      </c>
      <c r="G108" s="1050">
        <f t="shared" si="61"/>
        <v>0</v>
      </c>
      <c r="H108" s="1050">
        <f t="shared" si="61"/>
        <v>0</v>
      </c>
      <c r="I108" s="1050">
        <f t="shared" si="61"/>
        <v>0</v>
      </c>
      <c r="J108" s="1050">
        <f t="shared" si="61"/>
        <v>0</v>
      </c>
      <c r="K108" s="1050">
        <f t="shared" si="61"/>
        <v>0</v>
      </c>
      <c r="L108" s="1050">
        <f t="shared" si="61"/>
        <v>0</v>
      </c>
      <c r="M108" s="1050">
        <f t="shared" si="61"/>
        <v>0</v>
      </c>
      <c r="N108" s="1050">
        <f t="shared" si="61"/>
        <v>0</v>
      </c>
      <c r="O108" s="1050">
        <f t="shared" si="61"/>
        <v>0</v>
      </c>
      <c r="P108" s="1086">
        <f t="shared" si="61"/>
        <v>0</v>
      </c>
      <c r="Q108" s="150"/>
      <c r="V108" s="597"/>
    </row>
    <row r="109" spans="2:22" ht="26.4">
      <c r="B109" s="166" t="str">
        <f>B99</f>
        <v>загальновиробничі потреби, крім ремонтів</v>
      </c>
      <c r="C109" s="85" t="s">
        <v>36</v>
      </c>
      <c r="D109" s="1050">
        <f>D99*D107-X109</f>
        <v>0</v>
      </c>
      <c r="E109" s="1050">
        <f t="shared" ref="E109:P109" si="62">E99*E107</f>
        <v>0</v>
      </c>
      <c r="F109" s="1050">
        <f t="shared" si="62"/>
        <v>0</v>
      </c>
      <c r="G109" s="1050">
        <f t="shared" si="62"/>
        <v>0</v>
      </c>
      <c r="H109" s="1050">
        <f t="shared" si="62"/>
        <v>0</v>
      </c>
      <c r="I109" s="1050">
        <f t="shared" si="62"/>
        <v>0</v>
      </c>
      <c r="J109" s="1050">
        <f t="shared" si="62"/>
        <v>0</v>
      </c>
      <c r="K109" s="1050">
        <f t="shared" si="62"/>
        <v>0</v>
      </c>
      <c r="L109" s="1050">
        <f t="shared" si="62"/>
        <v>0</v>
      </c>
      <c r="M109" s="1050">
        <f t="shared" si="62"/>
        <v>0</v>
      </c>
      <c r="N109" s="1050">
        <f t="shared" si="62"/>
        <v>0</v>
      </c>
      <c r="O109" s="1050">
        <f t="shared" si="62"/>
        <v>0</v>
      </c>
      <c r="P109" s="1086">
        <f t="shared" si="62"/>
        <v>0</v>
      </c>
      <c r="Q109" s="150"/>
      <c r="V109" s="597"/>
    </row>
    <row r="110" spans="2:22">
      <c r="B110" s="166" t="str">
        <f>B100</f>
        <v>на ремонти</v>
      </c>
      <c r="C110" s="85" t="s">
        <v>36</v>
      </c>
      <c r="D110" s="1050">
        <f>D100*D107-X110</f>
        <v>0</v>
      </c>
      <c r="E110" s="1050">
        <f t="shared" ref="E110:P110" si="63">E100*E107</f>
        <v>0</v>
      </c>
      <c r="F110" s="1050">
        <f t="shared" si="63"/>
        <v>0</v>
      </c>
      <c r="G110" s="1050">
        <f t="shared" si="63"/>
        <v>0</v>
      </c>
      <c r="H110" s="1050">
        <f t="shared" si="63"/>
        <v>0</v>
      </c>
      <c r="I110" s="1050">
        <f t="shared" si="63"/>
        <v>0</v>
      </c>
      <c r="J110" s="1050">
        <f t="shared" si="63"/>
        <v>0</v>
      </c>
      <c r="K110" s="1050">
        <f t="shared" si="63"/>
        <v>0</v>
      </c>
      <c r="L110" s="1050">
        <f t="shared" si="63"/>
        <v>0</v>
      </c>
      <c r="M110" s="1050">
        <f t="shared" si="63"/>
        <v>0</v>
      </c>
      <c r="N110" s="1050">
        <f t="shared" si="63"/>
        <v>0</v>
      </c>
      <c r="O110" s="1050">
        <f t="shared" si="63"/>
        <v>0</v>
      </c>
      <c r="P110" s="1086">
        <f t="shared" si="63"/>
        <v>0</v>
      </c>
      <c r="Q110" s="150"/>
      <c r="V110" s="597"/>
    </row>
    <row r="111" spans="2:22">
      <c r="B111" s="166" t="str">
        <f>B101</f>
        <v>загальногосподарські потреби</v>
      </c>
      <c r="C111" s="85" t="s">
        <v>36</v>
      </c>
      <c r="D111" s="1050">
        <f>D101*D107-X111</f>
        <v>0</v>
      </c>
      <c r="E111" s="1050">
        <f t="shared" ref="E111:P111" si="64">E101*E107</f>
        <v>0</v>
      </c>
      <c r="F111" s="1050">
        <f t="shared" si="64"/>
        <v>0</v>
      </c>
      <c r="G111" s="1050">
        <f t="shared" si="64"/>
        <v>0</v>
      </c>
      <c r="H111" s="1050">
        <f t="shared" si="64"/>
        <v>0</v>
      </c>
      <c r="I111" s="1050">
        <f t="shared" si="64"/>
        <v>0</v>
      </c>
      <c r="J111" s="1050">
        <f t="shared" si="64"/>
        <v>0</v>
      </c>
      <c r="K111" s="1050">
        <f t="shared" si="64"/>
        <v>0</v>
      </c>
      <c r="L111" s="1050">
        <f t="shared" si="64"/>
        <v>0</v>
      </c>
      <c r="M111" s="1050">
        <f t="shared" si="64"/>
        <v>0</v>
      </c>
      <c r="N111" s="1050">
        <f t="shared" si="64"/>
        <v>0</v>
      </c>
      <c r="O111" s="1050">
        <f t="shared" si="64"/>
        <v>0</v>
      </c>
      <c r="P111" s="1086">
        <f t="shared" si="64"/>
        <v>0</v>
      </c>
      <c r="Q111" s="150"/>
      <c r="V111" s="597"/>
    </row>
    <row r="112" spans="2:22" ht="26.4">
      <c r="B112" s="165" t="s">
        <v>623</v>
      </c>
      <c r="C112" s="85" t="s">
        <v>36</v>
      </c>
      <c r="D112" s="1050">
        <f>D103+D108</f>
        <v>0</v>
      </c>
      <c r="E112" s="1050">
        <f t="shared" ref="E112:P112" si="65">E103+E108</f>
        <v>0</v>
      </c>
      <c r="F112" s="1050">
        <f t="shared" si="65"/>
        <v>0</v>
      </c>
      <c r="G112" s="1050">
        <f t="shared" si="65"/>
        <v>0</v>
      </c>
      <c r="H112" s="1050">
        <f t="shared" si="65"/>
        <v>0</v>
      </c>
      <c r="I112" s="1050">
        <f t="shared" si="65"/>
        <v>0</v>
      </c>
      <c r="J112" s="1050">
        <f t="shared" si="65"/>
        <v>0</v>
      </c>
      <c r="K112" s="1050">
        <f t="shared" si="65"/>
        <v>0</v>
      </c>
      <c r="L112" s="1050">
        <f t="shared" si="65"/>
        <v>0</v>
      </c>
      <c r="M112" s="1050">
        <f t="shared" si="65"/>
        <v>0</v>
      </c>
      <c r="N112" s="1050">
        <f t="shared" si="65"/>
        <v>0</v>
      </c>
      <c r="O112" s="1050">
        <f t="shared" si="65"/>
        <v>0</v>
      </c>
      <c r="P112" s="1086">
        <f t="shared" si="65"/>
        <v>0</v>
      </c>
      <c r="Q112" s="164"/>
    </row>
    <row r="113" spans="2:22" ht="26.4">
      <c r="B113" s="166" t="str">
        <f>B104</f>
        <v>загальновиробничі потреби, крім ремонтів</v>
      </c>
      <c r="C113" s="85" t="s">
        <v>36</v>
      </c>
      <c r="D113" s="1050">
        <f>D104+D109</f>
        <v>0</v>
      </c>
      <c r="E113" s="1050">
        <f t="shared" ref="D113:P114" si="66">E104+E109</f>
        <v>0</v>
      </c>
      <c r="F113" s="1050">
        <f t="shared" si="66"/>
        <v>0</v>
      </c>
      <c r="G113" s="1050">
        <f t="shared" si="66"/>
        <v>0</v>
      </c>
      <c r="H113" s="1050">
        <f t="shared" si="66"/>
        <v>0</v>
      </c>
      <c r="I113" s="1050">
        <f t="shared" si="66"/>
        <v>0</v>
      </c>
      <c r="J113" s="1050">
        <f t="shared" si="66"/>
        <v>0</v>
      </c>
      <c r="K113" s="1050">
        <f t="shared" si="66"/>
        <v>0</v>
      </c>
      <c r="L113" s="1050">
        <f t="shared" si="66"/>
        <v>0</v>
      </c>
      <c r="M113" s="1050">
        <f t="shared" si="66"/>
        <v>0</v>
      </c>
      <c r="N113" s="1050">
        <f t="shared" si="66"/>
        <v>0</v>
      </c>
      <c r="O113" s="1050">
        <f t="shared" si="66"/>
        <v>0</v>
      </c>
      <c r="P113" s="1086">
        <f t="shared" si="66"/>
        <v>0</v>
      </c>
      <c r="Q113" s="164"/>
    </row>
    <row r="114" spans="2:22">
      <c r="B114" s="166" t="str">
        <f>B105</f>
        <v>на ремонти</v>
      </c>
      <c r="C114" s="85" t="s">
        <v>36</v>
      </c>
      <c r="D114" s="1050">
        <f t="shared" si="66"/>
        <v>0</v>
      </c>
      <c r="E114" s="1050">
        <f t="shared" si="66"/>
        <v>0</v>
      </c>
      <c r="F114" s="1050">
        <f t="shared" si="66"/>
        <v>0</v>
      </c>
      <c r="G114" s="1050">
        <f t="shared" si="66"/>
        <v>0</v>
      </c>
      <c r="H114" s="1050">
        <f t="shared" si="66"/>
        <v>0</v>
      </c>
      <c r="I114" s="1050">
        <f t="shared" si="66"/>
        <v>0</v>
      </c>
      <c r="J114" s="1050">
        <f t="shared" si="66"/>
        <v>0</v>
      </c>
      <c r="K114" s="1050">
        <f t="shared" si="66"/>
        <v>0</v>
      </c>
      <c r="L114" s="1050">
        <f t="shared" si="66"/>
        <v>0</v>
      </c>
      <c r="M114" s="1050">
        <f t="shared" si="66"/>
        <v>0</v>
      </c>
      <c r="N114" s="1050">
        <f t="shared" si="66"/>
        <v>0</v>
      </c>
      <c r="O114" s="1050">
        <f t="shared" si="66"/>
        <v>0</v>
      </c>
      <c r="P114" s="1086">
        <f t="shared" si="66"/>
        <v>0</v>
      </c>
      <c r="Q114" s="164"/>
    </row>
    <row r="115" spans="2:22">
      <c r="B115" s="166" t="str">
        <f>B106</f>
        <v>загальногосподарські потреби</v>
      </c>
      <c r="C115" s="85" t="s">
        <v>36</v>
      </c>
      <c r="D115" s="1050">
        <f t="shared" ref="D115:P115" si="67">D106+D111</f>
        <v>0</v>
      </c>
      <c r="E115" s="1050">
        <f t="shared" si="67"/>
        <v>0</v>
      </c>
      <c r="F115" s="1050">
        <f t="shared" si="67"/>
        <v>0</v>
      </c>
      <c r="G115" s="1050">
        <f t="shared" si="67"/>
        <v>0</v>
      </c>
      <c r="H115" s="1050">
        <f t="shared" si="67"/>
        <v>0</v>
      </c>
      <c r="I115" s="1050">
        <f t="shared" si="67"/>
        <v>0</v>
      </c>
      <c r="J115" s="1050">
        <f t="shared" si="67"/>
        <v>0</v>
      </c>
      <c r="K115" s="1050">
        <f t="shared" si="67"/>
        <v>0</v>
      </c>
      <c r="L115" s="1050">
        <f t="shared" si="67"/>
        <v>0</v>
      </c>
      <c r="M115" s="1050">
        <f t="shared" si="67"/>
        <v>0</v>
      </c>
      <c r="N115" s="1050">
        <f t="shared" si="67"/>
        <v>0</v>
      </c>
      <c r="O115" s="1050">
        <f t="shared" si="67"/>
        <v>0</v>
      </c>
      <c r="P115" s="1086">
        <f t="shared" si="67"/>
        <v>0</v>
      </c>
      <c r="Q115" s="164"/>
    </row>
    <row r="116" spans="2:22" ht="26.4">
      <c r="B116" s="165" t="s">
        <v>780</v>
      </c>
      <c r="C116" s="1087" t="s">
        <v>132</v>
      </c>
      <c r="D116" s="1337">
        <f>SUM(E116:P116)</f>
        <v>0</v>
      </c>
      <c r="E116" s="1320"/>
      <c r="F116" s="1320"/>
      <c r="G116" s="1320"/>
      <c r="H116" s="1320"/>
      <c r="I116" s="1320"/>
      <c r="J116" s="1320"/>
      <c r="K116" s="1320"/>
      <c r="L116" s="1320"/>
      <c r="M116" s="1320"/>
      <c r="N116" s="1320"/>
      <c r="O116" s="1320"/>
      <c r="P116" s="1320"/>
    </row>
    <row r="117" spans="2:22" ht="39.6">
      <c r="B117" s="165" t="str">
        <f>'Вхідні дані'!$B$32</f>
        <v>Тариф для розрахунку плати за перетікання реактивної електроенергії, без ПДВ</v>
      </c>
      <c r="C117" s="1087" t="s">
        <v>596</v>
      </c>
      <c r="D117" s="1062">
        <f>'Вхідні дані'!$D$32</f>
        <v>9.9999999999999992E-2</v>
      </c>
      <c r="E117" s="1062">
        <f t="shared" ref="E117:P117" si="68">D117</f>
        <v>9.9999999999999992E-2</v>
      </c>
      <c r="F117" s="1062">
        <f t="shared" si="68"/>
        <v>9.9999999999999992E-2</v>
      </c>
      <c r="G117" s="1062">
        <f t="shared" si="68"/>
        <v>9.9999999999999992E-2</v>
      </c>
      <c r="H117" s="1062">
        <f t="shared" si="68"/>
        <v>9.9999999999999992E-2</v>
      </c>
      <c r="I117" s="1062">
        <f t="shared" si="68"/>
        <v>9.9999999999999992E-2</v>
      </c>
      <c r="J117" s="1062">
        <f t="shared" si="68"/>
        <v>9.9999999999999992E-2</v>
      </c>
      <c r="K117" s="1062">
        <f t="shared" si="68"/>
        <v>9.9999999999999992E-2</v>
      </c>
      <c r="L117" s="1062">
        <f t="shared" si="68"/>
        <v>9.9999999999999992E-2</v>
      </c>
      <c r="M117" s="1062">
        <f t="shared" si="68"/>
        <v>9.9999999999999992E-2</v>
      </c>
      <c r="N117" s="1062">
        <f t="shared" si="68"/>
        <v>9.9999999999999992E-2</v>
      </c>
      <c r="O117" s="1062">
        <f t="shared" si="68"/>
        <v>9.9999999999999992E-2</v>
      </c>
      <c r="P117" s="1088">
        <f t="shared" si="68"/>
        <v>9.9999999999999992E-2</v>
      </c>
      <c r="Q117" s="150"/>
    </row>
    <row r="118" spans="2:22" ht="26.4">
      <c r="B118" s="165" t="s">
        <v>606</v>
      </c>
      <c r="C118" s="85" t="s">
        <v>36</v>
      </c>
      <c r="D118" s="1050">
        <f>D116*D117</f>
        <v>0</v>
      </c>
      <c r="E118" s="1050">
        <f t="shared" ref="E118:P118" si="69">E116*E117</f>
        <v>0</v>
      </c>
      <c r="F118" s="1050">
        <f t="shared" si="69"/>
        <v>0</v>
      </c>
      <c r="G118" s="1050">
        <f t="shared" si="69"/>
        <v>0</v>
      </c>
      <c r="H118" s="1050">
        <f t="shared" si="69"/>
        <v>0</v>
      </c>
      <c r="I118" s="1050">
        <f t="shared" si="69"/>
        <v>0</v>
      </c>
      <c r="J118" s="1050">
        <f t="shared" si="69"/>
        <v>0</v>
      </c>
      <c r="K118" s="1050">
        <f t="shared" si="69"/>
        <v>0</v>
      </c>
      <c r="L118" s="1050">
        <f t="shared" si="69"/>
        <v>0</v>
      </c>
      <c r="M118" s="1050">
        <f t="shared" si="69"/>
        <v>0</v>
      </c>
      <c r="N118" s="1050">
        <f t="shared" si="69"/>
        <v>0</v>
      </c>
      <c r="O118" s="1050">
        <f t="shared" si="69"/>
        <v>0</v>
      </c>
      <c r="P118" s="1086">
        <f t="shared" si="69"/>
        <v>0</v>
      </c>
    </row>
    <row r="119" spans="2:22" ht="27" thickBot="1">
      <c r="B119" s="1079" t="s">
        <v>781</v>
      </c>
      <c r="C119" s="1089" t="s">
        <v>36</v>
      </c>
      <c r="D119" s="1390">
        <f>D118+D114</f>
        <v>0</v>
      </c>
      <c r="E119" s="1049">
        <f t="shared" ref="E119:P119" si="70">E118+E114</f>
        <v>0</v>
      </c>
      <c r="F119" s="1049">
        <f t="shared" si="70"/>
        <v>0</v>
      </c>
      <c r="G119" s="1049">
        <f t="shared" si="70"/>
        <v>0</v>
      </c>
      <c r="H119" s="1049">
        <f t="shared" si="70"/>
        <v>0</v>
      </c>
      <c r="I119" s="1049">
        <f t="shared" si="70"/>
        <v>0</v>
      </c>
      <c r="J119" s="1049">
        <f t="shared" si="70"/>
        <v>0</v>
      </c>
      <c r="K119" s="1049">
        <f t="shared" si="70"/>
        <v>0</v>
      </c>
      <c r="L119" s="1049">
        <f t="shared" si="70"/>
        <v>0</v>
      </c>
      <c r="M119" s="1049">
        <f t="shared" si="70"/>
        <v>0</v>
      </c>
      <c r="N119" s="1049">
        <f t="shared" si="70"/>
        <v>0</v>
      </c>
      <c r="O119" s="1049">
        <f t="shared" si="70"/>
        <v>0</v>
      </c>
      <c r="P119" s="1090">
        <f t="shared" si="70"/>
        <v>0</v>
      </c>
      <c r="Q119" s="150"/>
    </row>
    <row r="121" spans="2:22" ht="18.600000000000001" thickBot="1"/>
    <row r="122" spans="2:22" customFormat="1" ht="15" thickBot="1">
      <c r="B122" s="2797" t="s">
        <v>921</v>
      </c>
      <c r="C122" s="2798"/>
      <c r="D122" s="2798"/>
      <c r="E122" s="2798"/>
      <c r="F122" s="2798"/>
      <c r="G122" s="2798"/>
      <c r="H122" s="2798"/>
      <c r="I122" s="2798"/>
      <c r="J122" s="2798"/>
      <c r="K122" s="2798"/>
      <c r="L122" s="2798"/>
      <c r="M122" s="2798"/>
      <c r="N122" s="2798"/>
      <c r="O122" s="2798"/>
      <c r="P122" s="2799"/>
      <c r="Q122" s="1425"/>
      <c r="R122" s="1425"/>
      <c r="S122" s="1425"/>
    </row>
    <row r="123" spans="2:22" customFormat="1" ht="15" thickBot="1">
      <c r="B123" s="1406" t="s">
        <v>1523</v>
      </c>
      <c r="C123" s="1430" t="s">
        <v>21</v>
      </c>
      <c r="D123" s="1491">
        <f>D93</f>
        <v>0</v>
      </c>
      <c r="E123" s="1491">
        <f t="shared" ref="E123:P123" si="71">E93</f>
        <v>0</v>
      </c>
      <c r="F123" s="1491">
        <f t="shared" si="71"/>
        <v>0</v>
      </c>
      <c r="G123" s="1491">
        <f t="shared" si="71"/>
        <v>0</v>
      </c>
      <c r="H123" s="1491">
        <f t="shared" si="71"/>
        <v>0</v>
      </c>
      <c r="I123" s="1491">
        <f t="shared" si="71"/>
        <v>0</v>
      </c>
      <c r="J123" s="1491">
        <f t="shared" si="71"/>
        <v>0</v>
      </c>
      <c r="K123" s="1491">
        <f t="shared" si="71"/>
        <v>0</v>
      </c>
      <c r="L123" s="1491">
        <f t="shared" si="71"/>
        <v>0</v>
      </c>
      <c r="M123" s="1491">
        <f t="shared" si="71"/>
        <v>0</v>
      </c>
      <c r="N123" s="1491">
        <f t="shared" si="71"/>
        <v>0</v>
      </c>
      <c r="O123" s="1491">
        <f t="shared" si="71"/>
        <v>0</v>
      </c>
      <c r="P123" s="1491">
        <f t="shared" si="71"/>
        <v>0</v>
      </c>
      <c r="Q123" s="1413"/>
      <c r="R123" s="1413"/>
    </row>
    <row r="124" spans="2:22" customFormat="1" ht="27" thickBot="1">
      <c r="B124" s="1406" t="s">
        <v>1581</v>
      </c>
      <c r="C124" s="1430" t="s">
        <v>1582</v>
      </c>
      <c r="D124" s="1492">
        <f t="shared" ref="D124:P124" si="72">IFERROR(D125*1000/D123,0)</f>
        <v>0</v>
      </c>
      <c r="E124" s="1492">
        <f t="shared" si="72"/>
        <v>0</v>
      </c>
      <c r="F124" s="1492">
        <f t="shared" si="72"/>
        <v>0</v>
      </c>
      <c r="G124" s="1492">
        <f t="shared" si="72"/>
        <v>0</v>
      </c>
      <c r="H124" s="1492">
        <f t="shared" si="72"/>
        <v>0</v>
      </c>
      <c r="I124" s="1492">
        <f t="shared" si="72"/>
        <v>0</v>
      </c>
      <c r="J124" s="1492">
        <f t="shared" si="72"/>
        <v>0</v>
      </c>
      <c r="K124" s="1492">
        <f t="shared" si="72"/>
        <v>0</v>
      </c>
      <c r="L124" s="1492">
        <f t="shared" si="72"/>
        <v>0</v>
      </c>
      <c r="M124" s="1492">
        <f t="shared" si="72"/>
        <v>0</v>
      </c>
      <c r="N124" s="1492">
        <f t="shared" si="72"/>
        <v>0</v>
      </c>
      <c r="O124" s="1492">
        <f t="shared" si="72"/>
        <v>0</v>
      </c>
      <c r="P124" s="1492">
        <f t="shared" si="72"/>
        <v>0</v>
      </c>
      <c r="Q124" s="1414"/>
      <c r="R124" s="1414"/>
    </row>
    <row r="125" spans="2:22" s="1408" customFormat="1" ht="27" thickBot="1">
      <c r="B125" s="1407" t="s">
        <v>129</v>
      </c>
      <c r="C125" s="1436" t="s">
        <v>1583</v>
      </c>
      <c r="D125" s="1489">
        <f>SUM(E125:R125)</f>
        <v>0</v>
      </c>
      <c r="E125" s="1320"/>
      <c r="F125" s="1320"/>
      <c r="G125" s="1320"/>
      <c r="H125" s="1320"/>
      <c r="I125" s="1320"/>
      <c r="J125" s="1320"/>
      <c r="K125" s="1320"/>
      <c r="L125" s="1320"/>
      <c r="M125" s="1320"/>
      <c r="N125" s="1320"/>
      <c r="O125" s="1320"/>
      <c r="P125" s="1320"/>
      <c r="Q125" s="1415"/>
      <c r="R125" s="1415"/>
      <c r="V125" s="1409"/>
    </row>
    <row r="126" spans="2:22" customFormat="1" ht="27" thickBot="1">
      <c r="B126" s="1406" t="s">
        <v>1584</v>
      </c>
      <c r="C126" s="1430" t="s">
        <v>1583</v>
      </c>
      <c r="D126" s="1433"/>
      <c r="E126" s="1410"/>
      <c r="F126" s="1433"/>
      <c r="G126" s="1433"/>
      <c r="H126" s="1433"/>
      <c r="I126" s="1433"/>
      <c r="J126" s="1433"/>
      <c r="K126" s="1433"/>
      <c r="L126" s="1433"/>
      <c r="M126" s="1433"/>
      <c r="N126" s="1433"/>
      <c r="O126" s="1433"/>
      <c r="P126" s="1433"/>
      <c r="Q126" s="1416"/>
      <c r="R126" s="1416"/>
    </row>
    <row r="127" spans="2:22" customFormat="1" ht="15" thickBot="1">
      <c r="B127" s="1406" t="s">
        <v>1585</v>
      </c>
      <c r="C127" s="1430" t="s">
        <v>1586</v>
      </c>
      <c r="D127" s="1433"/>
      <c r="E127" s="1410"/>
      <c r="F127" s="1433"/>
      <c r="G127" s="1433"/>
      <c r="H127" s="1433"/>
      <c r="I127" s="1433"/>
      <c r="J127" s="1433"/>
      <c r="K127" s="1433"/>
      <c r="L127" s="1433"/>
      <c r="M127" s="1433"/>
      <c r="N127" s="1433"/>
      <c r="O127" s="1433"/>
      <c r="P127" s="1433"/>
      <c r="Q127" s="1416"/>
      <c r="R127" s="1416"/>
    </row>
    <row r="128" spans="2:22" customFormat="1" ht="27" thickBot="1">
      <c r="B128" s="1406" t="s">
        <v>1587</v>
      </c>
      <c r="C128" s="1430" t="s">
        <v>36</v>
      </c>
      <c r="D128" s="1433"/>
      <c r="E128" s="1410"/>
      <c r="F128" s="1433"/>
      <c r="G128" s="1433"/>
      <c r="H128" s="1433"/>
      <c r="I128" s="1433"/>
      <c r="J128" s="1433"/>
      <c r="K128" s="1433"/>
      <c r="L128" s="1433"/>
      <c r="M128" s="1433"/>
      <c r="N128" s="1433"/>
      <c r="O128" s="1433"/>
      <c r="P128" s="1433"/>
      <c r="Q128" s="1416"/>
      <c r="R128" s="1416"/>
    </row>
    <row r="129" spans="2:18" s="1408" customFormat="1" ht="27" thickBot="1">
      <c r="B129" s="1407" t="s">
        <v>1607</v>
      </c>
      <c r="C129" s="1436" t="s">
        <v>1583</v>
      </c>
      <c r="D129" s="1493">
        <f>D125</f>
        <v>0</v>
      </c>
      <c r="E129" s="1493">
        <f t="shared" ref="E129:P129" si="73">E125</f>
        <v>0</v>
      </c>
      <c r="F129" s="1493">
        <f t="shared" si="73"/>
        <v>0</v>
      </c>
      <c r="G129" s="1493">
        <f t="shared" si="73"/>
        <v>0</v>
      </c>
      <c r="H129" s="1493">
        <f t="shared" si="73"/>
        <v>0</v>
      </c>
      <c r="I129" s="1493">
        <f t="shared" si="73"/>
        <v>0</v>
      </c>
      <c r="J129" s="1493">
        <f t="shared" si="73"/>
        <v>0</v>
      </c>
      <c r="K129" s="1493">
        <f t="shared" si="73"/>
        <v>0</v>
      </c>
      <c r="L129" s="1493">
        <f t="shared" si="73"/>
        <v>0</v>
      </c>
      <c r="M129" s="1493">
        <f t="shared" si="73"/>
        <v>0</v>
      </c>
      <c r="N129" s="1493">
        <f t="shared" si="73"/>
        <v>0</v>
      </c>
      <c r="O129" s="1493">
        <f t="shared" si="73"/>
        <v>0</v>
      </c>
      <c r="P129" s="1493">
        <f t="shared" si="73"/>
        <v>0</v>
      </c>
      <c r="Q129" s="1415"/>
      <c r="R129" s="1415"/>
    </row>
    <row r="130" spans="2:18" customFormat="1" ht="27" thickBot="1">
      <c r="B130" s="1406" t="s">
        <v>1589</v>
      </c>
      <c r="C130" s="1430" t="s">
        <v>1605</v>
      </c>
      <c r="D130" s="1433">
        <f>'Вхідні дані'!$D$28</f>
        <v>2.1999999999999997</v>
      </c>
      <c r="E130" s="1410">
        <f>D130</f>
        <v>2.1999999999999997</v>
      </c>
      <c r="F130" s="1410">
        <f t="shared" ref="F130:P130" si="74">E130</f>
        <v>2.1999999999999997</v>
      </c>
      <c r="G130" s="1410">
        <f t="shared" si="74"/>
        <v>2.1999999999999997</v>
      </c>
      <c r="H130" s="1410">
        <f t="shared" si="74"/>
        <v>2.1999999999999997</v>
      </c>
      <c r="I130" s="1410">
        <f t="shared" si="74"/>
        <v>2.1999999999999997</v>
      </c>
      <c r="J130" s="1410">
        <f t="shared" si="74"/>
        <v>2.1999999999999997</v>
      </c>
      <c r="K130" s="1410">
        <f t="shared" si="74"/>
        <v>2.1999999999999997</v>
      </c>
      <c r="L130" s="1410">
        <f t="shared" si="74"/>
        <v>2.1999999999999997</v>
      </c>
      <c r="M130" s="1410">
        <f t="shared" si="74"/>
        <v>2.1999999999999997</v>
      </c>
      <c r="N130" s="1410">
        <f t="shared" si="74"/>
        <v>2.1999999999999997</v>
      </c>
      <c r="O130" s="1410">
        <f t="shared" si="74"/>
        <v>2.1999999999999997</v>
      </c>
      <c r="P130" s="1410">
        <f t="shared" si="74"/>
        <v>2.1999999999999997</v>
      </c>
      <c r="Q130" s="1417"/>
      <c r="R130" s="1417"/>
    </row>
    <row r="131" spans="2:18" customFormat="1" ht="27" thickBot="1">
      <c r="B131" s="1406" t="s">
        <v>1590</v>
      </c>
      <c r="C131" s="1430" t="s">
        <v>36</v>
      </c>
      <c r="D131" s="1491">
        <f>SUM(E131:R131)</f>
        <v>0</v>
      </c>
      <c r="E131" s="1497">
        <f>E130*E125</f>
        <v>0</v>
      </c>
      <c r="F131" s="1497">
        <f t="shared" ref="F131:P131" si="75">F130*F125</f>
        <v>0</v>
      </c>
      <c r="G131" s="1497">
        <f t="shared" si="75"/>
        <v>0</v>
      </c>
      <c r="H131" s="1497">
        <f t="shared" si="75"/>
        <v>0</v>
      </c>
      <c r="I131" s="1497">
        <f t="shared" si="75"/>
        <v>0</v>
      </c>
      <c r="J131" s="1497">
        <f t="shared" si="75"/>
        <v>0</v>
      </c>
      <c r="K131" s="1497">
        <f t="shared" si="75"/>
        <v>0</v>
      </c>
      <c r="L131" s="1497">
        <f t="shared" si="75"/>
        <v>0</v>
      </c>
      <c r="M131" s="1497">
        <f t="shared" si="75"/>
        <v>0</v>
      </c>
      <c r="N131" s="1497">
        <f t="shared" si="75"/>
        <v>0</v>
      </c>
      <c r="O131" s="1497">
        <f t="shared" si="75"/>
        <v>0</v>
      </c>
      <c r="P131" s="1497">
        <f t="shared" si="75"/>
        <v>0</v>
      </c>
      <c r="Q131" s="1418"/>
      <c r="R131" s="1418"/>
    </row>
    <row r="132" spans="2:18" customFormat="1" ht="27" thickBot="1">
      <c r="B132" s="1406" t="s">
        <v>1591</v>
      </c>
      <c r="C132" s="1430" t="s">
        <v>1605</v>
      </c>
      <c r="D132" s="1433">
        <f>'Вхідні дані'!$D$30</f>
        <v>1.1399999999999999</v>
      </c>
      <c r="E132" s="1497">
        <f>D132</f>
        <v>1.1399999999999999</v>
      </c>
      <c r="F132" s="1497">
        <f t="shared" ref="F132:P132" si="76">E132</f>
        <v>1.1399999999999999</v>
      </c>
      <c r="G132" s="1497">
        <f t="shared" si="76"/>
        <v>1.1399999999999999</v>
      </c>
      <c r="H132" s="1497">
        <f t="shared" si="76"/>
        <v>1.1399999999999999</v>
      </c>
      <c r="I132" s="1497">
        <f t="shared" si="76"/>
        <v>1.1399999999999999</v>
      </c>
      <c r="J132" s="1497">
        <f t="shared" si="76"/>
        <v>1.1399999999999999</v>
      </c>
      <c r="K132" s="1497">
        <f t="shared" si="76"/>
        <v>1.1399999999999999</v>
      </c>
      <c r="L132" s="1497">
        <f t="shared" si="76"/>
        <v>1.1399999999999999</v>
      </c>
      <c r="M132" s="1497">
        <f t="shared" si="76"/>
        <v>1.1399999999999999</v>
      </c>
      <c r="N132" s="1497">
        <f t="shared" si="76"/>
        <v>1.1399999999999999</v>
      </c>
      <c r="O132" s="1497">
        <f t="shared" si="76"/>
        <v>1.1399999999999999</v>
      </c>
      <c r="P132" s="1497">
        <f t="shared" si="76"/>
        <v>1.1399999999999999</v>
      </c>
      <c r="Q132" s="1418"/>
      <c r="R132" s="1418"/>
    </row>
    <row r="133" spans="2:18" customFormat="1" ht="27" thickBot="1">
      <c r="B133" s="1406" t="s">
        <v>1592</v>
      </c>
      <c r="C133" s="1430" t="s">
        <v>36</v>
      </c>
      <c r="D133" s="1492">
        <f>SUM(E133:R133)</f>
        <v>0</v>
      </c>
      <c r="E133" s="1497">
        <f>E132*E125</f>
        <v>0</v>
      </c>
      <c r="F133" s="1497">
        <f t="shared" ref="F133:P133" si="77">F132*F125</f>
        <v>0</v>
      </c>
      <c r="G133" s="1497">
        <f t="shared" si="77"/>
        <v>0</v>
      </c>
      <c r="H133" s="1497">
        <f t="shared" si="77"/>
        <v>0</v>
      </c>
      <c r="I133" s="1497">
        <f t="shared" si="77"/>
        <v>0</v>
      </c>
      <c r="J133" s="1497">
        <f t="shared" si="77"/>
        <v>0</v>
      </c>
      <c r="K133" s="1497">
        <f t="shared" si="77"/>
        <v>0</v>
      </c>
      <c r="L133" s="1497">
        <f t="shared" si="77"/>
        <v>0</v>
      </c>
      <c r="M133" s="1497">
        <f t="shared" si="77"/>
        <v>0</v>
      </c>
      <c r="N133" s="1497">
        <f t="shared" si="77"/>
        <v>0</v>
      </c>
      <c r="O133" s="1497">
        <f t="shared" si="77"/>
        <v>0</v>
      </c>
      <c r="P133" s="1497">
        <f t="shared" si="77"/>
        <v>0</v>
      </c>
      <c r="Q133" s="1418"/>
      <c r="R133" s="1418"/>
    </row>
    <row r="134" spans="2:18" customFormat="1" ht="27" thickBot="1">
      <c r="B134" s="1406" t="s">
        <v>131</v>
      </c>
      <c r="C134" s="1430" t="s">
        <v>36</v>
      </c>
      <c r="D134" s="1492">
        <f>SUM(E134:R134)</f>
        <v>0</v>
      </c>
      <c r="E134" s="1497">
        <f t="shared" ref="E134:P134" si="78">E131+E133</f>
        <v>0</v>
      </c>
      <c r="F134" s="1497">
        <f t="shared" si="78"/>
        <v>0</v>
      </c>
      <c r="G134" s="1497">
        <f t="shared" si="78"/>
        <v>0</v>
      </c>
      <c r="H134" s="1497">
        <f t="shared" si="78"/>
        <v>0</v>
      </c>
      <c r="I134" s="1497">
        <f t="shared" si="78"/>
        <v>0</v>
      </c>
      <c r="J134" s="1497">
        <f t="shared" si="78"/>
        <v>0</v>
      </c>
      <c r="K134" s="1497">
        <f t="shared" si="78"/>
        <v>0</v>
      </c>
      <c r="L134" s="1497">
        <f t="shared" si="78"/>
        <v>0</v>
      </c>
      <c r="M134" s="1497">
        <f t="shared" si="78"/>
        <v>0</v>
      </c>
      <c r="N134" s="1497">
        <f t="shared" si="78"/>
        <v>0</v>
      </c>
      <c r="O134" s="1497">
        <f t="shared" si="78"/>
        <v>0</v>
      </c>
      <c r="P134" s="1497">
        <f t="shared" si="78"/>
        <v>0</v>
      </c>
      <c r="Q134" s="1418"/>
      <c r="R134" s="1418"/>
    </row>
    <row r="135" spans="2:18" s="1408" customFormat="1" ht="27" thickBot="1">
      <c r="B135" s="1407" t="s">
        <v>172</v>
      </c>
      <c r="C135" s="1436" t="s">
        <v>1593</v>
      </c>
      <c r="D135" s="1493">
        <v>0</v>
      </c>
      <c r="E135" s="1320"/>
      <c r="F135" s="1320"/>
      <c r="G135" s="1320"/>
      <c r="H135" s="1320"/>
      <c r="I135" s="1320"/>
      <c r="J135" s="1320"/>
      <c r="K135" s="1320"/>
      <c r="L135" s="1320"/>
      <c r="M135" s="1320"/>
      <c r="N135" s="1320"/>
      <c r="O135" s="1320"/>
      <c r="P135" s="1320"/>
      <c r="Q135" s="1409"/>
      <c r="R135" s="1409"/>
    </row>
    <row r="136" spans="2:18" customFormat="1" ht="27" thickBot="1">
      <c r="B136" s="1406" t="s">
        <v>1594</v>
      </c>
      <c r="C136" s="1430" t="s">
        <v>1604</v>
      </c>
      <c r="D136" s="1492">
        <f>'Вхідні дані'!$D$32</f>
        <v>9.9999999999999992E-2</v>
      </c>
      <c r="E136" s="1497">
        <f>D136</f>
        <v>9.9999999999999992E-2</v>
      </c>
      <c r="F136" s="1497">
        <f t="shared" ref="F136:P136" si="79">E136</f>
        <v>9.9999999999999992E-2</v>
      </c>
      <c r="G136" s="1497">
        <f t="shared" si="79"/>
        <v>9.9999999999999992E-2</v>
      </c>
      <c r="H136" s="1497">
        <f t="shared" si="79"/>
        <v>9.9999999999999992E-2</v>
      </c>
      <c r="I136" s="1497">
        <f t="shared" si="79"/>
        <v>9.9999999999999992E-2</v>
      </c>
      <c r="J136" s="1497">
        <f t="shared" si="79"/>
        <v>9.9999999999999992E-2</v>
      </c>
      <c r="K136" s="1497">
        <f t="shared" si="79"/>
        <v>9.9999999999999992E-2</v>
      </c>
      <c r="L136" s="1497">
        <f t="shared" si="79"/>
        <v>9.9999999999999992E-2</v>
      </c>
      <c r="M136" s="1497">
        <f t="shared" si="79"/>
        <v>9.9999999999999992E-2</v>
      </c>
      <c r="N136" s="1497">
        <f t="shared" si="79"/>
        <v>9.9999999999999992E-2</v>
      </c>
      <c r="O136" s="1497">
        <f t="shared" si="79"/>
        <v>9.9999999999999992E-2</v>
      </c>
      <c r="P136" s="1497">
        <f t="shared" si="79"/>
        <v>9.9999999999999992E-2</v>
      </c>
      <c r="Q136" s="1418"/>
      <c r="R136" s="1418"/>
    </row>
    <row r="137" spans="2:18" customFormat="1" ht="27" thickBot="1">
      <c r="B137" s="1406" t="s">
        <v>1595</v>
      </c>
      <c r="C137" s="1430" t="s">
        <v>36</v>
      </c>
      <c r="D137" s="1492">
        <f>SUM(E137:R137)</f>
        <v>0</v>
      </c>
      <c r="E137" s="1498">
        <f>E136*E135</f>
        <v>0</v>
      </c>
      <c r="F137" s="1498">
        <f t="shared" ref="F137:P137" si="80">F136*F135</f>
        <v>0</v>
      </c>
      <c r="G137" s="1498">
        <f t="shared" si="80"/>
        <v>0</v>
      </c>
      <c r="H137" s="1498">
        <f t="shared" si="80"/>
        <v>0</v>
      </c>
      <c r="I137" s="1498">
        <f t="shared" si="80"/>
        <v>0</v>
      </c>
      <c r="J137" s="1498">
        <f t="shared" si="80"/>
        <v>0</v>
      </c>
      <c r="K137" s="1498">
        <f t="shared" si="80"/>
        <v>0</v>
      </c>
      <c r="L137" s="1498">
        <f t="shared" si="80"/>
        <v>0</v>
      </c>
      <c r="M137" s="1498">
        <f t="shared" si="80"/>
        <v>0</v>
      </c>
      <c r="N137" s="1498">
        <f t="shared" si="80"/>
        <v>0</v>
      </c>
      <c r="O137" s="1498">
        <f t="shared" si="80"/>
        <v>0</v>
      </c>
      <c r="P137" s="1498">
        <f t="shared" si="80"/>
        <v>0</v>
      </c>
      <c r="Q137" s="1419"/>
      <c r="R137" s="1419"/>
    </row>
    <row r="138" spans="2:18" s="1434" customFormat="1" ht="28.8" customHeight="1" thickBot="1">
      <c r="B138" s="1435" t="s">
        <v>1596</v>
      </c>
      <c r="C138" s="1436" t="s">
        <v>1593</v>
      </c>
      <c r="D138" s="1437">
        <v>0</v>
      </c>
      <c r="E138" s="1320"/>
      <c r="F138" s="1320"/>
      <c r="G138" s="1320"/>
      <c r="H138" s="1320"/>
      <c r="I138" s="1320"/>
      <c r="J138" s="1320"/>
      <c r="K138" s="1320"/>
      <c r="L138" s="1320"/>
      <c r="M138" s="1320"/>
      <c r="N138" s="1320"/>
      <c r="O138" s="1320"/>
      <c r="P138" s="1320"/>
      <c r="Q138" s="1438"/>
      <c r="R138" s="1438"/>
    </row>
    <row r="139" spans="2:18" customFormat="1" ht="27" thickBot="1">
      <c r="B139" s="1406" t="s">
        <v>1597</v>
      </c>
      <c r="C139" s="1430" t="s">
        <v>1604</v>
      </c>
      <c r="D139" s="1492">
        <f>'Вхідні дані'!$D$34</f>
        <v>0</v>
      </c>
      <c r="E139" s="1433">
        <f>D139</f>
        <v>0</v>
      </c>
      <c r="F139" s="1433">
        <f t="shared" ref="F139:P139" si="81">E139</f>
        <v>0</v>
      </c>
      <c r="G139" s="1433">
        <f t="shared" si="81"/>
        <v>0</v>
      </c>
      <c r="H139" s="1433">
        <f t="shared" si="81"/>
        <v>0</v>
      </c>
      <c r="I139" s="1433">
        <f t="shared" si="81"/>
        <v>0</v>
      </c>
      <c r="J139" s="1433">
        <f t="shared" si="81"/>
        <v>0</v>
      </c>
      <c r="K139" s="1433">
        <f t="shared" si="81"/>
        <v>0</v>
      </c>
      <c r="L139" s="1433">
        <f t="shared" si="81"/>
        <v>0</v>
      </c>
      <c r="M139" s="1433">
        <f t="shared" si="81"/>
        <v>0</v>
      </c>
      <c r="N139" s="1433">
        <f t="shared" si="81"/>
        <v>0</v>
      </c>
      <c r="O139" s="1433">
        <f t="shared" si="81"/>
        <v>0</v>
      </c>
      <c r="P139" s="1433">
        <f t="shared" si="81"/>
        <v>0</v>
      </c>
      <c r="Q139" s="1416"/>
      <c r="R139" s="1416"/>
    </row>
    <row r="140" spans="2:18" customFormat="1" ht="27" thickBot="1">
      <c r="B140" s="1406" t="s">
        <v>1598</v>
      </c>
      <c r="C140" s="1430" t="s">
        <v>36</v>
      </c>
      <c r="D140" s="1492">
        <f>SUM(E140:R140)</f>
        <v>0</v>
      </c>
      <c r="E140" s="1492">
        <f>E139*E138</f>
        <v>0</v>
      </c>
      <c r="F140" s="1492">
        <f t="shared" ref="F140:P140" si="82">F139*F138</f>
        <v>0</v>
      </c>
      <c r="G140" s="1492">
        <f t="shared" si="82"/>
        <v>0</v>
      </c>
      <c r="H140" s="1492">
        <f t="shared" si="82"/>
        <v>0</v>
      </c>
      <c r="I140" s="1492">
        <f t="shared" si="82"/>
        <v>0</v>
      </c>
      <c r="J140" s="1492">
        <f t="shared" si="82"/>
        <v>0</v>
      </c>
      <c r="K140" s="1492">
        <f t="shared" si="82"/>
        <v>0</v>
      </c>
      <c r="L140" s="1492">
        <f t="shared" si="82"/>
        <v>0</v>
      </c>
      <c r="M140" s="1492">
        <f t="shared" si="82"/>
        <v>0</v>
      </c>
      <c r="N140" s="1492">
        <f t="shared" si="82"/>
        <v>0</v>
      </c>
      <c r="O140" s="1492">
        <f t="shared" si="82"/>
        <v>0</v>
      </c>
      <c r="P140" s="1492">
        <f t="shared" si="82"/>
        <v>0</v>
      </c>
      <c r="Q140" s="1414"/>
      <c r="R140" s="1414"/>
    </row>
    <row r="141" spans="2:18" customFormat="1" ht="27" thickBot="1">
      <c r="B141" s="1406" t="s">
        <v>1599</v>
      </c>
      <c r="C141" s="1430" t="s">
        <v>1600</v>
      </c>
      <c r="D141" s="1492">
        <f>D135+D138</f>
        <v>0</v>
      </c>
      <c r="E141" s="1494">
        <f t="shared" ref="E141:P141" si="83">E135+E138</f>
        <v>0</v>
      </c>
      <c r="F141" s="1494">
        <f t="shared" si="83"/>
        <v>0</v>
      </c>
      <c r="G141" s="1494">
        <f t="shared" si="83"/>
        <v>0</v>
      </c>
      <c r="H141" s="1494">
        <f t="shared" si="83"/>
        <v>0</v>
      </c>
      <c r="I141" s="1494">
        <f t="shared" si="83"/>
        <v>0</v>
      </c>
      <c r="J141" s="1494">
        <f t="shared" si="83"/>
        <v>0</v>
      </c>
      <c r="K141" s="1494">
        <f t="shared" si="83"/>
        <v>0</v>
      </c>
      <c r="L141" s="1494">
        <f t="shared" si="83"/>
        <v>0</v>
      </c>
      <c r="M141" s="1494">
        <f t="shared" si="83"/>
        <v>0</v>
      </c>
      <c r="N141" s="1494">
        <f t="shared" si="83"/>
        <v>0</v>
      </c>
      <c r="O141" s="1494">
        <f t="shared" si="83"/>
        <v>0</v>
      </c>
      <c r="P141" s="1494">
        <f t="shared" si="83"/>
        <v>0</v>
      </c>
      <c r="Q141" s="1420"/>
      <c r="R141" s="1420"/>
    </row>
    <row r="142" spans="2:18" customFormat="1" ht="27" thickBot="1">
      <c r="B142" s="1411" t="s">
        <v>1601</v>
      </c>
      <c r="C142" s="1495" t="s">
        <v>36</v>
      </c>
      <c r="D142" s="1496">
        <f>D140+D137</f>
        <v>0</v>
      </c>
      <c r="E142" s="1496"/>
      <c r="F142" s="1496"/>
      <c r="G142" s="1496"/>
      <c r="H142" s="1496"/>
      <c r="I142" s="1496"/>
      <c r="J142" s="1496"/>
      <c r="K142" s="1496"/>
      <c r="L142" s="1496"/>
      <c r="M142" s="1496"/>
      <c r="N142" s="1496"/>
      <c r="O142" s="1496"/>
      <c r="P142" s="1496"/>
      <c r="Q142" s="1421"/>
      <c r="R142" s="1421"/>
    </row>
    <row r="143" spans="2:18" customFormat="1" ht="27" thickBot="1">
      <c r="B143" s="1406" t="s">
        <v>1602</v>
      </c>
      <c r="C143" s="1430" t="s">
        <v>1604</v>
      </c>
      <c r="D143" s="1491">
        <f>IFERROR(D142/D141,0)</f>
        <v>0</v>
      </c>
      <c r="E143" s="1491">
        <f t="shared" ref="E143:P143" si="84">IFERROR(E142/E141,0)</f>
        <v>0</v>
      </c>
      <c r="F143" s="1491">
        <f t="shared" si="84"/>
        <v>0</v>
      </c>
      <c r="G143" s="1491">
        <f t="shared" si="84"/>
        <v>0</v>
      </c>
      <c r="H143" s="1491">
        <f t="shared" si="84"/>
        <v>0</v>
      </c>
      <c r="I143" s="1491">
        <f t="shared" si="84"/>
        <v>0</v>
      </c>
      <c r="J143" s="1491">
        <f t="shared" si="84"/>
        <v>0</v>
      </c>
      <c r="K143" s="1491">
        <f t="shared" si="84"/>
        <v>0</v>
      </c>
      <c r="L143" s="1491">
        <f t="shared" si="84"/>
        <v>0</v>
      </c>
      <c r="M143" s="1491">
        <f t="shared" si="84"/>
        <v>0</v>
      </c>
      <c r="N143" s="1491">
        <f t="shared" si="84"/>
        <v>0</v>
      </c>
      <c r="O143" s="1491">
        <f t="shared" si="84"/>
        <v>0</v>
      </c>
      <c r="P143" s="1491">
        <f t="shared" si="84"/>
        <v>0</v>
      </c>
      <c r="Q143" s="1413"/>
      <c r="R143" s="1413"/>
    </row>
    <row r="144" spans="2:18" customFormat="1" ht="15" thickBot="1">
      <c r="B144" s="1406"/>
      <c r="C144" s="1430"/>
      <c r="D144" s="1433"/>
      <c r="E144" s="1410"/>
      <c r="F144" s="1433"/>
      <c r="G144" s="1433"/>
      <c r="H144" s="1433"/>
      <c r="I144" s="1433"/>
      <c r="J144" s="1433"/>
      <c r="K144" s="1433"/>
      <c r="L144" s="1433"/>
      <c r="M144" s="1433"/>
      <c r="N144" s="1433"/>
      <c r="O144" s="1433"/>
      <c r="P144" s="1433"/>
      <c r="Q144" s="1416"/>
      <c r="R144" s="1416"/>
    </row>
    <row r="145" spans="2:19" customFormat="1" ht="27" thickBot="1">
      <c r="B145" s="1406" t="s">
        <v>1603</v>
      </c>
      <c r="C145" s="1430" t="s">
        <v>36</v>
      </c>
      <c r="D145" s="1492">
        <f t="shared" ref="D145:P145" si="85">D142+D134</f>
        <v>0</v>
      </c>
      <c r="E145" s="1492">
        <f t="shared" si="85"/>
        <v>0</v>
      </c>
      <c r="F145" s="1492">
        <f t="shared" si="85"/>
        <v>0</v>
      </c>
      <c r="G145" s="1492">
        <f t="shared" si="85"/>
        <v>0</v>
      </c>
      <c r="H145" s="1492">
        <f t="shared" si="85"/>
        <v>0</v>
      </c>
      <c r="I145" s="1492">
        <f t="shared" si="85"/>
        <v>0</v>
      </c>
      <c r="J145" s="1492">
        <f t="shared" si="85"/>
        <v>0</v>
      </c>
      <c r="K145" s="1492">
        <f t="shared" si="85"/>
        <v>0</v>
      </c>
      <c r="L145" s="1492">
        <f t="shared" si="85"/>
        <v>0</v>
      </c>
      <c r="M145" s="1492">
        <f t="shared" si="85"/>
        <v>0</v>
      </c>
      <c r="N145" s="1492">
        <f t="shared" si="85"/>
        <v>0</v>
      </c>
      <c r="O145" s="1492">
        <f t="shared" si="85"/>
        <v>0</v>
      </c>
      <c r="P145" s="1492">
        <f t="shared" si="85"/>
        <v>0</v>
      </c>
      <c r="Q145" s="1414"/>
      <c r="R145" s="1414"/>
    </row>
    <row r="146" spans="2:19" customFormat="1" ht="14.4">
      <c r="B146" s="1424"/>
      <c r="C146" s="1422"/>
      <c r="D146" s="1422"/>
      <c r="E146" s="1413"/>
      <c r="F146" s="1413"/>
      <c r="G146" s="1413"/>
      <c r="H146" s="1413"/>
      <c r="I146" s="1413"/>
      <c r="J146" s="1413"/>
      <c r="K146" s="1413"/>
      <c r="L146" s="1413"/>
      <c r="M146" s="1413"/>
      <c r="N146" s="1413"/>
      <c r="O146" s="1413"/>
      <c r="P146" s="1413"/>
      <c r="Q146" s="1413"/>
      <c r="R146" s="1413"/>
      <c r="S146" s="1413"/>
    </row>
    <row r="147" spans="2:19" customFormat="1" ht="14.4">
      <c r="C147" s="1423"/>
      <c r="D147" s="1423"/>
    </row>
    <row r="148" spans="2:19" customFormat="1" ht="15.6">
      <c r="B148" s="2767" t="s">
        <v>747</v>
      </c>
      <c r="C148" s="2767"/>
      <c r="E148" s="2767" t="s">
        <v>747</v>
      </c>
      <c r="F148" s="2767"/>
      <c r="G148" s="2767"/>
      <c r="H148" s="2767"/>
      <c r="L148" s="2767" t="s">
        <v>747</v>
      </c>
      <c r="M148" s="2767"/>
      <c r="N148" s="2767"/>
      <c r="O148" s="2767"/>
    </row>
    <row r="149" spans="2:19" customFormat="1" ht="14.4">
      <c r="B149" s="2766" t="s">
        <v>218</v>
      </c>
      <c r="C149" s="2766"/>
      <c r="E149" s="2766" t="s">
        <v>196</v>
      </c>
      <c r="F149" s="2766"/>
      <c r="G149" s="2766"/>
      <c r="H149" s="2766"/>
      <c r="L149" s="2766" t="s">
        <v>216</v>
      </c>
      <c r="M149" s="2766"/>
      <c r="N149" s="2766"/>
      <c r="O149" s="2766"/>
    </row>
    <row r="150" spans="2:19" customFormat="1" ht="15" thickBot="1">
      <c r="B150" s="1412"/>
      <c r="C150" s="1412"/>
      <c r="E150" s="1412"/>
      <c r="F150" s="1412"/>
      <c r="G150" s="1412"/>
      <c r="H150" s="1412"/>
      <c r="L150" s="1412"/>
      <c r="M150" s="1412"/>
      <c r="N150" s="1412"/>
      <c r="O150" s="1412"/>
    </row>
    <row r="151" spans="2:19" customFormat="1" ht="15" thickBot="1">
      <c r="B151" s="2797" t="s">
        <v>1894</v>
      </c>
      <c r="C151" s="2798"/>
      <c r="D151" s="2798"/>
      <c r="E151" s="2798"/>
      <c r="F151" s="2798"/>
      <c r="G151" s="2798"/>
      <c r="H151" s="2798"/>
      <c r="I151" s="2798"/>
      <c r="J151" s="2798"/>
      <c r="K151" s="2798"/>
      <c r="L151" s="2798"/>
      <c r="M151" s="2798"/>
      <c r="N151" s="2798"/>
      <c r="O151" s="2798"/>
      <c r="P151" s="2799"/>
    </row>
    <row r="152" spans="2:19" customFormat="1" ht="15" thickBot="1">
      <c r="B152" s="1406" t="s">
        <v>1523</v>
      </c>
      <c r="C152" s="1499" t="s">
        <v>21</v>
      </c>
      <c r="D152" s="1500">
        <f>D122</f>
        <v>0</v>
      </c>
      <c r="E152" s="1500">
        <f t="shared" ref="E152:P152" si="86">E122</f>
        <v>0</v>
      </c>
      <c r="F152" s="1500">
        <f t="shared" si="86"/>
        <v>0</v>
      </c>
      <c r="G152" s="1500">
        <f t="shared" si="86"/>
        <v>0</v>
      </c>
      <c r="H152" s="1500">
        <f t="shared" si="86"/>
        <v>0</v>
      </c>
      <c r="I152" s="1500">
        <f t="shared" si="86"/>
        <v>0</v>
      </c>
      <c r="J152" s="1500">
        <f t="shared" si="86"/>
        <v>0</v>
      </c>
      <c r="K152" s="1500">
        <f t="shared" si="86"/>
        <v>0</v>
      </c>
      <c r="L152" s="1500">
        <f t="shared" si="86"/>
        <v>0</v>
      </c>
      <c r="M152" s="1500">
        <f t="shared" si="86"/>
        <v>0</v>
      </c>
      <c r="N152" s="1500">
        <f t="shared" si="86"/>
        <v>0</v>
      </c>
      <c r="O152" s="1500">
        <f t="shared" si="86"/>
        <v>0</v>
      </c>
      <c r="P152" s="1500">
        <f t="shared" si="86"/>
        <v>0</v>
      </c>
    </row>
    <row r="153" spans="2:19" customFormat="1" ht="27" thickBot="1">
      <c r="B153" s="1406" t="s">
        <v>1581</v>
      </c>
      <c r="C153" s="1499" t="s">
        <v>1582</v>
      </c>
      <c r="D153" s="1501">
        <f t="shared" ref="D153:P153" si="87">IFERROR(D154*1000/D152,0)</f>
        <v>0</v>
      </c>
      <c r="E153" s="1501">
        <f t="shared" si="87"/>
        <v>0</v>
      </c>
      <c r="F153" s="1501">
        <f t="shared" si="87"/>
        <v>0</v>
      </c>
      <c r="G153" s="1501">
        <f t="shared" si="87"/>
        <v>0</v>
      </c>
      <c r="H153" s="1501">
        <f t="shared" si="87"/>
        <v>0</v>
      </c>
      <c r="I153" s="1501">
        <f t="shared" si="87"/>
        <v>0</v>
      </c>
      <c r="J153" s="1501">
        <f t="shared" si="87"/>
        <v>0</v>
      </c>
      <c r="K153" s="1501">
        <f t="shared" si="87"/>
        <v>0</v>
      </c>
      <c r="L153" s="1501">
        <f t="shared" si="87"/>
        <v>0</v>
      </c>
      <c r="M153" s="1501">
        <f t="shared" si="87"/>
        <v>0</v>
      </c>
      <c r="N153" s="1501">
        <f t="shared" si="87"/>
        <v>0</v>
      </c>
      <c r="O153" s="1501">
        <f t="shared" si="87"/>
        <v>0</v>
      </c>
      <c r="P153" s="1501">
        <f t="shared" si="87"/>
        <v>0</v>
      </c>
    </row>
    <row r="154" spans="2:19" customFormat="1" ht="27" thickBot="1">
      <c r="B154" s="1407" t="s">
        <v>129</v>
      </c>
      <c r="C154" s="1499" t="s">
        <v>1583</v>
      </c>
      <c r="D154" s="1502">
        <f>SUM(E154:R154)</f>
        <v>0</v>
      </c>
      <c r="E154" s="1503"/>
      <c r="F154" s="1503"/>
      <c r="G154" s="1503"/>
      <c r="H154" s="1503"/>
      <c r="I154" s="1503"/>
      <c r="J154" s="1503"/>
      <c r="K154" s="1503"/>
      <c r="L154" s="1503"/>
      <c r="M154" s="1503"/>
      <c r="N154" s="1503"/>
      <c r="O154" s="1503"/>
      <c r="P154" s="1503"/>
    </row>
    <row r="155" spans="2:19" customFormat="1" ht="27" thickBot="1">
      <c r="B155" s="1406" t="s">
        <v>1584</v>
      </c>
      <c r="C155" s="1499" t="s">
        <v>1583</v>
      </c>
      <c r="D155" s="1504"/>
      <c r="E155" s="1505"/>
      <c r="F155" s="1504"/>
      <c r="G155" s="1504"/>
      <c r="H155" s="1504"/>
      <c r="I155" s="1504"/>
      <c r="J155" s="1504"/>
      <c r="K155" s="1504"/>
      <c r="L155" s="1504"/>
      <c r="M155" s="1504"/>
      <c r="N155" s="1504"/>
      <c r="O155" s="1504"/>
      <c r="P155" s="1504"/>
    </row>
    <row r="156" spans="2:19" customFormat="1" ht="15" thickBot="1">
      <c r="B156" s="1406" t="s">
        <v>1585</v>
      </c>
      <c r="C156" s="1499" t="s">
        <v>1586</v>
      </c>
      <c r="D156" s="1504"/>
      <c r="E156" s="1505"/>
      <c r="F156" s="1504"/>
      <c r="G156" s="1504"/>
      <c r="H156" s="1504"/>
      <c r="I156" s="1504"/>
      <c r="J156" s="1504"/>
      <c r="K156" s="1504"/>
      <c r="L156" s="1504"/>
      <c r="M156" s="1504"/>
      <c r="N156" s="1504"/>
      <c r="O156" s="1504"/>
      <c r="P156" s="1504"/>
    </row>
    <row r="157" spans="2:19" customFormat="1" ht="27" thickBot="1">
      <c r="B157" s="1406" t="s">
        <v>1587</v>
      </c>
      <c r="C157" s="1499" t="s">
        <v>36</v>
      </c>
      <c r="D157" s="1504"/>
      <c r="E157" s="1505"/>
      <c r="F157" s="1504"/>
      <c r="G157" s="1504"/>
      <c r="H157" s="1504"/>
      <c r="I157" s="1504"/>
      <c r="J157" s="1504"/>
      <c r="K157" s="1504"/>
      <c r="L157" s="1504"/>
      <c r="M157" s="1504"/>
      <c r="N157" s="1504"/>
      <c r="O157" s="1504"/>
      <c r="P157" s="1504"/>
    </row>
    <row r="158" spans="2:19" customFormat="1" ht="27" thickBot="1">
      <c r="B158" s="1407" t="s">
        <v>1588</v>
      </c>
      <c r="C158" s="1499" t="s">
        <v>1583</v>
      </c>
      <c r="D158" s="1501">
        <f>D154</f>
        <v>0</v>
      </c>
      <c r="E158" s="1510"/>
      <c r="F158" s="1510"/>
      <c r="G158" s="1510"/>
      <c r="H158" s="1510"/>
      <c r="I158" s="1510"/>
      <c r="J158" s="1510"/>
      <c r="K158" s="1510"/>
      <c r="L158" s="1510"/>
      <c r="M158" s="1510"/>
      <c r="N158" s="1510"/>
      <c r="O158" s="1510"/>
      <c r="P158" s="1510"/>
    </row>
    <row r="159" spans="2:19" customFormat="1" ht="27" thickBot="1">
      <c r="B159" s="1406" t="s">
        <v>1589</v>
      </c>
      <c r="C159" s="1499" t="s">
        <v>1605</v>
      </c>
      <c r="D159" s="1504">
        <f>'Вхідні дані'!$D$28</f>
        <v>2.1999999999999997</v>
      </c>
      <c r="E159" s="1505">
        <f t="shared" ref="E159:P159" si="88">D159</f>
        <v>2.1999999999999997</v>
      </c>
      <c r="F159" s="1505">
        <f t="shared" si="88"/>
        <v>2.1999999999999997</v>
      </c>
      <c r="G159" s="1505">
        <f t="shared" si="88"/>
        <v>2.1999999999999997</v>
      </c>
      <c r="H159" s="1505">
        <f t="shared" si="88"/>
        <v>2.1999999999999997</v>
      </c>
      <c r="I159" s="1505">
        <f t="shared" si="88"/>
        <v>2.1999999999999997</v>
      </c>
      <c r="J159" s="1505">
        <f t="shared" si="88"/>
        <v>2.1999999999999997</v>
      </c>
      <c r="K159" s="1505">
        <f t="shared" si="88"/>
        <v>2.1999999999999997</v>
      </c>
      <c r="L159" s="1505">
        <f t="shared" si="88"/>
        <v>2.1999999999999997</v>
      </c>
      <c r="M159" s="1505">
        <f t="shared" si="88"/>
        <v>2.1999999999999997</v>
      </c>
      <c r="N159" s="1505">
        <f t="shared" si="88"/>
        <v>2.1999999999999997</v>
      </c>
      <c r="O159" s="1505">
        <f t="shared" si="88"/>
        <v>2.1999999999999997</v>
      </c>
      <c r="P159" s="1505">
        <f t="shared" si="88"/>
        <v>2.1999999999999997</v>
      </c>
    </row>
    <row r="160" spans="2:19" customFormat="1" ht="27" thickBot="1">
      <c r="B160" s="1406" t="s">
        <v>1590</v>
      </c>
      <c r="C160" s="1499" t="s">
        <v>36</v>
      </c>
      <c r="D160" s="1500">
        <f>SUM(E160:R160)</f>
        <v>0</v>
      </c>
      <c r="E160" s="1506">
        <f>E159*E154</f>
        <v>0</v>
      </c>
      <c r="F160" s="1506">
        <f t="shared" ref="F160:P160" si="89">F159*F154</f>
        <v>0</v>
      </c>
      <c r="G160" s="1506">
        <f t="shared" si="89"/>
        <v>0</v>
      </c>
      <c r="H160" s="1506">
        <f t="shared" si="89"/>
        <v>0</v>
      </c>
      <c r="I160" s="1506">
        <f t="shared" si="89"/>
        <v>0</v>
      </c>
      <c r="J160" s="1506">
        <f t="shared" si="89"/>
        <v>0</v>
      </c>
      <c r="K160" s="1506">
        <f t="shared" si="89"/>
        <v>0</v>
      </c>
      <c r="L160" s="1506">
        <f t="shared" si="89"/>
        <v>0</v>
      </c>
      <c r="M160" s="1506">
        <f t="shared" si="89"/>
        <v>0</v>
      </c>
      <c r="N160" s="1506">
        <f t="shared" si="89"/>
        <v>0</v>
      </c>
      <c r="O160" s="1506">
        <f t="shared" si="89"/>
        <v>0</v>
      </c>
      <c r="P160" s="1506">
        <f t="shared" si="89"/>
        <v>0</v>
      </c>
    </row>
    <row r="161" spans="2:16" customFormat="1" ht="27" thickBot="1">
      <c r="B161" s="1406" t="s">
        <v>1591</v>
      </c>
      <c r="C161" s="1499" t="s">
        <v>1605</v>
      </c>
      <c r="D161" s="1504">
        <f>'Вхідні дані'!$D$30</f>
        <v>1.1399999999999999</v>
      </c>
      <c r="E161" s="1506">
        <f t="shared" ref="E161:P161" si="90">D161</f>
        <v>1.1399999999999999</v>
      </c>
      <c r="F161" s="1506">
        <f t="shared" si="90"/>
        <v>1.1399999999999999</v>
      </c>
      <c r="G161" s="1506">
        <f t="shared" si="90"/>
        <v>1.1399999999999999</v>
      </c>
      <c r="H161" s="1506">
        <f t="shared" si="90"/>
        <v>1.1399999999999999</v>
      </c>
      <c r="I161" s="1506">
        <f t="shared" si="90"/>
        <v>1.1399999999999999</v>
      </c>
      <c r="J161" s="1506">
        <f t="shared" si="90"/>
        <v>1.1399999999999999</v>
      </c>
      <c r="K161" s="1506">
        <f t="shared" si="90"/>
        <v>1.1399999999999999</v>
      </c>
      <c r="L161" s="1506">
        <f t="shared" si="90"/>
        <v>1.1399999999999999</v>
      </c>
      <c r="M161" s="1506">
        <f t="shared" si="90"/>
        <v>1.1399999999999999</v>
      </c>
      <c r="N161" s="1506">
        <f t="shared" si="90"/>
        <v>1.1399999999999999</v>
      </c>
      <c r="O161" s="1506">
        <f t="shared" si="90"/>
        <v>1.1399999999999999</v>
      </c>
      <c r="P161" s="1506">
        <f t="shared" si="90"/>
        <v>1.1399999999999999</v>
      </c>
    </row>
    <row r="162" spans="2:16" customFormat="1" ht="27" thickBot="1">
      <c r="B162" s="1406" t="s">
        <v>1592</v>
      </c>
      <c r="C162" s="1499" t="s">
        <v>36</v>
      </c>
      <c r="D162" s="1501">
        <f>SUM(E162:R162)</f>
        <v>0</v>
      </c>
      <c r="E162" s="1506">
        <f>E161*E154</f>
        <v>0</v>
      </c>
      <c r="F162" s="1506">
        <f t="shared" ref="F162:P162" si="91">F161*F154</f>
        <v>0</v>
      </c>
      <c r="G162" s="1506">
        <f t="shared" si="91"/>
        <v>0</v>
      </c>
      <c r="H162" s="1506">
        <f t="shared" si="91"/>
        <v>0</v>
      </c>
      <c r="I162" s="1506">
        <f t="shared" si="91"/>
        <v>0</v>
      </c>
      <c r="J162" s="1506">
        <f t="shared" si="91"/>
        <v>0</v>
      </c>
      <c r="K162" s="1506">
        <f t="shared" si="91"/>
        <v>0</v>
      </c>
      <c r="L162" s="1506">
        <f t="shared" si="91"/>
        <v>0</v>
      </c>
      <c r="M162" s="1506">
        <f t="shared" si="91"/>
        <v>0</v>
      </c>
      <c r="N162" s="1506">
        <f t="shared" si="91"/>
        <v>0</v>
      </c>
      <c r="O162" s="1506">
        <f t="shared" si="91"/>
        <v>0</v>
      </c>
      <c r="P162" s="1506">
        <f t="shared" si="91"/>
        <v>0</v>
      </c>
    </row>
    <row r="163" spans="2:16" customFormat="1" ht="27" thickBot="1">
      <c r="B163" s="1406" t="s">
        <v>131</v>
      </c>
      <c r="C163" s="1499" t="s">
        <v>36</v>
      </c>
      <c r="D163" s="1501">
        <f>SUM(E163:R163)</f>
        <v>0</v>
      </c>
      <c r="E163" s="1506">
        <f t="shared" ref="E163:P163" si="92">E160+E162</f>
        <v>0</v>
      </c>
      <c r="F163" s="1506">
        <f t="shared" si="92"/>
        <v>0</v>
      </c>
      <c r="G163" s="1506">
        <f t="shared" si="92"/>
        <v>0</v>
      </c>
      <c r="H163" s="1506">
        <f t="shared" si="92"/>
        <v>0</v>
      </c>
      <c r="I163" s="1506">
        <f t="shared" si="92"/>
        <v>0</v>
      </c>
      <c r="J163" s="1506">
        <f t="shared" si="92"/>
        <v>0</v>
      </c>
      <c r="K163" s="1506">
        <f t="shared" si="92"/>
        <v>0</v>
      </c>
      <c r="L163" s="1506">
        <f t="shared" si="92"/>
        <v>0</v>
      </c>
      <c r="M163" s="1506">
        <f t="shared" si="92"/>
        <v>0</v>
      </c>
      <c r="N163" s="1506">
        <f t="shared" si="92"/>
        <v>0</v>
      </c>
      <c r="O163" s="1506">
        <f t="shared" si="92"/>
        <v>0</v>
      </c>
      <c r="P163" s="1506">
        <f t="shared" si="92"/>
        <v>0</v>
      </c>
    </row>
    <row r="164" spans="2:16" customFormat="1" ht="27" thickBot="1">
      <c r="B164" s="1407" t="s">
        <v>172</v>
      </c>
      <c r="C164" s="1499" t="s">
        <v>1593</v>
      </c>
      <c r="D164" s="1501">
        <f>SUM(E164:P164)</f>
        <v>0</v>
      </c>
      <c r="E164" s="1519"/>
      <c r="F164" s="1519"/>
      <c r="G164" s="1519"/>
      <c r="H164" s="1519"/>
      <c r="I164" s="1519"/>
      <c r="J164" s="1519"/>
      <c r="K164" s="1519"/>
      <c r="L164" s="1519"/>
      <c r="M164" s="1519"/>
      <c r="N164" s="1519"/>
      <c r="O164" s="1519"/>
      <c r="P164" s="1519"/>
    </row>
    <row r="165" spans="2:16" customFormat="1" ht="27" thickBot="1">
      <c r="B165" s="1406" t="s">
        <v>1594</v>
      </c>
      <c r="C165" s="1499" t="s">
        <v>1604</v>
      </c>
      <c r="D165" s="1501">
        <f>'Вхідні дані'!$D$32</f>
        <v>9.9999999999999992E-2</v>
      </c>
      <c r="E165" s="1506">
        <f t="shared" ref="E165:P165" si="93">D165</f>
        <v>9.9999999999999992E-2</v>
      </c>
      <c r="F165" s="1506">
        <f t="shared" si="93"/>
        <v>9.9999999999999992E-2</v>
      </c>
      <c r="G165" s="1506">
        <f t="shared" si="93"/>
        <v>9.9999999999999992E-2</v>
      </c>
      <c r="H165" s="1506">
        <f t="shared" si="93"/>
        <v>9.9999999999999992E-2</v>
      </c>
      <c r="I165" s="1506">
        <f t="shared" si="93"/>
        <v>9.9999999999999992E-2</v>
      </c>
      <c r="J165" s="1506">
        <f t="shared" si="93"/>
        <v>9.9999999999999992E-2</v>
      </c>
      <c r="K165" s="1506">
        <f t="shared" si="93"/>
        <v>9.9999999999999992E-2</v>
      </c>
      <c r="L165" s="1506">
        <f t="shared" si="93"/>
        <v>9.9999999999999992E-2</v>
      </c>
      <c r="M165" s="1506">
        <f t="shared" si="93"/>
        <v>9.9999999999999992E-2</v>
      </c>
      <c r="N165" s="1506">
        <f t="shared" si="93"/>
        <v>9.9999999999999992E-2</v>
      </c>
      <c r="O165" s="1506">
        <f t="shared" si="93"/>
        <v>9.9999999999999992E-2</v>
      </c>
      <c r="P165" s="1506">
        <f t="shared" si="93"/>
        <v>9.9999999999999992E-2</v>
      </c>
    </row>
    <row r="166" spans="2:16" customFormat="1" ht="27" thickBot="1">
      <c r="B166" s="1406" t="s">
        <v>1595</v>
      </c>
      <c r="C166" s="1499" t="s">
        <v>36</v>
      </c>
      <c r="D166" s="1501">
        <f>SUM(E166:R166)</f>
        <v>0</v>
      </c>
      <c r="E166" s="1507">
        <f>E165*E164</f>
        <v>0</v>
      </c>
      <c r="F166" s="1507">
        <f t="shared" ref="F166:P166" si="94">F165*F164</f>
        <v>0</v>
      </c>
      <c r="G166" s="1507">
        <f t="shared" si="94"/>
        <v>0</v>
      </c>
      <c r="H166" s="1507">
        <f t="shared" si="94"/>
        <v>0</v>
      </c>
      <c r="I166" s="1507">
        <f t="shared" si="94"/>
        <v>0</v>
      </c>
      <c r="J166" s="1507">
        <f t="shared" si="94"/>
        <v>0</v>
      </c>
      <c r="K166" s="1507">
        <f t="shared" si="94"/>
        <v>0</v>
      </c>
      <c r="L166" s="1507">
        <f t="shared" si="94"/>
        <v>0</v>
      </c>
      <c r="M166" s="1507">
        <f t="shared" si="94"/>
        <v>0</v>
      </c>
      <c r="N166" s="1507">
        <f t="shared" si="94"/>
        <v>0</v>
      </c>
      <c r="O166" s="1507">
        <f t="shared" si="94"/>
        <v>0</v>
      </c>
      <c r="P166" s="1507">
        <f t="shared" si="94"/>
        <v>0</v>
      </c>
    </row>
    <row r="167" spans="2:16" customFormat="1" ht="30" customHeight="1" thickBot="1">
      <c r="B167" s="1407" t="s">
        <v>1608</v>
      </c>
      <c r="C167" s="1499" t="s">
        <v>1593</v>
      </c>
      <c r="D167" s="1500">
        <v>0</v>
      </c>
      <c r="E167" s="1503"/>
      <c r="F167" s="1503"/>
      <c r="G167" s="1503"/>
      <c r="H167" s="1503"/>
      <c r="I167" s="1503"/>
      <c r="J167" s="1503"/>
      <c r="K167" s="1503"/>
      <c r="L167" s="1503"/>
      <c r="M167" s="1503"/>
      <c r="N167" s="1503"/>
      <c r="O167" s="1503"/>
      <c r="P167" s="1503"/>
    </row>
    <row r="168" spans="2:16" customFormat="1" ht="27" thickBot="1">
      <c r="B168" s="1406" t="s">
        <v>1597</v>
      </c>
      <c r="C168" s="1499" t="s">
        <v>1604</v>
      </c>
      <c r="D168" s="1501">
        <f>'Вхідні дані'!$D$34</f>
        <v>0</v>
      </c>
      <c r="E168" s="1504">
        <f t="shared" ref="E168:P168" si="95">D168</f>
        <v>0</v>
      </c>
      <c r="F168" s="1504">
        <f t="shared" si="95"/>
        <v>0</v>
      </c>
      <c r="G168" s="1504">
        <f t="shared" si="95"/>
        <v>0</v>
      </c>
      <c r="H168" s="1504">
        <f t="shared" si="95"/>
        <v>0</v>
      </c>
      <c r="I168" s="1504">
        <f t="shared" si="95"/>
        <v>0</v>
      </c>
      <c r="J168" s="1504">
        <f t="shared" si="95"/>
        <v>0</v>
      </c>
      <c r="K168" s="1504">
        <f t="shared" si="95"/>
        <v>0</v>
      </c>
      <c r="L168" s="1504">
        <f t="shared" si="95"/>
        <v>0</v>
      </c>
      <c r="M168" s="1504">
        <f t="shared" si="95"/>
        <v>0</v>
      </c>
      <c r="N168" s="1504">
        <f t="shared" si="95"/>
        <v>0</v>
      </c>
      <c r="O168" s="1504">
        <f t="shared" si="95"/>
        <v>0</v>
      </c>
      <c r="P168" s="1504">
        <f t="shared" si="95"/>
        <v>0</v>
      </c>
    </row>
    <row r="169" spans="2:16" customFormat="1" ht="27" thickBot="1">
      <c r="B169" s="1406" t="s">
        <v>1598</v>
      </c>
      <c r="C169" s="1499" t="s">
        <v>36</v>
      </c>
      <c r="D169" s="1501">
        <f>SUM(E169:R169)</f>
        <v>0</v>
      </c>
      <c r="E169" s="1501">
        <f>E168*E167/100</f>
        <v>0</v>
      </c>
      <c r="F169" s="1501">
        <f t="shared" ref="F169:P169" si="96">F168*F167/100</f>
        <v>0</v>
      </c>
      <c r="G169" s="1501">
        <f t="shared" si="96"/>
        <v>0</v>
      </c>
      <c r="H169" s="1501">
        <f t="shared" si="96"/>
        <v>0</v>
      </c>
      <c r="I169" s="1501">
        <f t="shared" si="96"/>
        <v>0</v>
      </c>
      <c r="J169" s="1501">
        <f t="shared" si="96"/>
        <v>0</v>
      </c>
      <c r="K169" s="1501">
        <f t="shared" si="96"/>
        <v>0</v>
      </c>
      <c r="L169" s="1501">
        <f t="shared" si="96"/>
        <v>0</v>
      </c>
      <c r="M169" s="1501">
        <f t="shared" si="96"/>
        <v>0</v>
      </c>
      <c r="N169" s="1501">
        <f t="shared" si="96"/>
        <v>0</v>
      </c>
      <c r="O169" s="1501">
        <f t="shared" si="96"/>
        <v>0</v>
      </c>
      <c r="P169" s="1501">
        <f t="shared" si="96"/>
        <v>0</v>
      </c>
    </row>
    <row r="170" spans="2:16" customFormat="1" ht="27" thickBot="1">
      <c r="B170" s="1406" t="s">
        <v>1599</v>
      </c>
      <c r="C170" s="1499" t="s">
        <v>1600</v>
      </c>
      <c r="D170" s="1501">
        <f>D164+D167</f>
        <v>0</v>
      </c>
      <c r="E170" s="1508">
        <f t="shared" ref="E170:P170" si="97">E164+E167</f>
        <v>0</v>
      </c>
      <c r="F170" s="1508">
        <f t="shared" si="97"/>
        <v>0</v>
      </c>
      <c r="G170" s="1508">
        <f t="shared" si="97"/>
        <v>0</v>
      </c>
      <c r="H170" s="1508">
        <f t="shared" si="97"/>
        <v>0</v>
      </c>
      <c r="I170" s="1508">
        <f t="shared" si="97"/>
        <v>0</v>
      </c>
      <c r="J170" s="1508">
        <f t="shared" si="97"/>
        <v>0</v>
      </c>
      <c r="K170" s="1508">
        <f t="shared" si="97"/>
        <v>0</v>
      </c>
      <c r="L170" s="1508">
        <f t="shared" si="97"/>
        <v>0</v>
      </c>
      <c r="M170" s="1508">
        <f t="shared" si="97"/>
        <v>0</v>
      </c>
      <c r="N170" s="1508">
        <f t="shared" si="97"/>
        <v>0</v>
      </c>
      <c r="O170" s="1508">
        <f t="shared" si="97"/>
        <v>0</v>
      </c>
      <c r="P170" s="1508">
        <f t="shared" si="97"/>
        <v>0</v>
      </c>
    </row>
    <row r="171" spans="2:16" customFormat="1" ht="27" thickBot="1">
      <c r="B171" s="1411" t="s">
        <v>1601</v>
      </c>
      <c r="C171" s="1509" t="s">
        <v>36</v>
      </c>
      <c r="D171" s="1510">
        <f>D169+D166</f>
        <v>0</v>
      </c>
      <c r="E171" s="1510">
        <f t="shared" ref="E171:P171" si="98">E169+E166</f>
        <v>0</v>
      </c>
      <c r="F171" s="1510">
        <f t="shared" si="98"/>
        <v>0</v>
      </c>
      <c r="G171" s="1510">
        <f t="shared" si="98"/>
        <v>0</v>
      </c>
      <c r="H171" s="1510">
        <f t="shared" si="98"/>
        <v>0</v>
      </c>
      <c r="I171" s="1510">
        <f t="shared" si="98"/>
        <v>0</v>
      </c>
      <c r="J171" s="1510">
        <f t="shared" si="98"/>
        <v>0</v>
      </c>
      <c r="K171" s="1510">
        <f t="shared" si="98"/>
        <v>0</v>
      </c>
      <c r="L171" s="1510">
        <f t="shared" si="98"/>
        <v>0</v>
      </c>
      <c r="M171" s="1510">
        <f t="shared" si="98"/>
        <v>0</v>
      </c>
      <c r="N171" s="1510">
        <f t="shared" si="98"/>
        <v>0</v>
      </c>
      <c r="O171" s="1510">
        <f t="shared" si="98"/>
        <v>0</v>
      </c>
      <c r="P171" s="1510">
        <f t="shared" si="98"/>
        <v>0</v>
      </c>
    </row>
    <row r="172" spans="2:16" customFormat="1" ht="27" thickBot="1">
      <c r="B172" s="1406" t="s">
        <v>1602</v>
      </c>
      <c r="C172" s="1499" t="s">
        <v>1604</v>
      </c>
      <c r="D172" s="1500">
        <f>IFERROR(D171/D170,0)</f>
        <v>0</v>
      </c>
      <c r="E172" s="1500">
        <f>IFERROR(E171/E170,0)</f>
        <v>0</v>
      </c>
      <c r="F172" s="1500">
        <f t="shared" ref="F172:P172" si="99">IFERROR(F171/F170,0)</f>
        <v>0</v>
      </c>
      <c r="G172" s="1500">
        <f t="shared" si="99"/>
        <v>0</v>
      </c>
      <c r="H172" s="1500">
        <f t="shared" si="99"/>
        <v>0</v>
      </c>
      <c r="I172" s="1500">
        <f t="shared" si="99"/>
        <v>0</v>
      </c>
      <c r="J172" s="1500">
        <f t="shared" si="99"/>
        <v>0</v>
      </c>
      <c r="K172" s="1500">
        <f t="shared" si="99"/>
        <v>0</v>
      </c>
      <c r="L172" s="1500">
        <f t="shared" si="99"/>
        <v>0</v>
      </c>
      <c r="M172" s="1500">
        <f t="shared" si="99"/>
        <v>0</v>
      </c>
      <c r="N172" s="1500">
        <f t="shared" si="99"/>
        <v>0</v>
      </c>
      <c r="O172" s="1500">
        <f t="shared" si="99"/>
        <v>0</v>
      </c>
      <c r="P172" s="1500">
        <f t="shared" si="99"/>
        <v>0</v>
      </c>
    </row>
    <row r="173" spans="2:16" customFormat="1" ht="7.2" customHeight="1" thickBot="1">
      <c r="B173" s="1406"/>
      <c r="C173" s="1499"/>
      <c r="D173" s="1504"/>
      <c r="E173" s="1505"/>
      <c r="F173" s="1504"/>
      <c r="G173" s="1504"/>
      <c r="H173" s="1504"/>
      <c r="I173" s="1504"/>
      <c r="J173" s="1504"/>
      <c r="K173" s="1504"/>
      <c r="L173" s="1504"/>
      <c r="M173" s="1504"/>
      <c r="N173" s="1504"/>
      <c r="O173" s="1504"/>
      <c r="P173" s="1504"/>
    </row>
    <row r="174" spans="2:16" ht="27" thickBot="1">
      <c r="B174" s="1406" t="s">
        <v>1609</v>
      </c>
      <c r="C174" s="1499" t="s">
        <v>36</v>
      </c>
      <c r="D174" s="1501">
        <f t="shared" ref="D174:P174" si="100">D171+D163</f>
        <v>0</v>
      </c>
      <c r="E174" s="1501">
        <f t="shared" si="100"/>
        <v>0</v>
      </c>
      <c r="F174" s="1501">
        <f t="shared" si="100"/>
        <v>0</v>
      </c>
      <c r="G174" s="1501">
        <f t="shared" si="100"/>
        <v>0</v>
      </c>
      <c r="H174" s="1501">
        <f t="shared" si="100"/>
        <v>0</v>
      </c>
      <c r="I174" s="1501">
        <f t="shared" si="100"/>
        <v>0</v>
      </c>
      <c r="J174" s="1501">
        <f t="shared" si="100"/>
        <v>0</v>
      </c>
      <c r="K174" s="1501">
        <f t="shared" si="100"/>
        <v>0</v>
      </c>
      <c r="L174" s="1501">
        <f t="shared" si="100"/>
        <v>0</v>
      </c>
      <c r="M174" s="1501">
        <f t="shared" si="100"/>
        <v>0</v>
      </c>
      <c r="N174" s="1501">
        <f t="shared" si="100"/>
        <v>0</v>
      </c>
      <c r="O174" s="1501">
        <f t="shared" si="100"/>
        <v>0</v>
      </c>
      <c r="P174" s="1501">
        <f t="shared" si="100"/>
        <v>0</v>
      </c>
    </row>
    <row r="175" spans="2:16">
      <c r="B175" s="1424"/>
      <c r="C175" s="1422"/>
      <c r="D175" s="1422"/>
      <c r="E175" s="1413"/>
      <c r="F175" s="1413"/>
      <c r="G175" s="1413"/>
      <c r="H175" s="1413"/>
      <c r="I175" s="1413"/>
      <c r="J175" s="1413"/>
      <c r="K175" s="1413"/>
      <c r="L175" s="1413"/>
      <c r="M175" s="1413"/>
      <c r="N175" s="1413"/>
      <c r="O175" s="1413"/>
      <c r="P175" s="1413"/>
    </row>
    <row r="176" spans="2:16">
      <c r="B176"/>
      <c r="C176" s="1423"/>
      <c r="D176" s="1423"/>
      <c r="E176"/>
      <c r="F176"/>
      <c r="G176"/>
      <c r="H176"/>
      <c r="I176"/>
      <c r="J176"/>
      <c r="K176"/>
      <c r="L176"/>
      <c r="M176"/>
      <c r="N176"/>
      <c r="O176"/>
      <c r="P176"/>
    </row>
    <row r="177" spans="2:20">
      <c r="B177" s="2767" t="s">
        <v>747</v>
      </c>
      <c r="C177" s="2767"/>
      <c r="D177"/>
      <c r="E177" s="2767" t="s">
        <v>747</v>
      </c>
      <c r="F177" s="2767"/>
      <c r="G177" s="2767"/>
      <c r="H177" s="2767"/>
      <c r="I177"/>
      <c r="J177"/>
      <c r="K177"/>
      <c r="L177" s="2767" t="s">
        <v>747</v>
      </c>
      <c r="M177" s="2767"/>
      <c r="N177" s="2767"/>
      <c r="O177" s="2767"/>
      <c r="P177"/>
    </row>
    <row r="178" spans="2:20">
      <c r="B178" s="2766" t="s">
        <v>218</v>
      </c>
      <c r="C178" s="2766"/>
      <c r="D178"/>
      <c r="E178" s="2766" t="s">
        <v>196</v>
      </c>
      <c r="F178" s="2766"/>
      <c r="G178" s="2766"/>
      <c r="H178" s="2766"/>
      <c r="I178"/>
      <c r="J178"/>
      <c r="K178"/>
      <c r="L178" s="2766" t="s">
        <v>216</v>
      </c>
      <c r="M178" s="2766"/>
      <c r="N178" s="2766"/>
      <c r="O178" s="2766"/>
      <c r="P178"/>
    </row>
    <row r="179" spans="2:20">
      <c r="B179" s="1412"/>
      <c r="C179" s="1412"/>
      <c r="D179"/>
      <c r="E179" s="1412"/>
      <c r="F179" s="1412"/>
      <c r="G179" s="1412"/>
      <c r="H179" s="1412"/>
      <c r="I179"/>
      <c r="J179"/>
      <c r="K179"/>
      <c r="L179" s="1412"/>
      <c r="M179" s="1412"/>
      <c r="N179" s="1412"/>
      <c r="O179" s="1412"/>
      <c r="P179"/>
    </row>
    <row r="180" spans="2:20">
      <c r="Q180" s="1091"/>
    </row>
    <row r="181" spans="2:20" ht="18.600000000000001" thickBot="1">
      <c r="Q181" s="1091"/>
    </row>
    <row r="182" spans="2:20">
      <c r="B182" s="2800" t="s">
        <v>923</v>
      </c>
      <c r="C182" s="2801"/>
      <c r="D182" s="1369" t="s">
        <v>126</v>
      </c>
      <c r="E182" s="2792" t="s">
        <v>18</v>
      </c>
      <c r="F182" s="2792" t="s">
        <v>19</v>
      </c>
      <c r="G182" s="2792" t="s">
        <v>20</v>
      </c>
      <c r="H182" s="2792" t="s">
        <v>10</v>
      </c>
      <c r="I182" s="2792" t="s">
        <v>11</v>
      </c>
      <c r="J182" s="2792" t="s">
        <v>12</v>
      </c>
      <c r="K182" s="2792" t="s">
        <v>13</v>
      </c>
      <c r="L182" s="2792" t="s">
        <v>127</v>
      </c>
      <c r="M182" s="2792" t="s">
        <v>14</v>
      </c>
      <c r="N182" s="2792" t="s">
        <v>15</v>
      </c>
      <c r="O182" s="2792" t="s">
        <v>16</v>
      </c>
      <c r="P182" s="2794" t="s">
        <v>17</v>
      </c>
      <c r="Q182" s="1091"/>
    </row>
    <row r="183" spans="2:20" ht="18.600000000000001" thickBot="1">
      <c r="B183" s="2802"/>
      <c r="C183" s="2803"/>
      <c r="D183" s="1370" t="str">
        <f>'Вхідні дані'!$F$6</f>
        <v>2023-2024</v>
      </c>
      <c r="E183" s="2793"/>
      <c r="F183" s="2793"/>
      <c r="G183" s="2793"/>
      <c r="H183" s="2793"/>
      <c r="I183" s="2793"/>
      <c r="J183" s="2793"/>
      <c r="K183" s="2793"/>
      <c r="L183" s="2793"/>
      <c r="M183" s="2793"/>
      <c r="N183" s="2793"/>
      <c r="O183" s="2793"/>
      <c r="P183" s="2795"/>
      <c r="Q183" s="1091"/>
    </row>
    <row r="184" spans="2:20">
      <c r="B184" s="1426" t="s">
        <v>1206</v>
      </c>
      <c r="C184" s="594" t="s">
        <v>178</v>
      </c>
      <c r="D184" s="1427">
        <f t="shared" ref="D184:P184" si="101">D185+D187+D192+D193+D194+D195+D196+D197+D198</f>
        <v>424.47639913334166</v>
      </c>
      <c r="E184" s="1368">
        <f t="shared" si="101"/>
        <v>5.9416033213715407</v>
      </c>
      <c r="F184" s="1368">
        <f t="shared" si="101"/>
        <v>60.834757826917063</v>
      </c>
      <c r="G184" s="1368">
        <f t="shared" si="101"/>
        <v>87.104292274716201</v>
      </c>
      <c r="H184" s="1368">
        <f t="shared" si="101"/>
        <v>99.401192733587592</v>
      </c>
      <c r="I184" s="1368">
        <f t="shared" si="101"/>
        <v>89.789445790240762</v>
      </c>
      <c r="J184" s="1368">
        <f t="shared" si="101"/>
        <v>77.889108330796319</v>
      </c>
      <c r="K184" s="1368">
        <f t="shared" si="101"/>
        <v>1.753438855712153</v>
      </c>
      <c r="L184" s="1368">
        <f>L185+L187+L192+L193+L194+L195+L196+L197+L198</f>
        <v>0.35711999999999999</v>
      </c>
      <c r="M184" s="1368">
        <f t="shared" si="101"/>
        <v>0.34560000000000002</v>
      </c>
      <c r="N184" s="1368">
        <f t="shared" si="101"/>
        <v>0.35711999999999999</v>
      </c>
      <c r="O184" s="1368">
        <f t="shared" si="101"/>
        <v>0.35711999999999999</v>
      </c>
      <c r="P184" s="1368">
        <f t="shared" si="101"/>
        <v>0.34560000000000002</v>
      </c>
      <c r="Q184" s="1091"/>
    </row>
    <row r="185" spans="2:20">
      <c r="B185" s="1092" t="s">
        <v>655</v>
      </c>
      <c r="C185" s="582" t="s">
        <v>178</v>
      </c>
      <c r="D185" s="1093">
        <f>D13</f>
        <v>420.13773673334168</v>
      </c>
      <c r="E185" s="1093">
        <f t="shared" ref="E185:P185" si="102">E13</f>
        <v>5.5268833213715407</v>
      </c>
      <c r="F185" s="1093">
        <f t="shared" si="102"/>
        <v>60.546757826917066</v>
      </c>
      <c r="G185" s="1093">
        <f t="shared" si="102"/>
        <v>86.747172274716206</v>
      </c>
      <c r="H185" s="1093">
        <f t="shared" si="102"/>
        <v>99.044072733587598</v>
      </c>
      <c r="I185" s="1093">
        <f t="shared" si="102"/>
        <v>89.333023390240768</v>
      </c>
      <c r="J185" s="1093">
        <f t="shared" si="102"/>
        <v>77.48590833079632</v>
      </c>
      <c r="K185" s="1093">
        <f t="shared" si="102"/>
        <v>1.453918855712153</v>
      </c>
      <c r="L185" s="1093">
        <f t="shared" si="102"/>
        <v>0</v>
      </c>
      <c r="M185" s="1093">
        <f t="shared" si="102"/>
        <v>0</v>
      </c>
      <c r="N185" s="1093">
        <f t="shared" si="102"/>
        <v>0</v>
      </c>
      <c r="O185" s="1093">
        <f t="shared" si="102"/>
        <v>0</v>
      </c>
      <c r="P185" s="1093">
        <f t="shared" si="102"/>
        <v>0</v>
      </c>
      <c r="Q185" s="1091"/>
    </row>
    <row r="186" spans="2:20" s="1516" customFormat="1">
      <c r="B186" s="1513" t="s">
        <v>1618</v>
      </c>
      <c r="C186" s="1511" t="s">
        <v>178</v>
      </c>
      <c r="D186" s="1518"/>
      <c r="E186" s="1512"/>
      <c r="F186" s="1512"/>
      <c r="G186" s="1512"/>
      <c r="H186" s="1512"/>
      <c r="I186" s="1512"/>
      <c r="J186" s="1512"/>
      <c r="K186" s="1512"/>
      <c r="L186" s="1512"/>
      <c r="M186" s="1512"/>
      <c r="N186" s="1512"/>
      <c r="O186" s="1512"/>
      <c r="P186" s="1512"/>
      <c r="Q186" s="1514"/>
      <c r="R186" s="1515"/>
      <c r="T186" s="1517"/>
    </row>
    <row r="187" spans="2:20">
      <c r="B187" s="1092" t="s">
        <v>926</v>
      </c>
      <c r="C187" s="582" t="s">
        <v>178</v>
      </c>
      <c r="D187" s="1093">
        <f>D34</f>
        <v>0</v>
      </c>
      <c r="E187" s="1093">
        <f t="shared" ref="E187:P187" si="103">E34</f>
        <v>0</v>
      </c>
      <c r="F187" s="1093">
        <f t="shared" si="103"/>
        <v>0</v>
      </c>
      <c r="G187" s="1093">
        <f t="shared" si="103"/>
        <v>0</v>
      </c>
      <c r="H187" s="1093">
        <f t="shared" si="103"/>
        <v>0</v>
      </c>
      <c r="I187" s="1093">
        <f t="shared" si="103"/>
        <v>0</v>
      </c>
      <c r="J187" s="1093">
        <f t="shared" si="103"/>
        <v>0</v>
      </c>
      <c r="K187" s="1093">
        <f t="shared" si="103"/>
        <v>0</v>
      </c>
      <c r="L187" s="1093">
        <f t="shared" si="103"/>
        <v>0</v>
      </c>
      <c r="M187" s="1093">
        <f t="shared" si="103"/>
        <v>0</v>
      </c>
      <c r="N187" s="1093">
        <f t="shared" si="103"/>
        <v>0</v>
      </c>
      <c r="O187" s="1093">
        <f t="shared" si="103"/>
        <v>0</v>
      </c>
      <c r="P187" s="1093">
        <f t="shared" si="103"/>
        <v>0</v>
      </c>
      <c r="Q187" s="1091"/>
    </row>
    <row r="188" spans="2:20">
      <c r="B188" s="1094" t="s">
        <v>1204</v>
      </c>
      <c r="C188" s="583" t="s">
        <v>178</v>
      </c>
      <c r="D188" s="1095">
        <f t="shared" ref="D188:P188" si="104">D35</f>
        <v>0</v>
      </c>
      <c r="E188" s="1095">
        <f t="shared" si="104"/>
        <v>0</v>
      </c>
      <c r="F188" s="1095">
        <f t="shared" si="104"/>
        <v>0</v>
      </c>
      <c r="G188" s="1095">
        <f t="shared" si="104"/>
        <v>0</v>
      </c>
      <c r="H188" s="1095">
        <f t="shared" si="104"/>
        <v>0</v>
      </c>
      <c r="I188" s="1095">
        <f t="shared" si="104"/>
        <v>0</v>
      </c>
      <c r="J188" s="1095">
        <f t="shared" si="104"/>
        <v>0</v>
      </c>
      <c r="K188" s="1095">
        <f t="shared" si="104"/>
        <v>0</v>
      </c>
      <c r="L188" s="1095">
        <f t="shared" si="104"/>
        <v>0</v>
      </c>
      <c r="M188" s="1095">
        <f t="shared" si="104"/>
        <v>0</v>
      </c>
      <c r="N188" s="1095">
        <f t="shared" si="104"/>
        <v>0</v>
      </c>
      <c r="O188" s="1095">
        <f t="shared" si="104"/>
        <v>0</v>
      </c>
      <c r="P188" s="1095">
        <f t="shared" si="104"/>
        <v>0</v>
      </c>
      <c r="Q188" s="1091"/>
    </row>
    <row r="189" spans="2:20" s="1516" customFormat="1">
      <c r="B189" s="1513" t="s">
        <v>1618</v>
      </c>
      <c r="C189" s="1511" t="s">
        <v>178</v>
      </c>
      <c r="D189" s="1518">
        <v>9703.7291519999999</v>
      </c>
      <c r="E189" s="1512"/>
      <c r="F189" s="1512"/>
      <c r="G189" s="1512"/>
      <c r="H189" s="1512"/>
      <c r="I189" s="1512"/>
      <c r="J189" s="1512"/>
      <c r="K189" s="1512"/>
      <c r="L189" s="1512"/>
      <c r="M189" s="1512"/>
      <c r="N189" s="1512"/>
      <c r="O189" s="1512"/>
      <c r="P189" s="1512"/>
      <c r="Q189" s="1514"/>
      <c r="R189" s="1515"/>
      <c r="T189" s="1517"/>
    </row>
    <row r="190" spans="2:20">
      <c r="B190" s="1094" t="s">
        <v>1205</v>
      </c>
      <c r="C190" s="583" t="s">
        <v>178</v>
      </c>
      <c r="D190" s="1095">
        <f t="shared" ref="D190:P190" si="105">D36</f>
        <v>0</v>
      </c>
      <c r="E190" s="1095">
        <f t="shared" si="105"/>
        <v>0</v>
      </c>
      <c r="F190" s="1095">
        <f t="shared" si="105"/>
        <v>0</v>
      </c>
      <c r="G190" s="1095">
        <f t="shared" si="105"/>
        <v>0</v>
      </c>
      <c r="H190" s="1095">
        <f t="shared" si="105"/>
        <v>0</v>
      </c>
      <c r="I190" s="1095">
        <f t="shared" si="105"/>
        <v>0</v>
      </c>
      <c r="J190" s="1095">
        <f t="shared" si="105"/>
        <v>0</v>
      </c>
      <c r="K190" s="1095">
        <f t="shared" si="105"/>
        <v>0</v>
      </c>
      <c r="L190" s="1095">
        <f t="shared" si="105"/>
        <v>0</v>
      </c>
      <c r="M190" s="1095">
        <f t="shared" si="105"/>
        <v>0</v>
      </c>
      <c r="N190" s="1095">
        <f t="shared" si="105"/>
        <v>0</v>
      </c>
      <c r="O190" s="1095">
        <f t="shared" si="105"/>
        <v>0</v>
      </c>
      <c r="P190" s="1095">
        <f t="shared" si="105"/>
        <v>0</v>
      </c>
      <c r="Q190" s="1091"/>
    </row>
    <row r="191" spans="2:20" s="1516" customFormat="1">
      <c r="B191" s="1513" t="s">
        <v>1618</v>
      </c>
      <c r="C191" s="1511" t="s">
        <v>178</v>
      </c>
      <c r="D191" s="1518"/>
      <c r="E191" s="1512"/>
      <c r="F191" s="1512"/>
      <c r="G191" s="1512"/>
      <c r="H191" s="1512"/>
      <c r="I191" s="1512"/>
      <c r="J191" s="1512"/>
      <c r="K191" s="1512"/>
      <c r="L191" s="1512"/>
      <c r="M191" s="1512"/>
      <c r="N191" s="1512"/>
      <c r="O191" s="1512"/>
      <c r="P191" s="1512"/>
      <c r="Q191" s="1514"/>
      <c r="R191" s="1515"/>
      <c r="T191" s="1517"/>
    </row>
    <row r="192" spans="2:20">
      <c r="B192" s="1092" t="s">
        <v>1161</v>
      </c>
      <c r="C192" s="582" t="s">
        <v>178</v>
      </c>
      <c r="D192" s="1367">
        <f>D71</f>
        <v>0</v>
      </c>
      <c r="E192" s="1093">
        <f t="shared" ref="E192:P192" si="106">E71</f>
        <v>0</v>
      </c>
      <c r="F192" s="1093">
        <f t="shared" si="106"/>
        <v>0</v>
      </c>
      <c r="G192" s="1093">
        <f t="shared" si="106"/>
        <v>0</v>
      </c>
      <c r="H192" s="1093">
        <f t="shared" si="106"/>
        <v>0</v>
      </c>
      <c r="I192" s="1093">
        <f t="shared" si="106"/>
        <v>0</v>
      </c>
      <c r="J192" s="1093">
        <f t="shared" si="106"/>
        <v>0</v>
      </c>
      <c r="K192" s="1093">
        <f t="shared" si="106"/>
        <v>0</v>
      </c>
      <c r="L192" s="1093">
        <f t="shared" si="106"/>
        <v>0</v>
      </c>
      <c r="M192" s="1093">
        <f t="shared" si="106"/>
        <v>0</v>
      </c>
      <c r="N192" s="1093">
        <f t="shared" si="106"/>
        <v>0</v>
      </c>
      <c r="O192" s="1093">
        <f t="shared" si="106"/>
        <v>0</v>
      </c>
      <c r="P192" s="1093">
        <f t="shared" si="106"/>
        <v>0</v>
      </c>
      <c r="Q192" s="1091"/>
    </row>
    <row r="193" spans="2:20">
      <c r="B193" s="1092" t="s">
        <v>761</v>
      </c>
      <c r="C193" s="582" t="s">
        <v>178</v>
      </c>
      <c r="D193" s="1093">
        <f>D99</f>
        <v>0</v>
      </c>
      <c r="E193" s="1093">
        <f t="shared" ref="E193:P193" si="107">E99</f>
        <v>0</v>
      </c>
      <c r="F193" s="1093">
        <f t="shared" si="107"/>
        <v>0</v>
      </c>
      <c r="G193" s="1093">
        <f t="shared" si="107"/>
        <v>0</v>
      </c>
      <c r="H193" s="1093">
        <f t="shared" si="107"/>
        <v>0</v>
      </c>
      <c r="I193" s="1093">
        <f t="shared" si="107"/>
        <v>0</v>
      </c>
      <c r="J193" s="1093">
        <f t="shared" si="107"/>
        <v>0</v>
      </c>
      <c r="K193" s="1093">
        <f t="shared" si="107"/>
        <v>0</v>
      </c>
      <c r="L193" s="1093">
        <f t="shared" si="107"/>
        <v>0</v>
      </c>
      <c r="M193" s="1093">
        <f t="shared" si="107"/>
        <v>0</v>
      </c>
      <c r="N193" s="1093">
        <f t="shared" si="107"/>
        <v>0</v>
      </c>
      <c r="O193" s="1093">
        <f t="shared" si="107"/>
        <v>0</v>
      </c>
      <c r="P193" s="1093">
        <f t="shared" si="107"/>
        <v>0</v>
      </c>
      <c r="Q193" s="1091"/>
    </row>
    <row r="194" spans="2:20">
      <c r="B194" s="1092" t="s">
        <v>1169</v>
      </c>
      <c r="C194" s="582" t="s">
        <v>178</v>
      </c>
      <c r="D194" s="1093">
        <f>D101</f>
        <v>0</v>
      </c>
      <c r="E194" s="1093">
        <f t="shared" ref="E194:P194" si="108">E101</f>
        <v>0</v>
      </c>
      <c r="F194" s="1093">
        <f t="shared" si="108"/>
        <v>0</v>
      </c>
      <c r="G194" s="1093">
        <f t="shared" si="108"/>
        <v>0</v>
      </c>
      <c r="H194" s="1093">
        <f t="shared" si="108"/>
        <v>0</v>
      </c>
      <c r="I194" s="1093">
        <f t="shared" si="108"/>
        <v>0</v>
      </c>
      <c r="J194" s="1093">
        <f t="shared" si="108"/>
        <v>0</v>
      </c>
      <c r="K194" s="1093">
        <f t="shared" si="108"/>
        <v>0</v>
      </c>
      <c r="L194" s="1093">
        <f t="shared" si="108"/>
        <v>0</v>
      </c>
      <c r="M194" s="1093">
        <f t="shared" si="108"/>
        <v>0</v>
      </c>
      <c r="N194" s="1093">
        <f t="shared" si="108"/>
        <v>0</v>
      </c>
      <c r="O194" s="1093">
        <f t="shared" si="108"/>
        <v>0</v>
      </c>
      <c r="P194" s="1093">
        <f t="shared" si="108"/>
        <v>0</v>
      </c>
      <c r="Q194" s="1091"/>
    </row>
    <row r="195" spans="2:20">
      <c r="B195" s="1092" t="s">
        <v>749</v>
      </c>
      <c r="C195" s="582" t="s">
        <v>178</v>
      </c>
      <c r="D195" s="1093">
        <f>D100</f>
        <v>0</v>
      </c>
      <c r="E195" s="1093">
        <f t="shared" ref="E195:P195" si="109">E100</f>
        <v>0</v>
      </c>
      <c r="F195" s="1093">
        <f t="shared" si="109"/>
        <v>0</v>
      </c>
      <c r="G195" s="1093">
        <f t="shared" si="109"/>
        <v>0</v>
      </c>
      <c r="H195" s="1093">
        <f t="shared" si="109"/>
        <v>0</v>
      </c>
      <c r="I195" s="1093">
        <f t="shared" si="109"/>
        <v>0</v>
      </c>
      <c r="J195" s="1093">
        <f t="shared" si="109"/>
        <v>0</v>
      </c>
      <c r="K195" s="1093">
        <f t="shared" si="109"/>
        <v>0</v>
      </c>
      <c r="L195" s="1093">
        <f t="shared" si="109"/>
        <v>0</v>
      </c>
      <c r="M195" s="1093">
        <f t="shared" si="109"/>
        <v>0</v>
      </c>
      <c r="N195" s="1093">
        <f t="shared" si="109"/>
        <v>0</v>
      </c>
      <c r="O195" s="1093">
        <f t="shared" si="109"/>
        <v>0</v>
      </c>
      <c r="P195" s="1093">
        <f t="shared" si="109"/>
        <v>0</v>
      </c>
      <c r="Q195" s="1091"/>
    </row>
    <row r="196" spans="2:20">
      <c r="B196" s="1092" t="s">
        <v>760</v>
      </c>
      <c r="C196" s="582" t="s">
        <v>178</v>
      </c>
      <c r="D196" s="1093">
        <f>D125</f>
        <v>0</v>
      </c>
      <c r="E196" s="1093">
        <f t="shared" ref="E196:P196" si="110">E125</f>
        <v>0</v>
      </c>
      <c r="F196" s="1093">
        <f t="shared" si="110"/>
        <v>0</v>
      </c>
      <c r="G196" s="1093">
        <f t="shared" si="110"/>
        <v>0</v>
      </c>
      <c r="H196" s="1093">
        <f t="shared" si="110"/>
        <v>0</v>
      </c>
      <c r="I196" s="1093">
        <f t="shared" si="110"/>
        <v>0</v>
      </c>
      <c r="J196" s="1093">
        <f t="shared" si="110"/>
        <v>0</v>
      </c>
      <c r="K196" s="1093">
        <f t="shared" si="110"/>
        <v>0</v>
      </c>
      <c r="L196" s="1093">
        <f t="shared" si="110"/>
        <v>0</v>
      </c>
      <c r="M196" s="1093">
        <f t="shared" si="110"/>
        <v>0</v>
      </c>
      <c r="N196" s="1093">
        <f t="shared" si="110"/>
        <v>0</v>
      </c>
      <c r="O196" s="1093">
        <f t="shared" si="110"/>
        <v>0</v>
      </c>
      <c r="P196" s="1093">
        <f t="shared" si="110"/>
        <v>0</v>
      </c>
      <c r="Q196" s="1091"/>
    </row>
    <row r="197" spans="2:20">
      <c r="B197" s="1092" t="s">
        <v>1895</v>
      </c>
      <c r="C197" s="582" t="s">
        <v>178</v>
      </c>
      <c r="D197" s="1093">
        <f>SUM(E197:P197)</f>
        <v>0</v>
      </c>
      <c r="E197" s="1092">
        <v>0</v>
      </c>
      <c r="F197" s="1092">
        <v>0</v>
      </c>
      <c r="G197" s="1092">
        <v>0</v>
      </c>
      <c r="H197" s="1092">
        <v>0</v>
      </c>
      <c r="I197" s="1092">
        <v>0</v>
      </c>
      <c r="J197" s="1092">
        <v>0</v>
      </c>
      <c r="K197" s="1092">
        <v>0</v>
      </c>
      <c r="L197" s="1092">
        <v>0</v>
      </c>
      <c r="M197" s="1092">
        <v>0</v>
      </c>
      <c r="N197" s="1092">
        <v>0</v>
      </c>
      <c r="O197" s="1092">
        <v>0</v>
      </c>
      <c r="P197" s="1092">
        <v>0</v>
      </c>
      <c r="Q197" s="1091"/>
    </row>
    <row r="198" spans="2:20">
      <c r="B198" s="1092" t="s">
        <v>1180</v>
      </c>
      <c r="C198" s="582" t="s">
        <v>178</v>
      </c>
      <c r="D198" s="1093">
        <f>SUM(E198:P198)</f>
        <v>4.3386624000000005</v>
      </c>
      <c r="E198" s="1092">
        <v>0.41471999999999998</v>
      </c>
      <c r="F198" s="1092">
        <v>0.28799999999999998</v>
      </c>
      <c r="G198" s="1092">
        <v>0.35711999999999999</v>
      </c>
      <c r="H198" s="1092">
        <v>0.35711999999999999</v>
      </c>
      <c r="I198" s="1092">
        <v>0.45642240000000006</v>
      </c>
      <c r="J198" s="1092">
        <v>0.4032</v>
      </c>
      <c r="K198" s="1092">
        <v>0.29952000000000001</v>
      </c>
      <c r="L198" s="1092">
        <v>0.35711999999999999</v>
      </c>
      <c r="M198" s="1092">
        <v>0.34560000000000002</v>
      </c>
      <c r="N198" s="1092">
        <v>0.35711999999999999</v>
      </c>
      <c r="O198" s="1092">
        <v>0.35711999999999999</v>
      </c>
      <c r="P198" s="1092">
        <v>0.34560000000000002</v>
      </c>
      <c r="Q198" s="1091"/>
    </row>
    <row r="199" spans="2:20">
      <c r="B199" s="1394" t="s">
        <v>1579</v>
      </c>
      <c r="C199" s="1395"/>
      <c r="D199" s="1428" t="e">
        <f>D200+D201+D204+D205+D206+D207+D208+D209+D210</f>
        <v>#REF!</v>
      </c>
      <c r="E199" s="1396" t="e">
        <f t="shared" ref="E199:P199" si="111">E200+E201+E204+E205+E206+E207+E208+E209+E210</f>
        <v>#REF!</v>
      </c>
      <c r="F199" s="1396" t="e">
        <f t="shared" si="111"/>
        <v>#REF!</v>
      </c>
      <c r="G199" s="1396" t="e">
        <f t="shared" si="111"/>
        <v>#REF!</v>
      </c>
      <c r="H199" s="1396" t="e">
        <f t="shared" si="111"/>
        <v>#REF!</v>
      </c>
      <c r="I199" s="1396" t="e">
        <f t="shared" si="111"/>
        <v>#REF!</v>
      </c>
      <c r="J199" s="1396" t="e">
        <f t="shared" si="111"/>
        <v>#REF!</v>
      </c>
      <c r="K199" s="1396" t="e">
        <f t="shared" si="111"/>
        <v>#REF!</v>
      </c>
      <c r="L199" s="1396" t="e">
        <f t="shared" si="111"/>
        <v>#REF!</v>
      </c>
      <c r="M199" s="1396" t="e">
        <f t="shared" si="111"/>
        <v>#REF!</v>
      </c>
      <c r="N199" s="1396" t="e">
        <f t="shared" si="111"/>
        <v>#REF!</v>
      </c>
      <c r="O199" s="1396" t="e">
        <f t="shared" si="111"/>
        <v>#REF!</v>
      </c>
      <c r="P199" s="1396" t="e">
        <f t="shared" si="111"/>
        <v>#REF!</v>
      </c>
    </row>
    <row r="200" spans="2:20" ht="15" customHeight="1">
      <c r="B200" s="1397" t="s">
        <v>655</v>
      </c>
      <c r="C200" s="1398" t="str">
        <f>C19</f>
        <v>тис. кВАр∙год</v>
      </c>
      <c r="D200" s="1398">
        <f>D19</f>
        <v>0</v>
      </c>
      <c r="E200" s="1398">
        <f t="shared" ref="E200:P200" si="112">E19</f>
        <v>0</v>
      </c>
      <c r="F200" s="1398">
        <f t="shared" si="112"/>
        <v>0</v>
      </c>
      <c r="G200" s="1398">
        <f t="shared" si="112"/>
        <v>0</v>
      </c>
      <c r="H200" s="1398">
        <f t="shared" si="112"/>
        <v>0</v>
      </c>
      <c r="I200" s="1398">
        <f t="shared" si="112"/>
        <v>0</v>
      </c>
      <c r="J200" s="1398">
        <f t="shared" si="112"/>
        <v>0</v>
      </c>
      <c r="K200" s="1398">
        <f t="shared" si="112"/>
        <v>0</v>
      </c>
      <c r="L200" s="1398">
        <f t="shared" si="112"/>
        <v>0</v>
      </c>
      <c r="M200" s="1398">
        <f t="shared" si="112"/>
        <v>0</v>
      </c>
      <c r="N200" s="1398">
        <f t="shared" si="112"/>
        <v>0</v>
      </c>
      <c r="O200" s="1398">
        <f t="shared" si="112"/>
        <v>0</v>
      </c>
      <c r="P200" s="1398">
        <f t="shared" si="112"/>
        <v>0</v>
      </c>
      <c r="R200" s="1052" t="s">
        <v>758</v>
      </c>
    </row>
    <row r="201" spans="2:20">
      <c r="B201" s="1397" t="s">
        <v>926</v>
      </c>
      <c r="C201" s="1395"/>
      <c r="D201" s="1398">
        <f>D48</f>
        <v>0</v>
      </c>
      <c r="E201" s="1398">
        <f t="shared" ref="E201:P201" si="113">E48</f>
        <v>0</v>
      </c>
      <c r="F201" s="1398">
        <f t="shared" si="113"/>
        <v>0</v>
      </c>
      <c r="G201" s="1398">
        <f t="shared" si="113"/>
        <v>0</v>
      </c>
      <c r="H201" s="1398">
        <f t="shared" si="113"/>
        <v>0</v>
      </c>
      <c r="I201" s="1398">
        <f t="shared" si="113"/>
        <v>0</v>
      </c>
      <c r="J201" s="1398">
        <f t="shared" si="113"/>
        <v>0</v>
      </c>
      <c r="K201" s="1398">
        <f t="shared" si="113"/>
        <v>0</v>
      </c>
      <c r="L201" s="1398">
        <f t="shared" si="113"/>
        <v>0</v>
      </c>
      <c r="M201" s="1398">
        <f t="shared" si="113"/>
        <v>0</v>
      </c>
      <c r="N201" s="1398">
        <f t="shared" si="113"/>
        <v>0</v>
      </c>
      <c r="O201" s="1398">
        <f t="shared" si="113"/>
        <v>0</v>
      </c>
      <c r="P201" s="1398">
        <f t="shared" si="113"/>
        <v>0</v>
      </c>
    </row>
    <row r="202" spans="2:20" s="1384" customFormat="1" ht="15" customHeight="1">
      <c r="B202" s="1399" t="s">
        <v>1204</v>
      </c>
      <c r="C202" s="1395"/>
      <c r="D202" s="1398">
        <f t="shared" ref="D202:P203" si="114">D49</f>
        <v>0</v>
      </c>
      <c r="E202" s="1398">
        <f t="shared" si="114"/>
        <v>0</v>
      </c>
      <c r="F202" s="1398">
        <f t="shared" si="114"/>
        <v>0</v>
      </c>
      <c r="G202" s="1398">
        <f t="shared" si="114"/>
        <v>0</v>
      </c>
      <c r="H202" s="1398">
        <f t="shared" si="114"/>
        <v>0</v>
      </c>
      <c r="I202" s="1398">
        <f t="shared" si="114"/>
        <v>0</v>
      </c>
      <c r="J202" s="1398">
        <f t="shared" si="114"/>
        <v>0</v>
      </c>
      <c r="K202" s="1398">
        <f t="shared" si="114"/>
        <v>0</v>
      </c>
      <c r="L202" s="1398">
        <f t="shared" si="114"/>
        <v>0</v>
      </c>
      <c r="M202" s="1398">
        <f t="shared" si="114"/>
        <v>0</v>
      </c>
      <c r="N202" s="1398">
        <f t="shared" si="114"/>
        <v>0</v>
      </c>
      <c r="O202" s="1398">
        <f t="shared" si="114"/>
        <v>0</v>
      </c>
      <c r="P202" s="1398">
        <f t="shared" si="114"/>
        <v>0</v>
      </c>
      <c r="Q202" s="1391">
        <f t="shared" ref="Q202:Q231" si="115">D230-E230-F230-G230-H230-I230-J230-K230-L230-M230-N230-O230-P230</f>
        <v>8.3488771451811772E-14</v>
      </c>
      <c r="R202" s="1385">
        <v>10776.776543305648</v>
      </c>
      <c r="S202" s="1386"/>
    </row>
    <row r="203" spans="2:20" s="1384" customFormat="1" ht="15" customHeight="1">
      <c r="B203" s="1399" t="s">
        <v>1205</v>
      </c>
      <c r="C203" s="1395"/>
      <c r="D203" s="1398">
        <f t="shared" si="114"/>
        <v>0</v>
      </c>
      <c r="E203" s="1398">
        <f t="shared" si="114"/>
        <v>0</v>
      </c>
      <c r="F203" s="1398">
        <f t="shared" si="114"/>
        <v>0</v>
      </c>
      <c r="G203" s="1398">
        <f t="shared" si="114"/>
        <v>0</v>
      </c>
      <c r="H203" s="1398">
        <f t="shared" si="114"/>
        <v>0</v>
      </c>
      <c r="I203" s="1398">
        <f t="shared" si="114"/>
        <v>0</v>
      </c>
      <c r="J203" s="1398">
        <f t="shared" si="114"/>
        <v>0</v>
      </c>
      <c r="K203" s="1398">
        <f t="shared" si="114"/>
        <v>0</v>
      </c>
      <c r="L203" s="1398">
        <f t="shared" si="114"/>
        <v>0</v>
      </c>
      <c r="M203" s="1398">
        <f t="shared" si="114"/>
        <v>0</v>
      </c>
      <c r="N203" s="1398">
        <f t="shared" si="114"/>
        <v>0</v>
      </c>
      <c r="O203" s="1398">
        <f t="shared" si="114"/>
        <v>0</v>
      </c>
      <c r="P203" s="1398">
        <f t="shared" si="114"/>
        <v>0</v>
      </c>
      <c r="Q203" s="1391">
        <f t="shared" si="115"/>
        <v>9.9475983006414026E-14</v>
      </c>
      <c r="R203" s="1385"/>
      <c r="S203" s="1386"/>
    </row>
    <row r="204" spans="2:20" s="1384" customFormat="1" ht="15" customHeight="1">
      <c r="B204" s="1397" t="s">
        <v>1161</v>
      </c>
      <c r="C204" s="1395"/>
      <c r="D204" s="1398" t="e">
        <f>D77</f>
        <v>#REF!</v>
      </c>
      <c r="E204" s="1398" t="e">
        <f t="shared" ref="E204:P204" si="116">E77</f>
        <v>#REF!</v>
      </c>
      <c r="F204" s="1398" t="e">
        <f t="shared" si="116"/>
        <v>#REF!</v>
      </c>
      <c r="G204" s="1398" t="e">
        <f t="shared" si="116"/>
        <v>#REF!</v>
      </c>
      <c r="H204" s="1398" t="e">
        <f t="shared" si="116"/>
        <v>#REF!</v>
      </c>
      <c r="I204" s="1398" t="e">
        <f t="shared" si="116"/>
        <v>#REF!</v>
      </c>
      <c r="J204" s="1398" t="e">
        <f t="shared" si="116"/>
        <v>#REF!</v>
      </c>
      <c r="K204" s="1398" t="e">
        <f t="shared" si="116"/>
        <v>#REF!</v>
      </c>
      <c r="L204" s="1398" t="e">
        <f t="shared" si="116"/>
        <v>#REF!</v>
      </c>
      <c r="M204" s="1398" t="e">
        <f t="shared" si="116"/>
        <v>#REF!</v>
      </c>
      <c r="N204" s="1398" t="e">
        <f t="shared" si="116"/>
        <v>#REF!</v>
      </c>
      <c r="O204" s="1398" t="e">
        <f t="shared" si="116"/>
        <v>#REF!</v>
      </c>
      <c r="P204" s="1398" t="e">
        <f t="shared" si="116"/>
        <v>#REF!</v>
      </c>
      <c r="Q204" s="1391">
        <f t="shared" si="115"/>
        <v>1.2434497875801753E-14</v>
      </c>
      <c r="R204" s="1385"/>
      <c r="S204" s="1386"/>
    </row>
    <row r="205" spans="2:20" s="1384" customFormat="1" ht="15" customHeight="1">
      <c r="B205" s="1397" t="s">
        <v>761</v>
      </c>
      <c r="C205" s="1395"/>
      <c r="D205" s="1398">
        <f>D116</f>
        <v>0</v>
      </c>
      <c r="E205" s="1398">
        <f t="shared" ref="E205:P205" si="117">E116</f>
        <v>0</v>
      </c>
      <c r="F205" s="1398">
        <f t="shared" si="117"/>
        <v>0</v>
      </c>
      <c r="G205" s="1398">
        <f t="shared" si="117"/>
        <v>0</v>
      </c>
      <c r="H205" s="1398">
        <f t="shared" si="117"/>
        <v>0</v>
      </c>
      <c r="I205" s="1398">
        <f t="shared" si="117"/>
        <v>0</v>
      </c>
      <c r="J205" s="1398">
        <f t="shared" si="117"/>
        <v>0</v>
      </c>
      <c r="K205" s="1398">
        <f t="shared" si="117"/>
        <v>0</v>
      </c>
      <c r="L205" s="1398">
        <f t="shared" si="117"/>
        <v>0</v>
      </c>
      <c r="M205" s="1398">
        <f t="shared" si="117"/>
        <v>0</v>
      </c>
      <c r="N205" s="1398">
        <f t="shared" si="117"/>
        <v>0</v>
      </c>
      <c r="O205" s="1398">
        <f t="shared" si="117"/>
        <v>0</v>
      </c>
      <c r="P205" s="1398">
        <f t="shared" si="117"/>
        <v>0</v>
      </c>
      <c r="Q205" s="1391">
        <f t="shared" si="115"/>
        <v>0</v>
      </c>
      <c r="R205" s="1385"/>
      <c r="S205" s="1386"/>
    </row>
    <row r="206" spans="2:20" s="1384" customFormat="1" ht="15" customHeight="1">
      <c r="B206" s="1397" t="s">
        <v>1169</v>
      </c>
      <c r="C206" s="1395"/>
      <c r="D206" s="1398">
        <f>D116</f>
        <v>0</v>
      </c>
      <c r="E206" s="1398">
        <f t="shared" ref="E206:P206" si="118">E116</f>
        <v>0</v>
      </c>
      <c r="F206" s="1398">
        <f t="shared" si="118"/>
        <v>0</v>
      </c>
      <c r="G206" s="1398">
        <f t="shared" si="118"/>
        <v>0</v>
      </c>
      <c r="H206" s="1398">
        <f t="shared" si="118"/>
        <v>0</v>
      </c>
      <c r="I206" s="1398">
        <f t="shared" si="118"/>
        <v>0</v>
      </c>
      <c r="J206" s="1398">
        <f t="shared" si="118"/>
        <v>0</v>
      </c>
      <c r="K206" s="1398">
        <f t="shared" si="118"/>
        <v>0</v>
      </c>
      <c r="L206" s="1398">
        <f t="shared" si="118"/>
        <v>0</v>
      </c>
      <c r="M206" s="1398">
        <f t="shared" si="118"/>
        <v>0</v>
      </c>
      <c r="N206" s="1398">
        <f t="shared" si="118"/>
        <v>0</v>
      </c>
      <c r="O206" s="1398">
        <f t="shared" si="118"/>
        <v>0</v>
      </c>
      <c r="P206" s="1398">
        <f t="shared" si="118"/>
        <v>0</v>
      </c>
      <c r="Q206" s="1391">
        <f t="shared" si="115"/>
        <v>0</v>
      </c>
      <c r="R206" s="1385"/>
      <c r="S206" s="1386"/>
    </row>
    <row r="207" spans="2:20" ht="14.4" customHeight="1">
      <c r="B207" s="1397" t="s">
        <v>749</v>
      </c>
      <c r="C207" s="1395"/>
      <c r="D207" s="1398">
        <f>D116</f>
        <v>0</v>
      </c>
      <c r="E207" s="1398">
        <f t="shared" ref="E207:P207" si="119">E116</f>
        <v>0</v>
      </c>
      <c r="F207" s="1398">
        <f t="shared" si="119"/>
        <v>0</v>
      </c>
      <c r="G207" s="1398">
        <f t="shared" si="119"/>
        <v>0</v>
      </c>
      <c r="H207" s="1398">
        <f t="shared" si="119"/>
        <v>0</v>
      </c>
      <c r="I207" s="1398">
        <f t="shared" si="119"/>
        <v>0</v>
      </c>
      <c r="J207" s="1398">
        <f t="shared" si="119"/>
        <v>0</v>
      </c>
      <c r="K207" s="1398">
        <f t="shared" si="119"/>
        <v>0</v>
      </c>
      <c r="L207" s="1398">
        <f t="shared" si="119"/>
        <v>0</v>
      </c>
      <c r="M207" s="1398">
        <f t="shared" si="119"/>
        <v>0</v>
      </c>
      <c r="N207" s="1398">
        <f t="shared" si="119"/>
        <v>0</v>
      </c>
      <c r="O207" s="1398">
        <f t="shared" si="119"/>
        <v>0</v>
      </c>
      <c r="P207" s="1398">
        <f t="shared" si="119"/>
        <v>0</v>
      </c>
      <c r="Q207" s="1391">
        <f t="shared" si="115"/>
        <v>8.3488771451811772E-14</v>
      </c>
      <c r="R207" s="1052">
        <v>3307.3448788512451</v>
      </c>
      <c r="S207" s="1097" t="s">
        <v>1213</v>
      </c>
      <c r="T207" s="598"/>
    </row>
    <row r="208" spans="2:20" ht="14.4" customHeight="1">
      <c r="B208" s="1397" t="s">
        <v>760</v>
      </c>
      <c r="C208" s="1395"/>
      <c r="D208" s="1398"/>
      <c r="E208" s="1397"/>
      <c r="F208" s="1397"/>
      <c r="G208" s="1397"/>
      <c r="H208" s="1397"/>
      <c r="I208" s="1397"/>
      <c r="J208" s="1397"/>
      <c r="K208" s="1397"/>
      <c r="L208" s="1397"/>
      <c r="M208" s="1397"/>
      <c r="N208" s="1397"/>
      <c r="O208" s="1397"/>
      <c r="P208" s="1397"/>
      <c r="Q208" s="1391">
        <f t="shared" si="115"/>
        <v>9.9475983006414026E-14</v>
      </c>
      <c r="S208" s="1097"/>
      <c r="T208" s="598"/>
    </row>
    <row r="209" spans="1:26" ht="14.4" customHeight="1">
      <c r="B209" s="1397" t="s">
        <v>672</v>
      </c>
      <c r="C209" s="1395"/>
      <c r="D209" s="1398"/>
      <c r="E209" s="1397"/>
      <c r="F209" s="1397"/>
      <c r="G209" s="1397"/>
      <c r="H209" s="1397"/>
      <c r="I209" s="1397"/>
      <c r="J209" s="1397"/>
      <c r="K209" s="1397"/>
      <c r="L209" s="1397"/>
      <c r="M209" s="1397"/>
      <c r="N209" s="1397"/>
      <c r="O209" s="1397"/>
      <c r="P209" s="1397"/>
      <c r="Q209" s="1391">
        <f t="shared" si="115"/>
        <v>1.2434497875801753E-14</v>
      </c>
      <c r="S209" s="1097"/>
      <c r="T209" s="598"/>
    </row>
    <row r="210" spans="1:26" ht="14.4" customHeight="1">
      <c r="B210" s="1397" t="s">
        <v>1180</v>
      </c>
      <c r="C210" s="1395"/>
      <c r="D210" s="1398"/>
      <c r="E210" s="1397"/>
      <c r="F210" s="1397"/>
      <c r="G210" s="1397"/>
      <c r="H210" s="1397"/>
      <c r="I210" s="1397"/>
      <c r="J210" s="1397"/>
      <c r="K210" s="1397"/>
      <c r="L210" s="1397"/>
      <c r="M210" s="1397"/>
      <c r="N210" s="1397"/>
      <c r="O210" s="1397"/>
      <c r="P210" s="1397"/>
      <c r="Q210" s="1391">
        <f t="shared" si="115"/>
        <v>0</v>
      </c>
      <c r="S210" s="1097"/>
      <c r="T210" s="598"/>
    </row>
    <row r="211" spans="1:26" ht="14.4" customHeight="1">
      <c r="B211" s="1400" t="s">
        <v>1580</v>
      </c>
      <c r="C211" s="1401"/>
      <c r="D211" s="1402" t="e">
        <f>D212+D213+D216+D217+D218+D219+D220+D221+D222</f>
        <v>#REF!</v>
      </c>
      <c r="E211" s="1402" t="e">
        <f t="shared" ref="E211:P211" si="120">E212+E213+E216+E217+E218+E219+E220+E221+E222</f>
        <v>#REF!</v>
      </c>
      <c r="F211" s="1402" t="e">
        <f t="shared" si="120"/>
        <v>#REF!</v>
      </c>
      <c r="G211" s="1402" t="e">
        <f t="shared" si="120"/>
        <v>#REF!</v>
      </c>
      <c r="H211" s="1402" t="e">
        <f t="shared" si="120"/>
        <v>#REF!</v>
      </c>
      <c r="I211" s="1402" t="e">
        <f t="shared" si="120"/>
        <v>#REF!</v>
      </c>
      <c r="J211" s="1402" t="e">
        <f t="shared" si="120"/>
        <v>#REF!</v>
      </c>
      <c r="K211" s="1402" t="e">
        <f t="shared" si="120"/>
        <v>#REF!</v>
      </c>
      <c r="L211" s="1402" t="e">
        <f t="shared" si="120"/>
        <v>#REF!</v>
      </c>
      <c r="M211" s="1402" t="e">
        <f t="shared" si="120"/>
        <v>#REF!</v>
      </c>
      <c r="N211" s="1402" t="e">
        <f t="shared" si="120"/>
        <v>#REF!</v>
      </c>
      <c r="O211" s="1402" t="e">
        <f t="shared" si="120"/>
        <v>#REF!</v>
      </c>
      <c r="P211" s="1402" t="e">
        <f t="shared" si="120"/>
        <v>#REF!</v>
      </c>
      <c r="Q211" s="1391">
        <f t="shared" si="115"/>
        <v>0</v>
      </c>
      <c r="S211" s="1097"/>
      <c r="T211" s="598"/>
    </row>
    <row r="212" spans="1:26">
      <c r="B212" s="1403" t="s">
        <v>655</v>
      </c>
      <c r="C212" s="1401"/>
      <c r="D212" s="1405">
        <f>D22</f>
        <v>0</v>
      </c>
      <c r="E212" s="1405">
        <f t="shared" ref="E212:P212" si="121">E22</f>
        <v>0</v>
      </c>
      <c r="F212" s="1405">
        <f t="shared" si="121"/>
        <v>0</v>
      </c>
      <c r="G212" s="1405">
        <f t="shared" si="121"/>
        <v>0</v>
      </c>
      <c r="H212" s="1405">
        <f t="shared" si="121"/>
        <v>0</v>
      </c>
      <c r="I212" s="1405">
        <f t="shared" si="121"/>
        <v>0</v>
      </c>
      <c r="J212" s="1405">
        <f t="shared" si="121"/>
        <v>0</v>
      </c>
      <c r="K212" s="1405">
        <f t="shared" si="121"/>
        <v>0</v>
      </c>
      <c r="L212" s="1405">
        <f t="shared" si="121"/>
        <v>0</v>
      </c>
      <c r="M212" s="1405">
        <f t="shared" si="121"/>
        <v>0</v>
      </c>
      <c r="N212" s="1405">
        <f t="shared" si="121"/>
        <v>0</v>
      </c>
      <c r="O212" s="1405">
        <f t="shared" si="121"/>
        <v>0</v>
      </c>
      <c r="P212" s="1405">
        <f t="shared" si="121"/>
        <v>0</v>
      </c>
      <c r="Q212" s="1391">
        <f t="shared" si="115"/>
        <v>0</v>
      </c>
      <c r="R212" s="1052">
        <v>7324.4827978223038</v>
      </c>
      <c r="S212" s="1097" t="s">
        <v>1214</v>
      </c>
      <c r="T212" s="598"/>
    </row>
    <row r="213" spans="1:26">
      <c r="B213" s="1403" t="s">
        <v>926</v>
      </c>
      <c r="C213" s="1401"/>
      <c r="D213" s="1405">
        <f>D55</f>
        <v>0</v>
      </c>
      <c r="E213" s="1405">
        <f t="shared" ref="E213:P213" si="122">E55</f>
        <v>0</v>
      </c>
      <c r="F213" s="1405">
        <f t="shared" si="122"/>
        <v>0</v>
      </c>
      <c r="G213" s="1405">
        <f t="shared" si="122"/>
        <v>0</v>
      </c>
      <c r="H213" s="1405">
        <f t="shared" si="122"/>
        <v>0</v>
      </c>
      <c r="I213" s="1405">
        <f t="shared" si="122"/>
        <v>0</v>
      </c>
      <c r="J213" s="1405">
        <f t="shared" si="122"/>
        <v>0</v>
      </c>
      <c r="K213" s="1405">
        <f t="shared" si="122"/>
        <v>0</v>
      </c>
      <c r="L213" s="1405">
        <f t="shared" si="122"/>
        <v>0</v>
      </c>
      <c r="M213" s="1405">
        <f t="shared" si="122"/>
        <v>0</v>
      </c>
      <c r="N213" s="1405">
        <f t="shared" si="122"/>
        <v>0</v>
      </c>
      <c r="O213" s="1405">
        <f t="shared" si="122"/>
        <v>0</v>
      </c>
      <c r="P213" s="1405">
        <f t="shared" si="122"/>
        <v>0</v>
      </c>
      <c r="Q213" s="1391">
        <f t="shared" si="115"/>
        <v>0</v>
      </c>
      <c r="S213" s="1097"/>
      <c r="T213" s="598"/>
    </row>
    <row r="214" spans="1:26" ht="14.4" customHeight="1">
      <c r="B214" s="1404" t="s">
        <v>1204</v>
      </c>
      <c r="C214" s="1401"/>
      <c r="D214" s="1405">
        <f>D56</f>
        <v>0</v>
      </c>
      <c r="E214" s="1405">
        <f t="shared" ref="E214:P214" si="123">E56</f>
        <v>0</v>
      </c>
      <c r="F214" s="1405">
        <f t="shared" si="123"/>
        <v>0</v>
      </c>
      <c r="G214" s="1405">
        <f t="shared" si="123"/>
        <v>0</v>
      </c>
      <c r="H214" s="1405">
        <f t="shared" si="123"/>
        <v>0</v>
      </c>
      <c r="I214" s="1405">
        <f t="shared" si="123"/>
        <v>0</v>
      </c>
      <c r="J214" s="1405">
        <f t="shared" si="123"/>
        <v>0</v>
      </c>
      <c r="K214" s="1405">
        <f t="shared" si="123"/>
        <v>0</v>
      </c>
      <c r="L214" s="1405">
        <f t="shared" si="123"/>
        <v>0</v>
      </c>
      <c r="M214" s="1405">
        <f t="shared" si="123"/>
        <v>0</v>
      </c>
      <c r="N214" s="1405">
        <f t="shared" si="123"/>
        <v>0</v>
      </c>
      <c r="O214" s="1405">
        <f t="shared" si="123"/>
        <v>0</v>
      </c>
      <c r="P214" s="1405">
        <f t="shared" si="123"/>
        <v>0</v>
      </c>
      <c r="Q214" s="1391">
        <f t="shared" si="115"/>
        <v>0</v>
      </c>
      <c r="S214" s="1097"/>
      <c r="T214" s="598"/>
    </row>
    <row r="215" spans="1:26">
      <c r="B215" s="1404" t="s">
        <v>1205</v>
      </c>
      <c r="C215" s="1401"/>
      <c r="D215" s="1405">
        <f>D57</f>
        <v>0</v>
      </c>
      <c r="E215" s="1405">
        <f t="shared" ref="E215:P215" si="124">E57</f>
        <v>0</v>
      </c>
      <c r="F215" s="1405">
        <f t="shared" si="124"/>
        <v>0</v>
      </c>
      <c r="G215" s="1405">
        <f t="shared" si="124"/>
        <v>0</v>
      </c>
      <c r="H215" s="1405">
        <f t="shared" si="124"/>
        <v>0</v>
      </c>
      <c r="I215" s="1405">
        <f t="shared" si="124"/>
        <v>0</v>
      </c>
      <c r="J215" s="1405">
        <f t="shared" si="124"/>
        <v>0</v>
      </c>
      <c r="K215" s="1405">
        <f t="shared" si="124"/>
        <v>0</v>
      </c>
      <c r="L215" s="1405">
        <f t="shared" si="124"/>
        <v>0</v>
      </c>
      <c r="M215" s="1405">
        <f t="shared" si="124"/>
        <v>0</v>
      </c>
      <c r="N215" s="1405">
        <f t="shared" si="124"/>
        <v>0</v>
      </c>
      <c r="O215" s="1405">
        <f t="shared" si="124"/>
        <v>0</v>
      </c>
      <c r="P215" s="1405">
        <f t="shared" si="124"/>
        <v>0</v>
      </c>
      <c r="Q215" s="1391">
        <f t="shared" si="115"/>
        <v>0</v>
      </c>
      <c r="S215" s="1097"/>
      <c r="T215" s="598"/>
    </row>
    <row r="216" spans="1:26">
      <c r="B216" s="1403" t="s">
        <v>1161</v>
      </c>
      <c r="C216" s="1401"/>
      <c r="D216" s="1101" t="e">
        <f>D80</f>
        <v>#REF!</v>
      </c>
      <c r="E216" s="1101" t="e">
        <f t="shared" ref="E216:P216" si="125">E80</f>
        <v>#REF!</v>
      </c>
      <c r="F216" s="1101" t="e">
        <f t="shared" si="125"/>
        <v>#REF!</v>
      </c>
      <c r="G216" s="1101" t="e">
        <f t="shared" si="125"/>
        <v>#REF!</v>
      </c>
      <c r="H216" s="1101" t="e">
        <f t="shared" si="125"/>
        <v>#REF!</v>
      </c>
      <c r="I216" s="1101" t="e">
        <f t="shared" si="125"/>
        <v>#REF!</v>
      </c>
      <c r="J216" s="1101" t="e">
        <f t="shared" si="125"/>
        <v>#REF!</v>
      </c>
      <c r="K216" s="1101" t="e">
        <f t="shared" si="125"/>
        <v>#REF!</v>
      </c>
      <c r="L216" s="1101" t="e">
        <f t="shared" si="125"/>
        <v>#REF!</v>
      </c>
      <c r="M216" s="1101" t="e">
        <f t="shared" si="125"/>
        <v>#REF!</v>
      </c>
      <c r="N216" s="1101" t="e">
        <f t="shared" si="125"/>
        <v>#REF!</v>
      </c>
      <c r="O216" s="1101" t="e">
        <f t="shared" si="125"/>
        <v>#REF!</v>
      </c>
      <c r="P216" s="1101" t="e">
        <f t="shared" si="125"/>
        <v>#REF!</v>
      </c>
      <c r="Q216" s="1391">
        <f t="shared" si="115"/>
        <v>0</v>
      </c>
      <c r="S216" s="1097"/>
      <c r="T216" s="598"/>
    </row>
    <row r="217" spans="1:26">
      <c r="B217" s="1403" t="s">
        <v>761</v>
      </c>
      <c r="C217" s="1401"/>
      <c r="D217" s="1101"/>
      <c r="E217" s="1101"/>
      <c r="F217" s="1101"/>
      <c r="G217" s="1101"/>
      <c r="H217" s="1101"/>
      <c r="I217" s="1101"/>
      <c r="J217" s="1101"/>
      <c r="K217" s="1101"/>
      <c r="L217" s="1101"/>
      <c r="M217" s="1101"/>
      <c r="N217" s="1101"/>
      <c r="O217" s="1101"/>
      <c r="P217" s="1101"/>
      <c r="Q217" s="1391">
        <f t="shared" si="115"/>
        <v>0</v>
      </c>
      <c r="R217" s="1052">
        <v>6.3791009703898389</v>
      </c>
      <c r="S217" s="1097" t="s">
        <v>599</v>
      </c>
      <c r="T217" s="598"/>
    </row>
    <row r="218" spans="1:26">
      <c r="B218" s="1403" t="s">
        <v>1169</v>
      </c>
      <c r="C218" s="1401"/>
      <c r="D218" s="1101"/>
      <c r="E218" s="1101"/>
      <c r="F218" s="1101"/>
      <c r="G218" s="1101"/>
      <c r="H218" s="1101"/>
      <c r="I218" s="1101"/>
      <c r="J218" s="1101"/>
      <c r="K218" s="1101"/>
      <c r="L218" s="1101"/>
      <c r="M218" s="1101"/>
      <c r="N218" s="1101"/>
      <c r="O218" s="1101"/>
      <c r="P218" s="1101"/>
      <c r="Q218" s="1391">
        <f t="shared" si="115"/>
        <v>0</v>
      </c>
      <c r="S218" s="1097"/>
      <c r="T218" s="598"/>
    </row>
    <row r="219" spans="1:26" ht="14.4" customHeight="1">
      <c r="B219" s="1403" t="s">
        <v>749</v>
      </c>
      <c r="C219" s="1401"/>
      <c r="D219" s="1101"/>
      <c r="E219" s="1101"/>
      <c r="F219" s="1101"/>
      <c r="G219" s="1101"/>
      <c r="H219" s="1101"/>
      <c r="I219" s="1101"/>
      <c r="J219" s="1101"/>
      <c r="K219" s="1101"/>
      <c r="L219" s="1101"/>
      <c r="M219" s="1101"/>
      <c r="N219" s="1101"/>
      <c r="O219" s="1101"/>
      <c r="P219" s="1101"/>
      <c r="Q219" s="1391">
        <f t="shared" si="115"/>
        <v>0</v>
      </c>
      <c r="S219" s="1097"/>
      <c r="T219" s="598"/>
    </row>
    <row r="220" spans="1:26">
      <c r="B220" s="1403" t="s">
        <v>760</v>
      </c>
      <c r="C220" s="1401"/>
      <c r="D220" s="1101"/>
      <c r="E220" s="1403"/>
      <c r="F220" s="1403"/>
      <c r="G220" s="1403"/>
      <c r="H220" s="1403"/>
      <c r="I220" s="1403"/>
      <c r="J220" s="1403"/>
      <c r="K220" s="1403"/>
      <c r="L220" s="1403"/>
      <c r="M220" s="1403"/>
      <c r="N220" s="1403"/>
      <c r="O220" s="1403"/>
      <c r="P220" s="1403"/>
      <c r="Q220" s="1391">
        <f t="shared" si="115"/>
        <v>0</v>
      </c>
      <c r="S220" s="1097"/>
      <c r="T220" s="598"/>
    </row>
    <row r="221" spans="1:26">
      <c r="B221" s="1403" t="s">
        <v>672</v>
      </c>
      <c r="C221" s="1401"/>
      <c r="D221" s="1101"/>
      <c r="E221" s="1403"/>
      <c r="F221" s="1403"/>
      <c r="G221" s="1403"/>
      <c r="H221" s="1403"/>
      <c r="I221" s="1403"/>
      <c r="J221" s="1403"/>
      <c r="K221" s="1403"/>
      <c r="L221" s="1403"/>
      <c r="M221" s="1403"/>
      <c r="N221" s="1403"/>
      <c r="O221" s="1403"/>
      <c r="P221" s="1403"/>
      <c r="Q221" s="1391">
        <f t="shared" si="115"/>
        <v>0</v>
      </c>
      <c r="S221" s="1097"/>
      <c r="T221" s="598"/>
    </row>
    <row r="222" spans="1:26">
      <c r="B222" s="1403" t="s">
        <v>1180</v>
      </c>
      <c r="C222" s="1401"/>
      <c r="D222" s="1101"/>
      <c r="E222" s="1403"/>
      <c r="F222" s="1403"/>
      <c r="G222" s="1403"/>
      <c r="H222" s="1403"/>
      <c r="I222" s="1403"/>
      <c r="J222" s="1403"/>
      <c r="K222" s="1403"/>
      <c r="L222" s="1403"/>
      <c r="M222" s="1403"/>
      <c r="N222" s="1403"/>
      <c r="O222" s="1403"/>
      <c r="P222" s="1403"/>
      <c r="Q222" s="1391">
        <f t="shared" si="115"/>
        <v>0</v>
      </c>
      <c r="R222" s="1052">
        <v>43.856933279849265</v>
      </c>
      <c r="S222" s="1097" t="s">
        <v>600</v>
      </c>
      <c r="T222" s="598"/>
    </row>
    <row r="223" spans="1:26">
      <c r="B223" s="1392"/>
      <c r="C223" s="1393"/>
      <c r="D223" s="1032"/>
      <c r="E223" s="1392"/>
      <c r="F223" s="1392"/>
      <c r="G223" s="1392"/>
      <c r="H223" s="1392"/>
      <c r="I223" s="1392"/>
      <c r="J223" s="1392"/>
      <c r="K223" s="1392"/>
      <c r="L223" s="1392"/>
      <c r="M223" s="1392"/>
      <c r="N223" s="1392"/>
      <c r="O223" s="1392"/>
      <c r="P223" s="1392"/>
      <c r="Q223" s="1391">
        <f t="shared" si="115"/>
        <v>0</v>
      </c>
      <c r="S223" s="1097"/>
      <c r="T223" s="598"/>
    </row>
    <row r="224" spans="1:26">
      <c r="A224" s="615"/>
      <c r="B224" s="1392"/>
      <c r="C224" s="1393"/>
      <c r="D224" s="1032"/>
      <c r="E224" s="1392"/>
      <c r="F224" s="1392"/>
      <c r="G224" s="1392"/>
      <c r="H224" s="1392"/>
      <c r="I224" s="1392"/>
      <c r="J224" s="1392"/>
      <c r="K224" s="1392"/>
      <c r="L224" s="1392"/>
      <c r="M224" s="1392"/>
      <c r="N224" s="1392"/>
      <c r="O224" s="1392"/>
      <c r="P224" s="1392"/>
      <c r="Q224" s="1391">
        <f t="shared" si="115"/>
        <v>0</v>
      </c>
      <c r="R224" s="1379"/>
      <c r="S224" s="1380"/>
      <c r="T224" s="615"/>
      <c r="U224" s="615"/>
      <c r="V224" s="615"/>
      <c r="W224" s="615"/>
      <c r="X224" s="615"/>
      <c r="Y224" s="615"/>
      <c r="Z224" s="615"/>
    </row>
    <row r="225" spans="2:20">
      <c r="B225" s="1392"/>
      <c r="C225" s="1393"/>
      <c r="D225" s="1032"/>
      <c r="E225" s="1392"/>
      <c r="F225" s="1392"/>
      <c r="G225" s="1392"/>
      <c r="H225" s="1392"/>
      <c r="I225" s="1392"/>
      <c r="J225" s="1392"/>
      <c r="K225" s="1392"/>
      <c r="L225" s="1392"/>
      <c r="M225" s="1392"/>
      <c r="N225" s="1392"/>
      <c r="O225" s="1392"/>
      <c r="P225" s="1392"/>
      <c r="Q225" s="1391">
        <f t="shared" si="115"/>
        <v>0</v>
      </c>
      <c r="S225" s="1097"/>
      <c r="T225" s="598"/>
    </row>
    <row r="226" spans="2:20">
      <c r="B226" s="1392"/>
      <c r="C226" s="1393"/>
      <c r="D226" s="1032"/>
      <c r="E226" s="1392"/>
      <c r="F226" s="1392"/>
      <c r="G226" s="1392"/>
      <c r="H226" s="1392"/>
      <c r="I226" s="1392"/>
      <c r="J226" s="1392"/>
      <c r="K226" s="1392"/>
      <c r="L226" s="1392"/>
      <c r="M226" s="1392"/>
      <c r="N226" s="1392"/>
      <c r="O226" s="1392"/>
      <c r="P226" s="1392"/>
      <c r="Q226" s="1391">
        <f t="shared" si="115"/>
        <v>0</v>
      </c>
      <c r="S226" s="1097"/>
      <c r="T226" s="598"/>
    </row>
    <row r="227" spans="2:20" ht="18.600000000000001" thickBot="1">
      <c r="Q227" s="1391">
        <f t="shared" si="115"/>
        <v>0</v>
      </c>
      <c r="R227" s="1052">
        <v>33.182162644019606</v>
      </c>
      <c r="S227" s="1098" t="s">
        <v>601</v>
      </c>
      <c r="T227" s="598"/>
    </row>
    <row r="228" spans="2:20">
      <c r="B228" s="2804" t="s">
        <v>695</v>
      </c>
      <c r="C228" s="2805"/>
      <c r="D228" s="940" t="s">
        <v>126</v>
      </c>
      <c r="E228" s="2776" t="s">
        <v>18</v>
      </c>
      <c r="F228" s="2776" t="s">
        <v>19</v>
      </c>
      <c r="G228" s="2776" t="s">
        <v>20</v>
      </c>
      <c r="H228" s="2776" t="s">
        <v>10</v>
      </c>
      <c r="I228" s="2776" t="s">
        <v>11</v>
      </c>
      <c r="J228" s="2776" t="s">
        <v>12</v>
      </c>
      <c r="K228" s="2776" t="s">
        <v>13</v>
      </c>
      <c r="L228" s="2776" t="s">
        <v>127</v>
      </c>
      <c r="M228" s="2776" t="s">
        <v>14</v>
      </c>
      <c r="N228" s="2776" t="s">
        <v>15</v>
      </c>
      <c r="O228" s="2776" t="s">
        <v>16</v>
      </c>
      <c r="P228" s="2776" t="s">
        <v>17</v>
      </c>
      <c r="Q228" s="1391">
        <f t="shared" si="115"/>
        <v>0</v>
      </c>
      <c r="S228" s="1098"/>
      <c r="T228" s="598"/>
    </row>
    <row r="229" spans="2:20" ht="14.4" customHeight="1" thickBot="1">
      <c r="B229" s="2806"/>
      <c r="C229" s="2807"/>
      <c r="D229" s="940" t="str">
        <f>'Вхідні дані'!$F$6</f>
        <v>2023-2024</v>
      </c>
      <c r="E229" s="2777"/>
      <c r="F229" s="2777"/>
      <c r="G229" s="2777"/>
      <c r="H229" s="2777"/>
      <c r="I229" s="2777"/>
      <c r="J229" s="2777"/>
      <c r="K229" s="2777"/>
      <c r="L229" s="2777"/>
      <c r="M229" s="2777"/>
      <c r="N229" s="2777"/>
      <c r="O229" s="2777"/>
      <c r="P229" s="2777"/>
      <c r="Q229" s="1391">
        <f t="shared" si="115"/>
        <v>0</v>
      </c>
      <c r="S229" s="1097"/>
      <c r="T229" s="598"/>
    </row>
    <row r="230" spans="2:20">
      <c r="B230" s="1381" t="s">
        <v>1206</v>
      </c>
      <c r="C230" s="1382" t="s">
        <v>833</v>
      </c>
      <c r="D230" s="1520">
        <f>D235+D240+D255+D260+D265+D270+D275+D280+D285</f>
        <v>1403.2600406893612</v>
      </c>
      <c r="E230" s="1383">
        <f t="shared" ref="E230:P230" si="126">E235+E240+E255+E260+E265+E270+E275+E280+E285</f>
        <v>18.459790293380944</v>
      </c>
      <c r="F230" s="1383">
        <f t="shared" si="126"/>
        <v>202.22617114190297</v>
      </c>
      <c r="G230" s="1383">
        <f t="shared" si="126"/>
        <v>289.7355553975521</v>
      </c>
      <c r="H230" s="1383">
        <f t="shared" si="126"/>
        <v>330.80720293018254</v>
      </c>
      <c r="I230" s="1383">
        <f t="shared" si="126"/>
        <v>298.37229812340411</v>
      </c>
      <c r="J230" s="1383">
        <f t="shared" si="126"/>
        <v>258.80293382485968</v>
      </c>
      <c r="K230" s="1383">
        <f t="shared" si="126"/>
        <v>4.8560889780785903</v>
      </c>
      <c r="L230" s="1383">
        <f t="shared" si="126"/>
        <v>0</v>
      </c>
      <c r="M230" s="1383">
        <f t="shared" si="126"/>
        <v>0</v>
      </c>
      <c r="N230" s="1383">
        <f t="shared" si="126"/>
        <v>0</v>
      </c>
      <c r="O230" s="1383">
        <f t="shared" si="126"/>
        <v>0</v>
      </c>
      <c r="P230" s="1383">
        <f t="shared" si="126"/>
        <v>0</v>
      </c>
      <c r="Q230" s="1391">
        <f t="shared" si="115"/>
        <v>0</v>
      </c>
      <c r="S230" s="1098"/>
      <c r="T230" s="598"/>
    </row>
    <row r="231" spans="2:20">
      <c r="B231" s="1387" t="s">
        <v>1575</v>
      </c>
      <c r="C231" s="1388" t="s">
        <v>833</v>
      </c>
      <c r="D231" s="1389">
        <f t="shared" ref="D231:P234" si="127">D236+D241+D256+D261+D266+D271+D276+D281+D286</f>
        <v>924.30302081335162</v>
      </c>
      <c r="E231" s="1389">
        <f t="shared" si="127"/>
        <v>12.159143307017388</v>
      </c>
      <c r="F231" s="1389">
        <f t="shared" si="127"/>
        <v>133.20286721921752</v>
      </c>
      <c r="G231" s="1389">
        <f t="shared" si="127"/>
        <v>190.84377900437562</v>
      </c>
      <c r="H231" s="1389">
        <f t="shared" si="127"/>
        <v>217.89696001389268</v>
      </c>
      <c r="I231" s="1389">
        <f t="shared" si="127"/>
        <v>196.53265145852967</v>
      </c>
      <c r="J231" s="1389">
        <f t="shared" si="127"/>
        <v>170.46899832775188</v>
      </c>
      <c r="K231" s="1389">
        <f t="shared" si="127"/>
        <v>3.1986214825667361</v>
      </c>
      <c r="L231" s="1389">
        <f t="shared" si="127"/>
        <v>0</v>
      </c>
      <c r="M231" s="1389">
        <f t="shared" si="127"/>
        <v>0</v>
      </c>
      <c r="N231" s="1389">
        <f t="shared" si="127"/>
        <v>0</v>
      </c>
      <c r="O231" s="1389">
        <f t="shared" si="127"/>
        <v>0</v>
      </c>
      <c r="P231" s="1389">
        <f t="shared" si="127"/>
        <v>0</v>
      </c>
      <c r="Q231" s="1391">
        <f t="shared" si="115"/>
        <v>0</v>
      </c>
      <c r="S231" s="1098"/>
      <c r="T231" s="598"/>
    </row>
    <row r="232" spans="2:20">
      <c r="B232" s="1387" t="s">
        <v>1578</v>
      </c>
      <c r="C232" s="1388" t="s">
        <v>833</v>
      </c>
      <c r="D232" s="1389">
        <f t="shared" si="127"/>
        <v>478.9570198760095</v>
      </c>
      <c r="E232" s="1389">
        <f t="shared" si="127"/>
        <v>6.3006469863635557</v>
      </c>
      <c r="F232" s="1389">
        <f t="shared" si="127"/>
        <v>69.023303922685443</v>
      </c>
      <c r="G232" s="1389">
        <f t="shared" si="127"/>
        <v>98.891776393176471</v>
      </c>
      <c r="H232" s="1389">
        <f t="shared" si="127"/>
        <v>112.91024291628985</v>
      </c>
      <c r="I232" s="1389">
        <f t="shared" si="127"/>
        <v>101.83964666487446</v>
      </c>
      <c r="J232" s="1389">
        <f t="shared" si="127"/>
        <v>88.333935497107802</v>
      </c>
      <c r="K232" s="1389">
        <f t="shared" si="127"/>
        <v>1.6574674955118542</v>
      </c>
      <c r="L232" s="1389">
        <f t="shared" si="127"/>
        <v>0</v>
      </c>
      <c r="M232" s="1389">
        <f t="shared" si="127"/>
        <v>0</v>
      </c>
      <c r="N232" s="1389">
        <f t="shared" si="127"/>
        <v>0</v>
      </c>
      <c r="O232" s="1389">
        <f t="shared" si="127"/>
        <v>0</v>
      </c>
      <c r="P232" s="1389">
        <f t="shared" si="127"/>
        <v>0</v>
      </c>
      <c r="Q232" s="1391">
        <f>D260-E260-F260-G260-H260-I260-J260-K260-L260-M260-N260-O260-P260</f>
        <v>0</v>
      </c>
      <c r="R232" s="1052">
        <v>13.154174988655392</v>
      </c>
      <c r="S232" s="1098" t="s">
        <v>1215</v>
      </c>
      <c r="T232" s="598"/>
    </row>
    <row r="233" spans="2:20">
      <c r="B233" s="1387" t="s">
        <v>1576</v>
      </c>
      <c r="C233" s="1388" t="s">
        <v>833</v>
      </c>
      <c r="D233" s="1389">
        <f t="shared" si="127"/>
        <v>0</v>
      </c>
      <c r="E233" s="1389">
        <f t="shared" si="127"/>
        <v>0</v>
      </c>
      <c r="F233" s="1389">
        <f t="shared" si="127"/>
        <v>0</v>
      </c>
      <c r="G233" s="1389">
        <f t="shared" si="127"/>
        <v>0</v>
      </c>
      <c r="H233" s="1389">
        <f t="shared" si="127"/>
        <v>0</v>
      </c>
      <c r="I233" s="1389">
        <f t="shared" si="127"/>
        <v>0</v>
      </c>
      <c r="J233" s="1389">
        <f t="shared" si="127"/>
        <v>0</v>
      </c>
      <c r="K233" s="1389">
        <f t="shared" si="127"/>
        <v>0</v>
      </c>
      <c r="L233" s="1389">
        <f t="shared" si="127"/>
        <v>0</v>
      </c>
      <c r="M233" s="1389">
        <f t="shared" si="127"/>
        <v>0</v>
      </c>
      <c r="N233" s="1389">
        <f t="shared" si="127"/>
        <v>0</v>
      </c>
      <c r="O233" s="1389">
        <f t="shared" si="127"/>
        <v>0</v>
      </c>
      <c r="P233" s="1389">
        <f t="shared" si="127"/>
        <v>0</v>
      </c>
      <c r="Q233" s="1391">
        <f>D261-E261-F261-G261-H261-I261-J261-K261-L261-M261-N261-O261-P261</f>
        <v>0</v>
      </c>
      <c r="S233" s="1099"/>
      <c r="T233" s="598"/>
    </row>
    <row r="234" spans="2:20" ht="14.4" customHeight="1">
      <c r="B234" s="1387" t="s">
        <v>1577</v>
      </c>
      <c r="C234" s="1388" t="s">
        <v>833</v>
      </c>
      <c r="D234" s="1389">
        <f t="shared" si="127"/>
        <v>0</v>
      </c>
      <c r="E234" s="1389">
        <f t="shared" si="127"/>
        <v>0</v>
      </c>
      <c r="F234" s="1389">
        <f t="shared" si="127"/>
        <v>0</v>
      </c>
      <c r="G234" s="1389">
        <f t="shared" si="127"/>
        <v>0</v>
      </c>
      <c r="H234" s="1389">
        <f t="shared" si="127"/>
        <v>0</v>
      </c>
      <c r="I234" s="1389">
        <f t="shared" si="127"/>
        <v>0</v>
      </c>
      <c r="J234" s="1389">
        <f t="shared" si="127"/>
        <v>0</v>
      </c>
      <c r="K234" s="1389">
        <f t="shared" si="127"/>
        <v>0</v>
      </c>
      <c r="L234" s="1389">
        <f t="shared" si="127"/>
        <v>0</v>
      </c>
      <c r="M234" s="1389">
        <f t="shared" si="127"/>
        <v>0</v>
      </c>
      <c r="N234" s="1389">
        <f t="shared" si="127"/>
        <v>0</v>
      </c>
      <c r="O234" s="1389">
        <f t="shared" si="127"/>
        <v>0</v>
      </c>
      <c r="P234" s="1389">
        <f t="shared" si="127"/>
        <v>0</v>
      </c>
      <c r="Q234" s="1391">
        <f>D262-E262-F262-G262-H262-I262-J262-K262-L262-M262-N262-O262-P262</f>
        <v>0</v>
      </c>
      <c r="S234" s="1097"/>
      <c r="T234" s="598"/>
    </row>
    <row r="235" spans="2:20">
      <c r="B235" s="1092" t="s">
        <v>655</v>
      </c>
      <c r="C235" s="582" t="s">
        <v>833</v>
      </c>
      <c r="D235" s="1372">
        <f>SUM(D236:D239)</f>
        <v>1403.2600406893612</v>
      </c>
      <c r="E235" s="1372">
        <f t="shared" ref="E235:P235" si="128">SUM(E236:E239)</f>
        <v>18.459790293380944</v>
      </c>
      <c r="F235" s="1372">
        <f t="shared" si="128"/>
        <v>202.22617114190297</v>
      </c>
      <c r="G235" s="1372">
        <f t="shared" si="128"/>
        <v>289.7355553975521</v>
      </c>
      <c r="H235" s="1372">
        <f t="shared" si="128"/>
        <v>330.80720293018254</v>
      </c>
      <c r="I235" s="1372">
        <f t="shared" si="128"/>
        <v>298.37229812340411</v>
      </c>
      <c r="J235" s="1372">
        <f t="shared" si="128"/>
        <v>258.80293382485968</v>
      </c>
      <c r="K235" s="1372">
        <f t="shared" si="128"/>
        <v>4.8560889780785903</v>
      </c>
      <c r="L235" s="1372">
        <f t="shared" si="128"/>
        <v>0</v>
      </c>
      <c r="M235" s="1372">
        <f t="shared" si="128"/>
        <v>0</v>
      </c>
      <c r="N235" s="1372">
        <f t="shared" si="128"/>
        <v>0</v>
      </c>
      <c r="O235" s="1372">
        <f t="shared" si="128"/>
        <v>0</v>
      </c>
      <c r="P235" s="1372">
        <f t="shared" si="128"/>
        <v>0</v>
      </c>
      <c r="Q235" s="597"/>
      <c r="S235" s="1099"/>
      <c r="T235" s="598"/>
    </row>
    <row r="236" spans="2:20">
      <c r="B236" s="1094" t="s">
        <v>1575</v>
      </c>
      <c r="C236" s="582" t="s">
        <v>833</v>
      </c>
      <c r="D236" s="1096">
        <f>D15</f>
        <v>924.30302081335162</v>
      </c>
      <c r="E236" s="1096">
        <f t="shared" ref="E236:P236" si="129">E15</f>
        <v>12.159143307017388</v>
      </c>
      <c r="F236" s="1096">
        <f t="shared" si="129"/>
        <v>133.20286721921752</v>
      </c>
      <c r="G236" s="1096">
        <f t="shared" si="129"/>
        <v>190.84377900437562</v>
      </c>
      <c r="H236" s="1096">
        <f t="shared" si="129"/>
        <v>217.89696001389268</v>
      </c>
      <c r="I236" s="1096">
        <f t="shared" si="129"/>
        <v>196.53265145852967</v>
      </c>
      <c r="J236" s="1096">
        <f t="shared" si="129"/>
        <v>170.46899832775188</v>
      </c>
      <c r="K236" s="1096">
        <f t="shared" si="129"/>
        <v>3.1986214825667361</v>
      </c>
      <c r="L236" s="1096">
        <f t="shared" si="129"/>
        <v>0</v>
      </c>
      <c r="M236" s="1096">
        <f t="shared" si="129"/>
        <v>0</v>
      </c>
      <c r="N236" s="1096">
        <f t="shared" si="129"/>
        <v>0</v>
      </c>
      <c r="O236" s="1096">
        <f t="shared" si="129"/>
        <v>0</v>
      </c>
      <c r="P236" s="1096">
        <f t="shared" si="129"/>
        <v>0</v>
      </c>
      <c r="Q236" s="597"/>
      <c r="S236" s="1099"/>
      <c r="T236" s="598"/>
    </row>
    <row r="237" spans="2:20">
      <c r="B237" s="1094" t="s">
        <v>1578</v>
      </c>
      <c r="C237" s="582" t="s">
        <v>833</v>
      </c>
      <c r="D237" s="1096">
        <f>D17</f>
        <v>478.9570198760095</v>
      </c>
      <c r="E237" s="1096">
        <f t="shared" ref="E237:P237" si="130">E17</f>
        <v>6.3006469863635557</v>
      </c>
      <c r="F237" s="1096">
        <f t="shared" si="130"/>
        <v>69.023303922685443</v>
      </c>
      <c r="G237" s="1096">
        <f t="shared" si="130"/>
        <v>98.891776393176471</v>
      </c>
      <c r="H237" s="1096">
        <f t="shared" si="130"/>
        <v>112.91024291628985</v>
      </c>
      <c r="I237" s="1096">
        <f t="shared" si="130"/>
        <v>101.83964666487446</v>
      </c>
      <c r="J237" s="1096">
        <f t="shared" si="130"/>
        <v>88.333935497107802</v>
      </c>
      <c r="K237" s="1096">
        <f t="shared" si="130"/>
        <v>1.6574674955118542</v>
      </c>
      <c r="L237" s="1096">
        <f t="shared" si="130"/>
        <v>0</v>
      </c>
      <c r="M237" s="1096">
        <f t="shared" si="130"/>
        <v>0</v>
      </c>
      <c r="N237" s="1096">
        <f t="shared" si="130"/>
        <v>0</v>
      </c>
      <c r="O237" s="1096">
        <f t="shared" si="130"/>
        <v>0</v>
      </c>
      <c r="P237" s="1096">
        <f t="shared" si="130"/>
        <v>0</v>
      </c>
      <c r="Q237" s="1391">
        <f>D265-E265-F265-G265-H265-I265-J265-K265-L265-M265-N265-O265-P265</f>
        <v>0</v>
      </c>
      <c r="R237" s="1052">
        <v>12.054111990142738</v>
      </c>
      <c r="S237" s="1099" t="s">
        <v>602</v>
      </c>
      <c r="T237" s="598"/>
    </row>
    <row r="238" spans="2:20">
      <c r="B238" s="1094" t="s">
        <v>1576</v>
      </c>
      <c r="C238" s="582" t="s">
        <v>833</v>
      </c>
      <c r="D238" s="1096">
        <f>D21</f>
        <v>0</v>
      </c>
      <c r="E238" s="1096">
        <f t="shared" ref="E238:P238" si="131">E21</f>
        <v>0</v>
      </c>
      <c r="F238" s="1096">
        <f t="shared" si="131"/>
        <v>0</v>
      </c>
      <c r="G238" s="1096">
        <f t="shared" si="131"/>
        <v>0</v>
      </c>
      <c r="H238" s="1096">
        <f t="shared" si="131"/>
        <v>0</v>
      </c>
      <c r="I238" s="1096">
        <f t="shared" si="131"/>
        <v>0</v>
      </c>
      <c r="J238" s="1096">
        <f t="shared" si="131"/>
        <v>0</v>
      </c>
      <c r="K238" s="1096">
        <f t="shared" si="131"/>
        <v>0</v>
      </c>
      <c r="L238" s="1096">
        <f t="shared" si="131"/>
        <v>0</v>
      </c>
      <c r="M238" s="1096">
        <f t="shared" si="131"/>
        <v>0</v>
      </c>
      <c r="N238" s="1096">
        <f t="shared" si="131"/>
        <v>0</v>
      </c>
      <c r="O238" s="1096">
        <f t="shared" si="131"/>
        <v>0</v>
      </c>
      <c r="P238" s="1096">
        <f t="shared" si="131"/>
        <v>0</v>
      </c>
      <c r="Q238" s="1391">
        <f>D266-E266-F266-G266-H266-I266-J266-K266-L266-M266-N266-O266-P266</f>
        <v>0</v>
      </c>
      <c r="S238" s="1099"/>
      <c r="T238" s="598"/>
    </row>
    <row r="239" spans="2:20" ht="14.4" customHeight="1">
      <c r="B239" s="1094" t="s">
        <v>1577</v>
      </c>
      <c r="C239" s="582" t="s">
        <v>833</v>
      </c>
      <c r="D239" s="1096">
        <f>D24</f>
        <v>0</v>
      </c>
      <c r="E239" s="1096">
        <f t="shared" ref="E239:P239" si="132">E24</f>
        <v>0</v>
      </c>
      <c r="F239" s="1096">
        <f t="shared" si="132"/>
        <v>0</v>
      </c>
      <c r="G239" s="1096">
        <f t="shared" si="132"/>
        <v>0</v>
      </c>
      <c r="H239" s="1096">
        <f t="shared" si="132"/>
        <v>0</v>
      </c>
      <c r="I239" s="1096">
        <f t="shared" si="132"/>
        <v>0</v>
      </c>
      <c r="J239" s="1096">
        <f t="shared" si="132"/>
        <v>0</v>
      </c>
      <c r="K239" s="1096">
        <f t="shared" si="132"/>
        <v>0</v>
      </c>
      <c r="L239" s="1096">
        <f t="shared" si="132"/>
        <v>0</v>
      </c>
      <c r="M239" s="1096">
        <f t="shared" si="132"/>
        <v>0</v>
      </c>
      <c r="N239" s="1096">
        <f t="shared" si="132"/>
        <v>0</v>
      </c>
      <c r="O239" s="1096">
        <f t="shared" si="132"/>
        <v>0</v>
      </c>
      <c r="P239" s="1096">
        <f t="shared" si="132"/>
        <v>0</v>
      </c>
      <c r="Q239" s="1391">
        <f>D267-E267-F267-G267-H267-I267-J267-K267-L267-M267-N267-O267-P267</f>
        <v>0</v>
      </c>
      <c r="S239" s="1097"/>
      <c r="T239" s="598"/>
    </row>
    <row r="240" spans="2:20">
      <c r="B240" s="1092" t="s">
        <v>926</v>
      </c>
      <c r="C240" s="582" t="s">
        <v>833</v>
      </c>
      <c r="D240" s="1372">
        <f t="shared" ref="D240:P240" si="133">SUM(D241:D244)</f>
        <v>0</v>
      </c>
      <c r="E240" s="1372">
        <f t="shared" si="133"/>
        <v>0</v>
      </c>
      <c r="F240" s="1372">
        <f t="shared" si="133"/>
        <v>0</v>
      </c>
      <c r="G240" s="1372">
        <f t="shared" si="133"/>
        <v>0</v>
      </c>
      <c r="H240" s="1372">
        <f t="shared" si="133"/>
        <v>0</v>
      </c>
      <c r="I240" s="1372">
        <f t="shared" si="133"/>
        <v>0</v>
      </c>
      <c r="J240" s="1372">
        <f t="shared" si="133"/>
        <v>0</v>
      </c>
      <c r="K240" s="1372">
        <f t="shared" si="133"/>
        <v>0</v>
      </c>
      <c r="L240" s="1372">
        <f t="shared" si="133"/>
        <v>0</v>
      </c>
      <c r="M240" s="1372">
        <f t="shared" si="133"/>
        <v>0</v>
      </c>
      <c r="N240" s="1372">
        <f t="shared" si="133"/>
        <v>0</v>
      </c>
      <c r="O240" s="1372">
        <f t="shared" si="133"/>
        <v>0</v>
      </c>
      <c r="P240" s="1372">
        <f t="shared" si="133"/>
        <v>0</v>
      </c>
      <c r="Q240" s="597"/>
      <c r="S240" s="1099"/>
      <c r="T240" s="598"/>
    </row>
    <row r="241" spans="2:20">
      <c r="B241" s="1094" t="s">
        <v>1575</v>
      </c>
      <c r="C241" s="582" t="s">
        <v>833</v>
      </c>
      <c r="D241" s="1096">
        <f>D38</f>
        <v>0</v>
      </c>
      <c r="E241" s="1096">
        <f t="shared" ref="E241:P241" si="134">E38</f>
        <v>0</v>
      </c>
      <c r="F241" s="1096">
        <f t="shared" si="134"/>
        <v>0</v>
      </c>
      <c r="G241" s="1096">
        <f t="shared" si="134"/>
        <v>0</v>
      </c>
      <c r="H241" s="1096">
        <f t="shared" si="134"/>
        <v>0</v>
      </c>
      <c r="I241" s="1096">
        <f t="shared" si="134"/>
        <v>0</v>
      </c>
      <c r="J241" s="1096">
        <f t="shared" si="134"/>
        <v>0</v>
      </c>
      <c r="K241" s="1096">
        <f t="shared" si="134"/>
        <v>0</v>
      </c>
      <c r="L241" s="1096">
        <f t="shared" si="134"/>
        <v>0</v>
      </c>
      <c r="M241" s="1096">
        <f t="shared" si="134"/>
        <v>0</v>
      </c>
      <c r="N241" s="1096">
        <f t="shared" si="134"/>
        <v>0</v>
      </c>
      <c r="O241" s="1096">
        <f t="shared" si="134"/>
        <v>0</v>
      </c>
      <c r="P241" s="1096">
        <f t="shared" si="134"/>
        <v>0</v>
      </c>
      <c r="Q241" s="597"/>
      <c r="S241" s="1099"/>
      <c r="T241" s="598"/>
    </row>
    <row r="242" spans="2:20">
      <c r="B242" s="1094" t="s">
        <v>1578</v>
      </c>
      <c r="C242" s="582" t="s">
        <v>833</v>
      </c>
      <c r="D242" s="1096">
        <f>D42</f>
        <v>0</v>
      </c>
      <c r="E242" s="1096">
        <f t="shared" ref="E242:P242" si="135">E42</f>
        <v>0</v>
      </c>
      <c r="F242" s="1096">
        <f t="shared" si="135"/>
        <v>0</v>
      </c>
      <c r="G242" s="1096">
        <f t="shared" si="135"/>
        <v>0</v>
      </c>
      <c r="H242" s="1096">
        <f t="shared" si="135"/>
        <v>0</v>
      </c>
      <c r="I242" s="1096">
        <f t="shared" si="135"/>
        <v>0</v>
      </c>
      <c r="J242" s="1096">
        <f t="shared" si="135"/>
        <v>0</v>
      </c>
      <c r="K242" s="1096">
        <f t="shared" si="135"/>
        <v>0</v>
      </c>
      <c r="L242" s="1096">
        <f t="shared" si="135"/>
        <v>0</v>
      </c>
      <c r="M242" s="1096">
        <f t="shared" si="135"/>
        <v>0</v>
      </c>
      <c r="N242" s="1096">
        <f t="shared" si="135"/>
        <v>0</v>
      </c>
      <c r="O242" s="1096">
        <f t="shared" si="135"/>
        <v>0</v>
      </c>
      <c r="P242" s="1096">
        <f t="shared" si="135"/>
        <v>0</v>
      </c>
      <c r="Q242" s="1391">
        <f>D270-E270-F270-G270-H270-I270-J270-K270-L270-M270-N270-O270-P270</f>
        <v>0</v>
      </c>
      <c r="R242" s="1052">
        <v>36.322382759046576</v>
      </c>
      <c r="S242" s="1100" t="s">
        <v>1216</v>
      </c>
      <c r="T242" s="598"/>
    </row>
    <row r="243" spans="2:20">
      <c r="B243" s="1094" t="s">
        <v>1576</v>
      </c>
      <c r="C243" s="582" t="s">
        <v>833</v>
      </c>
      <c r="D243" s="1096">
        <f>D52</f>
        <v>0</v>
      </c>
      <c r="E243" s="1096">
        <f t="shared" ref="E243:P243" si="136">E52</f>
        <v>0</v>
      </c>
      <c r="F243" s="1096">
        <f t="shared" si="136"/>
        <v>0</v>
      </c>
      <c r="G243" s="1096">
        <f t="shared" si="136"/>
        <v>0</v>
      </c>
      <c r="H243" s="1096">
        <f t="shared" si="136"/>
        <v>0</v>
      </c>
      <c r="I243" s="1096">
        <f t="shared" si="136"/>
        <v>0</v>
      </c>
      <c r="J243" s="1096">
        <f t="shared" si="136"/>
        <v>0</v>
      </c>
      <c r="K243" s="1096">
        <f t="shared" si="136"/>
        <v>0</v>
      </c>
      <c r="L243" s="1096">
        <f t="shared" si="136"/>
        <v>0</v>
      </c>
      <c r="M243" s="1096">
        <f t="shared" si="136"/>
        <v>0</v>
      </c>
      <c r="N243" s="1096">
        <f t="shared" si="136"/>
        <v>0</v>
      </c>
      <c r="O243" s="1096">
        <f t="shared" si="136"/>
        <v>0</v>
      </c>
      <c r="P243" s="1096">
        <f t="shared" si="136"/>
        <v>0</v>
      </c>
      <c r="Q243" s="1391">
        <f>D271-E271-F271-G271-H271-I271-J271-K271-L271-M271-N271-O271-P271</f>
        <v>0</v>
      </c>
      <c r="S243" s="1100"/>
      <c r="T243" s="598"/>
    </row>
    <row r="244" spans="2:20" ht="14.4" customHeight="1">
      <c r="B244" s="1094" t="s">
        <v>1577</v>
      </c>
      <c r="C244" s="582" t="s">
        <v>833</v>
      </c>
      <c r="D244" s="1096">
        <f>D59</f>
        <v>0</v>
      </c>
      <c r="E244" s="1096">
        <f t="shared" ref="E244:P244" si="137">E59</f>
        <v>0</v>
      </c>
      <c r="F244" s="1096">
        <f t="shared" si="137"/>
        <v>0</v>
      </c>
      <c r="G244" s="1096">
        <f t="shared" si="137"/>
        <v>0</v>
      </c>
      <c r="H244" s="1096">
        <f t="shared" si="137"/>
        <v>0</v>
      </c>
      <c r="I244" s="1096">
        <f t="shared" si="137"/>
        <v>0</v>
      </c>
      <c r="J244" s="1096">
        <f t="shared" si="137"/>
        <v>0</v>
      </c>
      <c r="K244" s="1096">
        <f t="shared" si="137"/>
        <v>0</v>
      </c>
      <c r="L244" s="1096">
        <f t="shared" si="137"/>
        <v>0</v>
      </c>
      <c r="M244" s="1096">
        <f t="shared" si="137"/>
        <v>0</v>
      </c>
      <c r="N244" s="1096">
        <f t="shared" si="137"/>
        <v>0</v>
      </c>
      <c r="O244" s="1096">
        <f t="shared" si="137"/>
        <v>0</v>
      </c>
      <c r="P244" s="1096">
        <f t="shared" si="137"/>
        <v>0</v>
      </c>
      <c r="Q244" s="1391">
        <f>D272-E272-F272-G272-H272-I272-J272-K272-L272-M272-N272-O272-P272</f>
        <v>0</v>
      </c>
      <c r="S244" s="1097"/>
      <c r="T244" s="598"/>
    </row>
    <row r="245" spans="2:20">
      <c r="B245" s="1373" t="s">
        <v>1204</v>
      </c>
      <c r="C245" s="582" t="s">
        <v>833</v>
      </c>
      <c r="D245" s="1372">
        <f t="shared" ref="D245:P245" si="138">SUM(D246:D249)</f>
        <v>0</v>
      </c>
      <c r="E245" s="1372">
        <f t="shared" si="138"/>
        <v>0</v>
      </c>
      <c r="F245" s="1372">
        <f t="shared" si="138"/>
        <v>0</v>
      </c>
      <c r="G245" s="1372">
        <f t="shared" si="138"/>
        <v>0</v>
      </c>
      <c r="H245" s="1372">
        <f t="shared" si="138"/>
        <v>0</v>
      </c>
      <c r="I245" s="1372">
        <f t="shared" si="138"/>
        <v>0</v>
      </c>
      <c r="J245" s="1372">
        <f t="shared" si="138"/>
        <v>0</v>
      </c>
      <c r="K245" s="1372">
        <f t="shared" si="138"/>
        <v>0</v>
      </c>
      <c r="L245" s="1372">
        <f t="shared" si="138"/>
        <v>0</v>
      </c>
      <c r="M245" s="1372">
        <f t="shared" si="138"/>
        <v>0</v>
      </c>
      <c r="N245" s="1372">
        <f t="shared" si="138"/>
        <v>0</v>
      </c>
      <c r="O245" s="1372">
        <f t="shared" si="138"/>
        <v>0</v>
      </c>
      <c r="P245" s="1372">
        <f t="shared" si="138"/>
        <v>0</v>
      </c>
      <c r="Q245" s="597"/>
      <c r="S245" s="1100"/>
      <c r="T245" s="598"/>
    </row>
    <row r="246" spans="2:20">
      <c r="B246" s="1094" t="s">
        <v>1575</v>
      </c>
      <c r="C246" s="582" t="s">
        <v>833</v>
      </c>
      <c r="D246" s="1096">
        <f>D39</f>
        <v>0</v>
      </c>
      <c r="E246" s="1096">
        <f t="shared" ref="E246:P246" si="139">E39</f>
        <v>0</v>
      </c>
      <c r="F246" s="1096">
        <f t="shared" si="139"/>
        <v>0</v>
      </c>
      <c r="G246" s="1096">
        <f t="shared" si="139"/>
        <v>0</v>
      </c>
      <c r="H246" s="1096">
        <f t="shared" si="139"/>
        <v>0</v>
      </c>
      <c r="I246" s="1096">
        <f t="shared" si="139"/>
        <v>0</v>
      </c>
      <c r="J246" s="1096">
        <f t="shared" si="139"/>
        <v>0</v>
      </c>
      <c r="K246" s="1096">
        <f t="shared" si="139"/>
        <v>0</v>
      </c>
      <c r="L246" s="1096">
        <f t="shared" si="139"/>
        <v>0</v>
      </c>
      <c r="M246" s="1096">
        <f t="shared" si="139"/>
        <v>0</v>
      </c>
      <c r="N246" s="1096">
        <f t="shared" si="139"/>
        <v>0</v>
      </c>
      <c r="O246" s="1096">
        <f t="shared" si="139"/>
        <v>0</v>
      </c>
      <c r="P246" s="1096">
        <f t="shared" si="139"/>
        <v>0</v>
      </c>
      <c r="Q246" s="597"/>
      <c r="S246" s="1100"/>
      <c r="T246" s="598"/>
    </row>
    <row r="247" spans="2:20">
      <c r="B247" s="1094" t="s">
        <v>1578</v>
      </c>
      <c r="C247" s="582" t="s">
        <v>833</v>
      </c>
      <c r="D247" s="1096">
        <f>D43</f>
        <v>0</v>
      </c>
      <c r="E247" s="1096">
        <f t="shared" ref="E247:P247" si="140">E43</f>
        <v>0</v>
      </c>
      <c r="F247" s="1096">
        <f t="shared" si="140"/>
        <v>0</v>
      </c>
      <c r="G247" s="1096">
        <f t="shared" si="140"/>
        <v>0</v>
      </c>
      <c r="H247" s="1096">
        <f t="shared" si="140"/>
        <v>0</v>
      </c>
      <c r="I247" s="1096">
        <f t="shared" si="140"/>
        <v>0</v>
      </c>
      <c r="J247" s="1096">
        <f t="shared" si="140"/>
        <v>0</v>
      </c>
      <c r="K247" s="1096">
        <f t="shared" si="140"/>
        <v>0</v>
      </c>
      <c r="L247" s="1096">
        <f t="shared" si="140"/>
        <v>0</v>
      </c>
      <c r="M247" s="1096">
        <f t="shared" si="140"/>
        <v>0</v>
      </c>
      <c r="N247" s="1096">
        <f t="shared" si="140"/>
        <v>0</v>
      </c>
      <c r="O247" s="1096">
        <f t="shared" si="140"/>
        <v>0</v>
      </c>
      <c r="P247" s="1096">
        <f t="shared" si="140"/>
        <v>0</v>
      </c>
      <c r="Q247" s="597"/>
      <c r="S247" s="1100"/>
    </row>
    <row r="248" spans="2:20">
      <c r="B248" s="1094" t="s">
        <v>1576</v>
      </c>
      <c r="C248" s="582" t="s">
        <v>833</v>
      </c>
      <c r="D248" s="1096">
        <f>D53</f>
        <v>0</v>
      </c>
      <c r="E248" s="1096">
        <f t="shared" ref="E248:P248" si="141">E53</f>
        <v>0</v>
      </c>
      <c r="F248" s="1096">
        <f t="shared" si="141"/>
        <v>0</v>
      </c>
      <c r="G248" s="1096">
        <f t="shared" si="141"/>
        <v>0</v>
      </c>
      <c r="H248" s="1096">
        <f t="shared" si="141"/>
        <v>0</v>
      </c>
      <c r="I248" s="1096">
        <f t="shared" si="141"/>
        <v>0</v>
      </c>
      <c r="J248" s="1096">
        <f t="shared" si="141"/>
        <v>0</v>
      </c>
      <c r="K248" s="1096">
        <f t="shared" si="141"/>
        <v>0</v>
      </c>
      <c r="L248" s="1096">
        <f t="shared" si="141"/>
        <v>0</v>
      </c>
      <c r="M248" s="1096">
        <f t="shared" si="141"/>
        <v>0</v>
      </c>
      <c r="N248" s="1096">
        <f t="shared" si="141"/>
        <v>0</v>
      </c>
      <c r="O248" s="1096">
        <f t="shared" si="141"/>
        <v>0</v>
      </c>
      <c r="P248" s="1096">
        <f t="shared" si="141"/>
        <v>0</v>
      </c>
      <c r="Q248" s="597"/>
      <c r="S248" s="1100"/>
    </row>
    <row r="249" spans="2:20" ht="14.4" customHeight="1">
      <c r="B249" s="1094" t="s">
        <v>1577</v>
      </c>
      <c r="C249" s="582" t="s">
        <v>833</v>
      </c>
      <c r="D249" s="1096">
        <f>D60</f>
        <v>0</v>
      </c>
      <c r="E249" s="1096">
        <f t="shared" ref="E249:P249" si="142">E60</f>
        <v>0</v>
      </c>
      <c r="F249" s="1096">
        <f t="shared" si="142"/>
        <v>0</v>
      </c>
      <c r="G249" s="1096">
        <f t="shared" si="142"/>
        <v>0</v>
      </c>
      <c r="H249" s="1096">
        <f t="shared" si="142"/>
        <v>0</v>
      </c>
      <c r="I249" s="1096">
        <f t="shared" si="142"/>
        <v>0</v>
      </c>
      <c r="J249" s="1096">
        <f t="shared" si="142"/>
        <v>0</v>
      </c>
      <c r="K249" s="1096">
        <f t="shared" si="142"/>
        <v>0</v>
      </c>
      <c r="L249" s="1096">
        <f t="shared" si="142"/>
        <v>0</v>
      </c>
      <c r="M249" s="1096">
        <f t="shared" si="142"/>
        <v>0</v>
      </c>
      <c r="N249" s="1096">
        <f t="shared" si="142"/>
        <v>0</v>
      </c>
      <c r="O249" s="1096">
        <f t="shared" si="142"/>
        <v>0</v>
      </c>
      <c r="P249" s="1096">
        <f t="shared" si="142"/>
        <v>0</v>
      </c>
      <c r="Q249" s="597"/>
      <c r="S249" s="1097"/>
      <c r="T249" s="598"/>
    </row>
    <row r="250" spans="2:20">
      <c r="B250" s="1373" t="s">
        <v>1205</v>
      </c>
      <c r="C250" s="582" t="s">
        <v>833</v>
      </c>
      <c r="D250" s="1372">
        <f t="shared" ref="D250:P250" si="143">SUM(D251:D254)</f>
        <v>0</v>
      </c>
      <c r="E250" s="1372">
        <f t="shared" si="143"/>
        <v>0</v>
      </c>
      <c r="F250" s="1372">
        <f t="shared" si="143"/>
        <v>0</v>
      </c>
      <c r="G250" s="1372">
        <f t="shared" si="143"/>
        <v>0</v>
      </c>
      <c r="H250" s="1372">
        <f t="shared" si="143"/>
        <v>0</v>
      </c>
      <c r="I250" s="1372">
        <f t="shared" si="143"/>
        <v>0</v>
      </c>
      <c r="J250" s="1372">
        <f t="shared" si="143"/>
        <v>0</v>
      </c>
      <c r="K250" s="1372">
        <f t="shared" si="143"/>
        <v>0</v>
      </c>
      <c r="L250" s="1372">
        <f t="shared" si="143"/>
        <v>0</v>
      </c>
      <c r="M250" s="1372">
        <f t="shared" si="143"/>
        <v>0</v>
      </c>
      <c r="N250" s="1372">
        <f t="shared" si="143"/>
        <v>0</v>
      </c>
      <c r="O250" s="1372">
        <f t="shared" si="143"/>
        <v>0</v>
      </c>
      <c r="P250" s="1372">
        <f t="shared" si="143"/>
        <v>0</v>
      </c>
      <c r="Q250" s="597"/>
      <c r="S250" s="1100"/>
    </row>
    <row r="251" spans="2:20">
      <c r="B251" s="1374" t="s">
        <v>1575</v>
      </c>
      <c r="C251" s="582" t="s">
        <v>833</v>
      </c>
      <c r="D251" s="1096">
        <f>D40</f>
        <v>0</v>
      </c>
      <c r="E251" s="1096">
        <f t="shared" ref="E251:P251" si="144">E40</f>
        <v>0</v>
      </c>
      <c r="F251" s="1096">
        <f t="shared" si="144"/>
        <v>0</v>
      </c>
      <c r="G251" s="1096">
        <f t="shared" si="144"/>
        <v>0</v>
      </c>
      <c r="H251" s="1096">
        <f t="shared" si="144"/>
        <v>0</v>
      </c>
      <c r="I251" s="1096">
        <f t="shared" si="144"/>
        <v>0</v>
      </c>
      <c r="J251" s="1096">
        <f t="shared" si="144"/>
        <v>0</v>
      </c>
      <c r="K251" s="1096">
        <f t="shared" si="144"/>
        <v>0</v>
      </c>
      <c r="L251" s="1096">
        <f t="shared" si="144"/>
        <v>0</v>
      </c>
      <c r="M251" s="1096">
        <f t="shared" si="144"/>
        <v>0</v>
      </c>
      <c r="N251" s="1096">
        <f t="shared" si="144"/>
        <v>0</v>
      </c>
      <c r="O251" s="1096">
        <f t="shared" si="144"/>
        <v>0</v>
      </c>
      <c r="P251" s="1096">
        <f t="shared" si="144"/>
        <v>0</v>
      </c>
      <c r="Q251" s="597"/>
      <c r="S251" s="1100"/>
    </row>
    <row r="252" spans="2:20">
      <c r="B252" s="1374" t="s">
        <v>1578</v>
      </c>
      <c r="C252" s="1378" t="s">
        <v>833</v>
      </c>
      <c r="D252" s="1096">
        <f>D44</f>
        <v>0</v>
      </c>
      <c r="E252" s="1096">
        <f t="shared" ref="E252:P252" si="145">E44</f>
        <v>0</v>
      </c>
      <c r="F252" s="1096">
        <f t="shared" si="145"/>
        <v>0</v>
      </c>
      <c r="G252" s="1096">
        <f t="shared" si="145"/>
        <v>0</v>
      </c>
      <c r="H252" s="1096">
        <f t="shared" si="145"/>
        <v>0</v>
      </c>
      <c r="I252" s="1096">
        <f t="shared" si="145"/>
        <v>0</v>
      </c>
      <c r="J252" s="1096">
        <f t="shared" si="145"/>
        <v>0</v>
      </c>
      <c r="K252" s="1096">
        <f t="shared" si="145"/>
        <v>0</v>
      </c>
      <c r="L252" s="1096">
        <f t="shared" si="145"/>
        <v>0</v>
      </c>
      <c r="M252" s="1096">
        <f t="shared" si="145"/>
        <v>0</v>
      </c>
      <c r="N252" s="1096">
        <f t="shared" si="145"/>
        <v>0</v>
      </c>
      <c r="O252" s="1096">
        <f t="shared" si="145"/>
        <v>0</v>
      </c>
      <c r="P252" s="1096">
        <f t="shared" si="145"/>
        <v>0</v>
      </c>
      <c r="Q252" s="597"/>
      <c r="S252" s="1100"/>
    </row>
    <row r="253" spans="2:20">
      <c r="B253" s="1375" t="s">
        <v>1576</v>
      </c>
      <c r="C253" s="582" t="s">
        <v>833</v>
      </c>
      <c r="D253" s="1096">
        <f>D54</f>
        <v>0</v>
      </c>
      <c r="E253" s="1096">
        <f t="shared" ref="E253:P253" si="146">E54</f>
        <v>0</v>
      </c>
      <c r="F253" s="1096">
        <f t="shared" si="146"/>
        <v>0</v>
      </c>
      <c r="G253" s="1096">
        <f t="shared" si="146"/>
        <v>0</v>
      </c>
      <c r="H253" s="1096">
        <f t="shared" si="146"/>
        <v>0</v>
      </c>
      <c r="I253" s="1096">
        <f t="shared" si="146"/>
        <v>0</v>
      </c>
      <c r="J253" s="1096">
        <f t="shared" si="146"/>
        <v>0</v>
      </c>
      <c r="K253" s="1096">
        <f t="shared" si="146"/>
        <v>0</v>
      </c>
      <c r="L253" s="1096">
        <f t="shared" si="146"/>
        <v>0</v>
      </c>
      <c r="M253" s="1096">
        <f t="shared" si="146"/>
        <v>0</v>
      </c>
      <c r="N253" s="1096">
        <f t="shared" si="146"/>
        <v>0</v>
      </c>
      <c r="O253" s="1096">
        <f t="shared" si="146"/>
        <v>0</v>
      </c>
      <c r="P253" s="1096">
        <f t="shared" si="146"/>
        <v>0</v>
      </c>
      <c r="Q253" s="597"/>
      <c r="S253" s="1371"/>
    </row>
    <row r="254" spans="2:20" ht="14.4" customHeight="1">
      <c r="B254" s="1375" t="s">
        <v>1577</v>
      </c>
      <c r="C254" s="582" t="s">
        <v>833</v>
      </c>
      <c r="D254" s="1096">
        <f>D61</f>
        <v>0</v>
      </c>
      <c r="E254" s="1096">
        <f t="shared" ref="E254:P254" si="147">E61</f>
        <v>0</v>
      </c>
      <c r="F254" s="1096">
        <f t="shared" si="147"/>
        <v>0</v>
      </c>
      <c r="G254" s="1096">
        <f t="shared" si="147"/>
        <v>0</v>
      </c>
      <c r="H254" s="1096">
        <f t="shared" si="147"/>
        <v>0</v>
      </c>
      <c r="I254" s="1096">
        <f t="shared" si="147"/>
        <v>0</v>
      </c>
      <c r="J254" s="1096">
        <f t="shared" si="147"/>
        <v>0</v>
      </c>
      <c r="K254" s="1096">
        <f t="shared" si="147"/>
        <v>0</v>
      </c>
      <c r="L254" s="1096">
        <f t="shared" si="147"/>
        <v>0</v>
      </c>
      <c r="M254" s="1096">
        <f t="shared" si="147"/>
        <v>0</v>
      </c>
      <c r="N254" s="1096">
        <f t="shared" si="147"/>
        <v>0</v>
      </c>
      <c r="O254" s="1096">
        <f t="shared" si="147"/>
        <v>0</v>
      </c>
      <c r="P254" s="1096">
        <f t="shared" si="147"/>
        <v>0</v>
      </c>
      <c r="Q254" s="597"/>
      <c r="S254" s="1097"/>
      <c r="T254" s="598"/>
    </row>
    <row r="255" spans="2:20">
      <c r="B255" s="1092" t="s">
        <v>1161</v>
      </c>
      <c r="C255" s="582" t="s">
        <v>833</v>
      </c>
      <c r="D255" s="1372">
        <f t="shared" ref="D255:P255" si="148">SUM(D256:D259)</f>
        <v>0</v>
      </c>
      <c r="E255" s="1372">
        <f t="shared" si="148"/>
        <v>0</v>
      </c>
      <c r="F255" s="1372">
        <f t="shared" si="148"/>
        <v>0</v>
      </c>
      <c r="G255" s="1372">
        <f t="shared" si="148"/>
        <v>0</v>
      </c>
      <c r="H255" s="1372">
        <f t="shared" si="148"/>
        <v>0</v>
      </c>
      <c r="I255" s="1372">
        <f t="shared" si="148"/>
        <v>0</v>
      </c>
      <c r="J255" s="1372">
        <f t="shared" si="148"/>
        <v>0</v>
      </c>
      <c r="K255" s="1372">
        <f t="shared" si="148"/>
        <v>0</v>
      </c>
      <c r="L255" s="1372">
        <f t="shared" si="148"/>
        <v>0</v>
      </c>
      <c r="M255" s="1372">
        <f t="shared" si="148"/>
        <v>0</v>
      </c>
      <c r="N255" s="1372">
        <f t="shared" si="148"/>
        <v>0</v>
      </c>
      <c r="O255" s="1372">
        <f t="shared" si="148"/>
        <v>0</v>
      </c>
      <c r="P255" s="1372">
        <f t="shared" si="148"/>
        <v>0</v>
      </c>
      <c r="Q255" s="597"/>
      <c r="S255" s="1371"/>
    </row>
    <row r="256" spans="2:20">
      <c r="B256" s="1374" t="s">
        <v>1575</v>
      </c>
      <c r="C256" s="582" t="s">
        <v>833</v>
      </c>
      <c r="D256" s="1096">
        <f>D73</f>
        <v>0</v>
      </c>
      <c r="E256" s="1096">
        <f t="shared" ref="E256:P256" si="149">E73</f>
        <v>0</v>
      </c>
      <c r="F256" s="1096">
        <f t="shared" si="149"/>
        <v>0</v>
      </c>
      <c r="G256" s="1096">
        <f t="shared" si="149"/>
        <v>0</v>
      </c>
      <c r="H256" s="1096">
        <f t="shared" si="149"/>
        <v>0</v>
      </c>
      <c r="I256" s="1096">
        <f t="shared" si="149"/>
        <v>0</v>
      </c>
      <c r="J256" s="1096">
        <f t="shared" si="149"/>
        <v>0</v>
      </c>
      <c r="K256" s="1096">
        <f t="shared" si="149"/>
        <v>0</v>
      </c>
      <c r="L256" s="1096">
        <f t="shared" si="149"/>
        <v>0</v>
      </c>
      <c r="M256" s="1096">
        <f t="shared" si="149"/>
        <v>0</v>
      </c>
      <c r="N256" s="1096">
        <f t="shared" si="149"/>
        <v>0</v>
      </c>
      <c r="O256" s="1096">
        <f t="shared" si="149"/>
        <v>0</v>
      </c>
      <c r="P256" s="1096">
        <f t="shared" si="149"/>
        <v>0</v>
      </c>
      <c r="Q256" s="597"/>
      <c r="S256" s="1371"/>
    </row>
    <row r="257" spans="2:20">
      <c r="B257" s="1094" t="s">
        <v>1578</v>
      </c>
      <c r="C257" s="582" t="s">
        <v>833</v>
      </c>
      <c r="D257" s="1096">
        <f>D75</f>
        <v>0</v>
      </c>
      <c r="E257" s="1096">
        <f t="shared" ref="E257:P257" si="150">E75</f>
        <v>0</v>
      </c>
      <c r="F257" s="1096">
        <f t="shared" si="150"/>
        <v>0</v>
      </c>
      <c r="G257" s="1096">
        <f t="shared" si="150"/>
        <v>0</v>
      </c>
      <c r="H257" s="1096">
        <f t="shared" si="150"/>
        <v>0</v>
      </c>
      <c r="I257" s="1096">
        <f t="shared" si="150"/>
        <v>0</v>
      </c>
      <c r="J257" s="1096">
        <f t="shared" si="150"/>
        <v>0</v>
      </c>
      <c r="K257" s="1096">
        <f t="shared" si="150"/>
        <v>0</v>
      </c>
      <c r="L257" s="1096">
        <f t="shared" si="150"/>
        <v>0</v>
      </c>
      <c r="M257" s="1096">
        <f t="shared" si="150"/>
        <v>0</v>
      </c>
      <c r="N257" s="1096">
        <f t="shared" si="150"/>
        <v>0</v>
      </c>
      <c r="O257" s="1096">
        <f t="shared" si="150"/>
        <v>0</v>
      </c>
      <c r="P257" s="1096">
        <f t="shared" si="150"/>
        <v>0</v>
      </c>
    </row>
    <row r="258" spans="2:20">
      <c r="B258" s="1375" t="s">
        <v>1576</v>
      </c>
      <c r="C258" s="582" t="s">
        <v>833</v>
      </c>
      <c r="D258" s="1096">
        <v>0</v>
      </c>
      <c r="E258" s="1096">
        <v>0</v>
      </c>
      <c r="F258" s="1096">
        <v>0</v>
      </c>
      <c r="G258" s="1096">
        <v>0</v>
      </c>
      <c r="H258" s="1096">
        <v>0</v>
      </c>
      <c r="I258" s="1096">
        <v>0</v>
      </c>
      <c r="J258" s="1096">
        <v>0</v>
      </c>
      <c r="K258" s="1096">
        <v>0</v>
      </c>
      <c r="L258" s="1096">
        <v>0</v>
      </c>
      <c r="M258" s="1096">
        <v>0</v>
      </c>
      <c r="N258" s="1096">
        <v>0</v>
      </c>
      <c r="O258" s="1096">
        <v>0</v>
      </c>
      <c r="P258" s="1096">
        <v>0</v>
      </c>
      <c r="Q258" s="597"/>
      <c r="S258" s="1371"/>
    </row>
    <row r="259" spans="2:20" ht="14.4" customHeight="1">
      <c r="B259" s="1375" t="s">
        <v>1577</v>
      </c>
      <c r="C259" s="582" t="s">
        <v>833</v>
      </c>
      <c r="D259" s="1096">
        <v>0</v>
      </c>
      <c r="E259" s="1096">
        <v>0</v>
      </c>
      <c r="F259" s="1096">
        <v>0</v>
      </c>
      <c r="G259" s="1096">
        <v>0</v>
      </c>
      <c r="H259" s="1096">
        <v>0</v>
      </c>
      <c r="I259" s="1096">
        <v>0</v>
      </c>
      <c r="J259" s="1096">
        <v>0</v>
      </c>
      <c r="K259" s="1096">
        <v>0</v>
      </c>
      <c r="L259" s="1096">
        <v>0</v>
      </c>
      <c r="M259" s="1096">
        <v>0</v>
      </c>
      <c r="N259" s="1096">
        <v>0</v>
      </c>
      <c r="O259" s="1096">
        <v>0</v>
      </c>
      <c r="P259" s="1096">
        <v>0</v>
      </c>
      <c r="Q259" s="597"/>
      <c r="S259" s="1097"/>
      <c r="T259" s="598"/>
    </row>
    <row r="260" spans="2:20">
      <c r="B260" s="1092" t="s">
        <v>761</v>
      </c>
      <c r="C260" s="582" t="s">
        <v>833</v>
      </c>
      <c r="D260" s="1372">
        <f t="shared" ref="D260:P260" si="151">SUM(D261:D264)</f>
        <v>0</v>
      </c>
      <c r="E260" s="1372">
        <f t="shared" si="151"/>
        <v>0</v>
      </c>
      <c r="F260" s="1372">
        <f t="shared" si="151"/>
        <v>0</v>
      </c>
      <c r="G260" s="1372">
        <f t="shared" si="151"/>
        <v>0</v>
      </c>
      <c r="H260" s="1372">
        <f t="shared" si="151"/>
        <v>0</v>
      </c>
      <c r="I260" s="1372">
        <f t="shared" si="151"/>
        <v>0</v>
      </c>
      <c r="J260" s="1372">
        <f t="shared" si="151"/>
        <v>0</v>
      </c>
      <c r="K260" s="1372">
        <f t="shared" si="151"/>
        <v>0</v>
      </c>
      <c r="L260" s="1372">
        <f t="shared" si="151"/>
        <v>0</v>
      </c>
      <c r="M260" s="1372">
        <f t="shared" si="151"/>
        <v>0</v>
      </c>
      <c r="N260" s="1372">
        <f t="shared" si="151"/>
        <v>0</v>
      </c>
      <c r="O260" s="1372">
        <f t="shared" si="151"/>
        <v>0</v>
      </c>
      <c r="P260" s="1372">
        <f t="shared" si="151"/>
        <v>0</v>
      </c>
      <c r="Q260" s="597"/>
      <c r="S260" s="1371"/>
    </row>
    <row r="261" spans="2:20">
      <c r="B261" s="1374" t="s">
        <v>1575</v>
      </c>
      <c r="C261" s="582" t="s">
        <v>833</v>
      </c>
      <c r="D261" s="1093">
        <f>D104</f>
        <v>0</v>
      </c>
      <c r="E261" s="1093">
        <f t="shared" ref="E261:P261" si="152">E104</f>
        <v>0</v>
      </c>
      <c r="F261" s="1093">
        <f t="shared" si="152"/>
        <v>0</v>
      </c>
      <c r="G261" s="1093">
        <f t="shared" si="152"/>
        <v>0</v>
      </c>
      <c r="H261" s="1093">
        <f t="shared" si="152"/>
        <v>0</v>
      </c>
      <c r="I261" s="1093">
        <f t="shared" si="152"/>
        <v>0</v>
      </c>
      <c r="J261" s="1093">
        <f t="shared" si="152"/>
        <v>0</v>
      </c>
      <c r="K261" s="1093">
        <f t="shared" si="152"/>
        <v>0</v>
      </c>
      <c r="L261" s="1093">
        <f t="shared" si="152"/>
        <v>0</v>
      </c>
      <c r="M261" s="1093">
        <f t="shared" si="152"/>
        <v>0</v>
      </c>
      <c r="N261" s="1093">
        <f t="shared" si="152"/>
        <v>0</v>
      </c>
      <c r="O261" s="1093">
        <f t="shared" si="152"/>
        <v>0</v>
      </c>
      <c r="P261" s="1093">
        <f t="shared" si="152"/>
        <v>0</v>
      </c>
      <c r="Q261" s="597"/>
      <c r="S261" s="1371"/>
    </row>
    <row r="262" spans="2:20">
      <c r="B262" s="1094" t="s">
        <v>1578</v>
      </c>
      <c r="C262" s="582" t="s">
        <v>833</v>
      </c>
      <c r="D262" s="1093">
        <f>D109</f>
        <v>0</v>
      </c>
      <c r="E262" s="1093">
        <f t="shared" ref="E262:P262" si="153">E109</f>
        <v>0</v>
      </c>
      <c r="F262" s="1093">
        <f t="shared" si="153"/>
        <v>0</v>
      </c>
      <c r="G262" s="1093">
        <f t="shared" si="153"/>
        <v>0</v>
      </c>
      <c r="H262" s="1093">
        <f t="shared" si="153"/>
        <v>0</v>
      </c>
      <c r="I262" s="1093">
        <f t="shared" si="153"/>
        <v>0</v>
      </c>
      <c r="J262" s="1093">
        <f t="shared" si="153"/>
        <v>0</v>
      </c>
      <c r="K262" s="1093">
        <f t="shared" si="153"/>
        <v>0</v>
      </c>
      <c r="L262" s="1093">
        <f t="shared" si="153"/>
        <v>0</v>
      </c>
      <c r="M262" s="1093">
        <f t="shared" si="153"/>
        <v>0</v>
      </c>
      <c r="N262" s="1093">
        <f t="shared" si="153"/>
        <v>0</v>
      </c>
      <c r="O262" s="1093">
        <f t="shared" si="153"/>
        <v>0</v>
      </c>
      <c r="P262" s="1093">
        <f t="shared" si="153"/>
        <v>0</v>
      </c>
    </row>
    <row r="263" spans="2:20">
      <c r="B263" s="1375" t="s">
        <v>1576</v>
      </c>
      <c r="C263" s="582" t="s">
        <v>833</v>
      </c>
      <c r="D263" s="1093"/>
      <c r="E263" s="1093"/>
      <c r="F263" s="1093"/>
      <c r="G263" s="1093"/>
      <c r="H263" s="1093"/>
      <c r="I263" s="1093"/>
      <c r="J263" s="1093"/>
      <c r="K263" s="1093"/>
      <c r="L263" s="1093"/>
      <c r="M263" s="1093"/>
      <c r="N263" s="1093"/>
      <c r="O263" s="1093"/>
      <c r="P263" s="1093"/>
    </row>
    <row r="264" spans="2:20">
      <c r="B264" s="1375" t="s">
        <v>1577</v>
      </c>
      <c r="C264" s="582" t="s">
        <v>833</v>
      </c>
      <c r="D264" s="1093"/>
      <c r="E264" s="1093"/>
      <c r="F264" s="1093"/>
      <c r="G264" s="1093"/>
      <c r="H264" s="1093"/>
      <c r="I264" s="1093"/>
      <c r="J264" s="1093"/>
      <c r="K264" s="1093"/>
      <c r="L264" s="1093"/>
      <c r="M264" s="1093"/>
      <c r="N264" s="1093"/>
      <c r="O264" s="1093"/>
      <c r="P264" s="1093"/>
    </row>
    <row r="265" spans="2:20">
      <c r="B265" s="1092" t="s">
        <v>1169</v>
      </c>
      <c r="C265" s="582" t="s">
        <v>833</v>
      </c>
      <c r="D265" s="1372">
        <f t="shared" ref="D265:P265" si="154">SUM(D266:D269)</f>
        <v>0</v>
      </c>
      <c r="E265" s="1372">
        <f t="shared" si="154"/>
        <v>0</v>
      </c>
      <c r="F265" s="1372">
        <f t="shared" si="154"/>
        <v>0</v>
      </c>
      <c r="G265" s="1372">
        <f t="shared" si="154"/>
        <v>0</v>
      </c>
      <c r="H265" s="1372">
        <f t="shared" si="154"/>
        <v>0</v>
      </c>
      <c r="I265" s="1372">
        <f t="shared" si="154"/>
        <v>0</v>
      </c>
      <c r="J265" s="1372">
        <f t="shared" si="154"/>
        <v>0</v>
      </c>
      <c r="K265" s="1372">
        <f t="shared" si="154"/>
        <v>0</v>
      </c>
      <c r="L265" s="1372">
        <f t="shared" si="154"/>
        <v>0</v>
      </c>
      <c r="M265" s="1372">
        <f t="shared" si="154"/>
        <v>0</v>
      </c>
      <c r="N265" s="1372">
        <f t="shared" si="154"/>
        <v>0</v>
      </c>
      <c r="O265" s="1372">
        <f t="shared" si="154"/>
        <v>0</v>
      </c>
      <c r="P265" s="1372">
        <f t="shared" si="154"/>
        <v>0</v>
      </c>
    </row>
    <row r="266" spans="2:20">
      <c r="B266" s="1374" t="s">
        <v>1575</v>
      </c>
      <c r="C266" s="582" t="s">
        <v>833</v>
      </c>
      <c r="D266" s="1093">
        <f>D106</f>
        <v>0</v>
      </c>
      <c r="E266" s="1093">
        <f t="shared" ref="E266:P266" si="155">E106</f>
        <v>0</v>
      </c>
      <c r="F266" s="1093">
        <f t="shared" si="155"/>
        <v>0</v>
      </c>
      <c r="G266" s="1093">
        <f t="shared" si="155"/>
        <v>0</v>
      </c>
      <c r="H266" s="1093">
        <f t="shared" si="155"/>
        <v>0</v>
      </c>
      <c r="I266" s="1093">
        <f t="shared" si="155"/>
        <v>0</v>
      </c>
      <c r="J266" s="1093">
        <f t="shared" si="155"/>
        <v>0</v>
      </c>
      <c r="K266" s="1093">
        <f t="shared" si="155"/>
        <v>0</v>
      </c>
      <c r="L266" s="1093">
        <f t="shared" si="155"/>
        <v>0</v>
      </c>
      <c r="M266" s="1093">
        <f t="shared" si="155"/>
        <v>0</v>
      </c>
      <c r="N266" s="1093">
        <f t="shared" si="155"/>
        <v>0</v>
      </c>
      <c r="O266" s="1093">
        <f t="shared" si="155"/>
        <v>0</v>
      </c>
      <c r="P266" s="1093">
        <f t="shared" si="155"/>
        <v>0</v>
      </c>
    </row>
    <row r="267" spans="2:20">
      <c r="B267" s="1094" t="s">
        <v>1578</v>
      </c>
      <c r="C267" s="582" t="s">
        <v>833</v>
      </c>
      <c r="D267" s="1093">
        <f>D111</f>
        <v>0</v>
      </c>
      <c r="E267" s="1093">
        <f t="shared" ref="E267:P267" si="156">E111</f>
        <v>0</v>
      </c>
      <c r="F267" s="1093">
        <f t="shared" si="156"/>
        <v>0</v>
      </c>
      <c r="G267" s="1093">
        <f t="shared" si="156"/>
        <v>0</v>
      </c>
      <c r="H267" s="1093">
        <f t="shared" si="156"/>
        <v>0</v>
      </c>
      <c r="I267" s="1093">
        <f t="shared" si="156"/>
        <v>0</v>
      </c>
      <c r="J267" s="1093">
        <f t="shared" si="156"/>
        <v>0</v>
      </c>
      <c r="K267" s="1093">
        <f t="shared" si="156"/>
        <v>0</v>
      </c>
      <c r="L267" s="1093">
        <f t="shared" si="156"/>
        <v>0</v>
      </c>
      <c r="M267" s="1093">
        <f t="shared" si="156"/>
        <v>0</v>
      </c>
      <c r="N267" s="1093">
        <f t="shared" si="156"/>
        <v>0</v>
      </c>
      <c r="O267" s="1093">
        <f t="shared" si="156"/>
        <v>0</v>
      </c>
      <c r="P267" s="1093">
        <f t="shared" si="156"/>
        <v>0</v>
      </c>
    </row>
    <row r="268" spans="2:20">
      <c r="B268" s="1375" t="s">
        <v>1576</v>
      </c>
      <c r="C268" s="582" t="s">
        <v>833</v>
      </c>
      <c r="D268" s="1093"/>
      <c r="E268" s="1093"/>
      <c r="F268" s="1093"/>
      <c r="G268" s="1093"/>
      <c r="H268" s="1093"/>
      <c r="I268" s="1093"/>
      <c r="J268" s="1093"/>
      <c r="K268" s="1093"/>
      <c r="L268" s="1093"/>
      <c r="M268" s="1093"/>
      <c r="N268" s="1093"/>
      <c r="O268" s="1093"/>
      <c r="P268" s="1093"/>
    </row>
    <row r="269" spans="2:20">
      <c r="B269" s="1375" t="s">
        <v>1577</v>
      </c>
      <c r="C269" s="582" t="s">
        <v>833</v>
      </c>
      <c r="D269" s="1093"/>
      <c r="E269" s="1093"/>
      <c r="F269" s="1093"/>
      <c r="G269" s="1093"/>
      <c r="H269" s="1093"/>
      <c r="I269" s="1093"/>
      <c r="J269" s="1093"/>
      <c r="K269" s="1093"/>
      <c r="L269" s="1093"/>
      <c r="M269" s="1093"/>
      <c r="N269" s="1093"/>
      <c r="O269" s="1093"/>
      <c r="P269" s="1093"/>
    </row>
    <row r="270" spans="2:20">
      <c r="B270" s="1092" t="s">
        <v>749</v>
      </c>
      <c r="C270" s="582" t="s">
        <v>833</v>
      </c>
      <c r="D270" s="1372">
        <f t="shared" ref="D270:P270" si="157">SUM(D271:D274)</f>
        <v>0</v>
      </c>
      <c r="E270" s="1372">
        <f t="shared" si="157"/>
        <v>0</v>
      </c>
      <c r="F270" s="1372">
        <f t="shared" si="157"/>
        <v>0</v>
      </c>
      <c r="G270" s="1372">
        <f t="shared" si="157"/>
        <v>0</v>
      </c>
      <c r="H270" s="1372">
        <f t="shared" si="157"/>
        <v>0</v>
      </c>
      <c r="I270" s="1372">
        <f t="shared" si="157"/>
        <v>0</v>
      </c>
      <c r="J270" s="1372">
        <f t="shared" si="157"/>
        <v>0</v>
      </c>
      <c r="K270" s="1372">
        <f t="shared" si="157"/>
        <v>0</v>
      </c>
      <c r="L270" s="1372">
        <f t="shared" si="157"/>
        <v>0</v>
      </c>
      <c r="M270" s="1372">
        <f t="shared" si="157"/>
        <v>0</v>
      </c>
      <c r="N270" s="1372">
        <f t="shared" si="157"/>
        <v>0</v>
      </c>
      <c r="O270" s="1372">
        <f t="shared" si="157"/>
        <v>0</v>
      </c>
      <c r="P270" s="1372">
        <f t="shared" si="157"/>
        <v>0</v>
      </c>
    </row>
    <row r="271" spans="2:20">
      <c r="B271" s="1374" t="s">
        <v>1575</v>
      </c>
      <c r="C271" s="582" t="s">
        <v>833</v>
      </c>
      <c r="D271" s="1093">
        <f>D105</f>
        <v>0</v>
      </c>
      <c r="E271" s="1093">
        <f t="shared" ref="E271:P271" si="158">E105</f>
        <v>0</v>
      </c>
      <c r="F271" s="1093">
        <f t="shared" si="158"/>
        <v>0</v>
      </c>
      <c r="G271" s="1093">
        <f t="shared" si="158"/>
        <v>0</v>
      </c>
      <c r="H271" s="1093">
        <f t="shared" si="158"/>
        <v>0</v>
      </c>
      <c r="I271" s="1093">
        <f t="shared" si="158"/>
        <v>0</v>
      </c>
      <c r="J271" s="1093">
        <f t="shared" si="158"/>
        <v>0</v>
      </c>
      <c r="K271" s="1093">
        <f t="shared" si="158"/>
        <v>0</v>
      </c>
      <c r="L271" s="1093">
        <f t="shared" si="158"/>
        <v>0</v>
      </c>
      <c r="M271" s="1093">
        <f t="shared" si="158"/>
        <v>0</v>
      </c>
      <c r="N271" s="1093">
        <f t="shared" si="158"/>
        <v>0</v>
      </c>
      <c r="O271" s="1093">
        <f t="shared" si="158"/>
        <v>0</v>
      </c>
      <c r="P271" s="1093">
        <f t="shared" si="158"/>
        <v>0</v>
      </c>
    </row>
    <row r="272" spans="2:20">
      <c r="B272" s="1094" t="s">
        <v>1578</v>
      </c>
      <c r="C272" s="582" t="s">
        <v>833</v>
      </c>
      <c r="D272" s="1093">
        <f>D110</f>
        <v>0</v>
      </c>
      <c r="E272" s="1093">
        <f t="shared" ref="E272:P272" si="159">E110</f>
        <v>0</v>
      </c>
      <c r="F272" s="1093">
        <f t="shared" si="159"/>
        <v>0</v>
      </c>
      <c r="G272" s="1093">
        <f t="shared" si="159"/>
        <v>0</v>
      </c>
      <c r="H272" s="1093">
        <f t="shared" si="159"/>
        <v>0</v>
      </c>
      <c r="I272" s="1093">
        <f t="shared" si="159"/>
        <v>0</v>
      </c>
      <c r="J272" s="1093">
        <f t="shared" si="159"/>
        <v>0</v>
      </c>
      <c r="K272" s="1093">
        <f t="shared" si="159"/>
        <v>0</v>
      </c>
      <c r="L272" s="1093">
        <f t="shared" si="159"/>
        <v>0</v>
      </c>
      <c r="M272" s="1093">
        <f t="shared" si="159"/>
        <v>0</v>
      </c>
      <c r="N272" s="1093">
        <f t="shared" si="159"/>
        <v>0</v>
      </c>
      <c r="O272" s="1093">
        <f t="shared" si="159"/>
        <v>0</v>
      </c>
      <c r="P272" s="1093">
        <f t="shared" si="159"/>
        <v>0</v>
      </c>
    </row>
    <row r="273" spans="2:16">
      <c r="B273" s="1375" t="s">
        <v>1576</v>
      </c>
      <c r="C273" s="582" t="s">
        <v>833</v>
      </c>
      <c r="D273" s="1367"/>
      <c r="E273" s="1093"/>
      <c r="F273" s="1093"/>
      <c r="G273" s="1093"/>
      <c r="H273" s="1093"/>
      <c r="I273" s="1093"/>
      <c r="J273" s="1093"/>
      <c r="K273" s="1093"/>
      <c r="L273" s="1093"/>
      <c r="M273" s="1093"/>
      <c r="N273" s="1093"/>
      <c r="O273" s="1093"/>
      <c r="P273" s="1093"/>
    </row>
    <row r="274" spans="2:16">
      <c r="B274" s="1375" t="s">
        <v>1577</v>
      </c>
      <c r="C274" s="582" t="s">
        <v>833</v>
      </c>
      <c r="D274" s="1367"/>
      <c r="E274" s="1093"/>
      <c r="F274" s="1093"/>
      <c r="G274" s="1093"/>
      <c r="H274" s="1093"/>
      <c r="I274" s="1093"/>
      <c r="J274" s="1093"/>
      <c r="K274" s="1093"/>
      <c r="L274" s="1093"/>
      <c r="M274" s="1093"/>
      <c r="N274" s="1093"/>
      <c r="O274" s="1093"/>
      <c r="P274" s="1093"/>
    </row>
    <row r="275" spans="2:16">
      <c r="B275" s="1092" t="s">
        <v>760</v>
      </c>
      <c r="C275" s="582" t="s">
        <v>833</v>
      </c>
      <c r="D275" s="1372">
        <f t="shared" ref="D275:P275" si="160">SUM(D276:D279)</f>
        <v>0</v>
      </c>
      <c r="E275" s="1372">
        <f t="shared" si="160"/>
        <v>0</v>
      </c>
      <c r="F275" s="1372">
        <f t="shared" si="160"/>
        <v>0</v>
      </c>
      <c r="G275" s="1372">
        <f t="shared" si="160"/>
        <v>0</v>
      </c>
      <c r="H275" s="1372">
        <f t="shared" si="160"/>
        <v>0</v>
      </c>
      <c r="I275" s="1372">
        <f t="shared" si="160"/>
        <v>0</v>
      </c>
      <c r="J275" s="1372">
        <f t="shared" si="160"/>
        <v>0</v>
      </c>
      <c r="K275" s="1372">
        <f t="shared" si="160"/>
        <v>0</v>
      </c>
      <c r="L275" s="1372">
        <f t="shared" si="160"/>
        <v>0</v>
      </c>
      <c r="M275" s="1372">
        <f t="shared" si="160"/>
        <v>0</v>
      </c>
      <c r="N275" s="1372">
        <f t="shared" si="160"/>
        <v>0</v>
      </c>
      <c r="O275" s="1372">
        <f t="shared" si="160"/>
        <v>0</v>
      </c>
      <c r="P275" s="1372">
        <f t="shared" si="160"/>
        <v>0</v>
      </c>
    </row>
    <row r="276" spans="2:16">
      <c r="B276" s="1374" t="s">
        <v>1575</v>
      </c>
      <c r="C276" s="582" t="s">
        <v>833</v>
      </c>
      <c r="D276" s="1429">
        <f>D131</f>
        <v>0</v>
      </c>
      <c r="E276" s="1429">
        <f t="shared" ref="E276:P276" si="161">E131</f>
        <v>0</v>
      </c>
      <c r="F276" s="1429">
        <f t="shared" si="161"/>
        <v>0</v>
      </c>
      <c r="G276" s="1429">
        <f t="shared" si="161"/>
        <v>0</v>
      </c>
      <c r="H276" s="1429">
        <f t="shared" si="161"/>
        <v>0</v>
      </c>
      <c r="I276" s="1429">
        <f t="shared" si="161"/>
        <v>0</v>
      </c>
      <c r="J276" s="1429">
        <f t="shared" si="161"/>
        <v>0</v>
      </c>
      <c r="K276" s="1429">
        <f t="shared" si="161"/>
        <v>0</v>
      </c>
      <c r="L276" s="1429">
        <f t="shared" si="161"/>
        <v>0</v>
      </c>
      <c r="M276" s="1429">
        <f t="shared" si="161"/>
        <v>0</v>
      </c>
      <c r="N276" s="1429">
        <f t="shared" si="161"/>
        <v>0</v>
      </c>
      <c r="O276" s="1429">
        <f t="shared" si="161"/>
        <v>0</v>
      </c>
      <c r="P276" s="1429">
        <f t="shared" si="161"/>
        <v>0</v>
      </c>
    </row>
    <row r="277" spans="2:16">
      <c r="B277" s="1094" t="s">
        <v>1578</v>
      </c>
      <c r="C277" s="582" t="s">
        <v>833</v>
      </c>
      <c r="D277" s="1096">
        <f>D133</f>
        <v>0</v>
      </c>
      <c r="E277" s="1096">
        <f t="shared" ref="E277:P277" si="162">E133</f>
        <v>0</v>
      </c>
      <c r="F277" s="1096">
        <f t="shared" si="162"/>
        <v>0</v>
      </c>
      <c r="G277" s="1096">
        <f t="shared" si="162"/>
        <v>0</v>
      </c>
      <c r="H277" s="1096">
        <f t="shared" si="162"/>
        <v>0</v>
      </c>
      <c r="I277" s="1096">
        <f t="shared" si="162"/>
        <v>0</v>
      </c>
      <c r="J277" s="1096">
        <f t="shared" si="162"/>
        <v>0</v>
      </c>
      <c r="K277" s="1096">
        <f t="shared" si="162"/>
        <v>0</v>
      </c>
      <c r="L277" s="1096">
        <f t="shared" si="162"/>
        <v>0</v>
      </c>
      <c r="M277" s="1096">
        <f t="shared" si="162"/>
        <v>0</v>
      </c>
      <c r="N277" s="1096">
        <f t="shared" si="162"/>
        <v>0</v>
      </c>
      <c r="O277" s="1096">
        <f t="shared" si="162"/>
        <v>0</v>
      </c>
      <c r="P277" s="1096">
        <f t="shared" si="162"/>
        <v>0</v>
      </c>
    </row>
    <row r="278" spans="2:16">
      <c r="B278" s="1375" t="s">
        <v>1576</v>
      </c>
      <c r="C278" s="582" t="s">
        <v>833</v>
      </c>
      <c r="D278" s="1101"/>
      <c r="E278" s="1101"/>
      <c r="F278" s="1101"/>
      <c r="G278" s="1101"/>
      <c r="H278" s="1101"/>
      <c r="I278" s="1101"/>
      <c r="J278" s="1101"/>
      <c r="K278" s="1101"/>
      <c r="L278" s="1101"/>
      <c r="M278" s="1101"/>
      <c r="N278" s="1101"/>
      <c r="O278" s="1101"/>
      <c r="P278" s="1101"/>
    </row>
    <row r="279" spans="2:16">
      <c r="B279" s="1375" t="s">
        <v>1577</v>
      </c>
      <c r="C279" s="582" t="s">
        <v>833</v>
      </c>
      <c r="D279" s="1101"/>
      <c r="E279" s="1101"/>
      <c r="F279" s="1101"/>
      <c r="G279" s="1101"/>
      <c r="H279" s="1101"/>
      <c r="I279" s="1101"/>
      <c r="J279" s="1101"/>
      <c r="K279" s="1101"/>
      <c r="L279" s="1101"/>
      <c r="M279" s="1101"/>
      <c r="N279" s="1101"/>
      <c r="O279" s="1101"/>
      <c r="P279" s="1101"/>
    </row>
    <row r="280" spans="2:16">
      <c r="B280" s="1092" t="s">
        <v>1895</v>
      </c>
      <c r="C280" s="582" t="s">
        <v>833</v>
      </c>
      <c r="D280" s="1372">
        <f t="shared" ref="D280:P280" si="163">SUM(D281:D284)</f>
        <v>0</v>
      </c>
      <c r="E280" s="1372">
        <f t="shared" si="163"/>
        <v>0</v>
      </c>
      <c r="F280" s="1372">
        <f t="shared" si="163"/>
        <v>0</v>
      </c>
      <c r="G280" s="1372">
        <f t="shared" si="163"/>
        <v>0</v>
      </c>
      <c r="H280" s="1372">
        <f t="shared" si="163"/>
        <v>0</v>
      </c>
      <c r="I280" s="1372">
        <f t="shared" si="163"/>
        <v>0</v>
      </c>
      <c r="J280" s="1372">
        <f t="shared" si="163"/>
        <v>0</v>
      </c>
      <c r="K280" s="1372">
        <f t="shared" si="163"/>
        <v>0</v>
      </c>
      <c r="L280" s="1372">
        <f t="shared" si="163"/>
        <v>0</v>
      </c>
      <c r="M280" s="1372">
        <f t="shared" si="163"/>
        <v>0</v>
      </c>
      <c r="N280" s="1372">
        <f t="shared" si="163"/>
        <v>0</v>
      </c>
      <c r="O280" s="1372">
        <f t="shared" si="163"/>
        <v>0</v>
      </c>
      <c r="P280" s="1372">
        <f t="shared" si="163"/>
        <v>0</v>
      </c>
    </row>
    <row r="281" spans="2:16">
      <c r="B281" s="1374" t="s">
        <v>1575</v>
      </c>
      <c r="C281" s="582" t="s">
        <v>833</v>
      </c>
      <c r="D281" s="1101"/>
      <c r="E281" s="1101"/>
      <c r="F281" s="1101"/>
      <c r="G281" s="1101"/>
      <c r="H281" s="1101"/>
      <c r="I281" s="1101"/>
      <c r="J281" s="1101"/>
      <c r="K281" s="1101"/>
      <c r="L281" s="1101"/>
      <c r="M281" s="1101"/>
      <c r="N281" s="1101"/>
      <c r="O281" s="1101"/>
      <c r="P281" s="1101"/>
    </row>
    <row r="282" spans="2:16">
      <c r="B282" s="1094" t="s">
        <v>1578</v>
      </c>
      <c r="C282" s="582" t="s">
        <v>833</v>
      </c>
      <c r="D282" s="1096"/>
      <c r="E282" s="1096"/>
      <c r="F282" s="1096"/>
      <c r="G282" s="1096"/>
      <c r="H282" s="1096"/>
      <c r="I282" s="1096"/>
      <c r="J282" s="1096"/>
      <c r="K282" s="1096"/>
      <c r="L282" s="1096"/>
      <c r="M282" s="1096"/>
      <c r="N282" s="1096"/>
      <c r="O282" s="1096"/>
      <c r="P282" s="1096"/>
    </row>
    <row r="283" spans="2:16">
      <c r="B283" s="1375" t="s">
        <v>1576</v>
      </c>
      <c r="C283" s="582" t="s">
        <v>833</v>
      </c>
      <c r="D283" s="1101"/>
      <c r="E283" s="1101"/>
      <c r="F283" s="1101"/>
      <c r="G283" s="1101"/>
      <c r="H283" s="1101"/>
      <c r="I283" s="1101"/>
      <c r="J283" s="1101"/>
      <c r="K283" s="1101"/>
      <c r="L283" s="1101"/>
      <c r="M283" s="1101"/>
      <c r="N283" s="1101"/>
      <c r="O283" s="1101"/>
      <c r="P283" s="1101"/>
    </row>
    <row r="284" spans="2:16">
      <c r="B284" s="1375" t="s">
        <v>1577</v>
      </c>
      <c r="C284" s="582" t="s">
        <v>833</v>
      </c>
      <c r="D284" s="1101"/>
      <c r="E284" s="1101"/>
      <c r="F284" s="1101"/>
      <c r="G284" s="1101"/>
      <c r="H284" s="1101"/>
      <c r="I284" s="1101"/>
      <c r="J284" s="1101"/>
      <c r="K284" s="1101"/>
      <c r="L284" s="1101"/>
      <c r="M284" s="1101"/>
      <c r="N284" s="1101"/>
      <c r="O284" s="1101"/>
      <c r="P284" s="1101"/>
    </row>
    <row r="285" spans="2:16">
      <c r="B285" s="1092" t="s">
        <v>1180</v>
      </c>
      <c r="C285" s="582" t="s">
        <v>833</v>
      </c>
      <c r="D285" s="1372">
        <f t="shared" ref="D285:P285" si="164">SUM(D286:D289)</f>
        <v>0</v>
      </c>
      <c r="E285" s="1372">
        <f t="shared" si="164"/>
        <v>0</v>
      </c>
      <c r="F285" s="1372">
        <f t="shared" si="164"/>
        <v>0</v>
      </c>
      <c r="G285" s="1372">
        <f t="shared" si="164"/>
        <v>0</v>
      </c>
      <c r="H285" s="1372">
        <f t="shared" si="164"/>
        <v>0</v>
      </c>
      <c r="I285" s="1372">
        <f t="shared" si="164"/>
        <v>0</v>
      </c>
      <c r="J285" s="1372">
        <f t="shared" si="164"/>
        <v>0</v>
      </c>
      <c r="K285" s="1372">
        <f t="shared" si="164"/>
        <v>0</v>
      </c>
      <c r="L285" s="1372">
        <f t="shared" si="164"/>
        <v>0</v>
      </c>
      <c r="M285" s="1372">
        <f t="shared" si="164"/>
        <v>0</v>
      </c>
      <c r="N285" s="1372">
        <f t="shared" si="164"/>
        <v>0</v>
      </c>
      <c r="O285" s="1372">
        <f t="shared" si="164"/>
        <v>0</v>
      </c>
      <c r="P285" s="1372">
        <f t="shared" si="164"/>
        <v>0</v>
      </c>
    </row>
    <row r="286" spans="2:16">
      <c r="B286" s="1374" t="s">
        <v>1575</v>
      </c>
      <c r="C286" s="582" t="s">
        <v>833</v>
      </c>
      <c r="D286" s="1101">
        <f>D160</f>
        <v>0</v>
      </c>
      <c r="E286" s="1101">
        <f t="shared" ref="E286:P286" si="165">E160</f>
        <v>0</v>
      </c>
      <c r="F286" s="1101">
        <f t="shared" si="165"/>
        <v>0</v>
      </c>
      <c r="G286" s="1101">
        <f t="shared" si="165"/>
        <v>0</v>
      </c>
      <c r="H286" s="1101">
        <f t="shared" si="165"/>
        <v>0</v>
      </c>
      <c r="I286" s="1101">
        <f t="shared" si="165"/>
        <v>0</v>
      </c>
      <c r="J286" s="1101">
        <f t="shared" si="165"/>
        <v>0</v>
      </c>
      <c r="K286" s="1101">
        <f t="shared" si="165"/>
        <v>0</v>
      </c>
      <c r="L286" s="1101">
        <f t="shared" si="165"/>
        <v>0</v>
      </c>
      <c r="M286" s="1101">
        <f t="shared" si="165"/>
        <v>0</v>
      </c>
      <c r="N286" s="1101">
        <f t="shared" si="165"/>
        <v>0</v>
      </c>
      <c r="O286" s="1101">
        <f t="shared" si="165"/>
        <v>0</v>
      </c>
      <c r="P286" s="1101">
        <f t="shared" si="165"/>
        <v>0</v>
      </c>
    </row>
    <row r="287" spans="2:16">
      <c r="B287" s="1094" t="s">
        <v>1578</v>
      </c>
      <c r="C287" s="582" t="s">
        <v>833</v>
      </c>
      <c r="D287" s="1096">
        <f>D162</f>
        <v>0</v>
      </c>
      <c r="E287" s="1096">
        <f t="shared" ref="E287:P287" si="166">E162</f>
        <v>0</v>
      </c>
      <c r="F287" s="1096">
        <f t="shared" si="166"/>
        <v>0</v>
      </c>
      <c r="G287" s="1096">
        <f t="shared" si="166"/>
        <v>0</v>
      </c>
      <c r="H287" s="1096">
        <f t="shared" si="166"/>
        <v>0</v>
      </c>
      <c r="I287" s="1096">
        <f t="shared" si="166"/>
        <v>0</v>
      </c>
      <c r="J287" s="1096">
        <f t="shared" si="166"/>
        <v>0</v>
      </c>
      <c r="K287" s="1096">
        <f t="shared" si="166"/>
        <v>0</v>
      </c>
      <c r="L287" s="1096">
        <f t="shared" si="166"/>
        <v>0</v>
      </c>
      <c r="M287" s="1096">
        <f t="shared" si="166"/>
        <v>0</v>
      </c>
      <c r="N287" s="1096">
        <f t="shared" si="166"/>
        <v>0</v>
      </c>
      <c r="O287" s="1096">
        <f t="shared" si="166"/>
        <v>0</v>
      </c>
      <c r="P287" s="1096">
        <f t="shared" si="166"/>
        <v>0</v>
      </c>
    </row>
    <row r="288" spans="2:16">
      <c r="B288" s="1375" t="s">
        <v>1576</v>
      </c>
      <c r="C288" s="582" t="s">
        <v>833</v>
      </c>
      <c r="D288" s="1429">
        <f>D166</f>
        <v>0</v>
      </c>
      <c r="E288" s="1429">
        <f t="shared" ref="E288:P288" si="167">E166</f>
        <v>0</v>
      </c>
      <c r="F288" s="1429">
        <f t="shared" si="167"/>
        <v>0</v>
      </c>
      <c r="G288" s="1429">
        <f t="shared" si="167"/>
        <v>0</v>
      </c>
      <c r="H288" s="1429">
        <f t="shared" si="167"/>
        <v>0</v>
      </c>
      <c r="I288" s="1429">
        <f t="shared" si="167"/>
        <v>0</v>
      </c>
      <c r="J288" s="1429">
        <f t="shared" si="167"/>
        <v>0</v>
      </c>
      <c r="K288" s="1429">
        <f t="shared" si="167"/>
        <v>0</v>
      </c>
      <c r="L288" s="1429">
        <f t="shared" si="167"/>
        <v>0</v>
      </c>
      <c r="M288" s="1429">
        <f t="shared" si="167"/>
        <v>0</v>
      </c>
      <c r="N288" s="1429">
        <f t="shared" si="167"/>
        <v>0</v>
      </c>
      <c r="O288" s="1429">
        <f t="shared" si="167"/>
        <v>0</v>
      </c>
      <c r="P288" s="1429">
        <f t="shared" si="167"/>
        <v>0</v>
      </c>
    </row>
    <row r="289" spans="2:16">
      <c r="B289" s="1375" t="s">
        <v>1577</v>
      </c>
      <c r="C289" s="582" t="s">
        <v>833</v>
      </c>
      <c r="D289" s="1101"/>
      <c r="E289" s="1101"/>
      <c r="F289" s="1101"/>
      <c r="G289" s="1101"/>
      <c r="H289" s="1101"/>
      <c r="I289" s="1101"/>
      <c r="J289" s="1101"/>
      <c r="K289" s="1101"/>
      <c r="L289" s="1101"/>
      <c r="M289" s="1101"/>
      <c r="N289" s="1101"/>
      <c r="O289" s="1101"/>
      <c r="P289" s="1101"/>
    </row>
  </sheetData>
  <autoFilter ref="B8:T84" xr:uid="{00000000-0009-0000-0000-00000A000000}"/>
  <mergeCells count="84">
    <mergeCell ref="M228:M229"/>
    <mergeCell ref="N228:N229"/>
    <mergeCell ref="O228:O229"/>
    <mergeCell ref="P228:P229"/>
    <mergeCell ref="H228:H229"/>
    <mergeCell ref="I228:I229"/>
    <mergeCell ref="J228:J229"/>
    <mergeCell ref="K228:K229"/>
    <mergeCell ref="L228:L229"/>
    <mergeCell ref="B182:C183"/>
    <mergeCell ref="B228:C229"/>
    <mergeCell ref="E228:E229"/>
    <mergeCell ref="F228:F229"/>
    <mergeCell ref="G228:G229"/>
    <mergeCell ref="E182:E183"/>
    <mergeCell ref="F182:F183"/>
    <mergeCell ref="G182:G183"/>
    <mergeCell ref="O182:O183"/>
    <mergeCell ref="P182:P183"/>
    <mergeCell ref="H95:H96"/>
    <mergeCell ref="I95:I96"/>
    <mergeCell ref="P95:P96"/>
    <mergeCell ref="H182:H183"/>
    <mergeCell ref="I182:I183"/>
    <mergeCell ref="M182:M183"/>
    <mergeCell ref="N182:N183"/>
    <mergeCell ref="J182:J183"/>
    <mergeCell ref="K182:K183"/>
    <mergeCell ref="L182:L183"/>
    <mergeCell ref="B122:P122"/>
    <mergeCell ref="B151:P151"/>
    <mergeCell ref="B148:C148"/>
    <mergeCell ref="E148:H148"/>
    <mergeCell ref="B92:P92"/>
    <mergeCell ref="B93:P93"/>
    <mergeCell ref="B94:P94"/>
    <mergeCell ref="B95:B96"/>
    <mergeCell ref="C95:C96"/>
    <mergeCell ref="E95:E96"/>
    <mergeCell ref="K95:K96"/>
    <mergeCell ref="L95:L96"/>
    <mergeCell ref="N95:N96"/>
    <mergeCell ref="J95:J96"/>
    <mergeCell ref="F95:F96"/>
    <mergeCell ref="G95:G96"/>
    <mergeCell ref="O95:O96"/>
    <mergeCell ref="M95:M96"/>
    <mergeCell ref="L148:O148"/>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P6:P7"/>
    <mergeCell ref="K6:K7"/>
    <mergeCell ref="L6:L7"/>
    <mergeCell ref="B27:P27"/>
    <mergeCell ref="B10:P10"/>
    <mergeCell ref="G87:I87"/>
    <mergeCell ref="B68:P68"/>
    <mergeCell ref="G88:I88"/>
    <mergeCell ref="C87:D87"/>
    <mergeCell ref="C88:D88"/>
    <mergeCell ref="M87:P87"/>
    <mergeCell ref="M88:P88"/>
    <mergeCell ref="B178:C178"/>
    <mergeCell ref="E178:H178"/>
    <mergeCell ref="L178:O178"/>
    <mergeCell ref="B149:C149"/>
    <mergeCell ref="E149:H149"/>
    <mergeCell ref="L149:O149"/>
    <mergeCell ref="B177:C177"/>
    <mergeCell ref="E177:H177"/>
    <mergeCell ref="L177:O177"/>
  </mergeCells>
  <conditionalFormatting sqref="B4:P4 B93:P93">
    <cfRule type="cellIs" dxfId="40" priority="2" operator="equal">
      <formula>0</formula>
    </cfRule>
  </conditionalFormatting>
  <printOptions horizontalCentered="1"/>
  <pageMargins left="0" right="0" top="0.6692913385826772" bottom="0.18" header="0" footer="0"/>
  <pageSetup paperSize="9" scale="8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31">
    <tabColor rgb="FFFFC000"/>
    <pageSetUpPr fitToPage="1"/>
  </sheetPr>
  <dimension ref="A1:M136"/>
  <sheetViews>
    <sheetView topLeftCell="A9" zoomScale="110" zoomScaleNormal="110" zoomScaleSheetLayoutView="100" workbookViewId="0">
      <pane xSplit="3" ySplit="2" topLeftCell="D102" activePane="bottomRight" state="frozen"/>
      <selection activeCell="A9" sqref="A9"/>
      <selection pane="topRight" activeCell="D9" sqref="D9"/>
      <selection pane="bottomLeft" activeCell="A11" sqref="A11"/>
      <selection pane="bottomRight" activeCell="B83" sqref="B83"/>
    </sheetView>
  </sheetViews>
  <sheetFormatPr defaultColWidth="9.109375" defaultRowHeight="14.4"/>
  <cols>
    <col min="1" max="1" width="4.88671875" style="948" customWidth="1"/>
    <col min="2" max="2" width="39.6640625" style="168" customWidth="1"/>
    <col min="3" max="3" width="9.109375" style="168"/>
    <col min="4" max="4" width="11.6640625" style="168" customWidth="1"/>
    <col min="5" max="5" width="11.109375" style="168" customWidth="1"/>
    <col min="6" max="6" width="10.88671875" style="168" customWidth="1"/>
    <col min="7" max="7" width="11" style="168" customWidth="1"/>
    <col min="8" max="8" width="14.44140625" style="174" customWidth="1"/>
    <col min="9" max="9" width="8" style="168" customWidth="1"/>
    <col min="10" max="10" width="12.33203125" style="168" customWidth="1"/>
    <col min="11" max="16384" width="9.109375" style="168"/>
  </cols>
  <sheetData>
    <row r="1" spans="1:8" ht="42" customHeight="1">
      <c r="A1" s="921"/>
      <c r="B1" s="598"/>
      <c r="C1" s="598"/>
      <c r="D1" s="598"/>
      <c r="E1" s="2751" t="s">
        <v>1443</v>
      </c>
      <c r="F1" s="2751"/>
      <c r="G1" s="2751"/>
    </row>
    <row r="2" spans="1:8" ht="16.95" customHeight="1">
      <c r="A2" s="921"/>
      <c r="B2" s="598"/>
      <c r="C2" s="598"/>
      <c r="D2" s="598"/>
      <c r="E2" s="2752" t="str">
        <f>'Вхідні дані'!F1</f>
        <v>станом на 01.09.2023 року</v>
      </c>
      <c r="F2" s="2752"/>
      <c r="G2" s="2752"/>
    </row>
    <row r="3" spans="1:8" ht="17.399999999999999" customHeight="1">
      <c r="A3" s="921"/>
      <c r="B3" s="2815" t="s">
        <v>453</v>
      </c>
      <c r="C3" s="2753"/>
      <c r="D3" s="2753"/>
      <c r="E3" s="2753"/>
      <c r="F3" s="2753"/>
      <c r="G3" s="598"/>
    </row>
    <row r="4" spans="1:8" s="925" customFormat="1" ht="16.5" customHeight="1">
      <c r="A4" s="922"/>
      <c r="B4" s="2808" t="s">
        <v>454</v>
      </c>
      <c r="C4" s="2808"/>
      <c r="D4" s="2808"/>
      <c r="E4" s="2808"/>
      <c r="F4" s="2808"/>
      <c r="G4" s="923"/>
      <c r="H4" s="924"/>
    </row>
    <row r="5" spans="1:8" s="925" customFormat="1" ht="15" customHeight="1">
      <c r="A5" s="922"/>
      <c r="B5" s="2808" t="s">
        <v>261</v>
      </c>
      <c r="C5" s="2808"/>
      <c r="D5" s="2808"/>
      <c r="E5" s="2808"/>
      <c r="F5" s="2808"/>
      <c r="G5" s="923"/>
      <c r="H5" s="924"/>
    </row>
    <row r="6" spans="1:8" s="925" customFormat="1">
      <c r="A6" s="922"/>
      <c r="B6" s="2808" t="s">
        <v>634</v>
      </c>
      <c r="C6" s="2808"/>
      <c r="D6" s="2808"/>
      <c r="E6" s="2808"/>
      <c r="F6" s="2808"/>
      <c r="G6" s="923"/>
      <c r="H6" s="174"/>
    </row>
    <row r="7" spans="1:8" s="925" customFormat="1">
      <c r="A7" s="922"/>
      <c r="B7" s="2808" t="s">
        <v>263</v>
      </c>
      <c r="C7" s="2808"/>
      <c r="D7" s="2808"/>
      <c r="E7" s="2808"/>
      <c r="F7" s="2808"/>
      <c r="G7" s="923"/>
      <c r="H7" s="924"/>
    </row>
    <row r="8" spans="1:8">
      <c r="A8" s="921"/>
      <c r="B8" s="598"/>
      <c r="C8" s="598"/>
      <c r="D8" s="598"/>
      <c r="E8" s="2783" t="s">
        <v>197</v>
      </c>
      <c r="F8" s="2809"/>
      <c r="G8" s="2809"/>
    </row>
    <row r="9" spans="1:8" ht="52.8">
      <c r="A9" s="2810" t="s">
        <v>7</v>
      </c>
      <c r="B9" s="2812" t="s">
        <v>8</v>
      </c>
      <c r="C9" s="2814" t="s">
        <v>34</v>
      </c>
      <c r="D9" s="85" t="s">
        <v>264</v>
      </c>
      <c r="E9" s="85" t="s">
        <v>652</v>
      </c>
      <c r="F9" s="85" t="s">
        <v>265</v>
      </c>
      <c r="G9" s="85" t="s">
        <v>415</v>
      </c>
    </row>
    <row r="10" spans="1:8">
      <c r="A10" s="2811"/>
      <c r="B10" s="2813"/>
      <c r="C10" s="2786"/>
      <c r="D10" s="85">
        <f>'Вхідні дані'!F8</f>
        <v>2021</v>
      </c>
      <c r="E10" s="85">
        <f>'Вхідні дані'!F7</f>
        <v>2022</v>
      </c>
      <c r="F10" s="176">
        <f>'Вхідні дані'!F9</f>
        <v>0</v>
      </c>
      <c r="G10" s="85" t="str">
        <f>'Вхідні дані'!F6</f>
        <v>2023-2024</v>
      </c>
    </row>
    <row r="11" spans="1:8">
      <c r="A11" s="926">
        <v>1</v>
      </c>
      <c r="B11" s="85">
        <v>2</v>
      </c>
      <c r="C11" s="85">
        <v>3</v>
      </c>
      <c r="D11" s="85">
        <v>4</v>
      </c>
      <c r="E11" s="85">
        <v>5</v>
      </c>
      <c r="F11" s="85">
        <v>6</v>
      </c>
      <c r="G11" s="85">
        <v>7</v>
      </c>
    </row>
    <row r="12" spans="1:8">
      <c r="A12" s="2816" t="s">
        <v>0</v>
      </c>
      <c r="B12" s="2816"/>
      <c r="C12" s="2816"/>
      <c r="D12" s="2816"/>
      <c r="E12" s="2816"/>
      <c r="F12" s="2816"/>
      <c r="G12" s="2816"/>
    </row>
    <row r="13" spans="1:8" ht="26.4">
      <c r="A13" s="405">
        <v>1</v>
      </c>
      <c r="B13" s="1" t="s">
        <v>266</v>
      </c>
      <c r="C13" s="85" t="s">
        <v>30</v>
      </c>
      <c r="D13" s="178"/>
      <c r="E13" s="178"/>
      <c r="F13" s="178"/>
      <c r="G13" s="178"/>
    </row>
    <row r="14" spans="1:8" ht="26.4">
      <c r="A14" s="405">
        <v>2</v>
      </c>
      <c r="B14" s="1" t="s">
        <v>133</v>
      </c>
      <c r="C14" s="85" t="s">
        <v>30</v>
      </c>
      <c r="D14" s="178"/>
      <c r="E14" s="178"/>
      <c r="F14" s="178"/>
      <c r="G14" s="178">
        <f>'Д 7_РП'!E186</f>
        <v>5.0579999999999998</v>
      </c>
      <c r="H14" s="953"/>
    </row>
    <row r="15" spans="1:8" ht="39.6">
      <c r="A15" s="405">
        <v>3</v>
      </c>
      <c r="B15" s="1" t="s">
        <v>500</v>
      </c>
      <c r="C15" s="85" t="s">
        <v>134</v>
      </c>
      <c r="D15" s="176"/>
      <c r="E15" s="176"/>
      <c r="F15" s="930"/>
      <c r="G15" s="175">
        <f>'Д 8_Паливо'!D10</f>
        <v>168.41777888569882</v>
      </c>
    </row>
    <row r="16" spans="1:8" ht="12.6" customHeight="1">
      <c r="A16" s="405" t="s">
        <v>56</v>
      </c>
      <c r="B16" s="1" t="s">
        <v>267</v>
      </c>
      <c r="C16" s="85"/>
      <c r="D16" s="176">
        <v>0</v>
      </c>
      <c r="E16" s="176">
        <v>0</v>
      </c>
      <c r="F16" s="176">
        <v>0</v>
      </c>
      <c r="G16" s="176">
        <v>0</v>
      </c>
    </row>
    <row r="17" spans="1:12" ht="39" customHeight="1">
      <c r="A17" s="405">
        <v>4</v>
      </c>
      <c r="B17" s="1" t="s">
        <v>135</v>
      </c>
      <c r="C17" s="85" t="s">
        <v>136</v>
      </c>
      <c r="D17" s="175"/>
      <c r="E17" s="176"/>
      <c r="F17" s="930"/>
      <c r="G17" s="175">
        <f>G15</f>
        <v>168.41777888569882</v>
      </c>
    </row>
    <row r="18" spans="1:12" ht="37.799999999999997" customHeight="1">
      <c r="A18" s="405">
        <v>5</v>
      </c>
      <c r="B18" s="1" t="s">
        <v>498</v>
      </c>
      <c r="C18" s="85" t="s">
        <v>136</v>
      </c>
      <c r="D18" s="175"/>
      <c r="E18" s="175"/>
      <c r="F18" s="930"/>
      <c r="G18" s="175">
        <f>G17</f>
        <v>168.41777888569882</v>
      </c>
    </row>
    <row r="19" spans="1:12" ht="13.2" customHeight="1">
      <c r="A19" s="405">
        <v>6</v>
      </c>
      <c r="B19" s="1" t="s">
        <v>653</v>
      </c>
      <c r="C19" s="85" t="s">
        <v>21</v>
      </c>
      <c r="D19" s="1213"/>
      <c r="E19" s="1213"/>
      <c r="F19" s="175"/>
      <c r="G19" s="175">
        <f>'Д 7_РП'!F13</f>
        <v>8727.7910429447857</v>
      </c>
      <c r="I19" s="1212"/>
    </row>
    <row r="20" spans="1:12" ht="38.4" customHeight="1">
      <c r="A20" s="405">
        <v>7</v>
      </c>
      <c r="B20" s="1" t="s">
        <v>501</v>
      </c>
      <c r="C20" s="85" t="s">
        <v>21</v>
      </c>
      <c r="D20" s="175"/>
      <c r="E20" s="175"/>
      <c r="F20" s="175"/>
      <c r="G20" s="175">
        <f>'Д 7_РП'!F18</f>
        <v>192.01140294478546</v>
      </c>
    </row>
    <row r="21" spans="1:12" ht="26.4">
      <c r="A21" s="405">
        <v>8</v>
      </c>
      <c r="B21" s="1" t="s">
        <v>654</v>
      </c>
      <c r="C21" s="85" t="s">
        <v>21</v>
      </c>
      <c r="D21" s="175"/>
      <c r="E21" s="175"/>
      <c r="F21" s="175"/>
      <c r="G21" s="175">
        <f>G19-G20</f>
        <v>8535.7796400000007</v>
      </c>
      <c r="J21" s="401"/>
    </row>
    <row r="22" spans="1:12" ht="26.4">
      <c r="A22" s="405">
        <v>9</v>
      </c>
      <c r="B22" s="1" t="s">
        <v>137</v>
      </c>
      <c r="C22" s="85" t="s">
        <v>138</v>
      </c>
      <c r="D22" s="1323"/>
      <c r="E22" s="1323"/>
      <c r="F22" s="173"/>
      <c r="G22" s="175">
        <f>ФОП!E9+ФОП!E39*'БАЗИ РОЗПОДІЛУ'!F15+ФОП!E44*'БАЗИ РОЗПОДІЛУ'!F21</f>
        <v>5.8243927307134218</v>
      </c>
    </row>
    <row r="23" spans="1:12" ht="26.4">
      <c r="A23" s="405">
        <v>10</v>
      </c>
      <c r="B23" s="1" t="s">
        <v>139</v>
      </c>
      <c r="C23" s="85" t="s">
        <v>140</v>
      </c>
      <c r="D23" s="1323"/>
      <c r="E23" s="1323"/>
      <c r="F23" s="175"/>
      <c r="G23" s="175">
        <f>G24/G22/12*1000</f>
        <v>15786.18901310346</v>
      </c>
    </row>
    <row r="24" spans="1:12" ht="26.4">
      <c r="A24" s="405">
        <v>11</v>
      </c>
      <c r="B24" s="1" t="s">
        <v>141</v>
      </c>
      <c r="C24" s="85" t="s">
        <v>36</v>
      </c>
      <c r="D24" s="1323"/>
      <c r="E24" s="1323"/>
      <c r="F24" s="175"/>
      <c r="G24" s="175">
        <f>(ФОП!F9+ФОП!F39*'БАЗИ РОЗПОДІЛУ'!F15+ФОП!F44*'БАЗИ РОЗПОДІЛУ'!F21)/1000</f>
        <v>1103.3395744030545</v>
      </c>
    </row>
    <row r="25" spans="1:12" ht="26.4">
      <c r="A25" s="405">
        <v>12</v>
      </c>
      <c r="B25" s="1" t="s">
        <v>455</v>
      </c>
      <c r="C25" s="85" t="s">
        <v>36</v>
      </c>
      <c r="D25" s="175"/>
      <c r="E25" s="175"/>
      <c r="F25" s="175"/>
      <c r="G25" s="175">
        <f>Виробництво_1ст!F34+(ЗВВ_1ст!F25)*'БАЗИ РОЗПОДІЛУ'!F15+(Адміністративні_1ст!F25)*'БАЗИ РОЗПОДІЛУ'!F21</f>
        <v>0</v>
      </c>
    </row>
    <row r="26" spans="1:12" ht="39.6">
      <c r="A26" s="405" t="s">
        <v>88</v>
      </c>
      <c r="B26" s="1" t="s">
        <v>458</v>
      </c>
      <c r="C26" s="85" t="s">
        <v>36</v>
      </c>
      <c r="D26" s="175"/>
      <c r="E26" s="175"/>
      <c r="F26" s="175"/>
      <c r="G26" s="175">
        <f>G25</f>
        <v>0</v>
      </c>
    </row>
    <row r="27" spans="1:12">
      <c r="A27" s="405">
        <v>13</v>
      </c>
      <c r="B27" s="1" t="s">
        <v>456</v>
      </c>
      <c r="C27" s="85" t="s">
        <v>36</v>
      </c>
      <c r="D27" s="1326"/>
      <c r="E27" s="1326"/>
      <c r="F27" s="175"/>
      <c r="G27" s="175">
        <f>(ЗВВ_1ст!F37)*'БАЗИ РОЗПОДІЛУ'!F15+'БАЗИ РОЗПОДІЛУ'!F21*(Адміністративні_1ст!F36)</f>
        <v>11.263918843318418</v>
      </c>
      <c r="I27" s="927"/>
    </row>
    <row r="28" spans="1:12" ht="26.4">
      <c r="A28" s="405">
        <v>14</v>
      </c>
      <c r="B28" s="1" t="s">
        <v>142</v>
      </c>
      <c r="C28" s="85" t="s">
        <v>36</v>
      </c>
      <c r="D28" s="175"/>
      <c r="E28" s="175"/>
      <c r="F28" s="175"/>
      <c r="G28" s="391">
        <f>Виробництво_1ст!F16+Постачання_1ст!F11+ЗВВ_1ст!F27*'БАЗИ РОЗПОДІЛУ'!F15+'БАЗИ РОЗПОДІЛУ'!F21*Адміністративні_1ст!G28</f>
        <v>1403.2600406893612</v>
      </c>
    </row>
    <row r="29" spans="1:12" hidden="1">
      <c r="A29" s="2816" t="s">
        <v>1</v>
      </c>
      <c r="B29" s="2816"/>
      <c r="C29" s="2816"/>
      <c r="D29" s="2816"/>
      <c r="E29" s="2816"/>
      <c r="F29" s="2816"/>
      <c r="G29" s="2816"/>
    </row>
    <row r="30" spans="1:12" ht="26.4" hidden="1">
      <c r="A30" s="405">
        <v>1</v>
      </c>
      <c r="B30" s="1" t="s">
        <v>143</v>
      </c>
      <c r="C30" s="85" t="s">
        <v>144</v>
      </c>
      <c r="D30" s="170"/>
      <c r="E30" s="170"/>
      <c r="F30" s="170"/>
      <c r="G30" s="170"/>
      <c r="K30" s="174"/>
      <c r="L30" s="928"/>
    </row>
    <row r="31" spans="1:12" ht="26.4" hidden="1">
      <c r="A31" s="405">
        <v>2</v>
      </c>
      <c r="B31" s="1" t="s">
        <v>137</v>
      </c>
      <c r="C31" s="85" t="s">
        <v>138</v>
      </c>
      <c r="D31" s="1324"/>
      <c r="E31" s="1324"/>
      <c r="F31" s="173"/>
      <c r="G31" s="175"/>
      <c r="J31" s="168" t="s">
        <v>644</v>
      </c>
    </row>
    <row r="32" spans="1:12" ht="26.4" hidden="1">
      <c r="A32" s="405">
        <v>3</v>
      </c>
      <c r="B32" s="1" t="s">
        <v>139</v>
      </c>
      <c r="C32" s="85" t="s">
        <v>145</v>
      </c>
      <c r="D32" s="1324"/>
      <c r="E32" s="1324"/>
      <c r="F32" s="173"/>
      <c r="G32" s="173"/>
    </row>
    <row r="33" spans="1:10" ht="26.4" hidden="1">
      <c r="A33" s="405">
        <v>4</v>
      </c>
      <c r="B33" s="1" t="s">
        <v>646</v>
      </c>
      <c r="C33" s="85" t="s">
        <v>21</v>
      </c>
      <c r="D33" s="173"/>
      <c r="E33" s="173"/>
      <c r="F33" s="173"/>
      <c r="G33" s="175"/>
      <c r="I33" s="174"/>
    </row>
    <row r="34" spans="1:10" ht="26.4" hidden="1">
      <c r="A34" s="405">
        <v>5</v>
      </c>
      <c r="B34" s="1" t="s">
        <v>647</v>
      </c>
      <c r="C34" s="85" t="s">
        <v>21</v>
      </c>
      <c r="D34" s="173"/>
      <c r="E34" s="173"/>
      <c r="F34" s="170"/>
      <c r="G34" s="175"/>
    </row>
    <row r="35" spans="1:10" hidden="1">
      <c r="A35" s="405" t="s">
        <v>27</v>
      </c>
      <c r="B35" s="1" t="s">
        <v>268</v>
      </c>
      <c r="C35" s="85" t="s">
        <v>4</v>
      </c>
      <c r="D35" s="177"/>
      <c r="E35" s="177"/>
      <c r="F35" s="177"/>
      <c r="G35" s="177"/>
    </row>
    <row r="36" spans="1:10" ht="26.4" hidden="1">
      <c r="A36" s="405">
        <v>6</v>
      </c>
      <c r="B36" s="1" t="s">
        <v>648</v>
      </c>
      <c r="C36" s="85" t="s">
        <v>21</v>
      </c>
      <c r="D36" s="929"/>
      <c r="E36" s="929"/>
      <c r="F36" s="929"/>
      <c r="G36" s="930"/>
      <c r="H36" s="168"/>
    </row>
    <row r="37" spans="1:10" ht="26.4" hidden="1">
      <c r="A37" s="405" t="s">
        <v>31</v>
      </c>
      <c r="B37" s="1" t="s">
        <v>964</v>
      </c>
      <c r="C37" s="85" t="s">
        <v>4</v>
      </c>
      <c r="D37" s="177"/>
      <c r="E37" s="177"/>
      <c r="F37" s="177"/>
      <c r="G37" s="177"/>
      <c r="I37" s="928"/>
    </row>
    <row r="38" spans="1:10" ht="26.4" hidden="1">
      <c r="A38" s="405">
        <v>7</v>
      </c>
      <c r="B38" s="1" t="s">
        <v>649</v>
      </c>
      <c r="C38" s="85" t="s">
        <v>21</v>
      </c>
      <c r="D38" s="173"/>
      <c r="E38" s="173"/>
      <c r="F38" s="173"/>
      <c r="G38" s="173"/>
      <c r="I38" s="927"/>
    </row>
    <row r="39" spans="1:10" ht="26.4" hidden="1">
      <c r="A39" s="405" t="s">
        <v>60</v>
      </c>
      <c r="B39" s="1" t="s">
        <v>650</v>
      </c>
      <c r="C39" s="85" t="s">
        <v>21</v>
      </c>
      <c r="D39" s="173"/>
      <c r="E39" s="173"/>
      <c r="F39" s="173"/>
      <c r="G39" s="173"/>
    </row>
    <row r="40" spans="1:10" ht="26.4" hidden="1">
      <c r="A40" s="405" t="s">
        <v>62</v>
      </c>
      <c r="B40" s="1" t="s">
        <v>502</v>
      </c>
      <c r="C40" s="85" t="s">
        <v>21</v>
      </c>
      <c r="D40" s="173"/>
      <c r="E40" s="173"/>
      <c r="F40" s="173"/>
      <c r="G40" s="173"/>
    </row>
    <row r="41" spans="1:10" ht="15.6" hidden="1" customHeight="1">
      <c r="A41" s="405" t="s">
        <v>146</v>
      </c>
      <c r="B41" s="1" t="s">
        <v>84</v>
      </c>
      <c r="C41" s="85" t="s">
        <v>21</v>
      </c>
      <c r="D41" s="173"/>
      <c r="E41" s="173"/>
      <c r="F41" s="173"/>
      <c r="G41" s="173"/>
    </row>
    <row r="42" spans="1:10" ht="13.8" hidden="1" customHeight="1">
      <c r="A42" s="405" t="s">
        <v>147</v>
      </c>
      <c r="B42" s="1" t="s">
        <v>651</v>
      </c>
      <c r="C42" s="85" t="s">
        <v>21</v>
      </c>
      <c r="D42" s="173"/>
      <c r="E42" s="173"/>
      <c r="F42" s="173"/>
      <c r="G42" s="173"/>
    </row>
    <row r="43" spans="1:10" ht="26.4" hidden="1">
      <c r="A43" s="405">
        <v>8</v>
      </c>
      <c r="B43" s="1" t="s">
        <v>141</v>
      </c>
      <c r="C43" s="85" t="s">
        <v>36</v>
      </c>
      <c r="D43" s="1323"/>
      <c r="E43" s="1323"/>
      <c r="F43" s="173"/>
      <c r="G43" s="175"/>
      <c r="I43" s="928"/>
    </row>
    <row r="44" spans="1:10" s="952" customFormat="1" ht="26.4" hidden="1">
      <c r="A44" s="405">
        <v>9</v>
      </c>
      <c r="B44" s="1" t="s">
        <v>455</v>
      </c>
      <c r="C44" s="85" t="s">
        <v>36</v>
      </c>
      <c r="D44" s="173"/>
      <c r="E44" s="173"/>
      <c r="F44" s="173"/>
      <c r="G44" s="175"/>
      <c r="H44" s="174"/>
    </row>
    <row r="45" spans="1:10" s="952" customFormat="1" ht="39.6" hidden="1">
      <c r="A45" s="405" t="s">
        <v>148</v>
      </c>
      <c r="B45" s="1" t="s">
        <v>458</v>
      </c>
      <c r="C45" s="85" t="s">
        <v>36</v>
      </c>
      <c r="D45" s="173"/>
      <c r="E45" s="173"/>
      <c r="F45" s="173"/>
      <c r="G45" s="173"/>
      <c r="H45" s="174"/>
    </row>
    <row r="46" spans="1:10" s="952" customFormat="1" hidden="1">
      <c r="A46" s="405">
        <v>10</v>
      </c>
      <c r="B46" s="1" t="s">
        <v>456</v>
      </c>
      <c r="C46" s="85" t="s">
        <v>36</v>
      </c>
      <c r="D46" s="1325"/>
      <c r="E46" s="1325"/>
      <c r="F46" s="173"/>
      <c r="G46" s="175"/>
      <c r="H46" s="174"/>
    </row>
    <row r="47" spans="1:10" ht="26.4" hidden="1">
      <c r="A47" s="405" t="s">
        <v>182</v>
      </c>
      <c r="B47" s="1" t="s">
        <v>142</v>
      </c>
      <c r="C47" s="85" t="s">
        <v>36</v>
      </c>
      <c r="D47" s="173"/>
      <c r="E47" s="173"/>
      <c r="F47" s="173"/>
      <c r="G47" s="175"/>
    </row>
    <row r="48" spans="1:10" ht="55.2" hidden="1" customHeight="1">
      <c r="A48" s="405" t="s">
        <v>269</v>
      </c>
      <c r="B48" s="1" t="s">
        <v>503</v>
      </c>
      <c r="C48" s="85" t="s">
        <v>30</v>
      </c>
      <c r="D48" s="173"/>
      <c r="E48" s="173"/>
      <c r="F48" s="173"/>
      <c r="G48" s="173"/>
      <c r="I48" s="398"/>
      <c r="J48" s="398"/>
    </row>
    <row r="49" spans="1:13" hidden="1">
      <c r="A49" s="405" t="s">
        <v>88</v>
      </c>
      <c r="B49" s="1" t="s">
        <v>3</v>
      </c>
      <c r="C49" s="85" t="s">
        <v>30</v>
      </c>
      <c r="D49" s="173"/>
      <c r="E49" s="173"/>
      <c r="F49" s="173"/>
      <c r="G49" s="173"/>
    </row>
    <row r="50" spans="1:13" hidden="1">
      <c r="A50" s="405" t="s">
        <v>89</v>
      </c>
      <c r="B50" s="1" t="s">
        <v>159</v>
      </c>
      <c r="C50" s="85" t="s">
        <v>30</v>
      </c>
      <c r="D50" s="173"/>
      <c r="E50" s="173"/>
      <c r="F50" s="173"/>
      <c r="G50" s="173"/>
    </row>
    <row r="51" spans="1:13" hidden="1">
      <c r="A51" s="405" t="s">
        <v>91</v>
      </c>
      <c r="B51" s="1" t="s">
        <v>92</v>
      </c>
      <c r="C51" s="85" t="s">
        <v>30</v>
      </c>
      <c r="D51" s="173"/>
      <c r="E51" s="173"/>
      <c r="F51" s="173"/>
      <c r="G51" s="173"/>
    </row>
    <row r="52" spans="1:13" hidden="1">
      <c r="A52" s="405" t="s">
        <v>158</v>
      </c>
      <c r="B52" s="1" t="s">
        <v>93</v>
      </c>
      <c r="C52" s="85" t="s">
        <v>30</v>
      </c>
      <c r="D52" s="173"/>
      <c r="E52" s="173"/>
      <c r="F52" s="173"/>
      <c r="G52" s="173"/>
    </row>
    <row r="53" spans="1:13">
      <c r="A53" s="2816" t="s">
        <v>2</v>
      </c>
      <c r="B53" s="2816"/>
      <c r="C53" s="2816"/>
      <c r="D53" s="2816"/>
      <c r="E53" s="2816"/>
      <c r="F53" s="2816"/>
      <c r="G53" s="2816"/>
    </row>
    <row r="54" spans="1:13" ht="26.4">
      <c r="A54" s="405">
        <v>1</v>
      </c>
      <c r="B54" s="1" t="s">
        <v>504</v>
      </c>
      <c r="C54" s="85" t="s">
        <v>71</v>
      </c>
      <c r="D54" s="172"/>
      <c r="E54" s="172"/>
      <c r="F54" s="172"/>
      <c r="G54" s="172">
        <f>G55+G56+G57+G58+G59</f>
        <v>1181</v>
      </c>
      <c r="I54" s="401"/>
    </row>
    <row r="55" spans="1:13">
      <c r="A55" s="405" t="s">
        <v>22</v>
      </c>
      <c r="B55" s="1" t="s">
        <v>2039</v>
      </c>
      <c r="C55" s="85" t="s">
        <v>71</v>
      </c>
      <c r="D55" s="172"/>
      <c r="E55" s="172"/>
      <c r="F55" s="172"/>
      <c r="G55" s="172">
        <f>'Д -12'!C14</f>
        <v>866</v>
      </c>
    </row>
    <row r="56" spans="1:13">
      <c r="A56" s="405" t="s">
        <v>23</v>
      </c>
      <c r="B56" s="1" t="str">
        <f>'Д 7_РП'!G183</f>
        <v>САО Парусна, 1-А</v>
      </c>
      <c r="C56" s="85" t="s">
        <v>71</v>
      </c>
      <c r="D56" s="172"/>
      <c r="E56" s="172"/>
      <c r="F56" s="172"/>
      <c r="G56" s="172">
        <f>'Д -12'!F14</f>
        <v>88</v>
      </c>
      <c r="K56" s="928"/>
    </row>
    <row r="57" spans="1:13">
      <c r="A57" s="405" t="s">
        <v>44</v>
      </c>
      <c r="B57" s="1" t="str">
        <f>'Д 7_РП'!H183</f>
        <v>САО Парусна, 1-Б</v>
      </c>
      <c r="C57" s="85" t="s">
        <v>71</v>
      </c>
      <c r="D57" s="172"/>
      <c r="E57" s="172"/>
      <c r="F57" s="172"/>
      <c r="G57" s="172">
        <f>'Д -12'!I14</f>
        <v>155</v>
      </c>
    </row>
    <row r="58" spans="1:13">
      <c r="A58" s="405" t="s">
        <v>49</v>
      </c>
      <c r="B58" s="1" t="str">
        <f>'Д 7_РП'!I183</f>
        <v>САО Паркова, 50</v>
      </c>
      <c r="C58" s="85" t="s">
        <v>71</v>
      </c>
      <c r="D58" s="172"/>
      <c r="E58" s="172"/>
      <c r="F58" s="172"/>
      <c r="G58" s="172">
        <f>'Д -12'!L14</f>
        <v>33</v>
      </c>
    </row>
    <row r="59" spans="1:13">
      <c r="A59" s="405" t="s">
        <v>274</v>
      </c>
      <c r="B59" s="1" t="str">
        <f>'Д 7_РП'!J183</f>
        <v>САО Паркова, 52</v>
      </c>
      <c r="C59" s="85" t="s">
        <v>71</v>
      </c>
      <c r="D59" s="172"/>
      <c r="E59" s="172"/>
      <c r="F59" s="172"/>
      <c r="G59" s="172">
        <f>'Д -12'!O14</f>
        <v>39</v>
      </c>
    </row>
    <row r="60" spans="1:13" ht="26.4">
      <c r="A60" s="405">
        <v>2</v>
      </c>
      <c r="B60" s="1" t="s">
        <v>137</v>
      </c>
      <c r="C60" s="85" t="s">
        <v>138</v>
      </c>
      <c r="D60" s="175"/>
      <c r="E60" s="175"/>
      <c r="F60" s="173"/>
      <c r="G60" s="175">
        <f>ФОП!E19+ФОП!E39*'БАЗИ РОЗПОДІЛУ'!G15+ФОП!E44*'БАЗИ РОЗПОДІЛУ'!G21</f>
        <v>1.7876864752675581</v>
      </c>
    </row>
    <row r="61" spans="1:13" ht="26.4">
      <c r="A61" s="405">
        <v>3</v>
      </c>
      <c r="B61" s="1" t="s">
        <v>139</v>
      </c>
      <c r="C61" s="85" t="s">
        <v>140</v>
      </c>
      <c r="D61" s="175"/>
      <c r="E61" s="175"/>
      <c r="F61" s="175"/>
      <c r="G61" s="175">
        <f>G75/G60/12*1000</f>
        <v>7334.6390198845311</v>
      </c>
    </row>
    <row r="62" spans="1:13" ht="26.4">
      <c r="A62" s="405">
        <v>4</v>
      </c>
      <c r="B62" s="1" t="s">
        <v>271</v>
      </c>
      <c r="C62" s="85" t="s">
        <v>21</v>
      </c>
      <c r="D62" s="175"/>
      <c r="E62" s="175"/>
      <c r="F62" s="175"/>
      <c r="G62" s="175">
        <f>G63+G65+G67+G69+G71+G73</f>
        <v>8535.7796400000007</v>
      </c>
    </row>
    <row r="63" spans="1:13">
      <c r="A63" s="405" t="s">
        <v>26</v>
      </c>
      <c r="B63" s="1" t="str">
        <f>B55</f>
        <v>населення – котельні</v>
      </c>
      <c r="C63" s="85" t="s">
        <v>21</v>
      </c>
      <c r="D63" s="175"/>
      <c r="E63" s="175"/>
      <c r="F63" s="175"/>
      <c r="G63" s="175">
        <f>'Д -12'!C19</f>
        <v>6460.0562399999999</v>
      </c>
    </row>
    <row r="64" spans="1:13" ht="16.2" customHeight="1">
      <c r="A64" s="405" t="s">
        <v>152</v>
      </c>
      <c r="B64" s="1" t="s">
        <v>272</v>
      </c>
      <c r="C64" s="85" t="s">
        <v>21</v>
      </c>
      <c r="D64" s="173"/>
      <c r="E64" s="173"/>
      <c r="F64" s="173"/>
      <c r="G64" s="173">
        <f>'Д -12'!D19</f>
        <v>3987.7515399999997</v>
      </c>
      <c r="H64" s="168"/>
      <c r="I64" s="1212"/>
      <c r="J64" s="927"/>
      <c r="K64" s="927"/>
      <c r="L64" s="927"/>
      <c r="M64" s="927"/>
    </row>
    <row r="65" spans="1:12">
      <c r="A65" s="405" t="s">
        <v>106</v>
      </c>
      <c r="B65" s="1" t="str">
        <f>B56</f>
        <v>САО Парусна, 1-А</v>
      </c>
      <c r="C65" s="85" t="s">
        <v>21</v>
      </c>
      <c r="D65" s="173"/>
      <c r="E65" s="173"/>
      <c r="F65" s="173"/>
      <c r="G65" s="173">
        <f>'Д -12'!F19</f>
        <v>480.96030000000002</v>
      </c>
    </row>
    <row r="66" spans="1:12" ht="15" customHeight="1">
      <c r="A66" s="405" t="s">
        <v>153</v>
      </c>
      <c r="B66" s="1" t="s">
        <v>272</v>
      </c>
      <c r="C66" s="85" t="s">
        <v>21</v>
      </c>
      <c r="D66" s="173"/>
      <c r="E66" s="173"/>
      <c r="F66" s="173"/>
      <c r="G66" s="173">
        <f>'Д -12'!G19</f>
        <v>480.96030000000002</v>
      </c>
    </row>
    <row r="67" spans="1:12">
      <c r="A67" s="405" t="s">
        <v>154</v>
      </c>
      <c r="B67" s="1" t="str">
        <f>B57</f>
        <v>САО Парусна, 1-Б</v>
      </c>
      <c r="C67" s="85" t="s">
        <v>21</v>
      </c>
      <c r="D67" s="175"/>
      <c r="E67" s="175"/>
      <c r="F67" s="175"/>
      <c r="G67" s="175">
        <f>'Д -12'!I19</f>
        <v>798.22533999999996</v>
      </c>
      <c r="I67" s="927"/>
    </row>
    <row r="68" spans="1:12" ht="15" customHeight="1">
      <c r="A68" s="405" t="s">
        <v>155</v>
      </c>
      <c r="B68" s="1" t="s">
        <v>272</v>
      </c>
      <c r="C68" s="85" t="s">
        <v>21</v>
      </c>
      <c r="D68" s="175"/>
      <c r="E68" s="175"/>
      <c r="F68" s="175"/>
      <c r="G68" s="175">
        <f>G67</f>
        <v>798.22533999999996</v>
      </c>
      <c r="I68" s="1212"/>
    </row>
    <row r="69" spans="1:12">
      <c r="A69" s="405" t="s">
        <v>156</v>
      </c>
      <c r="B69" s="1" t="str">
        <f>B58</f>
        <v>САО Паркова, 50</v>
      </c>
      <c r="C69" s="85" t="s">
        <v>21</v>
      </c>
      <c r="D69" s="175"/>
      <c r="E69" s="175"/>
      <c r="F69" s="173"/>
      <c r="G69" s="175">
        <f>'Д -12'!L19</f>
        <v>391.51855999999998</v>
      </c>
    </row>
    <row r="70" spans="1:12" ht="14.4" customHeight="1">
      <c r="A70" s="405" t="s">
        <v>281</v>
      </c>
      <c r="B70" s="1" t="s">
        <v>272</v>
      </c>
      <c r="C70" s="85" t="s">
        <v>21</v>
      </c>
      <c r="D70" s="173"/>
      <c r="E70" s="173"/>
      <c r="F70" s="173"/>
      <c r="G70" s="175">
        <f>G69</f>
        <v>391.51855999999998</v>
      </c>
      <c r="H70" s="168"/>
      <c r="L70" s="927"/>
    </row>
    <row r="71" spans="1:12">
      <c r="A71" s="405" t="s">
        <v>160</v>
      </c>
      <c r="B71" s="1" t="str">
        <f>B59</f>
        <v>САО Паркова, 52</v>
      </c>
      <c r="C71" s="85" t="s">
        <v>21</v>
      </c>
      <c r="D71" s="175"/>
      <c r="E71" s="175"/>
      <c r="F71" s="173"/>
      <c r="G71" s="175">
        <f>'Д -12'!O19</f>
        <v>405.01920000000001</v>
      </c>
      <c r="H71" s="168"/>
    </row>
    <row r="72" spans="1:12" ht="15" customHeight="1">
      <c r="A72" s="405" t="s">
        <v>161</v>
      </c>
      <c r="B72" s="1" t="s">
        <v>272</v>
      </c>
      <c r="C72" s="85" t="s">
        <v>21</v>
      </c>
      <c r="D72" s="173"/>
      <c r="E72" s="173"/>
      <c r="F72" s="173"/>
      <c r="G72" s="175">
        <f>'Д -12'!P19-G73</f>
        <v>405.01920000000001</v>
      </c>
      <c r="H72" s="168"/>
      <c r="I72" s="1212"/>
    </row>
    <row r="73" spans="1:12" ht="26.4">
      <c r="A73" s="405" t="s">
        <v>967</v>
      </c>
      <c r="B73" s="1" t="s">
        <v>192</v>
      </c>
      <c r="C73" s="85" t="s">
        <v>21</v>
      </c>
      <c r="D73" s="175"/>
      <c r="E73" s="175"/>
      <c r="F73" s="173"/>
      <c r="G73" s="175">
        <v>0</v>
      </c>
      <c r="H73" s="168"/>
    </row>
    <row r="74" spans="1:12" ht="14.4" customHeight="1">
      <c r="A74" s="405" t="s">
        <v>968</v>
      </c>
      <c r="B74" s="1" t="s">
        <v>272</v>
      </c>
      <c r="C74" s="85" t="s">
        <v>21</v>
      </c>
      <c r="D74" s="173"/>
      <c r="E74" s="173"/>
      <c r="F74" s="173"/>
      <c r="G74" s="175">
        <f>G73</f>
        <v>0</v>
      </c>
      <c r="H74" s="168"/>
    </row>
    <row r="75" spans="1:12" ht="26.4">
      <c r="A75" s="405">
        <v>5</v>
      </c>
      <c r="B75" s="1" t="s">
        <v>141</v>
      </c>
      <c r="C75" s="85" t="s">
        <v>36</v>
      </c>
      <c r="D75" s="1323"/>
      <c r="E75" s="1323"/>
      <c r="F75" s="175"/>
      <c r="G75" s="391">
        <f>(ФОП!F19+ФОП!F39*'БАЗИ РОЗПОДІЛУ'!G15+ФОП!F44*'БАЗИ РОЗПОДІЛУ'!G21)/1000</f>
        <v>157.3444197218073</v>
      </c>
    </row>
    <row r="76" spans="1:12" ht="26.4">
      <c r="A76" s="405">
        <v>6</v>
      </c>
      <c r="B76" s="1" t="s">
        <v>455</v>
      </c>
      <c r="C76" s="85" t="s">
        <v>36</v>
      </c>
      <c r="D76" s="175"/>
      <c r="E76" s="175"/>
      <c r="F76" s="173"/>
      <c r="G76" s="391">
        <v>0</v>
      </c>
    </row>
    <row r="77" spans="1:12" ht="39.6">
      <c r="A77" s="405" t="s">
        <v>31</v>
      </c>
      <c r="B77" s="1" t="s">
        <v>458</v>
      </c>
      <c r="C77" s="85" t="s">
        <v>36</v>
      </c>
      <c r="D77" s="173"/>
      <c r="E77" s="173"/>
      <c r="F77" s="173"/>
      <c r="G77" s="931">
        <f>G76</f>
        <v>0</v>
      </c>
    </row>
    <row r="78" spans="1:12">
      <c r="A78" s="405">
        <v>7</v>
      </c>
      <c r="B78" s="1" t="s">
        <v>456</v>
      </c>
      <c r="C78" s="85" t="s">
        <v>36</v>
      </c>
      <c r="D78" s="1326"/>
      <c r="E78" s="1326"/>
      <c r="F78" s="173"/>
      <c r="G78" s="391">
        <f>Постачання_1ст!F25+(ЗВВ_1ст!F37)*'БАЗИ РОЗПОДІЛУ'!G15+(Адміністративні_1ст!F36)*'БАЗИ РОЗПОДІЛУ'!G21</f>
        <v>0.16772972804644806</v>
      </c>
    </row>
    <row r="79" spans="1:12" ht="26.4">
      <c r="A79" s="405">
        <v>8</v>
      </c>
      <c r="B79" s="1" t="s">
        <v>142</v>
      </c>
      <c r="C79" s="85" t="s">
        <v>36</v>
      </c>
      <c r="D79" s="175"/>
      <c r="E79" s="175"/>
      <c r="F79" s="173"/>
      <c r="G79" s="391">
        <v>0</v>
      </c>
    </row>
    <row r="80" spans="1:12">
      <c r="A80" s="2816" t="s">
        <v>273</v>
      </c>
      <c r="B80" s="2816"/>
      <c r="C80" s="2816"/>
      <c r="D80" s="2816"/>
      <c r="E80" s="2816"/>
      <c r="F80" s="2816"/>
      <c r="G80" s="2816"/>
    </row>
    <row r="81" spans="1:12" ht="39.6">
      <c r="A81" s="405">
        <v>1</v>
      </c>
      <c r="B81" s="171" t="s">
        <v>278</v>
      </c>
      <c r="C81" s="85" t="s">
        <v>71</v>
      </c>
      <c r="D81" s="172"/>
      <c r="E81" s="172"/>
      <c r="F81" s="172"/>
      <c r="G81" s="172">
        <f>G54</f>
        <v>1181</v>
      </c>
    </row>
    <row r="82" spans="1:12">
      <c r="A82" s="405" t="s">
        <v>22</v>
      </c>
      <c r="B82" s="1" t="str">
        <f>B55</f>
        <v>населення – котельні</v>
      </c>
      <c r="C82" s="85" t="s">
        <v>71</v>
      </c>
      <c r="D82" s="172"/>
      <c r="E82" s="172"/>
      <c r="F82" s="172"/>
      <c r="G82" s="172">
        <f>G55</f>
        <v>866</v>
      </c>
    </row>
    <row r="83" spans="1:12">
      <c r="A83" s="405" t="s">
        <v>23</v>
      </c>
      <c r="B83" s="1" t="str">
        <f>'Д 4_Т на П'!I9</f>
        <v>САО Парусна, 1-А</v>
      </c>
      <c r="C83" s="85" t="s">
        <v>71</v>
      </c>
      <c r="D83" s="172"/>
      <c r="E83" s="172"/>
      <c r="F83" s="172"/>
      <c r="G83" s="172">
        <f t="shared" ref="G83:G86" si="0">G56</f>
        <v>88</v>
      </c>
    </row>
    <row r="84" spans="1:12">
      <c r="A84" s="405" t="s">
        <v>44</v>
      </c>
      <c r="B84" s="1" t="str">
        <f>'Д 4_Т на П'!J9</f>
        <v>САО Парусна, 1-Б</v>
      </c>
      <c r="C84" s="85" t="s">
        <v>71</v>
      </c>
      <c r="D84" s="172"/>
      <c r="E84" s="172"/>
      <c r="F84" s="172"/>
      <c r="G84" s="172">
        <f t="shared" si="0"/>
        <v>155</v>
      </c>
      <c r="L84" s="932" t="s">
        <v>541</v>
      </c>
    </row>
    <row r="85" spans="1:12">
      <c r="A85" s="405" t="s">
        <v>49</v>
      </c>
      <c r="B85" s="1" t="str">
        <f>'Д 4_Т на П'!K9</f>
        <v>САО Паркова, 50</v>
      </c>
      <c r="C85" s="85" t="s">
        <v>71</v>
      </c>
      <c r="D85" s="172"/>
      <c r="E85" s="172"/>
      <c r="F85" s="172"/>
      <c r="G85" s="172">
        <f t="shared" si="0"/>
        <v>33</v>
      </c>
    </row>
    <row r="86" spans="1:12">
      <c r="A86" s="405" t="s">
        <v>274</v>
      </c>
      <c r="B86" s="1" t="str">
        <f>'Д 4_Т на П'!L9</f>
        <v>САО Паркова, 52</v>
      </c>
      <c r="C86" s="85" t="s">
        <v>71</v>
      </c>
      <c r="D86" s="172"/>
      <c r="E86" s="172"/>
      <c r="F86" s="172"/>
      <c r="G86" s="172">
        <f t="shared" si="0"/>
        <v>39</v>
      </c>
    </row>
    <row r="87" spans="1:12" ht="52.8">
      <c r="A87" s="405">
        <v>2</v>
      </c>
      <c r="B87" s="171" t="s">
        <v>275</v>
      </c>
      <c r="C87" s="85" t="s">
        <v>138</v>
      </c>
      <c r="D87" s="170"/>
      <c r="E87" s="170"/>
      <c r="F87" s="170"/>
      <c r="G87" s="403">
        <v>0</v>
      </c>
      <c r="H87" s="404"/>
      <c r="I87" s="404"/>
    </row>
    <row r="88" spans="1:12" ht="52.8">
      <c r="A88" s="405">
        <v>3</v>
      </c>
      <c r="B88" s="171" t="s">
        <v>276</v>
      </c>
      <c r="C88" s="85" t="s">
        <v>140</v>
      </c>
      <c r="D88" s="170"/>
      <c r="E88" s="170"/>
      <c r="F88" s="170"/>
      <c r="G88" s="176">
        <v>0</v>
      </c>
      <c r="H88" s="404"/>
      <c r="I88" s="404"/>
    </row>
    <row r="89" spans="1:12" ht="26.4">
      <c r="A89" s="405">
        <v>4</v>
      </c>
      <c r="B89" s="171" t="s">
        <v>277</v>
      </c>
      <c r="C89" s="85" t="s">
        <v>21</v>
      </c>
      <c r="D89" s="173"/>
      <c r="E89" s="173"/>
      <c r="F89" s="173"/>
      <c r="G89" s="175">
        <f t="shared" ref="G89:G91" si="1">G62</f>
        <v>8535.7796400000007</v>
      </c>
      <c r="H89" s="933"/>
    </row>
    <row r="90" spans="1:12">
      <c r="A90" s="405" t="s">
        <v>26</v>
      </c>
      <c r="B90" s="1" t="s">
        <v>151</v>
      </c>
      <c r="C90" s="85" t="s">
        <v>21</v>
      </c>
      <c r="D90" s="173"/>
      <c r="E90" s="173"/>
      <c r="F90" s="173"/>
      <c r="G90" s="175">
        <f t="shared" si="1"/>
        <v>6460.0562399999999</v>
      </c>
    </row>
    <row r="91" spans="1:12" ht="16.2" customHeight="1">
      <c r="A91" s="405" t="s">
        <v>152</v>
      </c>
      <c r="B91" s="1" t="s">
        <v>272</v>
      </c>
      <c r="C91" s="85" t="s">
        <v>21</v>
      </c>
      <c r="D91" s="173"/>
      <c r="E91" s="173"/>
      <c r="F91" s="173"/>
      <c r="G91" s="175">
        <f t="shared" si="1"/>
        <v>3987.7515399999997</v>
      </c>
    </row>
    <row r="92" spans="1:12">
      <c r="A92" s="405" t="s">
        <v>106</v>
      </c>
      <c r="B92" s="1" t="s">
        <v>279</v>
      </c>
      <c r="C92" s="85" t="s">
        <v>21</v>
      </c>
      <c r="D92" s="173"/>
      <c r="E92" s="173"/>
      <c r="F92" s="173"/>
      <c r="G92" s="175">
        <f>G67</f>
        <v>798.22533999999996</v>
      </c>
    </row>
    <row r="93" spans="1:12" ht="13.95" customHeight="1">
      <c r="A93" s="405" t="s">
        <v>153</v>
      </c>
      <c r="B93" s="1" t="s">
        <v>272</v>
      </c>
      <c r="C93" s="85" t="s">
        <v>21</v>
      </c>
      <c r="D93" s="173"/>
      <c r="E93" s="173"/>
      <c r="F93" s="173"/>
      <c r="G93" s="175">
        <f t="shared" ref="G93:G99" si="2">G68</f>
        <v>798.22533999999996</v>
      </c>
    </row>
    <row r="94" spans="1:12">
      <c r="A94" s="405" t="s">
        <v>154</v>
      </c>
      <c r="B94" s="1" t="s">
        <v>643</v>
      </c>
      <c r="C94" s="85" t="s">
        <v>21</v>
      </c>
      <c r="D94" s="173"/>
      <c r="E94" s="173"/>
      <c r="F94" s="173"/>
      <c r="G94" s="175">
        <f t="shared" si="2"/>
        <v>391.51855999999998</v>
      </c>
    </row>
    <row r="95" spans="1:12" ht="16.95" customHeight="1">
      <c r="A95" s="405" t="s">
        <v>155</v>
      </c>
      <c r="B95" s="1" t="s">
        <v>272</v>
      </c>
      <c r="C95" s="85" t="s">
        <v>21</v>
      </c>
      <c r="D95" s="173"/>
      <c r="E95" s="173"/>
      <c r="F95" s="173"/>
      <c r="G95" s="175">
        <f t="shared" si="2"/>
        <v>391.51855999999998</v>
      </c>
    </row>
    <row r="96" spans="1:12">
      <c r="A96" s="405" t="s">
        <v>156</v>
      </c>
      <c r="B96" s="1" t="s">
        <v>287</v>
      </c>
      <c r="C96" s="85" t="s">
        <v>21</v>
      </c>
      <c r="D96" s="173"/>
      <c r="E96" s="173"/>
      <c r="F96" s="173"/>
      <c r="G96" s="175">
        <f t="shared" si="2"/>
        <v>405.01920000000001</v>
      </c>
    </row>
    <row r="97" spans="1:9">
      <c r="A97" s="405" t="s">
        <v>282</v>
      </c>
      <c r="B97" s="1" t="s">
        <v>272</v>
      </c>
      <c r="C97" s="85" t="s">
        <v>21</v>
      </c>
      <c r="D97" s="173"/>
      <c r="E97" s="173"/>
      <c r="F97" s="173"/>
      <c r="G97" s="175">
        <f t="shared" si="2"/>
        <v>405.01920000000001</v>
      </c>
    </row>
    <row r="98" spans="1:9" ht="26.4">
      <c r="A98" s="405" t="s">
        <v>160</v>
      </c>
      <c r="B98" s="1" t="s">
        <v>970</v>
      </c>
      <c r="C98" s="85" t="s">
        <v>21</v>
      </c>
      <c r="D98" s="173"/>
      <c r="E98" s="173"/>
      <c r="F98" s="173"/>
      <c r="G98" s="175">
        <f t="shared" si="2"/>
        <v>0</v>
      </c>
    </row>
    <row r="99" spans="1:9" ht="16.95" customHeight="1">
      <c r="A99" s="405" t="s">
        <v>161</v>
      </c>
      <c r="B99" s="1" t="s">
        <v>272</v>
      </c>
      <c r="C99" s="85" t="s">
        <v>21</v>
      </c>
      <c r="D99" s="173"/>
      <c r="E99" s="173"/>
      <c r="F99" s="173"/>
      <c r="G99" s="175">
        <f t="shared" si="2"/>
        <v>0</v>
      </c>
    </row>
    <row r="100" spans="1:9" ht="26.4">
      <c r="A100" s="934">
        <v>5</v>
      </c>
      <c r="B100" s="935" t="s">
        <v>141</v>
      </c>
      <c r="C100" s="936" t="s">
        <v>36</v>
      </c>
      <c r="D100" s="173"/>
      <c r="E100" s="173"/>
      <c r="F100" s="173"/>
      <c r="G100" s="662">
        <v>0</v>
      </c>
      <c r="I100" s="937"/>
    </row>
    <row r="101" spans="1:9" ht="27">
      <c r="A101" s="938">
        <v>6</v>
      </c>
      <c r="B101" s="939" t="s">
        <v>641</v>
      </c>
      <c r="C101" s="940" t="s">
        <v>36</v>
      </c>
      <c r="D101" s="173"/>
      <c r="E101" s="173"/>
      <c r="F101" s="173"/>
      <c r="G101" s="175">
        <v>0</v>
      </c>
      <c r="I101" s="937"/>
    </row>
    <row r="102" spans="1:9" ht="40.200000000000003">
      <c r="A102" s="938" t="s">
        <v>31</v>
      </c>
      <c r="B102" s="939" t="s">
        <v>458</v>
      </c>
      <c r="C102" s="940" t="s">
        <v>36</v>
      </c>
      <c r="D102" s="173"/>
      <c r="E102" s="173"/>
      <c r="F102" s="173"/>
      <c r="G102" s="173">
        <v>0</v>
      </c>
      <c r="I102" s="937"/>
    </row>
    <row r="103" spans="1:9" ht="17.399999999999999" customHeight="1">
      <c r="A103" s="938">
        <v>7</v>
      </c>
      <c r="B103" s="939" t="s">
        <v>642</v>
      </c>
      <c r="C103" s="940" t="s">
        <v>36</v>
      </c>
      <c r="D103" s="173"/>
      <c r="E103" s="173"/>
      <c r="F103" s="173"/>
      <c r="G103" s="175">
        <v>0</v>
      </c>
      <c r="I103" s="937"/>
    </row>
    <row r="104" spans="1:9" ht="26.4">
      <c r="A104" s="405">
        <v>8</v>
      </c>
      <c r="B104" s="1" t="s">
        <v>142</v>
      </c>
      <c r="C104" s="85" t="s">
        <v>36</v>
      </c>
      <c r="D104" s="173"/>
      <c r="E104" s="173"/>
      <c r="F104" s="173"/>
      <c r="G104" s="175">
        <v>0</v>
      </c>
      <c r="I104" s="937"/>
    </row>
    <row r="105" spans="1:9" hidden="1">
      <c r="A105" s="2816" t="s">
        <v>283</v>
      </c>
      <c r="B105" s="2817"/>
      <c r="C105" s="2816"/>
      <c r="D105" s="2816"/>
      <c r="E105" s="2816"/>
      <c r="F105" s="2816"/>
      <c r="G105" s="2816"/>
      <c r="I105" s="928"/>
    </row>
    <row r="106" spans="1:9" ht="39.6" hidden="1">
      <c r="A106" s="938">
        <v>1</v>
      </c>
      <c r="B106" s="171" t="s">
        <v>499</v>
      </c>
      <c r="C106" s="940" t="s">
        <v>71</v>
      </c>
      <c r="D106" s="170">
        <v>0</v>
      </c>
      <c r="E106" s="170">
        <v>0</v>
      </c>
      <c r="F106" s="170">
        <v>0</v>
      </c>
      <c r="G106" s="170">
        <v>0</v>
      </c>
      <c r="I106" s="928"/>
    </row>
    <row r="107" spans="1:9" hidden="1">
      <c r="A107" s="405" t="s">
        <v>22</v>
      </c>
      <c r="B107" s="941" t="s">
        <v>149</v>
      </c>
      <c r="C107" s="85" t="s">
        <v>71</v>
      </c>
      <c r="D107" s="170">
        <v>0</v>
      </c>
      <c r="E107" s="170">
        <v>0</v>
      </c>
      <c r="F107" s="170">
        <v>0</v>
      </c>
      <c r="G107" s="170">
        <v>0</v>
      </c>
      <c r="I107" s="928"/>
    </row>
    <row r="108" spans="1:9" hidden="1">
      <c r="A108" s="405" t="s">
        <v>23</v>
      </c>
      <c r="B108" s="1" t="s">
        <v>157</v>
      </c>
      <c r="C108" s="85" t="s">
        <v>71</v>
      </c>
      <c r="D108" s="170">
        <v>0</v>
      </c>
      <c r="E108" s="170">
        <v>0</v>
      </c>
      <c r="F108" s="170">
        <v>0</v>
      </c>
      <c r="G108" s="170">
        <v>0</v>
      </c>
      <c r="I108" s="928"/>
    </row>
    <row r="109" spans="1:9" hidden="1">
      <c r="A109" s="405" t="s">
        <v>44</v>
      </c>
      <c r="B109" s="1" t="s">
        <v>270</v>
      </c>
      <c r="C109" s="85" t="s">
        <v>71</v>
      </c>
      <c r="D109" s="170">
        <v>0</v>
      </c>
      <c r="E109" s="170">
        <v>0</v>
      </c>
      <c r="F109" s="170">
        <v>0</v>
      </c>
      <c r="G109" s="170">
        <v>0</v>
      </c>
      <c r="I109" s="928"/>
    </row>
    <row r="110" spans="1:9" hidden="1">
      <c r="A110" s="942" t="s">
        <v>49</v>
      </c>
      <c r="B110" s="943" t="s">
        <v>150</v>
      </c>
      <c r="C110" s="944" t="s">
        <v>71</v>
      </c>
      <c r="D110" s="945">
        <v>0</v>
      </c>
      <c r="E110" s="945">
        <v>0</v>
      </c>
      <c r="F110" s="945">
        <v>0</v>
      </c>
      <c r="G110" s="945">
        <v>0</v>
      </c>
      <c r="I110" s="928"/>
    </row>
    <row r="111" spans="1:9" ht="52.8" hidden="1">
      <c r="A111" s="405">
        <v>2</v>
      </c>
      <c r="B111" s="171" t="s">
        <v>284</v>
      </c>
      <c r="C111" s="85" t="s">
        <v>138</v>
      </c>
      <c r="D111" s="176">
        <v>0</v>
      </c>
      <c r="E111" s="176">
        <v>0</v>
      </c>
      <c r="F111" s="176">
        <v>0</v>
      </c>
      <c r="G111" s="176">
        <v>0</v>
      </c>
      <c r="I111" s="928"/>
    </row>
    <row r="112" spans="1:9" ht="52.8" hidden="1">
      <c r="A112" s="405">
        <v>3</v>
      </c>
      <c r="B112" s="171" t="s">
        <v>285</v>
      </c>
      <c r="C112" s="85" t="s">
        <v>140</v>
      </c>
      <c r="D112" s="176">
        <v>0</v>
      </c>
      <c r="E112" s="176">
        <v>0</v>
      </c>
      <c r="F112" s="176">
        <v>0</v>
      </c>
      <c r="G112" s="176">
        <v>0</v>
      </c>
      <c r="I112" s="928"/>
    </row>
    <row r="113" spans="1:9" ht="24" hidden="1">
      <c r="A113" s="405">
        <v>4</v>
      </c>
      <c r="B113" s="390" t="s">
        <v>286</v>
      </c>
      <c r="C113" s="85" t="s">
        <v>21</v>
      </c>
      <c r="D113" s="176">
        <v>0</v>
      </c>
      <c r="E113" s="176">
        <v>0</v>
      </c>
      <c r="F113" s="176">
        <v>0</v>
      </c>
      <c r="G113" s="176">
        <v>0</v>
      </c>
      <c r="I113" s="928"/>
    </row>
    <row r="114" spans="1:9" hidden="1">
      <c r="A114" s="405" t="s">
        <v>26</v>
      </c>
      <c r="B114" s="1" t="s">
        <v>151</v>
      </c>
      <c r="C114" s="85" t="s">
        <v>21</v>
      </c>
      <c r="D114" s="176">
        <v>0</v>
      </c>
      <c r="E114" s="176">
        <v>0</v>
      </c>
      <c r="F114" s="176">
        <v>0</v>
      </c>
      <c r="G114" s="176">
        <v>0</v>
      </c>
      <c r="I114" s="928"/>
    </row>
    <row r="115" spans="1:9" ht="26.4" hidden="1">
      <c r="A115" s="405" t="s">
        <v>152</v>
      </c>
      <c r="B115" s="1" t="s">
        <v>272</v>
      </c>
      <c r="C115" s="85" t="s">
        <v>21</v>
      </c>
      <c r="D115" s="176">
        <v>0</v>
      </c>
      <c r="E115" s="176">
        <v>0</v>
      </c>
      <c r="F115" s="176">
        <v>0</v>
      </c>
      <c r="G115" s="176">
        <v>0</v>
      </c>
      <c r="I115" s="928"/>
    </row>
    <row r="116" spans="1:9" hidden="1">
      <c r="A116" s="405" t="s">
        <v>106</v>
      </c>
      <c r="B116" s="1" t="s">
        <v>279</v>
      </c>
      <c r="C116" s="85" t="s">
        <v>21</v>
      </c>
      <c r="D116" s="176">
        <v>0</v>
      </c>
      <c r="E116" s="176">
        <v>0</v>
      </c>
      <c r="F116" s="176">
        <v>0</v>
      </c>
      <c r="G116" s="176">
        <v>0</v>
      </c>
      <c r="I116" s="928"/>
    </row>
    <row r="117" spans="1:9" ht="26.4" hidden="1">
      <c r="A117" s="405" t="s">
        <v>153</v>
      </c>
      <c r="B117" s="1" t="s">
        <v>272</v>
      </c>
      <c r="C117" s="85" t="s">
        <v>21</v>
      </c>
      <c r="D117" s="176">
        <v>0</v>
      </c>
      <c r="E117" s="176">
        <v>0</v>
      </c>
      <c r="F117" s="176">
        <v>0</v>
      </c>
      <c r="G117" s="176">
        <v>0</v>
      </c>
      <c r="I117" s="928"/>
    </row>
    <row r="118" spans="1:9" hidden="1">
      <c r="A118" s="405" t="s">
        <v>154</v>
      </c>
      <c r="B118" s="1" t="s">
        <v>280</v>
      </c>
      <c r="C118" s="85" t="s">
        <v>21</v>
      </c>
      <c r="D118" s="176">
        <v>0</v>
      </c>
      <c r="E118" s="176">
        <v>0</v>
      </c>
      <c r="F118" s="176">
        <v>0</v>
      </c>
      <c r="G118" s="176">
        <v>0</v>
      </c>
      <c r="I118" s="928"/>
    </row>
    <row r="119" spans="1:9" ht="26.4" hidden="1">
      <c r="A119" s="405" t="s">
        <v>155</v>
      </c>
      <c r="B119" s="1" t="s">
        <v>272</v>
      </c>
      <c r="C119" s="85" t="s">
        <v>21</v>
      </c>
      <c r="D119" s="176">
        <v>0</v>
      </c>
      <c r="E119" s="176">
        <v>0</v>
      </c>
      <c r="F119" s="176">
        <v>0</v>
      </c>
      <c r="G119" s="176">
        <v>0</v>
      </c>
      <c r="I119" s="928"/>
    </row>
    <row r="120" spans="1:9" hidden="1">
      <c r="A120" s="405" t="s">
        <v>156</v>
      </c>
      <c r="B120" s="1" t="s">
        <v>287</v>
      </c>
      <c r="C120" s="85" t="s">
        <v>21</v>
      </c>
      <c r="D120" s="176">
        <v>0</v>
      </c>
      <c r="E120" s="176">
        <v>0</v>
      </c>
      <c r="F120" s="176">
        <v>0</v>
      </c>
      <c r="G120" s="176">
        <v>0</v>
      </c>
      <c r="I120" s="928"/>
    </row>
    <row r="121" spans="1:9" hidden="1">
      <c r="A121" s="405" t="s">
        <v>282</v>
      </c>
      <c r="B121" s="1" t="s">
        <v>272</v>
      </c>
      <c r="C121" s="85" t="s">
        <v>21</v>
      </c>
      <c r="D121" s="176">
        <v>0</v>
      </c>
      <c r="E121" s="176">
        <v>0</v>
      </c>
      <c r="F121" s="176">
        <v>0</v>
      </c>
      <c r="G121" s="176">
        <v>0</v>
      </c>
      <c r="I121" s="928"/>
    </row>
    <row r="122" spans="1:9" ht="26.4" hidden="1">
      <c r="A122" s="405">
        <v>5</v>
      </c>
      <c r="B122" s="1" t="s">
        <v>141</v>
      </c>
      <c r="C122" s="85" t="s">
        <v>36</v>
      </c>
      <c r="D122" s="176">
        <v>0</v>
      </c>
      <c r="E122" s="176">
        <v>0</v>
      </c>
      <c r="F122" s="176">
        <v>0</v>
      </c>
      <c r="G122" s="176">
        <v>0</v>
      </c>
      <c r="I122" s="928"/>
    </row>
    <row r="123" spans="1:9" ht="26.4" hidden="1">
      <c r="A123" s="405">
        <v>6</v>
      </c>
      <c r="B123" s="1" t="s">
        <v>457</v>
      </c>
      <c r="C123" s="85" t="s">
        <v>36</v>
      </c>
      <c r="D123" s="176">
        <v>0</v>
      </c>
      <c r="E123" s="176">
        <v>0</v>
      </c>
      <c r="F123" s="176">
        <v>0</v>
      </c>
      <c r="G123" s="176">
        <v>0</v>
      </c>
      <c r="I123" s="928"/>
    </row>
    <row r="124" spans="1:9" ht="39.6" hidden="1">
      <c r="A124" s="405" t="s">
        <v>31</v>
      </c>
      <c r="B124" s="1" t="s">
        <v>458</v>
      </c>
      <c r="C124" s="85" t="s">
        <v>36</v>
      </c>
      <c r="D124" s="176">
        <v>0</v>
      </c>
      <c r="E124" s="176">
        <v>0</v>
      </c>
      <c r="F124" s="176">
        <v>0</v>
      </c>
      <c r="G124" s="176">
        <v>0</v>
      </c>
      <c r="I124" s="928"/>
    </row>
    <row r="125" spans="1:9" hidden="1">
      <c r="A125" s="405">
        <v>7</v>
      </c>
      <c r="B125" s="1" t="s">
        <v>456</v>
      </c>
      <c r="C125" s="85" t="s">
        <v>36</v>
      </c>
      <c r="D125" s="176">
        <v>0</v>
      </c>
      <c r="E125" s="176">
        <v>0</v>
      </c>
      <c r="F125" s="176">
        <v>0</v>
      </c>
      <c r="G125" s="176">
        <v>0</v>
      </c>
      <c r="I125" s="928"/>
    </row>
    <row r="126" spans="1:9" ht="26.4" hidden="1">
      <c r="A126" s="405">
        <v>8</v>
      </c>
      <c r="B126" s="1" t="s">
        <v>142</v>
      </c>
      <c r="C126" s="85" t="s">
        <v>36</v>
      </c>
      <c r="D126" s="176">
        <v>0</v>
      </c>
      <c r="E126" s="176">
        <v>0</v>
      </c>
      <c r="F126" s="176">
        <v>0</v>
      </c>
      <c r="G126" s="176">
        <v>0</v>
      </c>
      <c r="I126" s="928"/>
    </row>
    <row r="127" spans="1:9" ht="3.6" customHeight="1">
      <c r="A127" s="946"/>
      <c r="B127" s="947"/>
    </row>
    <row r="128" spans="1:9">
      <c r="B128" s="598" t="s">
        <v>288</v>
      </c>
    </row>
    <row r="130" spans="2:7" ht="15" customHeight="1">
      <c r="B130" s="949" t="str">
        <f>'Вхідні дані'!B13</f>
        <v>Директор підприємства</v>
      </c>
      <c r="C130" s="950" t="s">
        <v>224</v>
      </c>
      <c r="D130" s="950"/>
      <c r="E130" s="2746" t="str">
        <f>'Вхідні дані'!F13</f>
        <v>Сергій НІКУЛЬЧА</v>
      </c>
      <c r="F130" s="2746"/>
      <c r="G130" s="2746"/>
    </row>
    <row r="131" spans="2:7" ht="15" customHeight="1">
      <c r="B131" s="951" t="s">
        <v>218</v>
      </c>
      <c r="C131" s="225" t="s">
        <v>95</v>
      </c>
      <c r="D131" s="225"/>
      <c r="E131" s="2818" t="s">
        <v>96</v>
      </c>
      <c r="F131" s="2818"/>
      <c r="G131" s="2818"/>
    </row>
    <row r="136" spans="2:7" ht="62.4">
      <c r="B136" s="954" t="s">
        <v>645</v>
      </c>
    </row>
  </sheetData>
  <mergeCells count="18">
    <mergeCell ref="A80:G80"/>
    <mergeCell ref="A105:G105"/>
    <mergeCell ref="E130:G130"/>
    <mergeCell ref="E131:G131"/>
    <mergeCell ref="A12:G12"/>
    <mergeCell ref="A29:G29"/>
    <mergeCell ref="A53:G53"/>
    <mergeCell ref="E1:G1"/>
    <mergeCell ref="B3:F3"/>
    <mergeCell ref="B4:F4"/>
    <mergeCell ref="B5:F5"/>
    <mergeCell ref="B6:F6"/>
    <mergeCell ref="E2:G2"/>
    <mergeCell ref="B7:F7"/>
    <mergeCell ref="E8:G8"/>
    <mergeCell ref="A9:A10"/>
    <mergeCell ref="B9:B10"/>
    <mergeCell ref="C9:C10"/>
  </mergeCells>
  <conditionalFormatting sqref="B4:F7">
    <cfRule type="cellIs" dxfId="39" priority="4" operator="equal">
      <formula>0</formula>
    </cfRule>
  </conditionalFormatting>
  <printOptions horizontalCentered="1"/>
  <pageMargins left="0.23622047244094491" right="0.23622047244094491" top="0.42" bottom="0.34" header="0.31496062992125984" footer="0.32"/>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33">
    <tabColor rgb="FFFFCC00"/>
    <pageSetUpPr fitToPage="1"/>
  </sheetPr>
  <dimension ref="A1:W723"/>
  <sheetViews>
    <sheetView topLeftCell="A28" zoomScale="110" zoomScaleNormal="110" workbookViewId="0">
      <selection activeCell="G24" sqref="G24"/>
    </sheetView>
  </sheetViews>
  <sheetFormatPr defaultRowHeight="14.4"/>
  <cols>
    <col min="1" max="1" width="5.109375" customWidth="1"/>
    <col min="2" max="2" width="19.109375" customWidth="1"/>
    <col min="3" max="3" width="5.5546875" customWidth="1"/>
    <col min="4" max="4" width="7.6640625" customWidth="1"/>
    <col min="5" max="5" width="11" customWidth="1"/>
    <col min="6" max="6" width="11.109375" customWidth="1"/>
    <col min="7" max="7" width="7.109375" customWidth="1"/>
    <col min="9" max="9" width="5.88671875" customWidth="1"/>
    <col min="10" max="10" width="6.109375" customWidth="1"/>
    <col min="11" max="11" width="12.88671875" customWidth="1"/>
    <col min="12" max="12" width="10.44140625" customWidth="1"/>
    <col min="13" max="13" width="10.5546875" customWidth="1"/>
    <col min="15" max="15" width="8.44140625" customWidth="1"/>
    <col min="16" max="16" width="9.44140625" bestFit="1" customWidth="1"/>
    <col min="17" max="17" width="11" customWidth="1"/>
    <col min="18" max="18" width="9.109375" customWidth="1"/>
    <col min="20" max="20" width="9.44140625" bestFit="1" customWidth="1"/>
  </cols>
  <sheetData>
    <row r="1" spans="1:23">
      <c r="O1" t="s">
        <v>2018</v>
      </c>
    </row>
    <row r="2" spans="1:23" ht="15.6">
      <c r="A2" s="2838" t="s">
        <v>453</v>
      </c>
      <c r="B2" s="2838"/>
      <c r="C2" s="2838"/>
      <c r="D2" s="2838"/>
      <c r="E2" s="2838"/>
      <c r="F2" s="2838"/>
      <c r="G2" s="2838"/>
      <c r="H2" s="2838"/>
      <c r="I2" s="2838"/>
      <c r="J2" s="2838"/>
      <c r="K2" s="2838"/>
      <c r="L2" s="2838"/>
      <c r="M2" s="2838"/>
      <c r="N2" s="2838"/>
      <c r="O2" s="2838"/>
      <c r="P2" s="2838"/>
      <c r="Q2" s="2468"/>
    </row>
    <row r="3" spans="1:23" ht="15.6">
      <c r="A3" s="2837" t="s">
        <v>1556</v>
      </c>
      <c r="B3" s="2837"/>
      <c r="C3" s="2837"/>
      <c r="D3" s="2837"/>
      <c r="E3" s="2837"/>
      <c r="F3" s="2837"/>
      <c r="G3" s="2837"/>
      <c r="H3" s="2837"/>
      <c r="I3" s="2837"/>
      <c r="J3" s="2837"/>
      <c r="K3" s="2837"/>
      <c r="L3" s="2837"/>
      <c r="M3" s="2837"/>
      <c r="N3" s="2837"/>
      <c r="O3" s="2837"/>
      <c r="P3" s="2837"/>
      <c r="Q3" s="2467"/>
    </row>
    <row r="4" spans="1:23" ht="15.6">
      <c r="A4" s="2834" t="str">
        <f>'Вхідні дані'!F5</f>
        <v>ТОВ ДП " Моноліт- Сервіс "</v>
      </c>
      <c r="B4" s="2834"/>
      <c r="C4" s="2834"/>
      <c r="D4" s="2834"/>
      <c r="E4" s="2834"/>
      <c r="F4" s="2834"/>
      <c r="G4" s="2834"/>
      <c r="H4" s="2834"/>
      <c r="I4" s="2834"/>
      <c r="J4" s="2834"/>
      <c r="K4" s="2834"/>
      <c r="L4" s="2834"/>
      <c r="M4" s="2834"/>
      <c r="N4" s="2834"/>
      <c r="O4" s="2834"/>
      <c r="P4" s="2834"/>
    </row>
    <row r="5" spans="1:23">
      <c r="A5" s="2835" t="s">
        <v>2019</v>
      </c>
      <c r="B5" s="2835"/>
      <c r="C5" s="2835"/>
      <c r="D5" s="2835"/>
      <c r="E5" s="2835"/>
      <c r="F5" s="2835"/>
      <c r="G5" s="2835"/>
      <c r="H5" s="2835"/>
      <c r="I5" s="2835"/>
      <c r="J5" s="2835"/>
      <c r="K5" s="2835"/>
      <c r="L5" s="2835"/>
      <c r="M5" s="2835"/>
      <c r="N5" s="2835"/>
      <c r="O5" s="2835"/>
      <c r="P5" s="2835"/>
    </row>
    <row r="6" spans="1:23" ht="15.6">
      <c r="A6" s="2836" t="s">
        <v>748</v>
      </c>
      <c r="B6" s="2836"/>
      <c r="C6" s="2836"/>
      <c r="D6" s="2836"/>
      <c r="E6" s="2836"/>
      <c r="F6" s="2836"/>
      <c r="G6" s="2836"/>
      <c r="H6" s="2836"/>
      <c r="I6" s="2836"/>
      <c r="J6" s="2836"/>
      <c r="K6" s="2836"/>
      <c r="L6" s="2836"/>
      <c r="M6" s="2836"/>
      <c r="N6" s="2836"/>
      <c r="O6" s="2836"/>
      <c r="P6" s="2836"/>
      <c r="Q6" s="2466"/>
    </row>
    <row r="7" spans="1:23">
      <c r="A7" s="2819" t="s">
        <v>730</v>
      </c>
      <c r="B7" s="2819"/>
      <c r="C7" s="2819"/>
      <c r="D7" s="2819"/>
      <c r="E7" s="2819"/>
      <c r="F7" s="2819"/>
      <c r="G7" s="2819"/>
      <c r="H7" s="2819"/>
      <c r="I7" s="2819"/>
      <c r="J7" s="2819"/>
      <c r="K7" s="2819"/>
      <c r="L7" s="2819"/>
      <c r="M7" s="2819"/>
      <c r="N7" s="2819"/>
      <c r="O7" s="2819"/>
      <c r="P7" s="2819"/>
    </row>
    <row r="8" spans="1:23" ht="15" thickBot="1"/>
    <row r="9" spans="1:23" ht="15" thickBot="1">
      <c r="A9" s="2820" t="s">
        <v>7</v>
      </c>
      <c r="B9" s="2822" t="s">
        <v>336</v>
      </c>
      <c r="C9" s="2824" t="s">
        <v>324</v>
      </c>
      <c r="D9" s="2826" t="s">
        <v>325</v>
      </c>
      <c r="E9" s="2824" t="s">
        <v>337</v>
      </c>
      <c r="F9" s="2824" t="s">
        <v>731</v>
      </c>
      <c r="G9" s="2824" t="s">
        <v>326</v>
      </c>
      <c r="H9" s="2824" t="s">
        <v>338</v>
      </c>
      <c r="I9" s="2829" t="s">
        <v>969</v>
      </c>
      <c r="J9" s="2824" t="s">
        <v>732</v>
      </c>
      <c r="K9" s="2831" t="s">
        <v>1258</v>
      </c>
      <c r="L9" s="2833" t="s">
        <v>327</v>
      </c>
      <c r="M9" s="2833"/>
      <c r="N9" s="2833"/>
      <c r="O9" s="2431"/>
      <c r="P9" s="2824" t="s">
        <v>1253</v>
      </c>
    </row>
    <row r="10" spans="1:23" ht="103.8" customHeight="1" thickBot="1">
      <c r="A10" s="2821"/>
      <c r="B10" s="2823"/>
      <c r="C10" s="2825"/>
      <c r="D10" s="2827"/>
      <c r="E10" s="2825"/>
      <c r="F10" s="2825"/>
      <c r="G10" s="2825"/>
      <c r="H10" s="2828"/>
      <c r="I10" s="2830"/>
      <c r="J10" s="2828"/>
      <c r="K10" s="2832"/>
      <c r="L10" s="1314" t="s">
        <v>1257</v>
      </c>
      <c r="M10" s="1314" t="s">
        <v>1256</v>
      </c>
      <c r="N10" s="397" t="s">
        <v>1255</v>
      </c>
      <c r="O10" s="397" t="s">
        <v>1254</v>
      </c>
      <c r="P10" s="2828"/>
      <c r="T10" s="2432" t="s">
        <v>2020</v>
      </c>
      <c r="U10" s="2432" t="s">
        <v>2021</v>
      </c>
      <c r="V10" s="2432" t="s">
        <v>2022</v>
      </c>
      <c r="W10" s="2433" t="s">
        <v>2023</v>
      </c>
    </row>
    <row r="11" spans="1:23" s="1417" customFormat="1" ht="15" thickBot="1">
      <c r="A11" s="2434">
        <v>1</v>
      </c>
      <c r="B11" s="2434">
        <v>2</v>
      </c>
      <c r="C11" s="2434">
        <v>3</v>
      </c>
      <c r="D11" s="2434">
        <v>4</v>
      </c>
      <c r="E11" s="2434">
        <v>5</v>
      </c>
      <c r="F11" s="2434">
        <v>6</v>
      </c>
      <c r="G11" s="2435">
        <v>7</v>
      </c>
      <c r="H11" s="2436" t="s">
        <v>733</v>
      </c>
      <c r="I11" s="2434">
        <v>8</v>
      </c>
      <c r="J11" s="2436" t="s">
        <v>734</v>
      </c>
      <c r="K11" s="2434">
        <v>9</v>
      </c>
      <c r="L11" s="2436" t="s">
        <v>735</v>
      </c>
      <c r="M11" s="2436" t="s">
        <v>736</v>
      </c>
      <c r="N11" s="2436" t="s">
        <v>737</v>
      </c>
      <c r="O11" s="2436" t="s">
        <v>966</v>
      </c>
      <c r="P11" s="2434">
        <v>10</v>
      </c>
      <c r="T11" s="2437" t="s">
        <v>1259</v>
      </c>
      <c r="U11" s="2438" t="s">
        <v>1260</v>
      </c>
      <c r="V11" s="2438" t="s">
        <v>2024</v>
      </c>
      <c r="W11" s="2439" t="s">
        <v>2025</v>
      </c>
    </row>
    <row r="12" spans="1:23" s="1417" customFormat="1" ht="15" thickBot="1">
      <c r="A12" s="2839" t="s">
        <v>2026</v>
      </c>
      <c r="B12" s="2840"/>
      <c r="C12" s="2841"/>
      <c r="D12" s="2322"/>
      <c r="E12" s="2322"/>
      <c r="F12" s="2322"/>
      <c r="G12" s="2440"/>
      <c r="H12" s="2441"/>
      <c r="I12" s="2322"/>
      <c r="J12" s="2441"/>
      <c r="K12" s="2322"/>
      <c r="L12" s="2441"/>
      <c r="M12" s="2441"/>
      <c r="N12" s="2441"/>
      <c r="O12" s="2441"/>
      <c r="P12" s="2322"/>
      <c r="T12" s="2437">
        <v>0</v>
      </c>
      <c r="U12" s="2438">
        <v>0</v>
      </c>
      <c r="V12" s="2438"/>
      <c r="W12" s="2439">
        <v>0</v>
      </c>
    </row>
    <row r="13" spans="1:23" ht="16.2" thickBot="1">
      <c r="A13" s="666">
        <v>1</v>
      </c>
      <c r="B13" s="2442" t="s">
        <v>2027</v>
      </c>
      <c r="C13" s="666">
        <v>10</v>
      </c>
      <c r="D13" s="666">
        <v>2006</v>
      </c>
      <c r="E13" s="666" t="s">
        <v>738</v>
      </c>
      <c r="F13" s="666" t="s">
        <v>2028</v>
      </c>
      <c r="G13" s="668">
        <v>179</v>
      </c>
      <c r="H13" s="666">
        <v>0</v>
      </c>
      <c r="I13" s="666">
        <v>0</v>
      </c>
      <c r="J13" s="666">
        <v>0</v>
      </c>
      <c r="K13" s="670">
        <v>8440.7000000000007</v>
      </c>
      <c r="L13" s="670">
        <v>8440.7000000000007</v>
      </c>
      <c r="M13" s="2443">
        <v>0</v>
      </c>
      <c r="N13" s="2443">
        <v>0</v>
      </c>
      <c r="O13" s="2443">
        <v>0</v>
      </c>
      <c r="P13" s="2443">
        <v>0</v>
      </c>
      <c r="Q13" s="2444" t="s">
        <v>2029</v>
      </c>
      <c r="T13" s="2437">
        <v>0</v>
      </c>
      <c r="U13" s="2438">
        <v>0</v>
      </c>
      <c r="V13" s="2445">
        <v>0.57599999999999996</v>
      </c>
      <c r="W13" s="2439">
        <v>0</v>
      </c>
    </row>
    <row r="14" spans="1:23" ht="16.2" thickBot="1">
      <c r="A14" s="666">
        <f>A13+1</f>
        <v>2</v>
      </c>
      <c r="B14" s="2442" t="s">
        <v>2030</v>
      </c>
      <c r="C14" s="666">
        <v>12</v>
      </c>
      <c r="D14" s="666">
        <v>2018</v>
      </c>
      <c r="E14" s="666" t="s">
        <v>738</v>
      </c>
      <c r="F14" s="666" t="s">
        <v>2028</v>
      </c>
      <c r="G14" s="668">
        <v>68</v>
      </c>
      <c r="H14" s="666">
        <v>20</v>
      </c>
      <c r="I14" s="666">
        <v>0</v>
      </c>
      <c r="J14" s="666">
        <v>0</v>
      </c>
      <c r="K14" s="670">
        <v>5843.2</v>
      </c>
      <c r="L14" s="670">
        <v>5843.2</v>
      </c>
      <c r="M14" s="2443">
        <v>0</v>
      </c>
      <c r="N14" s="2443">
        <v>0</v>
      </c>
      <c r="O14" s="2443">
        <v>0</v>
      </c>
      <c r="P14" s="2443">
        <v>0</v>
      </c>
      <c r="Q14" s="2444" t="s">
        <v>2029</v>
      </c>
      <c r="T14" s="2437">
        <v>0</v>
      </c>
      <c r="U14" s="2438">
        <v>0</v>
      </c>
      <c r="V14" s="2445">
        <v>0.35199999999999998</v>
      </c>
      <c r="W14" s="2439">
        <v>0</v>
      </c>
    </row>
    <row r="15" spans="1:23" ht="16.2" thickBot="1">
      <c r="A15" s="666">
        <f t="shared" ref="A15:A18" si="0">A14+1</f>
        <v>3</v>
      </c>
      <c r="B15" s="2442" t="s">
        <v>2031</v>
      </c>
      <c r="C15" s="666">
        <v>12</v>
      </c>
      <c r="D15" s="666">
        <v>2018</v>
      </c>
      <c r="E15" s="666" t="s">
        <v>738</v>
      </c>
      <c r="F15" s="666" t="s">
        <v>2028</v>
      </c>
      <c r="G15" s="668">
        <v>70</v>
      </c>
      <c r="H15" s="666">
        <v>40</v>
      </c>
      <c r="I15" s="666">
        <v>0</v>
      </c>
      <c r="J15" s="666">
        <v>0</v>
      </c>
      <c r="K15" s="670">
        <v>4488.24</v>
      </c>
      <c r="L15" s="670">
        <v>4488.24</v>
      </c>
      <c r="M15" s="2443">
        <v>0</v>
      </c>
      <c r="N15" s="2443">
        <v>0</v>
      </c>
      <c r="O15" s="2443">
        <v>0</v>
      </c>
      <c r="P15" s="2443">
        <v>0</v>
      </c>
      <c r="Q15" s="2444" t="s">
        <v>2029</v>
      </c>
      <c r="T15" s="2437">
        <v>0</v>
      </c>
      <c r="U15" s="2438">
        <v>0</v>
      </c>
      <c r="V15" s="2445">
        <v>0.33200000000000002</v>
      </c>
      <c r="W15" s="2439">
        <v>0</v>
      </c>
    </row>
    <row r="16" spans="1:23" ht="16.2" thickBot="1">
      <c r="A16" s="666">
        <f t="shared" si="0"/>
        <v>4</v>
      </c>
      <c r="B16" s="2442" t="s">
        <v>2032</v>
      </c>
      <c r="C16" s="666">
        <v>10</v>
      </c>
      <c r="D16" s="666">
        <v>2008</v>
      </c>
      <c r="E16" s="666" t="s">
        <v>2028</v>
      </c>
      <c r="F16" s="666" t="s">
        <v>2028</v>
      </c>
      <c r="G16" s="668">
        <v>200</v>
      </c>
      <c r="H16" s="666">
        <v>120</v>
      </c>
      <c r="I16" s="666">
        <v>0</v>
      </c>
      <c r="J16" s="666">
        <v>0</v>
      </c>
      <c r="K16" s="670">
        <v>13570.6</v>
      </c>
      <c r="L16" s="670">
        <v>13570.6</v>
      </c>
      <c r="M16" s="2443">
        <v>0</v>
      </c>
      <c r="N16" s="2443">
        <v>0</v>
      </c>
      <c r="O16" s="2443">
        <v>0</v>
      </c>
      <c r="P16" s="2443">
        <v>0</v>
      </c>
      <c r="Q16" s="2444" t="s">
        <v>2029</v>
      </c>
      <c r="T16" s="2437">
        <v>0</v>
      </c>
      <c r="U16" s="2438">
        <v>0</v>
      </c>
      <c r="V16" s="2445">
        <v>0.94899999999999995</v>
      </c>
      <c r="W16" s="2439">
        <v>0</v>
      </c>
    </row>
    <row r="17" spans="1:23" ht="16.2" thickBot="1">
      <c r="A17" s="666">
        <f t="shared" si="0"/>
        <v>5</v>
      </c>
      <c r="B17" s="2442" t="s">
        <v>2033</v>
      </c>
      <c r="C17" s="666">
        <v>10</v>
      </c>
      <c r="D17" s="666">
        <v>2010</v>
      </c>
      <c r="E17" s="666" t="s">
        <v>2028</v>
      </c>
      <c r="F17" s="666" t="s">
        <v>2028</v>
      </c>
      <c r="G17" s="668">
        <v>119</v>
      </c>
      <c r="H17" s="666">
        <v>68</v>
      </c>
      <c r="I17" s="666">
        <v>0</v>
      </c>
      <c r="J17" s="666">
        <v>0</v>
      </c>
      <c r="K17" s="670">
        <v>6734.2</v>
      </c>
      <c r="L17" s="670">
        <v>6734.2</v>
      </c>
      <c r="M17" s="2443">
        <v>0</v>
      </c>
      <c r="N17" s="2443">
        <v>0</v>
      </c>
      <c r="O17" s="2443">
        <v>0</v>
      </c>
      <c r="P17" s="2443">
        <v>0</v>
      </c>
      <c r="Q17" s="2444" t="s">
        <v>2029</v>
      </c>
      <c r="T17" s="2437">
        <v>0</v>
      </c>
      <c r="U17" s="2438">
        <v>0</v>
      </c>
      <c r="V17" s="2445">
        <v>0.51600000000000001</v>
      </c>
      <c r="W17" s="2439">
        <v>0</v>
      </c>
    </row>
    <row r="18" spans="1:23" ht="16.2" thickBot="1">
      <c r="A18" s="666">
        <f t="shared" si="0"/>
        <v>6</v>
      </c>
      <c r="B18" s="2442" t="s">
        <v>2034</v>
      </c>
      <c r="C18" s="666">
        <v>10</v>
      </c>
      <c r="D18" s="666">
        <v>2019</v>
      </c>
      <c r="E18" s="666" t="s">
        <v>738</v>
      </c>
      <c r="F18" s="666" t="s">
        <v>2028</v>
      </c>
      <c r="G18" s="668">
        <v>230</v>
      </c>
      <c r="H18" s="666">
        <v>97</v>
      </c>
      <c r="I18" s="666">
        <v>0</v>
      </c>
      <c r="J18" s="666">
        <v>0</v>
      </c>
      <c r="K18" s="670">
        <v>15766.7</v>
      </c>
      <c r="L18" s="670">
        <v>15766.7</v>
      </c>
      <c r="M18" s="2443">
        <v>0</v>
      </c>
      <c r="N18" s="2443">
        <v>0</v>
      </c>
      <c r="O18" s="2443">
        <v>0</v>
      </c>
      <c r="P18" s="2443">
        <v>0</v>
      </c>
      <c r="Q18" s="2444" t="s">
        <v>2029</v>
      </c>
      <c r="T18" s="2437">
        <v>0</v>
      </c>
      <c r="U18" s="2438">
        <v>0</v>
      </c>
      <c r="V18" s="2445">
        <v>1.103</v>
      </c>
      <c r="W18" s="2439">
        <v>0</v>
      </c>
    </row>
    <row r="19" spans="1:23" ht="15" thickBot="1">
      <c r="A19" s="666"/>
      <c r="B19" s="2446"/>
      <c r="C19" s="666"/>
      <c r="D19" s="667"/>
      <c r="E19" s="666"/>
      <c r="F19" s="666"/>
      <c r="G19" s="668"/>
      <c r="H19" s="669"/>
      <c r="I19" s="666"/>
      <c r="J19" s="669"/>
      <c r="K19" s="670"/>
      <c r="L19" s="670"/>
      <c r="M19" s="670"/>
      <c r="N19" s="670"/>
      <c r="O19" s="670"/>
      <c r="P19" s="670"/>
      <c r="T19" s="2437">
        <v>0</v>
      </c>
      <c r="U19" s="2438">
        <v>0</v>
      </c>
      <c r="V19" s="2445"/>
      <c r="W19" s="2439">
        <v>0</v>
      </c>
    </row>
    <row r="20" spans="1:23" ht="15.75" customHeight="1" thickBot="1">
      <c r="A20" s="2842" t="s">
        <v>2035</v>
      </c>
      <c r="B20" s="2843"/>
      <c r="C20" s="2843"/>
      <c r="D20" s="2843"/>
      <c r="E20" s="2844"/>
      <c r="F20" s="666"/>
      <c r="G20" s="668"/>
      <c r="H20" s="669"/>
      <c r="I20" s="666"/>
      <c r="J20" s="669"/>
      <c r="K20" s="670"/>
      <c r="L20" s="670"/>
      <c r="M20" s="670"/>
      <c r="N20" s="670"/>
      <c r="O20" s="670"/>
      <c r="P20" s="670"/>
      <c r="T20" s="2437">
        <v>0</v>
      </c>
      <c r="U20" s="2438">
        <v>0</v>
      </c>
      <c r="V20" s="2445"/>
      <c r="W20" s="2439">
        <v>0</v>
      </c>
    </row>
    <row r="21" spans="1:23" ht="16.2" thickBot="1">
      <c r="A21" s="668">
        <v>7</v>
      </c>
      <c r="B21" s="2447" t="s">
        <v>1714</v>
      </c>
      <c r="C21" s="666">
        <v>8</v>
      </c>
      <c r="D21" s="666">
        <v>2005</v>
      </c>
      <c r="E21" s="666" t="s">
        <v>2028</v>
      </c>
      <c r="F21" s="666" t="s">
        <v>2028</v>
      </c>
      <c r="G21" s="668">
        <v>88</v>
      </c>
      <c r="H21" s="666">
        <v>51</v>
      </c>
      <c r="I21" s="666">
        <v>0</v>
      </c>
      <c r="J21" s="666">
        <v>0</v>
      </c>
      <c r="K21" s="670">
        <v>5552.5</v>
      </c>
      <c r="L21" s="670">
        <v>5552.5</v>
      </c>
      <c r="M21" s="2443">
        <v>0</v>
      </c>
      <c r="N21" s="2443">
        <v>0</v>
      </c>
      <c r="O21" s="2443">
        <v>0</v>
      </c>
      <c r="P21" s="2443">
        <v>0</v>
      </c>
      <c r="T21" s="2437">
        <v>0</v>
      </c>
      <c r="U21" s="2438">
        <v>0</v>
      </c>
      <c r="V21" s="2445">
        <v>0.28499999999999998</v>
      </c>
      <c r="W21" s="2439">
        <v>0</v>
      </c>
    </row>
    <row r="22" spans="1:23" ht="16.2" thickBot="1">
      <c r="A22" s="668">
        <f>A21+1</f>
        <v>8</v>
      </c>
      <c r="B22" s="2447" t="s">
        <v>1715</v>
      </c>
      <c r="C22" s="666">
        <v>8</v>
      </c>
      <c r="D22" s="666">
        <v>2005</v>
      </c>
      <c r="E22" s="666" t="s">
        <v>738</v>
      </c>
      <c r="F22" s="666" t="s">
        <v>2028</v>
      </c>
      <c r="G22" s="668">
        <v>155</v>
      </c>
      <c r="H22" s="666">
        <v>0</v>
      </c>
      <c r="I22" s="666">
        <v>0</v>
      </c>
      <c r="J22" s="666">
        <v>0</v>
      </c>
      <c r="K22" s="670">
        <v>7849</v>
      </c>
      <c r="L22" s="670">
        <v>7849</v>
      </c>
      <c r="M22" s="2443">
        <v>0</v>
      </c>
      <c r="N22" s="2443">
        <v>0</v>
      </c>
      <c r="O22" s="2443">
        <v>0</v>
      </c>
      <c r="P22" s="2443">
        <v>0</v>
      </c>
      <c r="T22" s="2437">
        <v>0</v>
      </c>
      <c r="U22" s="2438">
        <v>0</v>
      </c>
      <c r="V22" s="2445">
        <v>0.47299999999999998</v>
      </c>
      <c r="W22" s="2439">
        <v>0</v>
      </c>
    </row>
    <row r="23" spans="1:23" ht="16.2" thickBot="1">
      <c r="A23" s="668">
        <f t="shared" ref="A23:A24" si="1">A22+1</f>
        <v>9</v>
      </c>
      <c r="B23" s="2447" t="s">
        <v>1903</v>
      </c>
      <c r="C23" s="666">
        <v>10</v>
      </c>
      <c r="D23" s="666">
        <v>2007</v>
      </c>
      <c r="E23" s="666" t="s">
        <v>2028</v>
      </c>
      <c r="F23" s="666" t="s">
        <v>2028</v>
      </c>
      <c r="G23" s="668">
        <v>33</v>
      </c>
      <c r="H23" s="666">
        <v>33</v>
      </c>
      <c r="I23" s="666">
        <v>0</v>
      </c>
      <c r="J23" s="666">
        <v>0</v>
      </c>
      <c r="K23" s="670">
        <v>3735.5</v>
      </c>
      <c r="L23" s="670">
        <v>3735.5</v>
      </c>
      <c r="M23" s="2443">
        <v>0</v>
      </c>
      <c r="N23" s="2443">
        <v>0</v>
      </c>
      <c r="O23" s="2443">
        <v>0</v>
      </c>
      <c r="P23" s="2443">
        <v>0</v>
      </c>
      <c r="T23" s="2437">
        <v>0</v>
      </c>
      <c r="U23" s="2438">
        <v>0</v>
      </c>
      <c r="V23" s="2445">
        <v>0.23200000000000001</v>
      </c>
      <c r="W23" s="2439">
        <v>0</v>
      </c>
    </row>
    <row r="24" spans="1:23" ht="16.2" thickBot="1">
      <c r="A24" s="668">
        <f t="shared" si="1"/>
        <v>10</v>
      </c>
      <c r="B24" s="2447" t="s">
        <v>1904</v>
      </c>
      <c r="C24" s="666">
        <v>10</v>
      </c>
      <c r="D24" s="666">
        <v>2008</v>
      </c>
      <c r="E24" s="666" t="s">
        <v>2028</v>
      </c>
      <c r="F24" s="666" t="s">
        <v>2028</v>
      </c>
      <c r="G24" s="668">
        <v>39</v>
      </c>
      <c r="H24" s="666">
        <v>39</v>
      </c>
      <c r="I24" s="666">
        <v>0</v>
      </c>
      <c r="J24" s="666">
        <v>0</v>
      </c>
      <c r="K24" s="670">
        <v>3837</v>
      </c>
      <c r="L24" s="670">
        <v>3837</v>
      </c>
      <c r="M24" s="2443">
        <v>0</v>
      </c>
      <c r="N24" s="2443">
        <v>0</v>
      </c>
      <c r="O24" s="2443">
        <v>0</v>
      </c>
      <c r="P24" s="2443">
        <v>0</v>
      </c>
      <c r="T24" s="2448">
        <v>0</v>
      </c>
      <c r="U24" s="2449">
        <v>0</v>
      </c>
      <c r="V24" s="2445">
        <v>0.24</v>
      </c>
      <c r="W24" s="2450">
        <v>0</v>
      </c>
    </row>
    <row r="25" spans="1:23">
      <c r="A25" s="663"/>
      <c r="B25" s="664"/>
      <c r="C25" s="665"/>
      <c r="D25" s="667"/>
      <c r="E25" s="663"/>
      <c r="F25" s="664"/>
      <c r="G25" s="663"/>
      <c r="H25" s="664"/>
      <c r="I25" s="664"/>
      <c r="J25" s="664"/>
      <c r="K25" s="665"/>
      <c r="L25" s="665"/>
      <c r="M25" s="665"/>
      <c r="N25" s="665"/>
      <c r="O25" s="665"/>
      <c r="P25" s="665"/>
      <c r="Q25" s="400"/>
      <c r="T25" s="392"/>
      <c r="U25" s="392"/>
      <c r="V25" s="392"/>
      <c r="W25" s="392"/>
    </row>
    <row r="26" spans="1:23">
      <c r="A26" s="672"/>
      <c r="B26" s="673"/>
      <c r="C26" s="672"/>
      <c r="D26" s="674"/>
      <c r="E26" s="672"/>
      <c r="F26" s="673"/>
      <c r="G26" s="671">
        <f t="shared" ref="G26:P26" si="2">SUM(G13:G25)</f>
        <v>1181</v>
      </c>
      <c r="H26" s="671">
        <f t="shared" si="2"/>
        <v>468</v>
      </c>
      <c r="I26" s="671">
        <f t="shared" si="2"/>
        <v>0</v>
      </c>
      <c r="J26" s="671">
        <f t="shared" si="2"/>
        <v>0</v>
      </c>
      <c r="K26" s="1315">
        <f t="shared" si="2"/>
        <v>75817.64</v>
      </c>
      <c r="L26" s="2451">
        <f t="shared" si="2"/>
        <v>75817.64</v>
      </c>
      <c r="M26" s="671">
        <f t="shared" si="2"/>
        <v>0</v>
      </c>
      <c r="N26" s="1315">
        <f t="shared" si="2"/>
        <v>0</v>
      </c>
      <c r="O26" s="1315">
        <f t="shared" si="2"/>
        <v>0</v>
      </c>
      <c r="P26" s="1315">
        <f t="shared" si="2"/>
        <v>0</v>
      </c>
      <c r="Q26" s="400"/>
      <c r="T26" s="2452">
        <f>SUM(T13:T25)</f>
        <v>0</v>
      </c>
      <c r="U26" s="2452">
        <f>SUM(U13:U25)</f>
        <v>0</v>
      </c>
      <c r="V26" s="2453">
        <f>SUM(V13:V25)</f>
        <v>5.0580000000000007</v>
      </c>
      <c r="W26" s="2453">
        <f>SUM(W13:W25)</f>
        <v>0</v>
      </c>
    </row>
    <row r="27" spans="1:23">
      <c r="A27" s="463"/>
      <c r="B27" s="464"/>
      <c r="C27" s="463"/>
      <c r="D27" s="578"/>
      <c r="E27" s="463"/>
      <c r="F27" s="464"/>
      <c r="G27" s="463"/>
      <c r="H27" s="463"/>
      <c r="I27" s="463"/>
      <c r="J27" s="463"/>
      <c r="K27" s="2454"/>
      <c r="L27" s="466"/>
      <c r="M27" s="463"/>
      <c r="N27" s="463"/>
      <c r="O27" s="463"/>
      <c r="P27" s="463"/>
      <c r="Q27" s="400"/>
      <c r="T27" s="392"/>
      <c r="U27" s="392"/>
      <c r="V27" s="392"/>
      <c r="W27" s="392"/>
    </row>
    <row r="28" spans="1:23">
      <c r="A28" s="2455"/>
      <c r="B28" s="2456" t="s">
        <v>328</v>
      </c>
      <c r="C28" s="2455" t="s">
        <v>739</v>
      </c>
      <c r="D28" s="2457" t="s">
        <v>739</v>
      </c>
      <c r="E28" s="2455" t="s">
        <v>739</v>
      </c>
      <c r="F28" s="2455" t="s">
        <v>739</v>
      </c>
      <c r="G28" s="2458">
        <f>G29+G33</f>
        <v>1181</v>
      </c>
      <c r="H28" s="2458">
        <f t="shared" ref="H28:P28" si="3">H29+H33</f>
        <v>468</v>
      </c>
      <c r="I28" s="2458">
        <f t="shared" si="3"/>
        <v>0</v>
      </c>
      <c r="J28" s="2458">
        <f t="shared" si="3"/>
        <v>0</v>
      </c>
      <c r="K28" s="2459">
        <f t="shared" si="3"/>
        <v>75817.639999999985</v>
      </c>
      <c r="L28" s="2459">
        <f t="shared" si="3"/>
        <v>75817.639999999985</v>
      </c>
      <c r="M28" s="2458">
        <f t="shared" si="3"/>
        <v>0</v>
      </c>
      <c r="N28" s="2458">
        <f t="shared" si="3"/>
        <v>0</v>
      </c>
      <c r="O28" s="2458">
        <f t="shared" si="3"/>
        <v>0</v>
      </c>
      <c r="P28" s="2458">
        <f t="shared" si="3"/>
        <v>0</v>
      </c>
      <c r="T28" s="392"/>
      <c r="U28" s="392"/>
      <c r="V28" s="392"/>
      <c r="W28" s="392"/>
    </row>
    <row r="29" spans="1:23" ht="79.2">
      <c r="A29" s="463"/>
      <c r="B29" s="464" t="s">
        <v>452</v>
      </c>
      <c r="C29" s="2460" t="s">
        <v>739</v>
      </c>
      <c r="D29" s="2461" t="s">
        <v>739</v>
      </c>
      <c r="E29" s="2460" t="s">
        <v>739</v>
      </c>
      <c r="F29" s="2460" t="s">
        <v>739</v>
      </c>
      <c r="G29" s="2462">
        <f>G30+G31+G32</f>
        <v>702</v>
      </c>
      <c r="H29" s="2462">
        <f t="shared" ref="H29:P29" si="4">H30+H31+H32</f>
        <v>157</v>
      </c>
      <c r="I29" s="2462">
        <f t="shared" si="4"/>
        <v>0</v>
      </c>
      <c r="J29" s="2462">
        <f t="shared" si="4"/>
        <v>0</v>
      </c>
      <c r="K29" s="2462">
        <f t="shared" si="4"/>
        <v>42387.839999999997</v>
      </c>
      <c r="L29" s="2462">
        <f t="shared" si="4"/>
        <v>42387.839999999997</v>
      </c>
      <c r="M29" s="2462">
        <f t="shared" si="4"/>
        <v>0</v>
      </c>
      <c r="N29" s="2462">
        <f t="shared" si="4"/>
        <v>0</v>
      </c>
      <c r="O29" s="2462">
        <f t="shared" si="4"/>
        <v>0</v>
      </c>
      <c r="P29" s="2462">
        <f t="shared" si="4"/>
        <v>0</v>
      </c>
      <c r="T29" s="392"/>
      <c r="U29" s="392"/>
      <c r="V29" s="392"/>
      <c r="W29" s="392"/>
    </row>
    <row r="30" spans="1:23" ht="26.4">
      <c r="A30" s="463"/>
      <c r="B30" s="464" t="s">
        <v>740</v>
      </c>
      <c r="C30" s="463" t="s">
        <v>739</v>
      </c>
      <c r="D30" s="578" t="s">
        <v>739</v>
      </c>
      <c r="E30" s="463" t="s">
        <v>739</v>
      </c>
      <c r="F30" s="463" t="s">
        <v>739</v>
      </c>
      <c r="G30" s="465">
        <f>SUMIFS(G13:G24,E13:E24,наявний,C13:C24,1)+SUMIFS(G13:G24,E13:E24,E22,C13:C24,2)</f>
        <v>0</v>
      </c>
      <c r="H30" s="675">
        <f>SUMIFS(H13:H24,E13:E24,наявний,C13:C24,1)+SUMIFS(H13:H24,E13:E24,E22,C13:C24,2)</f>
        <v>0</v>
      </c>
      <c r="I30" s="675">
        <f>SUMIFS(I13:I24,E13:E24,наявний,C13:C24,1)+SUMIFS(I13:I24,E13:E24,E22,C13:C24,2)</f>
        <v>0</v>
      </c>
      <c r="J30" s="675">
        <f>SUMIFS(J13:J24,E13:E24,наявний,C13:C24,1)+SUMIFS(J13:J24,E13:E24,E22,C13:C24,2)</f>
        <v>0</v>
      </c>
      <c r="K30" s="2463">
        <f>SUMIFS(K13:K24,E13:E24,наявний,C13:C24,1)+SUMIFS(K13:K24,E13:E24,E22,C13:C24,2)</f>
        <v>0</v>
      </c>
      <c r="L30" s="2463">
        <f>SUMIFS(L13:L24,E13:E24,наявний,C13:C24,1)+SUMIFS(L13:L24,E13:E24,E22,C13:C24,2)</f>
        <v>0</v>
      </c>
      <c r="M30" s="2463">
        <f>SUMIFS(M13:M24,E13:E24,наявний,C13:C24,1)+SUMIFS(M13:M24,E13:E24,E22,C13:C24,2)</f>
        <v>0</v>
      </c>
      <c r="N30" s="2463">
        <f>SUMIFS(N13:N24,E13:E24,наявний,C13:C24,1)+SUMIFS(N13:N24,E13:E24,E22,C13:C24,2)</f>
        <v>0</v>
      </c>
      <c r="O30" s="2463">
        <f>SUMIFS(O13:O24,E13:E24,наявний,C13:C24,1)+SUMIFS(O13:O24,E13:E24,E22,C13:C24,2)</f>
        <v>0</v>
      </c>
      <c r="P30" s="2463">
        <f>SUMIFS(P13:P24,E13:E24,наявний,C13:C24,1)+SUMIFS(P13:P24,E13:E24,E22,C13:C24,2)</f>
        <v>0</v>
      </c>
      <c r="T30" s="392"/>
      <c r="U30" s="392"/>
      <c r="V30" s="392"/>
      <c r="W30" s="392"/>
    </row>
    <row r="31" spans="1:23" ht="26.4">
      <c r="A31" s="463"/>
      <c r="B31" s="464" t="s">
        <v>741</v>
      </c>
      <c r="C31" s="463" t="s">
        <v>739</v>
      </c>
      <c r="D31" s="578" t="s">
        <v>739</v>
      </c>
      <c r="E31" s="463" t="s">
        <v>739</v>
      </c>
      <c r="F31" s="463" t="s">
        <v>739</v>
      </c>
      <c r="G31" s="465">
        <v>0</v>
      </c>
      <c r="H31" s="675">
        <v>0</v>
      </c>
      <c r="I31" s="675">
        <v>0</v>
      </c>
      <c r="J31" s="675">
        <v>0</v>
      </c>
      <c r="K31" s="465">
        <v>0</v>
      </c>
      <c r="L31" s="465">
        <v>0</v>
      </c>
      <c r="M31" s="465">
        <v>0</v>
      </c>
      <c r="N31" s="465">
        <v>0</v>
      </c>
      <c r="O31" s="465">
        <v>0</v>
      </c>
      <c r="P31" s="465">
        <v>0</v>
      </c>
      <c r="T31" s="392"/>
      <c r="U31" s="392"/>
      <c r="V31" s="392"/>
      <c r="W31" s="392"/>
    </row>
    <row r="32" spans="1:23">
      <c r="A32" s="463"/>
      <c r="B32" s="464" t="s">
        <v>329</v>
      </c>
      <c r="C32" s="463" t="s">
        <v>739</v>
      </c>
      <c r="D32" s="578" t="s">
        <v>739</v>
      </c>
      <c r="E32" s="463" t="s">
        <v>739</v>
      </c>
      <c r="F32" s="463" t="s">
        <v>739</v>
      </c>
      <c r="G32" s="2462">
        <f>SUMIFS(G13:G24,C13:C24,8,E13:E24,"наявний")+SUMIFS(G13:G24,C13:C24,10,E13:E24,"наявний")+SUMIFS(G13:G24,C13:C24,12,E13:E24,"наявний")</f>
        <v>702</v>
      </c>
      <c r="H32" s="675">
        <f>SUMIFS(H13:H24,C13:C24,8,E13:E24,"наявний")+SUMIFS(H13:H24,C13:C24,10,E13:E24,"наявний")+SUMIFS(H13:H24,C13:C24,12,E13:E24,"наявний")</f>
        <v>157</v>
      </c>
      <c r="I32" s="675">
        <f>SUMIFS(I13:I24,C13:C24,8,E13:E24,"наявний")+SUMIFS(I13:I24,C13:C24,10,E13:E24,"наявний")+SUMIFS(I13:I24,C13:C24,12,E13:E24,"наявний")</f>
        <v>0</v>
      </c>
      <c r="J32" s="675">
        <f>SUMIFS(J13:J24,C13:C24,8,E13:E24,"наявний")+SUMIFS(J13:J24,C13:C24,10,E13:E24,"наявний")+SUMIFS(J13:J24,C13:C24,12,E13:E24,"наявний")</f>
        <v>0</v>
      </c>
      <c r="K32" s="2464">
        <f>SUMIFS(K13:K24,C13:C24,8,E13:E24,"наявний")+SUMIFS(K13:K24,C13:C24,10,E13:E24,"наявний")+SUMIFS(K13:K24,C13:C24,12,E13:E24,"наявний")</f>
        <v>42387.839999999997</v>
      </c>
      <c r="L32" s="2464">
        <f>SUMIFS(L13:L24,C13:C24,8,E13:E24,"наявний")+SUMIFS(L13:L24,C13:C24,10,E13:E24,"наявний")+SUMIFS(L13:L24,C13:C24,12,E13:E24,"наявний")</f>
        <v>42387.839999999997</v>
      </c>
      <c r="M32" s="2464">
        <f>SUMIFS(M13:M24,C13:C24,8,E13:E24,"наявний")+SUMIFS(M13:M24,C13:C24,10,E13:E24,"наявний")+SUMIFS(M13:M24,C13:C24,12,E13:E24,"наявний")</f>
        <v>0</v>
      </c>
      <c r="N32" s="2464">
        <f>SUMIFS(N13:N24,C13:C24,8,E13:E24,"наявний")+SUMIFS(N13:N24,C13:C24,10,E13:E24,"наявний")+SUMIFS(N13:N24,C13:C24,12,E13:E24,"наявний")</f>
        <v>0</v>
      </c>
      <c r="O32" s="2464">
        <f>SUMIFS(O13:O24,C13:C24,8,E13:E24,"наявний")+SUMIFS(O13:O24,C13:C24,10,E13:E24,"наявний")+SUMIFS(O13:O24,C13:C24,12,E13:E24,"наявний")</f>
        <v>0</v>
      </c>
      <c r="P32" s="2464">
        <f>SUMIFS(P13:P24,C13:C24,8,E13:E24,"наявний")+SUMIFS(P13:P24,C13:C24,10,E13:E24,"наявний")+SUMIFS(P13:P24,C13:C24,12,E13:E24,"наявний")</f>
        <v>0</v>
      </c>
      <c r="T32" s="392"/>
      <c r="U32" s="392"/>
      <c r="V32" s="392"/>
      <c r="W32" s="392"/>
    </row>
    <row r="33" spans="1:23" ht="79.2">
      <c r="A33" s="463"/>
      <c r="B33" s="464" t="s">
        <v>742</v>
      </c>
      <c r="C33" s="463" t="s">
        <v>739</v>
      </c>
      <c r="D33" s="578" t="s">
        <v>739</v>
      </c>
      <c r="E33" s="463" t="s">
        <v>739</v>
      </c>
      <c r="F33" s="463" t="s">
        <v>739</v>
      </c>
      <c r="G33" s="463">
        <f>G34+G42+G56</f>
        <v>479</v>
      </c>
      <c r="H33" s="463">
        <f t="shared" ref="H33:P33" si="5">H34+H42+H56</f>
        <v>311</v>
      </c>
      <c r="I33" s="463">
        <f t="shared" si="5"/>
        <v>0</v>
      </c>
      <c r="J33" s="463">
        <f t="shared" si="5"/>
        <v>0</v>
      </c>
      <c r="K33" s="463">
        <f t="shared" si="5"/>
        <v>33429.799999999996</v>
      </c>
      <c r="L33" s="463">
        <f t="shared" si="5"/>
        <v>33429.799999999996</v>
      </c>
      <c r="M33" s="463">
        <f t="shared" si="5"/>
        <v>0</v>
      </c>
      <c r="N33" s="463">
        <f t="shared" si="5"/>
        <v>0</v>
      </c>
      <c r="O33" s="463">
        <f t="shared" si="5"/>
        <v>0</v>
      </c>
      <c r="P33" s="463">
        <f t="shared" si="5"/>
        <v>0</v>
      </c>
      <c r="T33" s="392"/>
      <c r="U33" s="392"/>
      <c r="V33" s="392"/>
      <c r="W33" s="392"/>
    </row>
    <row r="34" spans="1:23" ht="26.4">
      <c r="A34" s="463"/>
      <c r="B34" s="464" t="s">
        <v>743</v>
      </c>
      <c r="C34" s="463" t="s">
        <v>739</v>
      </c>
      <c r="D34" s="578" t="s">
        <v>739</v>
      </c>
      <c r="E34" s="463" t="s">
        <v>739</v>
      </c>
      <c r="F34" s="463" t="s">
        <v>739</v>
      </c>
      <c r="G34" s="463">
        <f>G35+G36+G37+G38+G39+G40+G41</f>
        <v>0</v>
      </c>
      <c r="H34" s="675">
        <f>H35+H36+H37+H38+H39+H40+H41</f>
        <v>0</v>
      </c>
      <c r="I34" s="675">
        <f t="shared" ref="I34:P34" si="6">I35+I36+I37+I38+I39+I40+I41</f>
        <v>0</v>
      </c>
      <c r="J34" s="675">
        <f t="shared" si="6"/>
        <v>0</v>
      </c>
      <c r="K34" s="675">
        <f t="shared" si="6"/>
        <v>0</v>
      </c>
      <c r="L34" s="675">
        <f t="shared" si="6"/>
        <v>0</v>
      </c>
      <c r="M34" s="675">
        <f t="shared" si="6"/>
        <v>0</v>
      </c>
      <c r="N34" s="675">
        <f t="shared" si="6"/>
        <v>0</v>
      </c>
      <c r="O34" s="675">
        <f t="shared" si="6"/>
        <v>0</v>
      </c>
      <c r="P34" s="675">
        <f t="shared" si="6"/>
        <v>0</v>
      </c>
      <c r="T34" s="392"/>
      <c r="U34" s="392"/>
      <c r="V34" s="392"/>
      <c r="W34" s="392"/>
    </row>
    <row r="35" spans="1:23" ht="26.4">
      <c r="A35" s="463"/>
      <c r="B35" s="464" t="s">
        <v>744</v>
      </c>
      <c r="C35" s="463" t="s">
        <v>739</v>
      </c>
      <c r="D35" s="578" t="s">
        <v>739</v>
      </c>
      <c r="E35" s="463" t="s">
        <v>739</v>
      </c>
      <c r="F35" s="463" t="s">
        <v>739</v>
      </c>
      <c r="G35" s="463">
        <v>0</v>
      </c>
      <c r="H35" s="675">
        <v>0</v>
      </c>
      <c r="I35" s="675">
        <f t="shared" ref="I35:I55" si="7">$I$26</f>
        <v>0</v>
      </c>
      <c r="J35" s="675">
        <v>0</v>
      </c>
      <c r="K35" s="463">
        <v>0</v>
      </c>
      <c r="L35" s="463">
        <v>0</v>
      </c>
      <c r="M35" s="463">
        <v>0</v>
      </c>
      <c r="N35" s="463">
        <v>0</v>
      </c>
      <c r="O35" s="463">
        <v>0</v>
      </c>
      <c r="P35" s="463">
        <v>0</v>
      </c>
    </row>
    <row r="36" spans="1:23" ht="26.4">
      <c r="A36" s="463"/>
      <c r="B36" s="464" t="s">
        <v>330</v>
      </c>
      <c r="C36" s="463" t="s">
        <v>739</v>
      </c>
      <c r="D36" s="578" t="s">
        <v>739</v>
      </c>
      <c r="E36" s="463" t="s">
        <v>739</v>
      </c>
      <c r="F36" s="463" t="s">
        <v>739</v>
      </c>
      <c r="G36" s="463">
        <v>0</v>
      </c>
      <c r="H36" s="675">
        <v>0</v>
      </c>
      <c r="I36" s="675">
        <f t="shared" si="7"/>
        <v>0</v>
      </c>
      <c r="J36" s="675">
        <v>0</v>
      </c>
      <c r="K36" s="463">
        <v>0</v>
      </c>
      <c r="L36" s="463">
        <v>0</v>
      </c>
      <c r="M36" s="463">
        <v>0</v>
      </c>
      <c r="N36" s="463">
        <v>0</v>
      </c>
      <c r="O36" s="463">
        <v>0</v>
      </c>
      <c r="P36" s="463">
        <v>0</v>
      </c>
    </row>
    <row r="37" spans="1:23" ht="26.4">
      <c r="A37" s="463"/>
      <c r="B37" s="464" t="s">
        <v>331</v>
      </c>
      <c r="C37" s="463" t="s">
        <v>739</v>
      </c>
      <c r="D37" s="578" t="s">
        <v>739</v>
      </c>
      <c r="E37" s="463" t="s">
        <v>739</v>
      </c>
      <c r="F37" s="463" t="s">
        <v>739</v>
      </c>
      <c r="G37" s="463">
        <v>0</v>
      </c>
      <c r="H37" s="675">
        <v>0</v>
      </c>
      <c r="I37" s="675">
        <f t="shared" si="7"/>
        <v>0</v>
      </c>
      <c r="J37" s="675">
        <v>0</v>
      </c>
      <c r="K37" s="463">
        <v>0</v>
      </c>
      <c r="L37" s="463">
        <v>0</v>
      </c>
      <c r="M37" s="463">
        <v>0</v>
      </c>
      <c r="N37" s="463">
        <v>0</v>
      </c>
      <c r="O37" s="463">
        <v>0</v>
      </c>
      <c r="P37" s="463">
        <v>0</v>
      </c>
    </row>
    <row r="38" spans="1:23" ht="26.4">
      <c r="A38" s="463"/>
      <c r="B38" s="464" t="s">
        <v>332</v>
      </c>
      <c r="C38" s="463" t="s">
        <v>739</v>
      </c>
      <c r="D38" s="578" t="s">
        <v>739</v>
      </c>
      <c r="E38" s="463" t="s">
        <v>739</v>
      </c>
      <c r="F38" s="463" t="s">
        <v>739</v>
      </c>
      <c r="G38" s="463">
        <v>0</v>
      </c>
      <c r="H38" s="675">
        <v>0</v>
      </c>
      <c r="I38" s="675">
        <f t="shared" si="7"/>
        <v>0</v>
      </c>
      <c r="J38" s="675">
        <v>0</v>
      </c>
      <c r="K38" s="463">
        <v>0</v>
      </c>
      <c r="L38" s="463">
        <v>0</v>
      </c>
      <c r="M38" s="463">
        <v>0</v>
      </c>
      <c r="N38" s="463">
        <v>0</v>
      </c>
      <c r="O38" s="463">
        <v>0</v>
      </c>
      <c r="P38" s="463">
        <v>0</v>
      </c>
    </row>
    <row r="39" spans="1:23" ht="26.4">
      <c r="A39" s="463"/>
      <c r="B39" s="464" t="s">
        <v>333</v>
      </c>
      <c r="C39" s="463" t="s">
        <v>739</v>
      </c>
      <c r="D39" s="578" t="s">
        <v>739</v>
      </c>
      <c r="E39" s="463" t="s">
        <v>739</v>
      </c>
      <c r="F39" s="463" t="s">
        <v>739</v>
      </c>
      <c r="G39" s="463">
        <v>0</v>
      </c>
      <c r="H39" s="675">
        <v>0</v>
      </c>
      <c r="I39" s="675">
        <f t="shared" si="7"/>
        <v>0</v>
      </c>
      <c r="J39" s="675">
        <v>0</v>
      </c>
      <c r="K39" s="463">
        <v>0</v>
      </c>
      <c r="L39" s="463">
        <v>0</v>
      </c>
      <c r="M39" s="463">
        <v>0</v>
      </c>
      <c r="N39" s="463">
        <v>0</v>
      </c>
      <c r="O39" s="463">
        <v>0</v>
      </c>
      <c r="P39" s="463">
        <v>0</v>
      </c>
    </row>
    <row r="40" spans="1:23" ht="26.4">
      <c r="A40" s="463"/>
      <c r="B40" s="464" t="s">
        <v>334</v>
      </c>
      <c r="C40" s="463" t="s">
        <v>739</v>
      </c>
      <c r="D40" s="578" t="s">
        <v>739</v>
      </c>
      <c r="E40" s="463" t="s">
        <v>739</v>
      </c>
      <c r="F40" s="463" t="s">
        <v>739</v>
      </c>
      <c r="G40" s="463">
        <v>0</v>
      </c>
      <c r="H40" s="675">
        <v>0</v>
      </c>
      <c r="I40" s="675">
        <f t="shared" si="7"/>
        <v>0</v>
      </c>
      <c r="J40" s="675">
        <v>0</v>
      </c>
      <c r="K40" s="463">
        <v>0</v>
      </c>
      <c r="L40" s="463">
        <v>0</v>
      </c>
      <c r="M40" s="463">
        <v>0</v>
      </c>
      <c r="N40" s="463">
        <v>0</v>
      </c>
      <c r="O40" s="463">
        <v>0</v>
      </c>
      <c r="P40" s="463">
        <v>0</v>
      </c>
    </row>
    <row r="41" spans="1:23">
      <c r="A41" s="463"/>
      <c r="B41" s="464" t="s">
        <v>335</v>
      </c>
      <c r="C41" s="463" t="s">
        <v>739</v>
      </c>
      <c r="D41" s="578" t="s">
        <v>739</v>
      </c>
      <c r="E41" s="463" t="s">
        <v>739</v>
      </c>
      <c r="F41" s="463" t="s">
        <v>739</v>
      </c>
      <c r="G41" s="463">
        <v>0</v>
      </c>
      <c r="H41" s="675">
        <v>0</v>
      </c>
      <c r="I41" s="675">
        <f t="shared" si="7"/>
        <v>0</v>
      </c>
      <c r="J41" s="675">
        <v>0</v>
      </c>
      <c r="K41" s="463">
        <v>0</v>
      </c>
      <c r="L41" s="463">
        <v>0</v>
      </c>
      <c r="M41" s="463">
        <v>0</v>
      </c>
      <c r="N41" s="463">
        <v>0</v>
      </c>
      <c r="O41" s="463">
        <v>0</v>
      </c>
      <c r="P41" s="463">
        <v>0</v>
      </c>
    </row>
    <row r="42" spans="1:23" ht="26.4">
      <c r="A42" s="463"/>
      <c r="B42" s="464" t="s">
        <v>745</v>
      </c>
      <c r="C42" s="463" t="s">
        <v>739</v>
      </c>
      <c r="D42" s="578" t="s">
        <v>739</v>
      </c>
      <c r="E42" s="463" t="s">
        <v>739</v>
      </c>
      <c r="F42" s="463" t="s">
        <v>739</v>
      </c>
      <c r="G42" s="463">
        <v>0</v>
      </c>
      <c r="H42" s="675">
        <f>H43+H44+H45+H46+H47+H48+H49</f>
        <v>0</v>
      </c>
      <c r="I42" s="675">
        <f t="shared" ref="I42:P42" si="8">I43+I44+I45+I46+I47+I48+I49</f>
        <v>0</v>
      </c>
      <c r="J42" s="675">
        <f t="shared" si="8"/>
        <v>0</v>
      </c>
      <c r="K42" s="675">
        <f t="shared" si="8"/>
        <v>0</v>
      </c>
      <c r="L42" s="463">
        <v>0</v>
      </c>
      <c r="M42" s="675">
        <f t="shared" si="8"/>
        <v>0</v>
      </c>
      <c r="N42" s="675">
        <f t="shared" si="8"/>
        <v>0</v>
      </c>
      <c r="O42" s="675">
        <f t="shared" si="8"/>
        <v>0</v>
      </c>
      <c r="P42" s="675">
        <f t="shared" si="8"/>
        <v>0</v>
      </c>
    </row>
    <row r="43" spans="1:23" ht="26.4">
      <c r="A43" s="463"/>
      <c r="B43" s="464" t="s">
        <v>744</v>
      </c>
      <c r="C43" s="463" t="s">
        <v>739</v>
      </c>
      <c r="D43" s="578" t="s">
        <v>739</v>
      </c>
      <c r="E43" s="463" t="s">
        <v>739</v>
      </c>
      <c r="F43" s="463" t="s">
        <v>739</v>
      </c>
      <c r="G43" s="463">
        <v>0</v>
      </c>
      <c r="H43" s="675">
        <v>0</v>
      </c>
      <c r="I43" s="675">
        <f t="shared" si="7"/>
        <v>0</v>
      </c>
      <c r="J43" s="675">
        <v>0</v>
      </c>
      <c r="K43" s="463">
        <v>0</v>
      </c>
      <c r="L43" s="463">
        <v>0</v>
      </c>
      <c r="M43" s="463">
        <v>0</v>
      </c>
      <c r="N43" s="463">
        <v>0</v>
      </c>
      <c r="O43" s="463">
        <v>0</v>
      </c>
      <c r="P43" s="463">
        <v>0</v>
      </c>
    </row>
    <row r="44" spans="1:23" ht="26.4">
      <c r="A44" s="463"/>
      <c r="B44" s="464" t="s">
        <v>330</v>
      </c>
      <c r="C44" s="463" t="s">
        <v>739</v>
      </c>
      <c r="D44" s="578" t="s">
        <v>739</v>
      </c>
      <c r="E44" s="463" t="s">
        <v>739</v>
      </c>
      <c r="F44" s="463" t="s">
        <v>739</v>
      </c>
      <c r="G44" s="463">
        <v>0</v>
      </c>
      <c r="H44" s="675">
        <v>0</v>
      </c>
      <c r="I44" s="675">
        <f t="shared" si="7"/>
        <v>0</v>
      </c>
      <c r="J44" s="675">
        <v>0</v>
      </c>
      <c r="K44" s="463">
        <v>0</v>
      </c>
      <c r="L44" s="463">
        <v>0</v>
      </c>
      <c r="M44" s="463">
        <v>0</v>
      </c>
      <c r="N44" s="463">
        <v>0</v>
      </c>
      <c r="O44" s="463">
        <v>0</v>
      </c>
      <c r="P44" s="463">
        <v>0</v>
      </c>
    </row>
    <row r="45" spans="1:23" ht="26.4">
      <c r="A45" s="463"/>
      <c r="B45" s="464" t="s">
        <v>331</v>
      </c>
      <c r="C45" s="463" t="s">
        <v>739</v>
      </c>
      <c r="D45" s="578" t="s">
        <v>739</v>
      </c>
      <c r="E45" s="463" t="s">
        <v>739</v>
      </c>
      <c r="F45" s="463" t="s">
        <v>739</v>
      </c>
      <c r="G45" s="463">
        <v>0</v>
      </c>
      <c r="H45" s="675">
        <v>0</v>
      </c>
      <c r="I45" s="675">
        <f t="shared" si="7"/>
        <v>0</v>
      </c>
      <c r="J45" s="675">
        <v>0</v>
      </c>
      <c r="K45" s="463">
        <v>0</v>
      </c>
      <c r="L45" s="463">
        <v>0</v>
      </c>
      <c r="M45" s="463">
        <v>0</v>
      </c>
      <c r="N45" s="463">
        <v>0</v>
      </c>
      <c r="O45" s="463">
        <v>0</v>
      </c>
      <c r="P45" s="463">
        <v>0</v>
      </c>
    </row>
    <row r="46" spans="1:23" ht="26.4">
      <c r="A46" s="463"/>
      <c r="B46" s="464" t="s">
        <v>332</v>
      </c>
      <c r="C46" s="463" t="s">
        <v>739</v>
      </c>
      <c r="D46" s="578" t="s">
        <v>739</v>
      </c>
      <c r="E46" s="463" t="s">
        <v>739</v>
      </c>
      <c r="F46" s="463" t="s">
        <v>739</v>
      </c>
      <c r="G46" s="463">
        <v>0</v>
      </c>
      <c r="H46" s="675">
        <v>0</v>
      </c>
      <c r="I46" s="675">
        <f t="shared" si="7"/>
        <v>0</v>
      </c>
      <c r="J46" s="675">
        <v>0</v>
      </c>
      <c r="K46" s="463">
        <v>0</v>
      </c>
      <c r="L46" s="463">
        <v>0</v>
      </c>
      <c r="M46" s="463">
        <v>0</v>
      </c>
      <c r="N46" s="463">
        <v>0</v>
      </c>
      <c r="O46" s="463">
        <v>0</v>
      </c>
      <c r="P46" s="463">
        <v>0</v>
      </c>
    </row>
    <row r="47" spans="1:23" ht="26.4">
      <c r="A47" s="463"/>
      <c r="B47" s="464" t="s">
        <v>333</v>
      </c>
      <c r="C47" s="463" t="s">
        <v>739</v>
      </c>
      <c r="D47" s="578" t="s">
        <v>739</v>
      </c>
      <c r="E47" s="463" t="s">
        <v>739</v>
      </c>
      <c r="F47" s="463" t="s">
        <v>739</v>
      </c>
      <c r="G47" s="463">
        <v>0</v>
      </c>
      <c r="H47" s="675">
        <v>0</v>
      </c>
      <c r="I47" s="675">
        <f t="shared" si="7"/>
        <v>0</v>
      </c>
      <c r="J47" s="675">
        <v>0</v>
      </c>
      <c r="K47" s="463">
        <v>0</v>
      </c>
      <c r="L47" s="463">
        <v>0</v>
      </c>
      <c r="M47" s="463">
        <v>0</v>
      </c>
      <c r="N47" s="463">
        <v>0</v>
      </c>
      <c r="O47" s="463">
        <v>0</v>
      </c>
      <c r="P47" s="463">
        <v>0</v>
      </c>
    </row>
    <row r="48" spans="1:23" ht="26.4">
      <c r="A48" s="463"/>
      <c r="B48" s="464" t="s">
        <v>334</v>
      </c>
      <c r="C48" s="463" t="s">
        <v>739</v>
      </c>
      <c r="D48" s="578" t="s">
        <v>739</v>
      </c>
      <c r="E48" s="463" t="s">
        <v>739</v>
      </c>
      <c r="F48" s="463" t="s">
        <v>739</v>
      </c>
      <c r="G48" s="463">
        <v>0</v>
      </c>
      <c r="H48" s="675">
        <v>0</v>
      </c>
      <c r="I48" s="675">
        <f t="shared" si="7"/>
        <v>0</v>
      </c>
      <c r="J48" s="675">
        <v>0</v>
      </c>
      <c r="K48" s="463">
        <v>0</v>
      </c>
      <c r="L48" s="463">
        <v>0</v>
      </c>
      <c r="M48" s="463">
        <v>0</v>
      </c>
      <c r="N48" s="463">
        <v>0</v>
      </c>
      <c r="O48" s="463">
        <v>0</v>
      </c>
      <c r="P48" s="463">
        <v>0</v>
      </c>
    </row>
    <row r="49" spans="1:16">
      <c r="A49" s="463"/>
      <c r="B49" s="464" t="s">
        <v>335</v>
      </c>
      <c r="C49" s="463" t="s">
        <v>739</v>
      </c>
      <c r="D49" s="578" t="s">
        <v>739</v>
      </c>
      <c r="E49" s="463" t="s">
        <v>739</v>
      </c>
      <c r="F49" s="463" t="s">
        <v>739</v>
      </c>
      <c r="G49" s="463">
        <v>0</v>
      </c>
      <c r="H49" s="675">
        <v>0</v>
      </c>
      <c r="I49" s="675">
        <f t="shared" si="7"/>
        <v>0</v>
      </c>
      <c r="J49" s="675">
        <v>0</v>
      </c>
      <c r="K49" s="463">
        <v>0</v>
      </c>
      <c r="L49" s="463">
        <v>0</v>
      </c>
      <c r="M49" s="463">
        <v>0</v>
      </c>
      <c r="N49" s="463">
        <v>0</v>
      </c>
      <c r="O49" s="463">
        <v>0</v>
      </c>
      <c r="P49" s="463">
        <v>0</v>
      </c>
    </row>
    <row r="50" spans="1:16" ht="26.4">
      <c r="A50" s="463"/>
      <c r="B50" s="464" t="s">
        <v>746</v>
      </c>
      <c r="C50" s="463" t="s">
        <v>739</v>
      </c>
      <c r="D50" s="578" t="s">
        <v>739</v>
      </c>
      <c r="E50" s="463" t="s">
        <v>739</v>
      </c>
      <c r="F50" s="463" t="s">
        <v>739</v>
      </c>
      <c r="G50" s="463">
        <f>G51+G52+G53+G54+G55+G56</f>
        <v>479</v>
      </c>
      <c r="H50" s="463">
        <f t="shared" ref="H50:P50" si="9">H51+H52+H53+H54+H55+H56</f>
        <v>311</v>
      </c>
      <c r="I50" s="463">
        <f t="shared" si="9"/>
        <v>0</v>
      </c>
      <c r="J50" s="463">
        <f t="shared" si="9"/>
        <v>0</v>
      </c>
      <c r="K50" s="463">
        <f t="shared" si="9"/>
        <v>33429.799999999996</v>
      </c>
      <c r="L50" s="463">
        <f t="shared" si="9"/>
        <v>33429.799999999996</v>
      </c>
      <c r="M50" s="463">
        <f t="shared" si="9"/>
        <v>0</v>
      </c>
      <c r="N50" s="463">
        <f t="shared" si="9"/>
        <v>0</v>
      </c>
      <c r="O50" s="463">
        <f t="shared" si="9"/>
        <v>0</v>
      </c>
      <c r="P50" s="463">
        <f t="shared" si="9"/>
        <v>0</v>
      </c>
    </row>
    <row r="51" spans="1:16" ht="26.4">
      <c r="A51" s="463"/>
      <c r="B51" s="464" t="s">
        <v>744</v>
      </c>
      <c r="C51" s="463" t="s">
        <v>739</v>
      </c>
      <c r="D51" s="578" t="s">
        <v>739</v>
      </c>
      <c r="E51" s="463" t="s">
        <v>739</v>
      </c>
      <c r="F51" s="463" t="s">
        <v>739</v>
      </c>
      <c r="G51" s="463">
        <v>0</v>
      </c>
      <c r="H51" s="675">
        <v>0</v>
      </c>
      <c r="I51" s="675">
        <f t="shared" si="7"/>
        <v>0</v>
      </c>
      <c r="J51" s="675">
        <v>0</v>
      </c>
      <c r="K51" s="463">
        <v>0</v>
      </c>
      <c r="L51" s="463">
        <v>0</v>
      </c>
      <c r="M51" s="463">
        <v>0</v>
      </c>
      <c r="N51" s="463">
        <v>0</v>
      </c>
      <c r="O51" s="463">
        <v>0</v>
      </c>
      <c r="P51" s="463">
        <v>0</v>
      </c>
    </row>
    <row r="52" spans="1:16" ht="26.4">
      <c r="A52" s="463"/>
      <c r="B52" s="464" t="s">
        <v>331</v>
      </c>
      <c r="C52" s="463" t="s">
        <v>739</v>
      </c>
      <c r="D52" s="578" t="s">
        <v>739</v>
      </c>
      <c r="E52" s="463" t="s">
        <v>739</v>
      </c>
      <c r="F52" s="463" t="s">
        <v>739</v>
      </c>
      <c r="G52" s="463">
        <v>0</v>
      </c>
      <c r="H52" s="675">
        <v>0</v>
      </c>
      <c r="I52" s="675">
        <f t="shared" si="7"/>
        <v>0</v>
      </c>
      <c r="J52" s="675">
        <v>0</v>
      </c>
      <c r="K52" s="463">
        <v>0</v>
      </c>
      <c r="L52" s="463">
        <v>0</v>
      </c>
      <c r="M52" s="463">
        <v>0</v>
      </c>
      <c r="N52" s="463">
        <v>0</v>
      </c>
      <c r="O52" s="463">
        <v>0</v>
      </c>
      <c r="P52" s="463">
        <v>0</v>
      </c>
    </row>
    <row r="53" spans="1:16" ht="26.4">
      <c r="A53" s="463"/>
      <c r="B53" s="464" t="s">
        <v>332</v>
      </c>
      <c r="C53" s="463" t="s">
        <v>739</v>
      </c>
      <c r="D53" s="578" t="s">
        <v>739</v>
      </c>
      <c r="E53" s="463" t="s">
        <v>739</v>
      </c>
      <c r="F53" s="463" t="s">
        <v>739</v>
      </c>
      <c r="G53" s="463">
        <v>0</v>
      </c>
      <c r="H53" s="675">
        <v>0</v>
      </c>
      <c r="I53" s="675">
        <f t="shared" si="7"/>
        <v>0</v>
      </c>
      <c r="J53" s="675">
        <v>0</v>
      </c>
      <c r="K53" s="463">
        <v>0</v>
      </c>
      <c r="L53" s="463">
        <v>0</v>
      </c>
      <c r="M53" s="463">
        <v>0</v>
      </c>
      <c r="N53" s="463">
        <v>0</v>
      </c>
      <c r="O53" s="463">
        <v>0</v>
      </c>
      <c r="P53" s="463">
        <v>0</v>
      </c>
    </row>
    <row r="54" spans="1:16" ht="26.4">
      <c r="A54" s="463"/>
      <c r="B54" s="464" t="s">
        <v>333</v>
      </c>
      <c r="C54" s="463" t="s">
        <v>739</v>
      </c>
      <c r="D54" s="578" t="s">
        <v>739</v>
      </c>
      <c r="E54" s="463" t="s">
        <v>739</v>
      </c>
      <c r="F54" s="463" t="s">
        <v>739</v>
      </c>
      <c r="G54" s="463">
        <v>0</v>
      </c>
      <c r="H54" s="675">
        <v>0</v>
      </c>
      <c r="I54" s="675">
        <f t="shared" si="7"/>
        <v>0</v>
      </c>
      <c r="J54" s="675">
        <v>0</v>
      </c>
      <c r="K54" s="463">
        <v>0</v>
      </c>
      <c r="L54" s="463">
        <v>0</v>
      </c>
      <c r="M54" s="463">
        <v>0</v>
      </c>
      <c r="N54" s="463">
        <v>0</v>
      </c>
      <c r="O54" s="463">
        <v>0</v>
      </c>
      <c r="P54" s="463">
        <v>0</v>
      </c>
    </row>
    <row r="55" spans="1:16" ht="26.4">
      <c r="A55" s="463"/>
      <c r="B55" s="464" t="s">
        <v>334</v>
      </c>
      <c r="C55" s="463" t="s">
        <v>739</v>
      </c>
      <c r="D55" s="578" t="s">
        <v>739</v>
      </c>
      <c r="E55" s="463" t="s">
        <v>739</v>
      </c>
      <c r="F55" s="463" t="s">
        <v>739</v>
      </c>
      <c r="G55" s="463">
        <v>0</v>
      </c>
      <c r="H55" s="675">
        <v>0</v>
      </c>
      <c r="I55" s="675">
        <f t="shared" si="7"/>
        <v>0</v>
      </c>
      <c r="J55" s="675">
        <v>0</v>
      </c>
      <c r="K55" s="463">
        <v>0</v>
      </c>
      <c r="L55" s="463">
        <v>0</v>
      </c>
      <c r="M55" s="463">
        <v>0</v>
      </c>
      <c r="N55" s="463">
        <v>0</v>
      </c>
      <c r="O55" s="463">
        <v>0</v>
      </c>
      <c r="P55" s="463">
        <v>0</v>
      </c>
    </row>
    <row r="56" spans="1:16" ht="15" thickBot="1">
      <c r="A56" s="467"/>
      <c r="B56" s="468" t="s">
        <v>335</v>
      </c>
      <c r="C56" s="467" t="s">
        <v>739</v>
      </c>
      <c r="D56" s="579" t="s">
        <v>739</v>
      </c>
      <c r="E56" s="467" t="s">
        <v>739</v>
      </c>
      <c r="F56" s="467" t="s">
        <v>739</v>
      </c>
      <c r="G56" s="463">
        <f>SUMIFS(G13:G24,D13:D24,2005,E13:E24,"відсутній")+SUMIFS(G13:G24,D13:D24,2007,E13:E24,"відсутній")+SUMIFS(G13:G24,D13:D24,2008,E13:E24,"відсутній")+SUMIFS(G13:G24,D13:D24,2010,E13:E24,"відсутній")</f>
        <v>479</v>
      </c>
      <c r="H56" s="675">
        <f>SUMIFS(H13:H24,D13:D24,2005,E13:E24,"відсутній")+SUMIFS(H13:H24,D13:D24,2007,E13:E24,"відсутній")+SUMIFS(H13:H24,D13:D24,2008,E13:E24,"відсутній")+SUMIFS(H13:H24,D13:D24,2010,E13:E24,"відсутній")</f>
        <v>311</v>
      </c>
      <c r="I56" s="675">
        <v>0</v>
      </c>
      <c r="J56" s="675">
        <v>0</v>
      </c>
      <c r="K56" s="2465">
        <f>SUMIFS(K13:K24,D13:D24,2005,E13:E24,"відсутній")+SUMIFS(K13:K24,D13:D24,2007,E13:E24,"відсутній")+SUMIFS(K13:K24,D13:D24,2008,E13:E24,"відсутній")+SUMIFS(K13:K24,D13:D24,2010,E13:E24,"відсутній")</f>
        <v>33429.799999999996</v>
      </c>
      <c r="L56" s="2465">
        <f>SUMIFS(L13:L24,D13:D24,2005,E13:E24,"відсутній")+SUMIFS(L13:L24,D13:D24,2007,E13:E24,"відсутній")+SUMIFS(L13:L24,D13:D24,2008,E13:E24,"відсутній")+SUMIFS(L13:L24,D13:D24,2010,E13:E24,"відсутній")</f>
        <v>33429.799999999996</v>
      </c>
      <c r="M56" s="2465">
        <v>0</v>
      </c>
      <c r="N56" s="2465">
        <v>0</v>
      </c>
      <c r="O56" s="2465">
        <v>0</v>
      </c>
      <c r="P56" s="920">
        <v>0</v>
      </c>
    </row>
    <row r="57" spans="1:16">
      <c r="A57" s="1906"/>
      <c r="B57" s="1906" t="s">
        <v>965</v>
      </c>
      <c r="C57" s="1906"/>
      <c r="D57" s="1907"/>
      <c r="E57" s="1906"/>
      <c r="F57" s="1906"/>
      <c r="G57" s="1906"/>
      <c r="H57" s="1906"/>
      <c r="I57" s="1906"/>
      <c r="J57" s="1906"/>
      <c r="K57" s="1906"/>
      <c r="L57" s="1906"/>
      <c r="M57" s="1906"/>
      <c r="N57" s="1906"/>
      <c r="O57" s="1906"/>
      <c r="P57" s="1906"/>
    </row>
    <row r="58" spans="1:16">
      <c r="A58" s="1906"/>
      <c r="B58" s="1906"/>
      <c r="C58" s="1906"/>
      <c r="D58" s="1907"/>
      <c r="E58" s="1906"/>
      <c r="F58" s="1906"/>
      <c r="G58" s="1906"/>
      <c r="H58" s="1906"/>
      <c r="I58" s="1906"/>
      <c r="J58" s="1906"/>
      <c r="K58" s="1906"/>
      <c r="L58" s="1906"/>
      <c r="M58" s="1906"/>
      <c r="N58" s="1906"/>
      <c r="O58" s="1906"/>
      <c r="P58" s="1906"/>
    </row>
    <row r="59" spans="1:16">
      <c r="A59" s="1906"/>
      <c r="B59" s="1906"/>
      <c r="C59" s="1906"/>
      <c r="D59" s="1907"/>
      <c r="E59" s="1906"/>
      <c r="F59" s="1906"/>
      <c r="G59" s="1906"/>
      <c r="H59" s="1906"/>
      <c r="I59" s="1906"/>
      <c r="J59" s="1906"/>
      <c r="K59" s="1906"/>
      <c r="L59" s="1906"/>
      <c r="M59" s="1906"/>
      <c r="N59" s="1906"/>
      <c r="O59" s="1906"/>
      <c r="P59" s="1906"/>
    </row>
    <row r="60" spans="1:16" ht="18">
      <c r="A60" s="530"/>
      <c r="B60" s="1905" t="str">
        <f>'Вхідні дані'!B13</f>
        <v>Директор підприємства</v>
      </c>
      <c r="C60" s="530"/>
      <c r="D60" s="580"/>
      <c r="E60" s="530"/>
      <c r="F60" s="530"/>
      <c r="G60" s="530" t="s">
        <v>747</v>
      </c>
      <c r="H60" s="530"/>
      <c r="I60" s="530"/>
      <c r="J60" s="530"/>
      <c r="K60" s="530"/>
      <c r="L60" s="530"/>
      <c r="M60" s="2845" t="str">
        <f>'Вхідні дані'!F13</f>
        <v>Сергій НІКУЛЬЧА</v>
      </c>
      <c r="N60" s="2845"/>
      <c r="O60" s="2845"/>
      <c r="P60" s="530"/>
    </row>
    <row r="61" spans="1:16">
      <c r="A61" s="1906"/>
      <c r="B61" s="1557" t="s">
        <v>218</v>
      </c>
      <c r="C61" s="1906"/>
      <c r="D61" s="1907"/>
      <c r="E61" s="1906"/>
      <c r="F61" s="1906"/>
      <c r="G61" s="2736" t="s">
        <v>196</v>
      </c>
      <c r="H61" s="2736"/>
      <c r="I61" s="2736"/>
      <c r="J61" s="2736"/>
      <c r="K61" s="2736"/>
      <c r="L61" s="1906"/>
      <c r="M61" s="2736" t="s">
        <v>216</v>
      </c>
      <c r="N61" s="2736"/>
      <c r="O61" s="2736"/>
      <c r="P61" s="1906"/>
    </row>
    <row r="306" ht="15" customHeight="1"/>
    <row r="307" ht="16.5" customHeight="1"/>
    <row r="308" ht="15.75" customHeight="1"/>
    <row r="309" ht="15.75" customHeight="1"/>
    <row r="310" ht="15.75" customHeight="1"/>
    <row r="311" ht="15.75" customHeight="1"/>
    <row r="312" ht="13.5" customHeight="1"/>
    <row r="313" ht="13.95" customHeight="1"/>
    <row r="314" ht="13.95" customHeight="1"/>
    <row r="315" ht="13.95" customHeight="1"/>
    <row r="316" ht="13.95" customHeight="1"/>
    <row r="317" ht="13.95" customHeight="1"/>
    <row r="318" ht="13.95" customHeight="1"/>
    <row r="319" ht="13.95" customHeight="1"/>
    <row r="320" ht="15" customHeight="1"/>
    <row r="321" ht="15" customHeight="1"/>
    <row r="322" ht="13.95" customHeight="1"/>
    <row r="323" ht="13.95" customHeight="1"/>
    <row r="324" ht="13.95" customHeight="1"/>
    <row r="325" ht="13.95" customHeight="1"/>
    <row r="326" ht="13.95" customHeight="1"/>
    <row r="327" ht="13.95" customHeight="1"/>
    <row r="328" ht="13.95" customHeight="1"/>
    <row r="329" ht="13.95" customHeight="1"/>
    <row r="330" ht="13.95" customHeight="1"/>
    <row r="331" ht="13.95" customHeight="1"/>
    <row r="332" ht="13.95" customHeight="1"/>
    <row r="333" ht="13.95" customHeight="1"/>
    <row r="334" ht="13.95" customHeight="1"/>
    <row r="335" ht="13.95" customHeight="1"/>
    <row r="336" ht="13.95" customHeight="1"/>
    <row r="337" ht="13.95" customHeight="1"/>
    <row r="338" ht="13.95" customHeight="1"/>
    <row r="339" ht="13.95" customHeight="1"/>
    <row r="340" ht="13.95" customHeight="1"/>
    <row r="341" ht="13.95" customHeight="1"/>
    <row r="342" ht="13.95" customHeight="1"/>
    <row r="343" ht="13.95" customHeight="1"/>
    <row r="344" ht="13.95" customHeight="1"/>
    <row r="345" ht="13.95" customHeight="1"/>
    <row r="346" ht="13.95" customHeight="1"/>
    <row r="347" ht="13.95" customHeight="1"/>
    <row r="348" ht="13.95" customHeight="1"/>
    <row r="349" ht="13.95" customHeight="1"/>
    <row r="350" ht="13.95" customHeight="1"/>
    <row r="351" ht="13.95" customHeight="1"/>
    <row r="352" ht="13.95" customHeight="1"/>
    <row r="353" ht="13.95" customHeight="1"/>
    <row r="354" ht="13.95" customHeight="1"/>
    <row r="355" ht="13.95" customHeight="1"/>
    <row r="356" ht="13.95" customHeight="1"/>
    <row r="357" ht="13.95" customHeight="1"/>
    <row r="358" ht="13.95" customHeight="1"/>
    <row r="359" ht="13.95" customHeight="1"/>
    <row r="360" ht="13.95" customHeight="1"/>
    <row r="361" ht="13.95" customHeight="1"/>
    <row r="362" ht="13.95" customHeight="1"/>
    <row r="363" ht="13.95" customHeight="1"/>
    <row r="364" ht="13.95" customHeight="1"/>
    <row r="365" ht="13.95" customHeight="1"/>
    <row r="366" ht="13.95" customHeight="1"/>
    <row r="367" ht="13.95" customHeight="1"/>
    <row r="368" ht="13.95" customHeight="1"/>
    <row r="369" ht="13.95" customHeight="1"/>
    <row r="370" ht="13.95" customHeight="1"/>
    <row r="371" ht="13.95" customHeight="1"/>
    <row r="372" ht="13.95" customHeight="1"/>
    <row r="373" ht="13.95" customHeight="1"/>
    <row r="374" ht="13.95" customHeight="1"/>
    <row r="375" ht="13.95" customHeight="1"/>
    <row r="376" ht="13.95" customHeight="1"/>
    <row r="377" ht="13.95" customHeight="1"/>
    <row r="378" ht="13.95" customHeight="1"/>
    <row r="379" ht="13.95" customHeight="1"/>
    <row r="380" ht="13.95" customHeight="1"/>
    <row r="381" ht="13.95" customHeight="1"/>
    <row r="382" ht="13.95" customHeight="1"/>
    <row r="383" ht="13.95" customHeight="1"/>
    <row r="384" ht="13.95" customHeight="1"/>
    <row r="385" ht="13.95" customHeight="1"/>
    <row r="386" ht="13.95" customHeight="1"/>
    <row r="387" ht="13.95" customHeight="1"/>
    <row r="388" ht="13.95" customHeight="1"/>
    <row r="389" ht="13.95" customHeight="1"/>
    <row r="390" ht="13.95" customHeight="1"/>
    <row r="391" ht="13.95" customHeight="1"/>
    <row r="392" ht="13.95" customHeight="1"/>
    <row r="393" ht="13.95" customHeight="1"/>
    <row r="394" ht="13.95" customHeight="1"/>
    <row r="395" ht="13.95" customHeight="1"/>
    <row r="396" ht="13.95" customHeight="1"/>
    <row r="397" ht="13.95" customHeight="1"/>
    <row r="398" ht="13.95" customHeight="1"/>
    <row r="399" ht="13.95" customHeight="1"/>
    <row r="400" ht="13.95" customHeight="1"/>
    <row r="401" ht="13.95" customHeight="1"/>
    <row r="402" ht="13.95" customHeight="1"/>
    <row r="403" ht="13.95" customHeight="1"/>
    <row r="404" ht="13.95" customHeight="1"/>
    <row r="405" ht="13.95" customHeight="1"/>
    <row r="406" ht="13.95" customHeight="1"/>
    <row r="407" ht="13.95" customHeight="1"/>
    <row r="408" ht="13.95" customHeight="1"/>
    <row r="409" ht="13.95" customHeight="1"/>
    <row r="410" ht="13.95" customHeight="1"/>
    <row r="411" ht="13.95" customHeight="1"/>
    <row r="412" ht="13.95" customHeight="1"/>
    <row r="413" ht="13.95" customHeight="1"/>
    <row r="414" ht="13.95" customHeight="1"/>
    <row r="415" ht="13.95" customHeight="1"/>
    <row r="416" ht="13.95" customHeight="1"/>
    <row r="417" ht="13.95" customHeight="1"/>
    <row r="418" ht="13.95" customHeight="1"/>
    <row r="419" ht="13.95" customHeight="1"/>
    <row r="420" ht="13.95" customHeight="1"/>
    <row r="421" ht="13.95" customHeight="1"/>
    <row r="422" ht="13.95" customHeight="1"/>
    <row r="423" ht="13.95" customHeight="1"/>
    <row r="424" ht="13.95" customHeight="1"/>
    <row r="425" ht="13.95" customHeight="1"/>
    <row r="426" ht="13.95" customHeight="1"/>
    <row r="427" ht="13.95" customHeight="1"/>
    <row r="428" ht="13.95" customHeight="1"/>
    <row r="429" ht="13.95" customHeight="1"/>
    <row r="430" ht="13.95" customHeight="1"/>
    <row r="431" ht="13.95" customHeight="1"/>
    <row r="432" ht="13.95" customHeight="1"/>
    <row r="433" ht="13.95" customHeight="1"/>
    <row r="434" ht="13.95" customHeight="1"/>
    <row r="435" ht="13.95" customHeight="1"/>
    <row r="436" ht="13.95" customHeight="1"/>
    <row r="437" ht="13.95" customHeight="1"/>
    <row r="438" ht="13.95" customHeight="1"/>
    <row r="439" ht="13.95" customHeight="1"/>
    <row r="440" ht="13.95" customHeight="1"/>
    <row r="441" ht="13.95" customHeight="1"/>
    <row r="442" ht="13.95" customHeight="1"/>
    <row r="443" ht="13.95" customHeight="1"/>
    <row r="444" ht="13.95" customHeight="1"/>
    <row r="445" ht="13.95" customHeight="1"/>
    <row r="446" ht="13.95" customHeight="1"/>
    <row r="447" ht="13.95" customHeight="1"/>
    <row r="448" ht="13.95" customHeight="1"/>
    <row r="449" ht="13.95" customHeight="1"/>
    <row r="450" ht="13.95" customHeight="1"/>
    <row r="451" ht="13.95" customHeight="1"/>
    <row r="452" ht="13.95" customHeight="1"/>
    <row r="453" ht="13.95" customHeight="1"/>
    <row r="454" ht="13.95" customHeight="1"/>
    <row r="455" ht="13.95" customHeight="1"/>
    <row r="456" ht="13.95" customHeight="1"/>
    <row r="457" ht="13.95" customHeight="1"/>
    <row r="458" ht="13.95" customHeight="1"/>
    <row r="459" ht="13.95" customHeight="1"/>
    <row r="460" ht="13.95" customHeight="1"/>
    <row r="461" ht="13.95" customHeight="1"/>
    <row r="462" ht="13.95" customHeight="1"/>
    <row r="463" ht="13.95" customHeight="1"/>
    <row r="464" ht="13.95" customHeight="1"/>
    <row r="465" ht="13.95" customHeight="1"/>
    <row r="466" ht="13.95" customHeight="1"/>
    <row r="467" ht="13.95" customHeight="1"/>
    <row r="468" ht="13.95" customHeight="1"/>
    <row r="469" ht="13.95" customHeight="1"/>
    <row r="470" ht="13.95" customHeight="1"/>
    <row r="471" ht="13.95" customHeight="1"/>
    <row r="472" ht="13.95" customHeight="1"/>
    <row r="473" ht="13.95" customHeight="1"/>
    <row r="474" ht="13.95" customHeight="1"/>
    <row r="475" ht="13.95" customHeight="1"/>
    <row r="476" ht="13.95" customHeight="1"/>
    <row r="477" ht="13.95" customHeight="1"/>
    <row r="478" ht="13.95" customHeight="1"/>
    <row r="479" ht="13.95" customHeight="1"/>
    <row r="480" ht="13.95" customHeight="1"/>
    <row r="481" ht="13.95" customHeight="1"/>
    <row r="482" ht="13.95" customHeight="1"/>
    <row r="483" ht="13.95" customHeight="1"/>
    <row r="484" ht="13.95" customHeight="1"/>
    <row r="485" ht="13.95" customHeight="1"/>
    <row r="486" ht="13.95" customHeight="1"/>
    <row r="487" ht="13.95" customHeight="1"/>
    <row r="488" ht="13.95" customHeight="1"/>
    <row r="489" ht="13.95" customHeight="1"/>
    <row r="490" ht="13.95" customHeight="1"/>
    <row r="491" ht="13.95" customHeight="1"/>
    <row r="492" ht="13.95" customHeight="1"/>
    <row r="493" ht="13.95" customHeight="1"/>
    <row r="494" ht="13.95" customHeight="1"/>
    <row r="495" ht="13.95" customHeight="1"/>
    <row r="496" ht="13.95" customHeight="1"/>
    <row r="497" ht="13.95" customHeight="1"/>
    <row r="498" ht="13.95" customHeight="1"/>
    <row r="499" ht="13.95" customHeight="1"/>
    <row r="500" ht="13.95" customHeight="1"/>
    <row r="501" ht="13.95" customHeight="1"/>
    <row r="502" ht="13.95" customHeight="1"/>
    <row r="503" ht="13.95" customHeight="1"/>
    <row r="504" ht="13.95" customHeight="1"/>
    <row r="505" ht="13.95" customHeight="1"/>
    <row r="506" ht="13.95" customHeight="1"/>
    <row r="507" ht="13.95" customHeight="1"/>
    <row r="508" ht="13.95" customHeight="1"/>
    <row r="509" ht="13.95" customHeight="1"/>
    <row r="510" ht="13.95" customHeight="1"/>
    <row r="511" ht="13.95" customHeight="1"/>
    <row r="512" ht="13.95" customHeight="1"/>
    <row r="513" ht="13.95" customHeight="1"/>
    <row r="514" ht="13.95" customHeight="1"/>
    <row r="515" ht="13.95" customHeight="1"/>
    <row r="516" ht="13.95" customHeight="1"/>
    <row r="517" ht="13.95" customHeight="1"/>
    <row r="518" ht="13.95" customHeight="1"/>
    <row r="519" ht="13.95" customHeight="1"/>
    <row r="520" ht="13.95" customHeight="1"/>
    <row r="521" ht="13.95" customHeight="1"/>
    <row r="522" ht="13.95" customHeight="1"/>
    <row r="523" ht="13.95" customHeight="1"/>
    <row r="524" ht="13.95" customHeight="1"/>
    <row r="525" ht="13.95" customHeight="1"/>
    <row r="526" ht="13.95" customHeight="1"/>
    <row r="527" ht="13.95" customHeight="1"/>
    <row r="528" ht="13.95" customHeight="1"/>
    <row r="529" ht="13.95" customHeight="1"/>
    <row r="530" ht="13.95" customHeight="1"/>
    <row r="531" ht="13.95" customHeight="1"/>
    <row r="532" ht="13.95" customHeight="1"/>
    <row r="533" ht="13.95" customHeight="1"/>
    <row r="534" ht="13.95" customHeight="1"/>
    <row r="535" ht="13.95" customHeight="1"/>
    <row r="536" ht="13.95" customHeight="1"/>
    <row r="537" ht="13.95" customHeight="1"/>
    <row r="538" ht="13.95" customHeight="1"/>
    <row r="539" ht="13.95" customHeight="1"/>
    <row r="540" ht="13.95" customHeight="1"/>
    <row r="541" ht="13.95" customHeight="1"/>
    <row r="542" ht="13.95" customHeight="1"/>
    <row r="543" ht="13.95" customHeight="1"/>
    <row r="544" ht="13.95" customHeight="1"/>
    <row r="545" ht="13.95" customHeight="1"/>
    <row r="546" ht="13.95" customHeight="1"/>
    <row r="547" ht="13.95" customHeight="1"/>
    <row r="548" ht="13.95" customHeight="1"/>
    <row r="549" ht="13.95" customHeight="1"/>
    <row r="550" ht="13.95" customHeight="1"/>
    <row r="551" ht="13.95" customHeight="1"/>
    <row r="552" ht="13.95" customHeight="1"/>
    <row r="553" ht="13.95" customHeight="1"/>
    <row r="554" ht="13.95" customHeight="1"/>
    <row r="555" ht="13.95" customHeight="1"/>
    <row r="556" ht="13.95" customHeight="1"/>
    <row r="557" ht="13.95" customHeight="1"/>
    <row r="558" ht="13.95" customHeight="1"/>
    <row r="559" ht="13.95" customHeight="1"/>
    <row r="560" ht="13.95" customHeight="1"/>
    <row r="561" ht="13.95" customHeight="1"/>
    <row r="562" ht="13.95" customHeight="1"/>
    <row r="563" ht="13.95" customHeight="1"/>
    <row r="564" ht="13.95" customHeight="1"/>
    <row r="565" ht="13.95" customHeight="1"/>
    <row r="566" ht="13.95" customHeight="1"/>
    <row r="567" ht="13.95" customHeight="1"/>
    <row r="568" ht="13.95" customHeight="1"/>
    <row r="569" ht="13.95" customHeight="1"/>
    <row r="570" ht="13.95" customHeight="1"/>
    <row r="571" ht="13.95" customHeight="1"/>
    <row r="572" ht="13.95" customHeight="1"/>
    <row r="573" ht="13.95" customHeight="1"/>
    <row r="574" ht="13.95" customHeight="1"/>
    <row r="575" ht="13.95" customHeight="1"/>
    <row r="576" ht="13.95" customHeight="1"/>
    <row r="577" ht="13.95" customHeight="1"/>
    <row r="578" ht="13.95" customHeight="1"/>
    <row r="579" ht="13.95" customHeight="1"/>
    <row r="580" ht="13.95" customHeight="1"/>
    <row r="581" ht="13.95" customHeight="1"/>
    <row r="582" ht="13.95" customHeight="1"/>
    <row r="583" ht="13.95" customHeight="1"/>
    <row r="584" ht="13.95" customHeight="1"/>
    <row r="585" ht="13.95" customHeight="1"/>
    <row r="586" ht="13.95" customHeight="1"/>
    <row r="587" ht="13.95" customHeight="1"/>
    <row r="588" ht="13.95" customHeight="1"/>
    <row r="589" ht="13.95" customHeight="1"/>
    <row r="590" ht="13.95" customHeight="1"/>
    <row r="591" ht="13.95" customHeight="1"/>
    <row r="592" ht="13.95" customHeight="1"/>
    <row r="593" ht="13.95" customHeight="1"/>
    <row r="594" ht="13.95" customHeight="1"/>
    <row r="595" ht="13.95" customHeight="1"/>
    <row r="596" ht="13.95" customHeight="1"/>
    <row r="597" ht="12.6" customHeight="1"/>
    <row r="598" ht="13.2" customHeight="1"/>
    <row r="599" ht="12.6" customHeight="1"/>
    <row r="600" ht="12.6" customHeight="1"/>
    <row r="601" ht="12.6" customHeight="1"/>
    <row r="602" ht="12" customHeight="1"/>
    <row r="603" ht="13.5" customHeight="1"/>
    <row r="604" ht="13.95" customHeight="1"/>
    <row r="605" ht="13.95" customHeight="1"/>
    <row r="606" ht="13.95" customHeight="1"/>
    <row r="607" ht="13.95" customHeight="1"/>
    <row r="608" ht="13.95" customHeight="1"/>
    <row r="609" ht="13.95" customHeight="1"/>
    <row r="610" ht="13.95" customHeight="1"/>
    <row r="611" ht="15" customHeight="1"/>
    <row r="612" ht="15" customHeight="1"/>
    <row r="613" ht="13.95" customHeight="1"/>
    <row r="614" ht="13.95" customHeight="1"/>
    <row r="615" ht="13.95" customHeight="1"/>
    <row r="616" ht="13.95" customHeight="1"/>
    <row r="617" ht="13.95" customHeight="1"/>
    <row r="618" ht="13.95" customHeight="1"/>
    <row r="619" ht="13.95" customHeight="1"/>
    <row r="620" ht="13.95" customHeight="1"/>
    <row r="621" ht="13.95" customHeight="1"/>
    <row r="622" ht="13.95" customHeight="1"/>
    <row r="623" ht="13.95" customHeight="1"/>
    <row r="624" ht="13.95" customHeight="1"/>
    <row r="625" ht="13.95" customHeight="1"/>
    <row r="626" ht="13.95" customHeight="1"/>
    <row r="627" ht="13.95" customHeight="1"/>
    <row r="628" ht="13.95" customHeight="1"/>
    <row r="629" ht="13.95" customHeight="1"/>
    <row r="630" ht="13.95" customHeight="1"/>
    <row r="631" ht="13.95" customHeight="1"/>
    <row r="632" ht="13.95" customHeight="1"/>
    <row r="633" ht="13.95" customHeight="1"/>
    <row r="634" ht="13.95" customHeight="1"/>
    <row r="635" ht="13.95" customHeight="1"/>
    <row r="636" ht="13.95" customHeight="1"/>
    <row r="637" ht="13.95" customHeight="1"/>
    <row r="638" ht="13.95" customHeight="1"/>
    <row r="639" ht="13.95" customHeight="1"/>
    <row r="640" ht="13.95" customHeight="1"/>
    <row r="641" ht="13.95" customHeight="1"/>
    <row r="642" ht="13.95" customHeight="1"/>
    <row r="643" ht="13.95" customHeight="1"/>
    <row r="644" ht="13.95" customHeight="1"/>
    <row r="645" ht="13.95" customHeight="1"/>
    <row r="646" ht="13.95" customHeight="1"/>
    <row r="647" ht="13.95" customHeight="1"/>
    <row r="648" ht="13.95" customHeight="1"/>
    <row r="649" ht="13.95" customHeight="1"/>
    <row r="650" ht="13.95" customHeight="1"/>
    <row r="651" ht="13.95" customHeight="1"/>
    <row r="652" ht="13.95" customHeight="1"/>
    <row r="653" ht="13.95" customHeight="1"/>
    <row r="654" ht="13.95" customHeight="1"/>
    <row r="655" ht="13.95" customHeight="1"/>
    <row r="656" ht="13.95" customHeight="1"/>
    <row r="657" ht="13.95" customHeight="1"/>
    <row r="658" ht="13.95" customHeight="1"/>
    <row r="659" ht="13.95" customHeight="1"/>
    <row r="660" ht="13.95" customHeight="1"/>
    <row r="661" ht="13.95" customHeight="1"/>
    <row r="662" ht="13.95" customHeight="1"/>
    <row r="663" ht="13.95" customHeight="1"/>
    <row r="664" ht="13.95" customHeight="1"/>
    <row r="665" ht="13.95" customHeight="1"/>
    <row r="666" ht="13.95" customHeight="1"/>
    <row r="667" ht="13.95" customHeight="1"/>
    <row r="668" ht="13.95" customHeight="1"/>
    <row r="669" ht="13.95" customHeight="1"/>
    <row r="670" ht="13.95" customHeight="1"/>
    <row r="671" ht="13.95" customHeight="1"/>
    <row r="672" ht="13.95" customHeight="1"/>
    <row r="673" ht="13.95" customHeight="1"/>
    <row r="674" ht="13.95" customHeight="1"/>
    <row r="675" ht="13.95" customHeight="1"/>
    <row r="676" ht="13.95" customHeight="1"/>
    <row r="677" ht="13.95" customHeight="1"/>
    <row r="678" ht="13.95" customHeight="1"/>
    <row r="679" ht="13.95" customHeight="1"/>
    <row r="680" ht="13.95" customHeight="1"/>
    <row r="681" ht="13.95" customHeight="1"/>
    <row r="682" ht="13.95" customHeight="1"/>
    <row r="683" ht="13.95" customHeight="1"/>
    <row r="684" ht="13.95" customHeight="1"/>
    <row r="685" ht="13.95" customHeight="1"/>
    <row r="686" ht="13.95" customHeight="1"/>
    <row r="687" ht="13.95" customHeight="1"/>
    <row r="688" ht="13.95" customHeight="1"/>
    <row r="689" ht="13.95" customHeight="1"/>
    <row r="690" ht="13.95" customHeight="1"/>
    <row r="691" ht="13.95" customHeight="1"/>
    <row r="692" ht="13.95" customHeight="1"/>
    <row r="693" ht="13.95" customHeight="1"/>
    <row r="694" ht="13.95" customHeight="1"/>
    <row r="695" ht="13.95" customHeight="1"/>
    <row r="696" ht="13.95" customHeight="1"/>
    <row r="697" ht="13.95" customHeight="1"/>
    <row r="698" ht="13.95" customHeight="1"/>
    <row r="699" ht="13.95" customHeight="1"/>
    <row r="700" ht="13.95" customHeight="1"/>
    <row r="701" ht="13.95" customHeight="1"/>
    <row r="702" ht="13.95" customHeight="1"/>
    <row r="703" ht="13.95" customHeight="1"/>
    <row r="704" ht="13.95" customHeight="1"/>
    <row r="705" ht="13.95" customHeight="1"/>
    <row r="706" ht="13.95" customHeight="1"/>
    <row r="707" ht="13.95" customHeight="1"/>
    <row r="708" ht="13.95" customHeight="1"/>
    <row r="709" ht="13.95" customHeight="1"/>
    <row r="710" ht="13.95" customHeight="1"/>
    <row r="711" ht="13.95" customHeight="1"/>
    <row r="712" ht="13.95" customHeight="1"/>
    <row r="713" ht="13.95" customHeight="1"/>
    <row r="714" ht="13.95" customHeight="1"/>
    <row r="715" ht="13.95" customHeight="1"/>
    <row r="716" ht="13.95" customHeight="1"/>
    <row r="717" ht="13.95" customHeight="1"/>
    <row r="718" ht="13.95" customHeight="1"/>
    <row r="719" ht="13.95" customHeight="1"/>
    <row r="720" ht="13.95" customHeight="1"/>
    <row r="721" ht="13.95" customHeight="1"/>
    <row r="722" ht="13.95" customHeight="1"/>
    <row r="723" ht="13.95" customHeight="1"/>
  </sheetData>
  <mergeCells count="24">
    <mergeCell ref="A12:C12"/>
    <mergeCell ref="A20:E20"/>
    <mergeCell ref="G61:K61"/>
    <mergeCell ref="M60:O60"/>
    <mergeCell ref="M61:O61"/>
    <mergeCell ref="A4:P4"/>
    <mergeCell ref="A5:P5"/>
    <mergeCell ref="A6:P6"/>
    <mergeCell ref="A3:P3"/>
    <mergeCell ref="A2:P2"/>
    <mergeCell ref="A7:P7"/>
    <mergeCell ref="A9:A10"/>
    <mergeCell ref="B9:B10"/>
    <mergeCell ref="C9:C10"/>
    <mergeCell ref="D9:D10"/>
    <mergeCell ref="E9:E10"/>
    <mergeCell ref="F9:F10"/>
    <mergeCell ref="G9:G10"/>
    <mergeCell ref="H9:H10"/>
    <mergeCell ref="I9:I10"/>
    <mergeCell ref="J9:J10"/>
    <mergeCell ref="K9:K10"/>
    <mergeCell ref="L9:N9"/>
    <mergeCell ref="P9:P10"/>
  </mergeCells>
  <pageMargins left="0.23622047244094491" right="0.11811023622047245" top="0.47244094488188981" bottom="0.35433070866141736" header="0.31496062992125984" footer="0.15748031496062992"/>
  <pageSetup paperSize="9" scale="68" fitToHeight="10" orientation="portrait" horizontalDpi="300" verticalDpi="300" r:id="rId1"/>
  <headerFooter>
    <oddFooter>&amp;R Сторінка &amp;P з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34">
    <tabColor rgb="FFFFC000"/>
    <pageSetUpPr fitToPage="1"/>
  </sheetPr>
  <dimension ref="A1:X52"/>
  <sheetViews>
    <sheetView topLeftCell="C1" zoomScaleNormal="100" zoomScaleSheetLayoutView="100" workbookViewId="0">
      <selection activeCell="P17" sqref="P17"/>
    </sheetView>
  </sheetViews>
  <sheetFormatPr defaultRowHeight="14.4"/>
  <cols>
    <col min="1" max="1" width="5.44140625" style="16" customWidth="1"/>
    <col min="2" max="2" width="44.109375" customWidth="1"/>
    <col min="3" max="3" width="11" customWidth="1"/>
    <col min="4" max="4" width="15.109375" customWidth="1"/>
    <col min="5" max="5" width="14.88671875" customWidth="1"/>
    <col min="6" max="6" width="11.5546875" customWidth="1"/>
    <col min="7" max="7" width="15.33203125" customWidth="1"/>
    <col min="8" max="8" width="15.5546875" customWidth="1"/>
    <col min="9" max="9" width="11.44140625" customWidth="1"/>
    <col min="10" max="11" width="15.5546875" customWidth="1"/>
    <col min="12" max="12" width="11" customWidth="1"/>
    <col min="13" max="14" width="15.5546875" customWidth="1"/>
    <col min="15" max="15" width="11" customWidth="1"/>
    <col min="16" max="17" width="15.5546875" customWidth="1"/>
    <col min="18" max="18" width="49.6640625" customWidth="1"/>
    <col min="19" max="19" width="9.88671875" bestFit="1" customWidth="1"/>
    <col min="20" max="20" width="9.88671875" customWidth="1"/>
  </cols>
  <sheetData>
    <row r="1" spans="1:23" s="9" customFormat="1" ht="15" customHeight="1">
      <c r="A1" s="17"/>
      <c r="L1" s="2751" t="s">
        <v>2018</v>
      </c>
      <c r="M1" s="2751"/>
      <c r="N1" s="2751"/>
      <c r="O1" s="2751"/>
      <c r="P1" s="2751"/>
      <c r="Q1" s="2751"/>
      <c r="R1" s="150"/>
    </row>
    <row r="2" spans="1:23" s="9" customFormat="1" ht="13.8" hidden="1">
      <c r="A2" s="17"/>
    </row>
    <row r="3" spans="1:23" s="9" customFormat="1" ht="13.8">
      <c r="A3" s="2846" t="s">
        <v>444</v>
      </c>
      <c r="B3" s="2846"/>
      <c r="C3" s="2846"/>
      <c r="D3" s="2846"/>
      <c r="E3" s="2846"/>
      <c r="F3" s="2846"/>
      <c r="G3" s="2846"/>
      <c r="H3" s="2846"/>
      <c r="I3" s="2846"/>
      <c r="J3" s="2846"/>
      <c r="K3" s="2846"/>
      <c r="L3" s="2846"/>
      <c r="M3" s="2846"/>
      <c r="N3" s="2846"/>
      <c r="O3" s="2846"/>
      <c r="P3" s="2846"/>
      <c r="Q3" s="2846"/>
      <c r="R3" s="150"/>
    </row>
    <row r="4" spans="1:23" s="9" customFormat="1" ht="15" customHeight="1">
      <c r="A4" s="2848" t="s">
        <v>973</v>
      </c>
      <c r="B4" s="2848"/>
      <c r="C4" s="2848"/>
      <c r="D4" s="2848"/>
      <c r="E4" s="2848"/>
      <c r="F4" s="2848"/>
      <c r="G4" s="2848"/>
      <c r="H4" s="2848"/>
      <c r="I4" s="2848"/>
      <c r="J4" s="2848"/>
      <c r="K4" s="2848"/>
      <c r="L4" s="2848"/>
      <c r="M4" s="2848"/>
      <c r="N4" s="2848"/>
      <c r="O4" s="2848"/>
      <c r="P4" s="2848"/>
      <c r="Q4" s="2848"/>
      <c r="R4" s="150"/>
    </row>
    <row r="5" spans="1:23" s="9" customFormat="1" ht="13.8">
      <c r="A5" s="2846" t="s">
        <v>262</v>
      </c>
      <c r="B5" s="2846"/>
      <c r="C5" s="2846"/>
      <c r="D5" s="2846"/>
      <c r="E5" s="2846"/>
      <c r="F5" s="2846"/>
      <c r="G5" s="2846"/>
      <c r="H5" s="2846"/>
      <c r="I5" s="2846"/>
      <c r="J5" s="2846"/>
      <c r="K5" s="2846"/>
      <c r="L5" s="2846"/>
      <c r="M5" s="2846"/>
      <c r="N5" s="2846"/>
      <c r="O5" s="2846"/>
      <c r="P5" s="2846"/>
      <c r="Q5" s="2846"/>
      <c r="R5" s="150"/>
    </row>
    <row r="6" spans="1:23" s="9" customFormat="1" ht="13.8">
      <c r="A6" s="2846" t="s">
        <v>635</v>
      </c>
      <c r="B6" s="2846"/>
      <c r="C6" s="2846"/>
      <c r="D6" s="2846"/>
      <c r="E6" s="2846"/>
      <c r="F6" s="2846"/>
      <c r="G6" s="2846"/>
      <c r="H6" s="2846"/>
      <c r="I6" s="2846"/>
      <c r="J6" s="2846"/>
      <c r="K6" s="2846"/>
      <c r="L6" s="2846"/>
      <c r="M6" s="2846"/>
      <c r="N6" s="2846"/>
      <c r="O6" s="2846"/>
      <c r="P6" s="2846"/>
      <c r="Q6" s="2846"/>
      <c r="R6" s="150"/>
    </row>
    <row r="7" spans="1:23" s="9" customFormat="1" ht="13.8">
      <c r="A7" s="2846" t="s">
        <v>351</v>
      </c>
      <c r="B7" s="2846"/>
      <c r="C7" s="2846"/>
      <c r="D7" s="2846"/>
      <c r="E7" s="2846"/>
      <c r="F7" s="2846"/>
      <c r="G7" s="2846"/>
      <c r="H7" s="2846"/>
      <c r="I7" s="2846"/>
      <c r="J7" s="2846"/>
      <c r="K7" s="2846"/>
      <c r="L7" s="2846"/>
      <c r="M7" s="2846"/>
      <c r="N7" s="2846"/>
      <c r="O7" s="2846"/>
      <c r="P7" s="2846"/>
      <c r="Q7" s="2846"/>
    </row>
    <row r="8" spans="1:23" s="9" customFormat="1" ht="21" customHeight="1">
      <c r="A8" s="2847" t="str">
        <f>'Вхідні дані'!F4</f>
        <v>Товариство з обмеженою відповідальністю ДП "Моноліт- Сервіс"</v>
      </c>
      <c r="B8" s="2847"/>
      <c r="C8" s="2847"/>
      <c r="D8" s="2847"/>
      <c r="E8" s="2847"/>
      <c r="F8" s="2847"/>
      <c r="G8" s="2847"/>
      <c r="H8" s="2847"/>
      <c r="I8" s="2847"/>
      <c r="J8" s="2847"/>
      <c r="K8" s="2847"/>
      <c r="L8" s="2847"/>
      <c r="M8" s="2847"/>
      <c r="N8" s="2847"/>
      <c r="O8" s="2847"/>
      <c r="P8" s="2847"/>
      <c r="Q8" s="2847"/>
    </row>
    <row r="9" spans="1:23" s="9" customFormat="1" ht="13.8">
      <c r="A9" s="2863" t="s">
        <v>352</v>
      </c>
      <c r="B9" s="2863"/>
      <c r="C9" s="2863"/>
      <c r="D9" s="2863"/>
      <c r="E9" s="2863"/>
      <c r="F9" s="2863"/>
      <c r="G9" s="2863"/>
      <c r="H9" s="2863"/>
      <c r="I9" s="2863"/>
      <c r="J9" s="2863"/>
      <c r="K9" s="2863"/>
      <c r="L9" s="2863"/>
      <c r="M9" s="2863"/>
      <c r="N9" s="2863"/>
      <c r="O9" s="2863"/>
      <c r="P9" s="2863"/>
      <c r="Q9" s="2863"/>
    </row>
    <row r="10" spans="1:23" s="9" customFormat="1" thickBot="1">
      <c r="A10" s="17"/>
      <c r="N10" s="2469"/>
      <c r="Q10" s="2469"/>
    </row>
    <row r="11" spans="1:23">
      <c r="A11" s="2864" t="s">
        <v>7</v>
      </c>
      <c r="B11" s="2861" t="s">
        <v>340</v>
      </c>
      <c r="C11" s="2470" t="s">
        <v>76</v>
      </c>
      <c r="D11" s="2862" t="s">
        <v>327</v>
      </c>
      <c r="E11" s="2861"/>
      <c r="F11" s="2470" t="s">
        <v>76</v>
      </c>
      <c r="G11" s="2862" t="s">
        <v>327</v>
      </c>
      <c r="H11" s="2861"/>
      <c r="I11" s="2470" t="s">
        <v>76</v>
      </c>
      <c r="J11" s="2862" t="s">
        <v>327</v>
      </c>
      <c r="K11" s="2861"/>
      <c r="L11" s="2470" t="s">
        <v>76</v>
      </c>
      <c r="M11" s="2862" t="s">
        <v>327</v>
      </c>
      <c r="N11" s="2861"/>
      <c r="O11" s="2470" t="s">
        <v>76</v>
      </c>
      <c r="P11" s="2862" t="s">
        <v>327</v>
      </c>
      <c r="Q11" s="2861"/>
      <c r="R11" s="1418"/>
      <c r="S11" s="1418"/>
    </row>
    <row r="12" spans="1:23" ht="55.2">
      <c r="A12" s="2865"/>
      <c r="B12" s="2854"/>
      <c r="C12" s="2471" t="str">
        <f>Виробництво_1ст!G8</f>
        <v>котельні</v>
      </c>
      <c r="D12" s="8" t="s">
        <v>341</v>
      </c>
      <c r="E12" s="2324" t="s">
        <v>342</v>
      </c>
      <c r="F12" s="2471" t="str">
        <f>Виробництво_1ст!H8</f>
        <v>САО Парусна, 1-А</v>
      </c>
      <c r="G12" s="8" t="s">
        <v>341</v>
      </c>
      <c r="H12" s="2324" t="s">
        <v>342</v>
      </c>
      <c r="I12" s="2471" t="str">
        <f>Виробництво_1ст!I8</f>
        <v>САО Парусна, 1-Б</v>
      </c>
      <c r="J12" s="8" t="s">
        <v>341</v>
      </c>
      <c r="K12" s="2324" t="s">
        <v>342</v>
      </c>
      <c r="L12" s="2471" t="str">
        <f>Виробництво_1ст!J8</f>
        <v>САО Паркова, 50</v>
      </c>
      <c r="M12" s="8" t="s">
        <v>341</v>
      </c>
      <c r="N12" s="2324" t="s">
        <v>342</v>
      </c>
      <c r="O12" s="2471" t="str">
        <f>Виробництво_1ст!K8</f>
        <v>САО Паркова, 52</v>
      </c>
      <c r="P12" s="8" t="s">
        <v>341</v>
      </c>
      <c r="Q12" s="2324" t="s">
        <v>342</v>
      </c>
      <c r="R12" s="1418"/>
      <c r="S12" s="1418"/>
    </row>
    <row r="13" spans="1:23">
      <c r="A13" s="2472">
        <v>1</v>
      </c>
      <c r="B13" s="2324">
        <v>2</v>
      </c>
      <c r="C13" s="2323">
        <v>3</v>
      </c>
      <c r="D13" s="8">
        <v>4</v>
      </c>
      <c r="E13" s="2324">
        <v>5</v>
      </c>
      <c r="F13" s="2323">
        <v>6</v>
      </c>
      <c r="G13" s="2486">
        <v>7</v>
      </c>
      <c r="H13" s="2324">
        <v>8</v>
      </c>
      <c r="I13" s="2323">
        <v>9</v>
      </c>
      <c r="J13" s="2486">
        <v>10</v>
      </c>
      <c r="K13" s="2324">
        <v>11</v>
      </c>
      <c r="L13" s="2323">
        <v>12</v>
      </c>
      <c r="M13" s="2486">
        <v>13</v>
      </c>
      <c r="N13" s="2324">
        <v>14</v>
      </c>
      <c r="O13" s="2323">
        <v>12</v>
      </c>
      <c r="P13" s="2486">
        <v>13</v>
      </c>
      <c r="Q13" s="2324">
        <v>14</v>
      </c>
    </row>
    <row r="14" spans="1:23" ht="27.6">
      <c r="A14" s="2473">
        <v>1</v>
      </c>
      <c r="B14" s="2493" t="s">
        <v>343</v>
      </c>
      <c r="C14" s="394">
        <f t="shared" ref="C14:C22" si="0">D14+E14</f>
        <v>866</v>
      </c>
      <c r="D14" s="2474">
        <f>'Д -11'!G13+'Д -11'!G14+'Д -11'!G15+'Д -11'!G18</f>
        <v>547</v>
      </c>
      <c r="E14" s="393">
        <f>'Д -11'!G16+'Д -11'!G17</f>
        <v>319</v>
      </c>
      <c r="F14" s="2484">
        <f>G14+H14</f>
        <v>88</v>
      </c>
      <c r="G14" s="778">
        <v>88</v>
      </c>
      <c r="H14" s="2485"/>
      <c r="I14" s="2484">
        <f>J14+K14</f>
        <v>155</v>
      </c>
      <c r="J14" s="778">
        <v>155</v>
      </c>
      <c r="K14" s="2485"/>
      <c r="L14" s="2484">
        <f>M14+N14</f>
        <v>33</v>
      </c>
      <c r="M14" s="778">
        <v>33</v>
      </c>
      <c r="N14" s="2485"/>
      <c r="O14" s="2484">
        <f>P14+Q14</f>
        <v>39</v>
      </c>
      <c r="P14" s="778">
        <v>39</v>
      </c>
      <c r="Q14" s="2485"/>
      <c r="V14" s="399"/>
    </row>
    <row r="15" spans="1:23" ht="63.75" customHeight="1">
      <c r="A15" s="2473">
        <v>2</v>
      </c>
      <c r="B15" s="2494" t="s">
        <v>639</v>
      </c>
      <c r="C15" s="2325">
        <f t="shared" si="0"/>
        <v>54843.64</v>
      </c>
      <c r="D15" s="2326">
        <f>SUM(D16:D18)</f>
        <v>34538.839999999997</v>
      </c>
      <c r="E15" s="2327">
        <f>E16+E17+E18</f>
        <v>20304.8</v>
      </c>
      <c r="F15" s="2325">
        <f t="shared" ref="F15:F22" si="1">G15+H15</f>
        <v>5552.5</v>
      </c>
      <c r="G15" s="2326">
        <f>SUM(G16:G18)</f>
        <v>5552.5</v>
      </c>
      <c r="H15" s="2327">
        <f>H16+H17+H18</f>
        <v>0</v>
      </c>
      <c r="I15" s="2325">
        <f t="shared" ref="I15:I22" si="2">J15+K15</f>
        <v>7849</v>
      </c>
      <c r="J15" s="2326">
        <f>SUM(J16:J18)</f>
        <v>7849</v>
      </c>
      <c r="K15" s="2327">
        <f>K16+K17+K18</f>
        <v>0</v>
      </c>
      <c r="L15" s="2325">
        <f t="shared" ref="L15:L22" si="3">M15+N15</f>
        <v>3735.5</v>
      </c>
      <c r="M15" s="2326">
        <f>SUM(M16:M18)</f>
        <v>3735.5</v>
      </c>
      <c r="N15" s="2327">
        <f>N16+N17+N18</f>
        <v>0</v>
      </c>
      <c r="O15" s="2325">
        <f t="shared" ref="O15:O22" si="4">P15+Q15</f>
        <v>3837</v>
      </c>
      <c r="P15" s="2326">
        <f>SUM(P16:P18)</f>
        <v>3837</v>
      </c>
      <c r="Q15" s="2327">
        <f>Q16+Q17+Q18</f>
        <v>0</v>
      </c>
    </row>
    <row r="16" spans="1:23">
      <c r="A16" s="2473" t="s">
        <v>24</v>
      </c>
      <c r="B16" s="2494" t="s">
        <v>445</v>
      </c>
      <c r="C16" s="2325">
        <f t="shared" si="0"/>
        <v>0</v>
      </c>
      <c r="D16" s="2326"/>
      <c r="E16" s="2327"/>
      <c r="F16" s="2325">
        <f t="shared" si="1"/>
        <v>0</v>
      </c>
      <c r="G16" s="2326"/>
      <c r="H16" s="2327"/>
      <c r="I16" s="2325">
        <f t="shared" si="2"/>
        <v>0</v>
      </c>
      <c r="J16" s="2326"/>
      <c r="K16" s="2327"/>
      <c r="L16" s="2325">
        <f t="shared" si="3"/>
        <v>0</v>
      </c>
      <c r="M16" s="2326"/>
      <c r="N16" s="2327"/>
      <c r="O16" s="2325">
        <f t="shared" si="4"/>
        <v>0</v>
      </c>
      <c r="P16" s="2326"/>
      <c r="Q16" s="2327"/>
      <c r="T16" s="400"/>
      <c r="W16" s="400"/>
    </row>
    <row r="17" spans="1:24">
      <c r="A17" s="2473" t="s">
        <v>25</v>
      </c>
      <c r="B17" s="2494" t="s">
        <v>446</v>
      </c>
      <c r="C17" s="2325">
        <f t="shared" si="0"/>
        <v>0</v>
      </c>
      <c r="D17" s="2326"/>
      <c r="E17" s="2327"/>
      <c r="F17" s="2325">
        <f t="shared" si="1"/>
        <v>0</v>
      </c>
      <c r="G17" s="2483"/>
      <c r="H17" s="2327"/>
      <c r="I17" s="2325">
        <f t="shared" si="2"/>
        <v>0</v>
      </c>
      <c r="J17" s="2483"/>
      <c r="K17" s="2327"/>
      <c r="L17" s="2325">
        <f t="shared" si="3"/>
        <v>0</v>
      </c>
      <c r="M17" s="2483"/>
      <c r="N17" s="2327"/>
      <c r="O17" s="2325">
        <f t="shared" si="4"/>
        <v>0</v>
      </c>
      <c r="P17" s="2483"/>
      <c r="Q17" s="2327"/>
      <c r="T17" s="400"/>
      <c r="W17" s="400"/>
    </row>
    <row r="18" spans="1:24">
      <c r="A18" s="2473" t="s">
        <v>55</v>
      </c>
      <c r="B18" s="2494" t="s">
        <v>329</v>
      </c>
      <c r="C18" s="2325">
        <f t="shared" si="0"/>
        <v>54843.64</v>
      </c>
      <c r="D18" s="2326">
        <f>'Д -11'!K13+'Д -11'!K14+'Д -11'!K15+'Д -11'!K18</f>
        <v>34538.839999999997</v>
      </c>
      <c r="E18" s="2327">
        <f>'Д -11'!K16+'Д -11'!K17</f>
        <v>20304.8</v>
      </c>
      <c r="F18" s="2481">
        <f t="shared" si="1"/>
        <v>5552.5</v>
      </c>
      <c r="G18" s="2487">
        <v>5552.5</v>
      </c>
      <c r="H18" s="2482"/>
      <c r="I18" s="2481">
        <f t="shared" si="2"/>
        <v>7849</v>
      </c>
      <c r="J18" s="2487">
        <v>7849</v>
      </c>
      <c r="K18" s="2482"/>
      <c r="L18" s="2481">
        <f t="shared" si="3"/>
        <v>3735.5</v>
      </c>
      <c r="M18" s="2487">
        <v>3735.5</v>
      </c>
      <c r="N18" s="2482"/>
      <c r="O18" s="2481">
        <f t="shared" si="4"/>
        <v>3837</v>
      </c>
      <c r="P18" s="2487">
        <v>3837</v>
      </c>
      <c r="Q18" s="2482"/>
      <c r="T18" s="400"/>
      <c r="W18" s="400"/>
    </row>
    <row r="19" spans="1:24" ht="46.2" customHeight="1">
      <c r="A19" s="2473">
        <v>3</v>
      </c>
      <c r="B19" s="2493" t="s">
        <v>447</v>
      </c>
      <c r="C19" s="2325">
        <f t="shared" si="0"/>
        <v>6460.0562399999999</v>
      </c>
      <c r="D19" s="2326">
        <f>D20+D21+D22</f>
        <v>3987.7515399999997</v>
      </c>
      <c r="E19" s="2327">
        <f>E20+E21+E22</f>
        <v>2472.3046999999997</v>
      </c>
      <c r="F19" s="2325">
        <f t="shared" si="1"/>
        <v>480.96030000000002</v>
      </c>
      <c r="G19" s="2326">
        <f>G20+G21+G22</f>
        <v>480.96030000000002</v>
      </c>
      <c r="H19" s="2327">
        <f>H20+H21+H22</f>
        <v>0</v>
      </c>
      <c r="I19" s="2325">
        <f t="shared" si="2"/>
        <v>798.22533999999996</v>
      </c>
      <c r="J19" s="2326">
        <f>J20+J21+J22</f>
        <v>798.22533999999996</v>
      </c>
      <c r="K19" s="2327">
        <f>K20+K21+K22</f>
        <v>0</v>
      </c>
      <c r="L19" s="2325">
        <f t="shared" si="3"/>
        <v>391.51855999999998</v>
      </c>
      <c r="M19" s="2326">
        <f>M20+M21+M22</f>
        <v>391.51855999999998</v>
      </c>
      <c r="N19" s="2327">
        <f>N20+N21+N22</f>
        <v>0</v>
      </c>
      <c r="O19" s="2325">
        <f t="shared" si="4"/>
        <v>405.01920000000001</v>
      </c>
      <c r="P19" s="2326">
        <f>P20+P21+P22</f>
        <v>405.01920000000001</v>
      </c>
      <c r="Q19" s="2327">
        <f>Q20+Q21+Q22</f>
        <v>0</v>
      </c>
      <c r="S19" s="402"/>
      <c r="T19" s="402"/>
    </row>
    <row r="20" spans="1:24">
      <c r="A20" s="2473" t="s">
        <v>56</v>
      </c>
      <c r="B20" s="2493" t="s">
        <v>445</v>
      </c>
      <c r="C20" s="2325">
        <f t="shared" si="0"/>
        <v>0</v>
      </c>
      <c r="D20" s="2326"/>
      <c r="E20" s="2327"/>
      <c r="F20" s="2325">
        <f t="shared" si="1"/>
        <v>0</v>
      </c>
      <c r="G20" s="2475"/>
      <c r="H20" s="2492"/>
      <c r="I20" s="2325">
        <f t="shared" si="2"/>
        <v>0</v>
      </c>
      <c r="J20" s="2326"/>
      <c r="K20" s="2327"/>
      <c r="L20" s="2325">
        <f t="shared" si="3"/>
        <v>0</v>
      </c>
      <c r="M20" s="2326"/>
      <c r="N20" s="2327"/>
      <c r="O20" s="2325">
        <f t="shared" si="4"/>
        <v>0</v>
      </c>
      <c r="P20" s="2326"/>
      <c r="Q20" s="2327"/>
      <c r="S20" s="402"/>
      <c r="T20" s="402"/>
      <c r="X20" s="400"/>
    </row>
    <row r="21" spans="1:24">
      <c r="A21" s="2473" t="s">
        <v>57</v>
      </c>
      <c r="B21" s="2493" t="s">
        <v>446</v>
      </c>
      <c r="C21" s="2325">
        <f t="shared" si="0"/>
        <v>0</v>
      </c>
      <c r="D21" s="2326"/>
      <c r="E21" s="2327"/>
      <c r="F21" s="2325">
        <f t="shared" si="1"/>
        <v>0</v>
      </c>
      <c r="G21" s="2475"/>
      <c r="H21" s="2492"/>
      <c r="I21" s="2325">
        <f t="shared" si="2"/>
        <v>0</v>
      </c>
      <c r="J21" s="2326"/>
      <c r="K21" s="2327"/>
      <c r="L21" s="2325">
        <f t="shared" si="3"/>
        <v>0</v>
      </c>
      <c r="M21" s="2326"/>
      <c r="N21" s="2327"/>
      <c r="O21" s="2325">
        <f t="shared" si="4"/>
        <v>0</v>
      </c>
      <c r="P21" s="2326"/>
      <c r="Q21" s="2327"/>
      <c r="S21" s="402"/>
      <c r="T21" s="402"/>
      <c r="X21" s="400"/>
    </row>
    <row r="22" spans="1:24">
      <c r="A22" s="2473" t="s">
        <v>58</v>
      </c>
      <c r="B22" s="2493" t="s">
        <v>329</v>
      </c>
      <c r="C22" s="2325">
        <f t="shared" si="0"/>
        <v>6460.0562399999999</v>
      </c>
      <c r="D22" s="2326">
        <f>'Д 7_РП'!F184/'Д 7_РП'!F186*'Д -12'!D29</f>
        <v>3987.7515399999997</v>
      </c>
      <c r="E22" s="2327">
        <f>'Д 7_РП'!F184/'Д 7_РП'!F186*'Д -12'!E29</f>
        <v>2472.3046999999997</v>
      </c>
      <c r="F22" s="2325">
        <f t="shared" si="1"/>
        <v>480.96030000000002</v>
      </c>
      <c r="G22" s="2475">
        <f>'Д 7_РП'!G184</f>
        <v>480.96030000000002</v>
      </c>
      <c r="H22" s="2492">
        <v>0</v>
      </c>
      <c r="I22" s="2325">
        <f t="shared" si="2"/>
        <v>798.22533999999996</v>
      </c>
      <c r="J22" s="2326">
        <f>'Д 7_РП'!H184</f>
        <v>798.22533999999996</v>
      </c>
      <c r="K22" s="2327"/>
      <c r="L22" s="2325">
        <f t="shared" si="3"/>
        <v>391.51855999999998</v>
      </c>
      <c r="M22" s="2326">
        <f>'Д 7_РП'!I184</f>
        <v>391.51855999999998</v>
      </c>
      <c r="N22" s="2327"/>
      <c r="O22" s="2325">
        <f t="shared" si="4"/>
        <v>405.01920000000001</v>
      </c>
      <c r="P22" s="2326">
        <f>'Д 7_РП'!J184</f>
        <v>405.01920000000001</v>
      </c>
      <c r="Q22" s="2327"/>
      <c r="S22" s="402"/>
      <c r="T22" s="402"/>
      <c r="X22" s="400"/>
    </row>
    <row r="23" spans="1:24" ht="58.2">
      <c r="A23" s="2473">
        <v>4</v>
      </c>
      <c r="B23" s="2494" t="s">
        <v>448</v>
      </c>
      <c r="C23" s="2488">
        <f t="shared" ref="C23:Q26" si="5">IF(C15=0,0,C19/C15)</f>
        <v>0.11779043549990482</v>
      </c>
      <c r="D23" s="2476">
        <f t="shared" si="5"/>
        <v>0.11545701998098373</v>
      </c>
      <c r="E23" s="2489">
        <f t="shared" si="5"/>
        <v>0.12175961841535006</v>
      </c>
      <c r="F23" s="2488">
        <f t="shared" si="5"/>
        <v>8.6620495272399817E-2</v>
      </c>
      <c r="G23" s="2476">
        <f t="shared" si="5"/>
        <v>8.6620495272399817E-2</v>
      </c>
      <c r="H23" s="2489">
        <f t="shared" si="5"/>
        <v>0</v>
      </c>
      <c r="I23" s="2488">
        <f t="shared" si="5"/>
        <v>0.1016977118104217</v>
      </c>
      <c r="J23" s="2476">
        <f t="shared" si="5"/>
        <v>0.1016977118104217</v>
      </c>
      <c r="K23" s="2496">
        <f t="shared" si="5"/>
        <v>0</v>
      </c>
      <c r="L23" s="2488">
        <f t="shared" si="5"/>
        <v>0.10481021549993307</v>
      </c>
      <c r="M23" s="2476">
        <f t="shared" si="5"/>
        <v>0.10481021549993307</v>
      </c>
      <c r="N23" s="2496">
        <f t="shared" si="5"/>
        <v>0</v>
      </c>
      <c r="O23" s="2488">
        <f t="shared" si="5"/>
        <v>0.10555621579358875</v>
      </c>
      <c r="P23" s="2476">
        <f t="shared" si="5"/>
        <v>0.10555621579358875</v>
      </c>
      <c r="Q23" s="2496">
        <f t="shared" si="5"/>
        <v>0</v>
      </c>
    </row>
    <row r="24" spans="1:24" ht="18.600000000000001" customHeight="1">
      <c r="A24" s="2473" t="s">
        <v>26</v>
      </c>
      <c r="B24" s="2493" t="s">
        <v>445</v>
      </c>
      <c r="C24" s="2488">
        <f t="shared" si="5"/>
        <v>0</v>
      </c>
      <c r="D24" s="2476">
        <f>IF(D16=0,0,D20/D16)</f>
        <v>0</v>
      </c>
      <c r="E24" s="2489">
        <v>0</v>
      </c>
      <c r="F24" s="2488">
        <f t="shared" ref="F24:G26" si="6">IF(F16=0,0,F20/F16)</f>
        <v>0</v>
      </c>
      <c r="G24" s="2476">
        <f>IF(G16=0,0,G20/G16)</f>
        <v>0</v>
      </c>
      <c r="H24" s="2489">
        <v>0</v>
      </c>
      <c r="I24" s="2488">
        <f t="shared" ref="I24:N26" si="7">IF(I16=0,0,I20/I16)</f>
        <v>0</v>
      </c>
      <c r="J24" s="2476">
        <f>IF(J16=0,0,J20/J16)</f>
        <v>0</v>
      </c>
      <c r="K24" s="2489">
        <f>IF(K16=0,0,K20/K16)</f>
        <v>0</v>
      </c>
      <c r="L24" s="2488">
        <f t="shared" ref="L24:N24" si="8">IF(L16=0,0,L20/L16)</f>
        <v>0</v>
      </c>
      <c r="M24" s="2476">
        <f t="shared" si="8"/>
        <v>0</v>
      </c>
      <c r="N24" s="2489">
        <f t="shared" si="8"/>
        <v>0</v>
      </c>
      <c r="O24" s="2488">
        <f t="shared" ref="O24:Q26" si="9">IF(O16=0,0,O20/O16)</f>
        <v>0</v>
      </c>
      <c r="P24" s="2476">
        <f t="shared" si="9"/>
        <v>0</v>
      </c>
      <c r="Q24" s="2489">
        <f t="shared" si="9"/>
        <v>0</v>
      </c>
    </row>
    <row r="25" spans="1:24">
      <c r="A25" s="2473" t="s">
        <v>106</v>
      </c>
      <c r="B25" s="2493" t="s">
        <v>446</v>
      </c>
      <c r="C25" s="2488">
        <f t="shared" si="5"/>
        <v>0</v>
      </c>
      <c r="D25" s="2476">
        <f t="shared" si="5"/>
        <v>0</v>
      </c>
      <c r="E25" s="2489">
        <v>0</v>
      </c>
      <c r="F25" s="2488">
        <f t="shared" si="6"/>
        <v>0</v>
      </c>
      <c r="G25" s="2476">
        <f t="shared" si="6"/>
        <v>0</v>
      </c>
      <c r="H25" s="2489">
        <v>0</v>
      </c>
      <c r="I25" s="2488">
        <f t="shared" si="7"/>
        <v>0</v>
      </c>
      <c r="J25" s="2476">
        <f t="shared" si="7"/>
        <v>0</v>
      </c>
      <c r="K25" s="2489">
        <f t="shared" si="7"/>
        <v>0</v>
      </c>
      <c r="L25" s="2488">
        <f t="shared" si="7"/>
        <v>0</v>
      </c>
      <c r="M25" s="2476">
        <f t="shared" si="7"/>
        <v>0</v>
      </c>
      <c r="N25" s="2489">
        <f t="shared" si="7"/>
        <v>0</v>
      </c>
      <c r="O25" s="2488">
        <f t="shared" si="9"/>
        <v>0</v>
      </c>
      <c r="P25" s="2476">
        <f t="shared" si="9"/>
        <v>0</v>
      </c>
      <c r="Q25" s="2489">
        <f t="shared" si="9"/>
        <v>0</v>
      </c>
    </row>
    <row r="26" spans="1:24">
      <c r="A26" s="2473" t="s">
        <v>154</v>
      </c>
      <c r="B26" s="2493" t="s">
        <v>329</v>
      </c>
      <c r="C26" s="2488">
        <f t="shared" si="5"/>
        <v>0.11779043549990482</v>
      </c>
      <c r="D26" s="2476">
        <f t="shared" si="5"/>
        <v>0.11545701998098373</v>
      </c>
      <c r="E26" s="2489">
        <v>0</v>
      </c>
      <c r="F26" s="2488">
        <f t="shared" si="6"/>
        <v>8.6620495272399817E-2</v>
      </c>
      <c r="G26" s="2476">
        <f t="shared" si="6"/>
        <v>8.6620495272399817E-2</v>
      </c>
      <c r="H26" s="2489">
        <v>0</v>
      </c>
      <c r="I26" s="2488">
        <f t="shared" si="7"/>
        <v>0.1016977118104217</v>
      </c>
      <c r="J26" s="2476">
        <f t="shared" si="7"/>
        <v>0.1016977118104217</v>
      </c>
      <c r="K26" s="2496">
        <f t="shared" si="7"/>
        <v>0</v>
      </c>
      <c r="L26" s="2488">
        <f t="shared" si="7"/>
        <v>0.10481021549993307</v>
      </c>
      <c r="M26" s="2476">
        <f t="shared" si="7"/>
        <v>0.10481021549993307</v>
      </c>
      <c r="N26" s="2496">
        <f t="shared" si="7"/>
        <v>0</v>
      </c>
      <c r="O26" s="2488">
        <f t="shared" si="9"/>
        <v>0.10555621579358875</v>
      </c>
      <c r="P26" s="2476">
        <f t="shared" si="9"/>
        <v>0.10555621579358875</v>
      </c>
      <c r="Q26" s="2496">
        <f t="shared" si="9"/>
        <v>0</v>
      </c>
    </row>
    <row r="27" spans="1:24" ht="29.25" customHeight="1">
      <c r="A27" s="2473">
        <v>5</v>
      </c>
      <c r="B27" s="2493" t="s">
        <v>459</v>
      </c>
      <c r="C27" s="2325">
        <v>0</v>
      </c>
      <c r="D27" s="2326">
        <v>0</v>
      </c>
      <c r="E27" s="2327">
        <v>0</v>
      </c>
      <c r="F27" s="2325">
        <v>0</v>
      </c>
      <c r="G27" s="395">
        <v>0</v>
      </c>
      <c r="H27" s="2327">
        <v>0</v>
      </c>
      <c r="I27" s="2497">
        <v>0</v>
      </c>
      <c r="J27" s="395">
        <v>0</v>
      </c>
      <c r="K27" s="2489">
        <v>0</v>
      </c>
      <c r="L27" s="2497">
        <v>0</v>
      </c>
      <c r="M27" s="395">
        <v>0</v>
      </c>
      <c r="N27" s="2489">
        <v>0</v>
      </c>
      <c r="O27" s="2497">
        <v>0</v>
      </c>
      <c r="P27" s="395">
        <v>0</v>
      </c>
      <c r="Q27" s="2489">
        <v>0</v>
      </c>
    </row>
    <row r="28" spans="1:24">
      <c r="A28" s="2473">
        <v>6</v>
      </c>
      <c r="B28" s="2493" t="s">
        <v>344</v>
      </c>
      <c r="C28" s="2325">
        <f>C19+C27</f>
        <v>6460.0562399999999</v>
      </c>
      <c r="D28" s="2326">
        <f>D19+D27</f>
        <v>3987.7515399999997</v>
      </c>
      <c r="E28" s="2327">
        <v>0</v>
      </c>
      <c r="F28" s="2325">
        <f t="shared" ref="F28:Q28" si="10">F19+F27</f>
        <v>480.96030000000002</v>
      </c>
      <c r="G28" s="2326">
        <f t="shared" si="10"/>
        <v>480.96030000000002</v>
      </c>
      <c r="H28" s="2327">
        <f t="shared" si="10"/>
        <v>0</v>
      </c>
      <c r="I28" s="2325">
        <f t="shared" si="10"/>
        <v>798.22533999999996</v>
      </c>
      <c r="J28" s="2326">
        <f t="shared" si="10"/>
        <v>798.22533999999996</v>
      </c>
      <c r="K28" s="2327">
        <f t="shared" si="10"/>
        <v>0</v>
      </c>
      <c r="L28" s="2325">
        <f t="shared" ref="L28:N28" si="11">L19+L27</f>
        <v>391.51855999999998</v>
      </c>
      <c r="M28" s="2326">
        <f t="shared" si="11"/>
        <v>391.51855999999998</v>
      </c>
      <c r="N28" s="2327">
        <f t="shared" si="11"/>
        <v>0</v>
      </c>
      <c r="O28" s="2325">
        <f t="shared" si="10"/>
        <v>405.01920000000001</v>
      </c>
      <c r="P28" s="2326">
        <f t="shared" si="10"/>
        <v>405.01920000000001</v>
      </c>
      <c r="Q28" s="2327">
        <f t="shared" si="10"/>
        <v>0</v>
      </c>
    </row>
    <row r="29" spans="1:24" ht="27.6">
      <c r="A29" s="2473">
        <v>7</v>
      </c>
      <c r="B29" s="2493" t="s">
        <v>449</v>
      </c>
      <c r="C29" s="2490">
        <f>D29+E29</f>
        <v>3.8279999999999998</v>
      </c>
      <c r="D29" s="396">
        <f>'Д -11'!V13+'Д -11'!V14+'Д -11'!V15+'Д -11'!V18</f>
        <v>2.363</v>
      </c>
      <c r="E29" s="2491">
        <f>'Д -11'!V16+'Д -11'!V17</f>
        <v>1.4649999999999999</v>
      </c>
      <c r="F29" s="2490">
        <f>G29+H29</f>
        <v>0.28499999999999998</v>
      </c>
      <c r="G29" s="1214">
        <f>'Д 7_РП'!G186</f>
        <v>0.28499999999999998</v>
      </c>
      <c r="H29" s="2491"/>
      <c r="I29" s="2497">
        <f>J29+K29</f>
        <v>0.47299999999999998</v>
      </c>
      <c r="J29" s="395">
        <f>'Д 7_РП'!H186</f>
        <v>0.47299999999999998</v>
      </c>
      <c r="K29" s="2489"/>
      <c r="L29" s="2497">
        <f>M29+N29</f>
        <v>0.23200000000000001</v>
      </c>
      <c r="M29" s="395">
        <f>'Д 7_РП'!I186</f>
        <v>0.23200000000000001</v>
      </c>
      <c r="N29" s="2489"/>
      <c r="O29" s="2497">
        <f>P29+Q29</f>
        <v>0.24</v>
      </c>
      <c r="P29" s="395">
        <f>'Д 7_РП'!J186</f>
        <v>0.24</v>
      </c>
      <c r="Q29" s="2489">
        <v>0</v>
      </c>
      <c r="R29" s="2477"/>
      <c r="S29" s="2478"/>
    </row>
    <row r="30" spans="1:24" ht="33.75" customHeight="1">
      <c r="A30" s="2473">
        <v>8</v>
      </c>
      <c r="B30" s="2493" t="s">
        <v>345</v>
      </c>
      <c r="C30" s="2853" t="s">
        <v>210</v>
      </c>
      <c r="D30" s="2681"/>
      <c r="E30" s="2854"/>
      <c r="F30" s="2853" t="str">
        <f>C30</f>
        <v>Х</v>
      </c>
      <c r="G30" s="2681"/>
      <c r="H30" s="2854"/>
      <c r="I30" s="2853" t="str">
        <f t="shared" ref="I30:I41" si="12">F30</f>
        <v>Х</v>
      </c>
      <c r="J30" s="2681"/>
      <c r="K30" s="2854"/>
      <c r="L30" s="2853" t="str">
        <f t="shared" ref="L30:L41" si="13">F30</f>
        <v>Х</v>
      </c>
      <c r="M30" s="2681"/>
      <c r="N30" s="2854"/>
      <c r="O30" s="2853" t="str">
        <f t="shared" ref="O30:O41" si="14">I30</f>
        <v>Х</v>
      </c>
      <c r="P30" s="2681"/>
      <c r="Q30" s="2854"/>
      <c r="R30" s="2477"/>
      <c r="S30" s="2478"/>
    </row>
    <row r="31" spans="1:24">
      <c r="A31" s="2473" t="s">
        <v>109</v>
      </c>
      <c r="B31" s="2493" t="s">
        <v>346</v>
      </c>
      <c r="C31" s="2853">
        <f>'Вхідні дані'!$D$49</f>
        <v>0</v>
      </c>
      <c r="D31" s="2681"/>
      <c r="E31" s="2854"/>
      <c r="F31" s="2853">
        <f t="shared" ref="F31:F41" si="15">C31</f>
        <v>0</v>
      </c>
      <c r="G31" s="2681"/>
      <c r="H31" s="2854"/>
      <c r="I31" s="2853">
        <f t="shared" si="12"/>
        <v>0</v>
      </c>
      <c r="J31" s="2681"/>
      <c r="K31" s="2854"/>
      <c r="L31" s="2853">
        <f t="shared" si="13"/>
        <v>0</v>
      </c>
      <c r="M31" s="2681"/>
      <c r="N31" s="2854"/>
      <c r="O31" s="2853">
        <f t="shared" si="14"/>
        <v>0</v>
      </c>
      <c r="P31" s="2681"/>
      <c r="Q31" s="2854"/>
    </row>
    <row r="32" spans="1:24" ht="30.6">
      <c r="A32" s="2473" t="s">
        <v>111</v>
      </c>
      <c r="B32" s="2493" t="s">
        <v>349</v>
      </c>
      <c r="C32" s="2850">
        <f>'Вхідні дані'!$D$57</f>
        <v>-18</v>
      </c>
      <c r="D32" s="2851"/>
      <c r="E32" s="2852"/>
      <c r="F32" s="2858">
        <f t="shared" si="15"/>
        <v>-18</v>
      </c>
      <c r="G32" s="2859"/>
      <c r="H32" s="2860"/>
      <c r="I32" s="2858">
        <f t="shared" si="12"/>
        <v>-18</v>
      </c>
      <c r="J32" s="2859"/>
      <c r="K32" s="2860"/>
      <c r="L32" s="2858">
        <f t="shared" si="13"/>
        <v>-18</v>
      </c>
      <c r="M32" s="2859"/>
      <c r="N32" s="2860"/>
      <c r="O32" s="2858">
        <f t="shared" si="14"/>
        <v>-18</v>
      </c>
      <c r="P32" s="2859"/>
      <c r="Q32" s="2860"/>
    </row>
    <row r="33" spans="1:17" ht="30.6">
      <c r="A33" s="2473" t="s">
        <v>113</v>
      </c>
      <c r="B33" s="2493" t="s">
        <v>350</v>
      </c>
      <c r="C33" s="2858">
        <f>'Вхідні дані'!$D$58</f>
        <v>0</v>
      </c>
      <c r="D33" s="2859"/>
      <c r="E33" s="2860"/>
      <c r="F33" s="2853">
        <f t="shared" si="15"/>
        <v>0</v>
      </c>
      <c r="G33" s="2681"/>
      <c r="H33" s="2854"/>
      <c r="I33" s="2853">
        <f t="shared" si="12"/>
        <v>0</v>
      </c>
      <c r="J33" s="2681"/>
      <c r="K33" s="2854"/>
      <c r="L33" s="2853">
        <f t="shared" si="13"/>
        <v>0</v>
      </c>
      <c r="M33" s="2681"/>
      <c r="N33" s="2854"/>
      <c r="O33" s="2853">
        <f t="shared" si="14"/>
        <v>0</v>
      </c>
      <c r="P33" s="2681"/>
      <c r="Q33" s="2854"/>
    </row>
    <row r="34" spans="1:17" ht="27.6">
      <c r="A34" s="2473">
        <v>9</v>
      </c>
      <c r="B34" s="2493" t="s">
        <v>347</v>
      </c>
      <c r="C34" s="2853" t="s">
        <v>210</v>
      </c>
      <c r="D34" s="2681"/>
      <c r="E34" s="2854"/>
      <c r="F34" s="2853" t="str">
        <f t="shared" si="15"/>
        <v>Х</v>
      </c>
      <c r="G34" s="2681"/>
      <c r="H34" s="2854"/>
      <c r="I34" s="2853" t="str">
        <f t="shared" si="12"/>
        <v>Х</v>
      </c>
      <c r="J34" s="2681"/>
      <c r="K34" s="2854"/>
      <c r="L34" s="2853" t="str">
        <f t="shared" si="13"/>
        <v>Х</v>
      </c>
      <c r="M34" s="2681"/>
      <c r="N34" s="2854"/>
      <c r="O34" s="2853" t="str">
        <f t="shared" si="14"/>
        <v>Х</v>
      </c>
      <c r="P34" s="2681"/>
      <c r="Q34" s="2854"/>
    </row>
    <row r="35" spans="1:17">
      <c r="A35" s="2473" t="s">
        <v>148</v>
      </c>
      <c r="B35" s="2493" t="s">
        <v>346</v>
      </c>
      <c r="C35" s="2853">
        <v>158</v>
      </c>
      <c r="D35" s="2681"/>
      <c r="E35" s="2854"/>
      <c r="F35" s="2853">
        <f t="shared" si="15"/>
        <v>158</v>
      </c>
      <c r="G35" s="2681"/>
      <c r="H35" s="2854"/>
      <c r="I35" s="2853">
        <f t="shared" si="12"/>
        <v>158</v>
      </c>
      <c r="J35" s="2681"/>
      <c r="K35" s="2854"/>
      <c r="L35" s="2853">
        <f t="shared" si="13"/>
        <v>158</v>
      </c>
      <c r="M35" s="2681"/>
      <c r="N35" s="2854"/>
      <c r="O35" s="2853">
        <f t="shared" si="14"/>
        <v>158</v>
      </c>
      <c r="P35" s="2681"/>
      <c r="Q35" s="2854"/>
    </row>
    <row r="36" spans="1:17" ht="30.6">
      <c r="A36" s="2473" t="s">
        <v>193</v>
      </c>
      <c r="B36" s="2493" t="s">
        <v>349</v>
      </c>
      <c r="C36" s="2850">
        <v>-15</v>
      </c>
      <c r="D36" s="2851"/>
      <c r="E36" s="2852"/>
      <c r="F36" s="2850">
        <f t="shared" si="15"/>
        <v>-15</v>
      </c>
      <c r="G36" s="2851"/>
      <c r="H36" s="2852"/>
      <c r="I36" s="2850">
        <f t="shared" si="12"/>
        <v>-15</v>
      </c>
      <c r="J36" s="2851"/>
      <c r="K36" s="2852"/>
      <c r="L36" s="2850">
        <f t="shared" si="13"/>
        <v>-15</v>
      </c>
      <c r="M36" s="2851"/>
      <c r="N36" s="2852"/>
      <c r="O36" s="2850">
        <f t="shared" si="14"/>
        <v>-15</v>
      </c>
      <c r="P36" s="2851"/>
      <c r="Q36" s="2852"/>
    </row>
    <row r="37" spans="1:17" ht="30.6">
      <c r="A37" s="2473" t="s">
        <v>339</v>
      </c>
      <c r="B37" s="2493" t="s">
        <v>350</v>
      </c>
      <c r="C37" s="2850">
        <v>1.3</v>
      </c>
      <c r="D37" s="2851"/>
      <c r="E37" s="2852"/>
      <c r="F37" s="2850">
        <f t="shared" si="15"/>
        <v>1.3</v>
      </c>
      <c r="G37" s="2851"/>
      <c r="H37" s="2852"/>
      <c r="I37" s="2850">
        <f t="shared" si="12"/>
        <v>1.3</v>
      </c>
      <c r="J37" s="2851"/>
      <c r="K37" s="2852"/>
      <c r="L37" s="2850">
        <f t="shared" si="13"/>
        <v>1.3</v>
      </c>
      <c r="M37" s="2851"/>
      <c r="N37" s="2852"/>
      <c r="O37" s="2850">
        <f t="shared" si="14"/>
        <v>1.3</v>
      </c>
      <c r="P37" s="2851"/>
      <c r="Q37" s="2852"/>
    </row>
    <row r="38" spans="1:17" ht="27.6">
      <c r="A38" s="2473">
        <v>10</v>
      </c>
      <c r="B38" s="2493" t="s">
        <v>348</v>
      </c>
      <c r="C38" s="2853" t="s">
        <v>210</v>
      </c>
      <c r="D38" s="2681"/>
      <c r="E38" s="2854"/>
      <c r="F38" s="2853" t="str">
        <f t="shared" si="15"/>
        <v>Х</v>
      </c>
      <c r="G38" s="2681"/>
      <c r="H38" s="2854"/>
      <c r="I38" s="2853" t="str">
        <f t="shared" si="12"/>
        <v>Х</v>
      </c>
      <c r="J38" s="2681"/>
      <c r="K38" s="2854"/>
      <c r="L38" s="2853" t="str">
        <f t="shared" si="13"/>
        <v>Х</v>
      </c>
      <c r="M38" s="2681"/>
      <c r="N38" s="2854"/>
      <c r="O38" s="2853" t="str">
        <f t="shared" si="14"/>
        <v>Х</v>
      </c>
      <c r="P38" s="2681"/>
      <c r="Q38" s="2854"/>
    </row>
    <row r="39" spans="1:17">
      <c r="A39" s="2473" t="s">
        <v>83</v>
      </c>
      <c r="B39" s="2493" t="s">
        <v>346</v>
      </c>
      <c r="C39" s="2853">
        <v>158</v>
      </c>
      <c r="D39" s="2681"/>
      <c r="E39" s="2854"/>
      <c r="F39" s="2853">
        <f t="shared" si="15"/>
        <v>158</v>
      </c>
      <c r="G39" s="2681"/>
      <c r="H39" s="2854"/>
      <c r="I39" s="2853">
        <f t="shared" si="12"/>
        <v>158</v>
      </c>
      <c r="J39" s="2681"/>
      <c r="K39" s="2854"/>
      <c r="L39" s="2853">
        <f t="shared" si="13"/>
        <v>158</v>
      </c>
      <c r="M39" s="2681"/>
      <c r="N39" s="2854"/>
      <c r="O39" s="2853">
        <f t="shared" si="14"/>
        <v>158</v>
      </c>
      <c r="P39" s="2681"/>
      <c r="Q39" s="2854"/>
    </row>
    <row r="40" spans="1:17" ht="30.6">
      <c r="A40" s="2473" t="s">
        <v>85</v>
      </c>
      <c r="B40" s="2493" t="s">
        <v>349</v>
      </c>
      <c r="C40" s="2850">
        <f>'Вхідні дані'!D57</f>
        <v>-18</v>
      </c>
      <c r="D40" s="2851"/>
      <c r="E40" s="2852"/>
      <c r="F40" s="2850">
        <f t="shared" si="15"/>
        <v>-18</v>
      </c>
      <c r="G40" s="2851"/>
      <c r="H40" s="2852"/>
      <c r="I40" s="2850">
        <f t="shared" si="12"/>
        <v>-18</v>
      </c>
      <c r="J40" s="2851"/>
      <c r="K40" s="2852"/>
      <c r="L40" s="2850">
        <f t="shared" si="13"/>
        <v>-18</v>
      </c>
      <c r="M40" s="2851"/>
      <c r="N40" s="2852"/>
      <c r="O40" s="2850">
        <f t="shared" si="14"/>
        <v>-18</v>
      </c>
      <c r="P40" s="2851"/>
      <c r="Q40" s="2852"/>
    </row>
    <row r="41" spans="1:17" ht="31.2" thickBot="1">
      <c r="A41" s="2479" t="s">
        <v>103</v>
      </c>
      <c r="B41" s="2495" t="s">
        <v>350</v>
      </c>
      <c r="C41" s="2855">
        <v>2</v>
      </c>
      <c r="D41" s="2856"/>
      <c r="E41" s="2857"/>
      <c r="F41" s="2855">
        <f t="shared" si="15"/>
        <v>2</v>
      </c>
      <c r="G41" s="2856"/>
      <c r="H41" s="2857"/>
      <c r="I41" s="2855">
        <f t="shared" si="12"/>
        <v>2</v>
      </c>
      <c r="J41" s="2856"/>
      <c r="K41" s="2857"/>
      <c r="L41" s="2855">
        <f t="shared" si="13"/>
        <v>2</v>
      </c>
      <c r="M41" s="2856"/>
      <c r="N41" s="2857"/>
      <c r="O41" s="2855">
        <f t="shared" si="14"/>
        <v>2</v>
      </c>
      <c r="P41" s="2856"/>
      <c r="Q41" s="2857"/>
    </row>
    <row r="42" spans="1:17">
      <c r="B42" s="18"/>
    </row>
    <row r="43" spans="1:17">
      <c r="B43" s="18"/>
      <c r="C43" s="18"/>
      <c r="D43" s="18"/>
      <c r="E43" s="18"/>
      <c r="F43" s="18"/>
    </row>
    <row r="44" spans="1:17">
      <c r="B44" s="213"/>
      <c r="C44" s="213"/>
      <c r="D44" s="213"/>
      <c r="E44" s="213"/>
      <c r="F44" s="213"/>
    </row>
    <row r="45" spans="1:17" ht="15.6">
      <c r="B45" s="2480" t="str">
        <f>'Вхідні дані'!B13</f>
        <v>Директор підприємства</v>
      </c>
      <c r="C45" s="44"/>
      <c r="D45" s="767" t="s">
        <v>638</v>
      </c>
      <c r="E45" s="44"/>
      <c r="F45" s="2849" t="str">
        <f>'Вхідні дані'!F13</f>
        <v>Сергій НІКУЛЬЧА</v>
      </c>
      <c r="G45" s="2849"/>
      <c r="H45" s="2849"/>
    </row>
    <row r="46" spans="1:17" ht="15.6">
      <c r="B46" s="47" t="s">
        <v>636</v>
      </c>
      <c r="C46" s="44"/>
      <c r="D46" s="47" t="s">
        <v>637</v>
      </c>
      <c r="E46" s="44"/>
      <c r="F46" s="2767" t="s">
        <v>216</v>
      </c>
      <c r="G46" s="2767"/>
      <c r="H46" s="2767"/>
    </row>
    <row r="50" spans="5:5">
      <c r="E50" s="400"/>
    </row>
    <row r="51" spans="5:5">
      <c r="E51" s="400"/>
    </row>
    <row r="52" spans="5:5">
      <c r="E52" s="400"/>
    </row>
  </sheetData>
  <protectedRanges>
    <protectedRange sqref="D14 G14 J14 P14 M14" name="Диапазон1"/>
  </protectedRanges>
  <mergeCells count="78">
    <mergeCell ref="L38:N38"/>
    <mergeCell ref="L39:N39"/>
    <mergeCell ref="L40:N40"/>
    <mergeCell ref="L41:N41"/>
    <mergeCell ref="L33:N33"/>
    <mergeCell ref="L34:N34"/>
    <mergeCell ref="L35:N35"/>
    <mergeCell ref="L36:N36"/>
    <mergeCell ref="L37:N37"/>
    <mergeCell ref="L1:N1"/>
    <mergeCell ref="M11:N11"/>
    <mergeCell ref="L30:N30"/>
    <mergeCell ref="L31:N31"/>
    <mergeCell ref="L32:N32"/>
    <mergeCell ref="A9:Q9"/>
    <mergeCell ref="P11:Q11"/>
    <mergeCell ref="O30:Q30"/>
    <mergeCell ref="O31:Q31"/>
    <mergeCell ref="O32:Q32"/>
    <mergeCell ref="G11:H11"/>
    <mergeCell ref="F30:H30"/>
    <mergeCell ref="F31:H31"/>
    <mergeCell ref="F32:H32"/>
    <mergeCell ref="C32:E32"/>
    <mergeCell ref="A11:A12"/>
    <mergeCell ref="B11:B12"/>
    <mergeCell ref="D11:E11"/>
    <mergeCell ref="C30:E30"/>
    <mergeCell ref="C31:E31"/>
    <mergeCell ref="O33:Q33"/>
    <mergeCell ref="I33:K33"/>
    <mergeCell ref="J11:K11"/>
    <mergeCell ref="I30:K30"/>
    <mergeCell ref="I31:K31"/>
    <mergeCell ref="I32:K32"/>
    <mergeCell ref="I38:K38"/>
    <mergeCell ref="I39:K39"/>
    <mergeCell ref="I40:K40"/>
    <mergeCell ref="I41:K41"/>
    <mergeCell ref="O34:Q34"/>
    <mergeCell ref="O35:Q35"/>
    <mergeCell ref="O36:Q36"/>
    <mergeCell ref="O37:Q37"/>
    <mergeCell ref="O38:Q38"/>
    <mergeCell ref="O39:Q39"/>
    <mergeCell ref="O40:Q40"/>
    <mergeCell ref="O41:Q41"/>
    <mergeCell ref="I34:K34"/>
    <mergeCell ref="I35:K35"/>
    <mergeCell ref="I36:K36"/>
    <mergeCell ref="I37:K37"/>
    <mergeCell ref="F39:H39"/>
    <mergeCell ref="F40:H40"/>
    <mergeCell ref="F41:H41"/>
    <mergeCell ref="C33:E33"/>
    <mergeCell ref="C34:E34"/>
    <mergeCell ref="C35:E35"/>
    <mergeCell ref="F34:H34"/>
    <mergeCell ref="F35:H35"/>
    <mergeCell ref="F36:H36"/>
    <mergeCell ref="F37:H37"/>
    <mergeCell ref="F38:H38"/>
    <mergeCell ref="F46:H46"/>
    <mergeCell ref="A7:Q7"/>
    <mergeCell ref="A8:Q8"/>
    <mergeCell ref="O1:Q1"/>
    <mergeCell ref="A3:Q3"/>
    <mergeCell ref="A4:Q4"/>
    <mergeCell ref="A5:Q5"/>
    <mergeCell ref="A6:Q6"/>
    <mergeCell ref="F45:H45"/>
    <mergeCell ref="C36:E36"/>
    <mergeCell ref="C37:E37"/>
    <mergeCell ref="C38:E38"/>
    <mergeCell ref="C39:E39"/>
    <mergeCell ref="C40:E40"/>
    <mergeCell ref="C41:E41"/>
    <mergeCell ref="F33:H33"/>
  </mergeCells>
  <pageMargins left="0.23622047244094491" right="0.15748031496062992" top="0.4" bottom="0.15" header="0.31496062992125984" footer="0.15"/>
  <pageSetup paperSize="9" scale="55" fitToHeight="0" orientation="landscape" horizont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36">
    <tabColor rgb="FFFFC000"/>
    <pageSetUpPr fitToPage="1"/>
  </sheetPr>
  <dimension ref="A1:J40"/>
  <sheetViews>
    <sheetView zoomScaleNormal="100" zoomScaleSheetLayoutView="87" workbookViewId="0">
      <selection activeCell="C26" sqref="C26"/>
    </sheetView>
  </sheetViews>
  <sheetFormatPr defaultRowHeight="14.4"/>
  <cols>
    <col min="1" max="1" width="5.5546875" style="33" customWidth="1"/>
    <col min="2" max="2" width="68.5546875" customWidth="1"/>
    <col min="3" max="3" width="37" customWidth="1"/>
    <col min="4" max="4" width="22.109375" customWidth="1"/>
    <col min="5" max="5" width="27" customWidth="1"/>
  </cols>
  <sheetData>
    <row r="1" spans="1:10" s="9" customFormat="1" ht="138" customHeight="1">
      <c r="A1" s="37"/>
      <c r="C1" s="53" t="s">
        <v>726</v>
      </c>
      <c r="D1" s="55" t="s">
        <v>727</v>
      </c>
      <c r="E1" s="80" t="s">
        <v>640</v>
      </c>
      <c r="F1" s="55"/>
      <c r="G1" s="55"/>
      <c r="H1" s="55"/>
      <c r="I1" s="55"/>
      <c r="J1" s="55"/>
    </row>
    <row r="2" spans="1:10" s="9" customFormat="1" ht="13.8">
      <c r="A2" s="37"/>
      <c r="D2" s="55" t="s">
        <v>728</v>
      </c>
      <c r="E2" s="55"/>
      <c r="F2" s="55"/>
      <c r="G2" s="55"/>
      <c r="H2" s="55"/>
      <c r="I2" s="55"/>
      <c r="J2" s="55"/>
    </row>
    <row r="3" spans="1:10" s="9" customFormat="1">
      <c r="A3" s="2868" t="s">
        <v>403</v>
      </c>
      <c r="B3" s="2869"/>
      <c r="C3" s="2869"/>
    </row>
    <row r="4" spans="1:10" s="14" customFormat="1">
      <c r="A4" s="2868" t="s">
        <v>404</v>
      </c>
      <c r="B4" s="2869"/>
      <c r="C4" s="2869"/>
      <c r="D4" s="9"/>
      <c r="E4" s="9"/>
      <c r="F4" s="9"/>
      <c r="G4" s="9"/>
      <c r="H4" s="9"/>
      <c r="I4" s="9"/>
      <c r="J4" s="9"/>
    </row>
    <row r="5" spans="1:10" s="14" customFormat="1">
      <c r="A5" s="2868" t="s">
        <v>405</v>
      </c>
      <c r="B5" s="2869"/>
      <c r="C5" s="2869"/>
      <c r="D5" s="9"/>
      <c r="E5" s="9"/>
      <c r="F5" s="9"/>
      <c r="G5" s="9"/>
      <c r="H5" s="9"/>
      <c r="I5" s="9"/>
      <c r="J5" s="9"/>
    </row>
    <row r="6" spans="1:10" s="29" customFormat="1">
      <c r="A6" s="2868" t="s">
        <v>406</v>
      </c>
      <c r="B6" s="2869"/>
      <c r="C6" s="2869"/>
      <c r="D6" s="9"/>
      <c r="E6" s="9"/>
      <c r="F6" s="9"/>
      <c r="G6" s="9"/>
      <c r="H6" s="9"/>
      <c r="I6" s="9"/>
      <c r="J6" s="9"/>
    </row>
    <row r="7" spans="1:10" s="29" customFormat="1" ht="13.8">
      <c r="A7" s="54" t="s">
        <v>442</v>
      </c>
      <c r="B7" s="169" t="str">
        <f>'Вхідні дані'!F6</f>
        <v>2023-2024</v>
      </c>
      <c r="C7" s="79" t="s">
        <v>443</v>
      </c>
      <c r="D7" s="9"/>
      <c r="E7" s="9"/>
      <c r="F7" s="9"/>
      <c r="G7" s="9"/>
      <c r="H7" s="9"/>
      <c r="I7" s="9"/>
      <c r="J7" s="9"/>
    </row>
    <row r="8" spans="1:10" s="9" customFormat="1">
      <c r="A8" s="2866"/>
      <c r="B8" s="2867"/>
      <c r="C8" s="2867"/>
    </row>
    <row r="9" spans="1:10" ht="31.2">
      <c r="A9" s="34" t="s">
        <v>7</v>
      </c>
      <c r="B9" s="30" t="s">
        <v>369</v>
      </c>
      <c r="C9" s="30" t="s">
        <v>370</v>
      </c>
      <c r="D9" s="9"/>
      <c r="E9" s="9"/>
      <c r="F9" s="9"/>
      <c r="G9" s="9"/>
      <c r="H9" s="9"/>
      <c r="I9" s="9"/>
      <c r="J9" s="9"/>
    </row>
    <row r="10" spans="1:10" ht="15.6">
      <c r="A10" s="34">
        <v>1</v>
      </c>
      <c r="B10" s="31" t="s">
        <v>371</v>
      </c>
      <c r="C10" s="31" t="s">
        <v>372</v>
      </c>
      <c r="D10" s="9"/>
      <c r="E10" s="9"/>
      <c r="F10" s="9"/>
      <c r="G10" s="9"/>
      <c r="H10" s="9"/>
      <c r="I10" s="9"/>
      <c r="J10" s="9"/>
    </row>
    <row r="11" spans="1:10" ht="31.2">
      <c r="A11" s="34">
        <v>2</v>
      </c>
      <c r="B11" s="31" t="s">
        <v>373</v>
      </c>
      <c r="C11" s="31" t="s">
        <v>372</v>
      </c>
      <c r="D11" s="9"/>
      <c r="E11" s="9"/>
      <c r="F11" s="9"/>
      <c r="G11" s="9"/>
      <c r="H11" s="9"/>
      <c r="I11" s="9"/>
      <c r="J11" s="9"/>
    </row>
    <row r="12" spans="1:10" ht="15.6">
      <c r="A12" s="34">
        <v>3</v>
      </c>
      <c r="B12" s="31" t="s">
        <v>374</v>
      </c>
      <c r="C12" s="31" t="s">
        <v>372</v>
      </c>
      <c r="D12" s="9"/>
      <c r="E12" s="9"/>
      <c r="F12" s="9"/>
      <c r="G12" s="9"/>
      <c r="H12" s="9"/>
      <c r="I12" s="9"/>
      <c r="J12" s="9"/>
    </row>
    <row r="13" spans="1:10" ht="31.2">
      <c r="A13" s="34">
        <v>4</v>
      </c>
      <c r="B13" s="31" t="s">
        <v>375</v>
      </c>
      <c r="C13" s="31" t="s">
        <v>372</v>
      </c>
      <c r="D13" s="9"/>
      <c r="E13" s="9"/>
      <c r="F13" s="9"/>
      <c r="G13" s="9"/>
      <c r="H13" s="9"/>
      <c r="I13" s="9"/>
      <c r="J13" s="9"/>
    </row>
    <row r="14" spans="1:10" ht="15.6">
      <c r="A14" s="34">
        <v>5</v>
      </c>
      <c r="B14" s="31" t="s">
        <v>376</v>
      </c>
      <c r="C14" s="31" t="s">
        <v>372</v>
      </c>
      <c r="D14" s="9"/>
      <c r="E14" s="9"/>
      <c r="F14" s="9"/>
      <c r="G14" s="9"/>
      <c r="H14" s="9"/>
      <c r="I14" s="9"/>
      <c r="J14" s="9"/>
    </row>
    <row r="15" spans="1:10" ht="18" customHeight="1">
      <c r="A15" s="34">
        <v>6</v>
      </c>
      <c r="B15" s="31" t="s">
        <v>377</v>
      </c>
      <c r="C15" s="31" t="s">
        <v>372</v>
      </c>
      <c r="D15" s="9"/>
      <c r="E15" s="9"/>
      <c r="F15" s="9"/>
      <c r="G15" s="9"/>
      <c r="H15" s="9"/>
      <c r="I15" s="9"/>
      <c r="J15" s="9"/>
    </row>
    <row r="16" spans="1:10" ht="15.6">
      <c r="A16" s="34">
        <v>7</v>
      </c>
      <c r="B16" s="31" t="s">
        <v>378</v>
      </c>
      <c r="C16" s="31" t="s">
        <v>372</v>
      </c>
      <c r="D16" s="9"/>
      <c r="E16" s="9"/>
      <c r="F16" s="9"/>
      <c r="G16" s="9"/>
      <c r="H16" s="9"/>
      <c r="I16" s="9"/>
      <c r="J16" s="9"/>
    </row>
    <row r="17" spans="1:10" ht="46.8">
      <c r="A17" s="34">
        <v>8</v>
      </c>
      <c r="B17" s="32" t="s">
        <v>379</v>
      </c>
      <c r="C17" s="31" t="s">
        <v>372</v>
      </c>
      <c r="D17" s="9"/>
      <c r="E17" s="9"/>
      <c r="F17" s="9"/>
      <c r="G17" s="9"/>
      <c r="H17" s="9"/>
      <c r="I17" s="9"/>
      <c r="J17" s="9"/>
    </row>
    <row r="18" spans="1:10" ht="31.2">
      <c r="A18" s="34">
        <v>9</v>
      </c>
      <c r="B18" s="32" t="s">
        <v>380</v>
      </c>
      <c r="C18" s="31" t="s">
        <v>372</v>
      </c>
      <c r="D18" s="9"/>
      <c r="E18" s="9"/>
      <c r="F18" s="9"/>
      <c r="G18" s="9"/>
      <c r="H18" s="9"/>
      <c r="I18" s="9"/>
      <c r="J18" s="9"/>
    </row>
    <row r="19" spans="1:10" ht="62.4">
      <c r="A19" s="34">
        <v>10</v>
      </c>
      <c r="B19" s="32" t="s">
        <v>381</v>
      </c>
      <c r="C19" s="31" t="s">
        <v>372</v>
      </c>
      <c r="D19" s="9"/>
      <c r="E19" s="9"/>
      <c r="F19" s="9"/>
      <c r="G19" s="9"/>
      <c r="H19" s="9"/>
      <c r="I19" s="9"/>
      <c r="J19" s="9"/>
    </row>
    <row r="20" spans="1:10" ht="31.2">
      <c r="A20" s="34">
        <v>11</v>
      </c>
      <c r="B20" s="32" t="s">
        <v>382</v>
      </c>
      <c r="C20" s="31" t="s">
        <v>372</v>
      </c>
      <c r="D20" s="9"/>
      <c r="E20" s="9"/>
      <c r="F20" s="9"/>
      <c r="G20" s="9"/>
      <c r="H20" s="9"/>
      <c r="I20" s="9"/>
      <c r="J20" s="9"/>
    </row>
    <row r="21" spans="1:10" ht="31.2">
      <c r="A21" s="34">
        <v>12</v>
      </c>
      <c r="B21" s="32" t="s">
        <v>383</v>
      </c>
      <c r="C21" s="32" t="s">
        <v>372</v>
      </c>
      <c r="D21" s="9"/>
      <c r="E21" s="9"/>
      <c r="F21" s="9"/>
      <c r="G21" s="9"/>
      <c r="H21" s="9"/>
      <c r="I21" s="9"/>
      <c r="J21" s="9"/>
    </row>
    <row r="22" spans="1:10" ht="101.25" customHeight="1">
      <c r="A22" s="34">
        <v>13</v>
      </c>
      <c r="B22" s="32" t="s">
        <v>384</v>
      </c>
      <c r="C22" s="32" t="s">
        <v>372</v>
      </c>
      <c r="D22" s="9"/>
      <c r="E22" s="9"/>
      <c r="F22" s="9"/>
      <c r="G22" s="9"/>
      <c r="H22" s="9"/>
      <c r="I22" s="9"/>
      <c r="J22" s="9"/>
    </row>
    <row r="23" spans="1:10" ht="46.8">
      <c r="A23" s="34">
        <v>14</v>
      </c>
      <c r="B23" s="78" t="s">
        <v>385</v>
      </c>
      <c r="C23" s="31" t="s">
        <v>372</v>
      </c>
      <c r="D23" s="9"/>
      <c r="E23" s="9"/>
      <c r="F23" s="9"/>
      <c r="G23" s="9"/>
      <c r="H23" s="9"/>
      <c r="I23" s="9"/>
      <c r="J23" s="9"/>
    </row>
    <row r="24" spans="1:10" ht="31.2">
      <c r="A24" s="34">
        <v>15</v>
      </c>
      <c r="B24" s="32" t="s">
        <v>386</v>
      </c>
      <c r="C24" s="31">
        <f>SUM(C25:C35)</f>
        <v>0</v>
      </c>
      <c r="D24" s="9"/>
      <c r="E24" s="9"/>
      <c r="F24" s="9"/>
      <c r="G24" s="9"/>
      <c r="H24" s="9"/>
      <c r="I24" s="9"/>
      <c r="J24" s="9"/>
    </row>
    <row r="25" spans="1:10" ht="31.2">
      <c r="A25" s="34">
        <v>16</v>
      </c>
      <c r="B25" s="32" t="s">
        <v>387</v>
      </c>
      <c r="C25" s="7" t="s">
        <v>372</v>
      </c>
      <c r="D25" s="9"/>
      <c r="E25" s="9"/>
      <c r="F25" s="9"/>
      <c r="G25" s="9"/>
      <c r="H25" s="9"/>
      <c r="I25" s="9"/>
      <c r="J25" s="9"/>
    </row>
    <row r="26" spans="1:10" ht="46.8">
      <c r="A26" s="34">
        <v>17</v>
      </c>
      <c r="B26" s="32" t="s">
        <v>388</v>
      </c>
      <c r="C26" s="31" t="s">
        <v>372</v>
      </c>
      <c r="D26" s="9"/>
      <c r="E26" s="9"/>
      <c r="F26" s="9"/>
      <c r="G26" s="9"/>
      <c r="H26" s="9"/>
      <c r="I26" s="9"/>
      <c r="J26" s="9"/>
    </row>
    <row r="27" spans="1:10" ht="19.5" customHeight="1">
      <c r="A27" s="34">
        <v>18</v>
      </c>
      <c r="B27" s="31" t="s">
        <v>389</v>
      </c>
      <c r="C27" s="31" t="s">
        <v>372</v>
      </c>
      <c r="D27" s="9"/>
      <c r="E27" s="9"/>
      <c r="F27" s="9"/>
      <c r="G27" s="9"/>
      <c r="H27" s="9"/>
      <c r="I27" s="9"/>
      <c r="J27" s="9"/>
    </row>
    <row r="28" spans="1:10" ht="31.2">
      <c r="A28" s="34">
        <v>19</v>
      </c>
      <c r="B28" s="32" t="s">
        <v>390</v>
      </c>
      <c r="C28" s="31" t="s">
        <v>372</v>
      </c>
      <c r="D28" s="9"/>
      <c r="E28" s="9"/>
      <c r="F28" s="9"/>
      <c r="G28" s="9"/>
      <c r="H28" s="9"/>
      <c r="I28" s="9"/>
      <c r="J28" s="9"/>
    </row>
    <row r="29" spans="1:10" ht="62.4">
      <c r="A29" s="34">
        <v>20</v>
      </c>
      <c r="B29" s="32" t="s">
        <v>391</v>
      </c>
      <c r="C29" s="31" t="s">
        <v>372</v>
      </c>
      <c r="D29" s="9"/>
      <c r="E29" s="9"/>
      <c r="F29" s="9"/>
      <c r="G29" s="9"/>
      <c r="H29" s="9"/>
      <c r="I29" s="9"/>
      <c r="J29" s="9"/>
    </row>
    <row r="30" spans="1:10" ht="38.25" customHeight="1">
      <c r="A30" s="34">
        <v>21</v>
      </c>
      <c r="B30" s="32" t="s">
        <v>392</v>
      </c>
      <c r="C30" s="31" t="s">
        <v>372</v>
      </c>
      <c r="D30" s="9"/>
      <c r="E30" s="9"/>
      <c r="F30" s="9"/>
      <c r="G30" s="9"/>
      <c r="H30" s="9"/>
      <c r="I30" s="9"/>
      <c r="J30" s="9"/>
    </row>
    <row r="31" spans="1:10" ht="46.8">
      <c r="A31" s="34">
        <v>22</v>
      </c>
      <c r="B31" s="32" t="s">
        <v>393</v>
      </c>
      <c r="C31" s="31" t="s">
        <v>372</v>
      </c>
      <c r="D31" s="9"/>
      <c r="E31" s="9"/>
      <c r="F31" s="9"/>
      <c r="G31" s="9"/>
      <c r="H31" s="9"/>
      <c r="I31" s="9"/>
      <c r="J31" s="9"/>
    </row>
    <row r="32" spans="1:10" ht="31.2">
      <c r="A32" s="34">
        <v>23</v>
      </c>
      <c r="B32" s="32" t="s">
        <v>394</v>
      </c>
      <c r="C32" s="31" t="s">
        <v>372</v>
      </c>
      <c r="D32" s="9"/>
      <c r="E32" s="9"/>
      <c r="F32" s="9"/>
      <c r="G32" s="9"/>
      <c r="H32" s="9"/>
      <c r="I32" s="9"/>
      <c r="J32" s="9"/>
    </row>
    <row r="33" spans="1:10" ht="31.2">
      <c r="A33" s="34">
        <v>24</v>
      </c>
      <c r="B33" s="32" t="s">
        <v>395</v>
      </c>
      <c r="C33" s="31" t="s">
        <v>372</v>
      </c>
      <c r="D33" s="9"/>
      <c r="E33" s="9"/>
      <c r="F33" s="9"/>
      <c r="G33" s="9"/>
      <c r="H33" s="9"/>
      <c r="I33" s="9"/>
      <c r="J33" s="9"/>
    </row>
    <row r="34" spans="1:10" ht="62.4">
      <c r="A34" s="34">
        <v>25</v>
      </c>
      <c r="B34" s="32" t="s">
        <v>396</v>
      </c>
      <c r="C34" s="31" t="s">
        <v>372</v>
      </c>
      <c r="D34" s="9"/>
      <c r="E34" s="9"/>
      <c r="F34" s="9"/>
      <c r="G34" s="9"/>
      <c r="H34" s="9"/>
      <c r="I34" s="9"/>
      <c r="J34" s="9"/>
    </row>
    <row r="35" spans="1:10" ht="15.6">
      <c r="A35" s="34">
        <v>26</v>
      </c>
      <c r="B35" s="32" t="s">
        <v>397</v>
      </c>
      <c r="C35" s="31" t="s">
        <v>372</v>
      </c>
      <c r="D35" s="9"/>
      <c r="E35" s="9"/>
      <c r="F35" s="9"/>
      <c r="G35" s="9"/>
      <c r="H35" s="9"/>
      <c r="I35" s="9"/>
      <c r="J35" s="9"/>
    </row>
    <row r="36" spans="1:10" ht="31.2">
      <c r="A36" s="34">
        <v>27</v>
      </c>
      <c r="B36" s="31" t="s">
        <v>398</v>
      </c>
      <c r="C36" s="31" t="s">
        <v>372</v>
      </c>
      <c r="D36" s="9"/>
      <c r="E36" s="9"/>
      <c r="F36" s="9"/>
      <c r="G36" s="9"/>
      <c r="H36" s="9"/>
      <c r="I36" s="9"/>
      <c r="J36" s="9"/>
    </row>
    <row r="37" spans="1:10" ht="31.2">
      <c r="A37" s="34">
        <v>28</v>
      </c>
      <c r="B37" s="32" t="s">
        <v>399</v>
      </c>
      <c r="C37" s="31" t="s">
        <v>372</v>
      </c>
      <c r="D37" s="9"/>
      <c r="E37" s="9"/>
      <c r="F37" s="9"/>
      <c r="G37" s="9"/>
      <c r="H37" s="9"/>
      <c r="I37" s="9"/>
      <c r="J37" s="9"/>
    </row>
    <row r="38" spans="1:10" ht="46.8">
      <c r="A38" s="34">
        <v>29</v>
      </c>
      <c r="B38" s="32" t="s">
        <v>400</v>
      </c>
      <c r="C38" s="31" t="s">
        <v>372</v>
      </c>
      <c r="D38" s="9"/>
      <c r="E38" s="9"/>
      <c r="F38" s="9"/>
      <c r="G38" s="9"/>
      <c r="H38" s="9"/>
      <c r="I38" s="9"/>
      <c r="J38" s="9"/>
    </row>
    <row r="39" spans="1:10" ht="78">
      <c r="A39" s="34">
        <v>30</v>
      </c>
      <c r="B39" s="32" t="s">
        <v>401</v>
      </c>
      <c r="C39" s="31" t="s">
        <v>372</v>
      </c>
      <c r="D39" s="9"/>
      <c r="E39" s="9"/>
      <c r="F39" s="9"/>
      <c r="G39" s="9"/>
      <c r="H39" s="9"/>
      <c r="I39" s="9"/>
      <c r="J39" s="9"/>
    </row>
    <row r="40" spans="1:10" ht="78">
      <c r="A40" s="34">
        <v>31</v>
      </c>
      <c r="B40" s="32" t="s">
        <v>402</v>
      </c>
      <c r="C40" s="31" t="s">
        <v>372</v>
      </c>
      <c r="D40" s="9"/>
      <c r="E40" s="9"/>
      <c r="F40" s="9"/>
      <c r="G40" s="9"/>
      <c r="H40" s="9"/>
      <c r="I40" s="9"/>
      <c r="J40" s="9"/>
    </row>
  </sheetData>
  <mergeCells count="5">
    <mergeCell ref="A8:C8"/>
    <mergeCell ref="A5:C5"/>
    <mergeCell ref="A3:C3"/>
    <mergeCell ref="A4:C4"/>
    <mergeCell ref="A6:C6"/>
  </mergeCells>
  <hyperlinks>
    <hyperlink ref="B24" r:id="rId1" location="n29" display="http://zakon2.rada.gov.ua/laws/show/z0643-16/print - n29" xr:uid="{00000000-0004-0000-0E00-000000000000}"/>
  </hyperlinks>
  <pageMargins left="0.70866141732283472" right="0.70866141732283472" top="0.74803149606299213" bottom="0.74803149606299213" header="0.31496062992125984" footer="0.31496062992125984"/>
  <pageSetup paperSize="9" scale="78" fitToHeight="2" orientation="portrait" horizont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theme="7"/>
    <pageSetUpPr fitToPage="1"/>
  </sheetPr>
  <dimension ref="A1:R88"/>
  <sheetViews>
    <sheetView topLeftCell="A7" zoomScale="75" zoomScaleNormal="75" workbookViewId="0">
      <pane xSplit="2" ySplit="3" topLeftCell="C10" activePane="bottomRight" state="frozen"/>
      <selection activeCell="A7" sqref="A7"/>
      <selection pane="topRight" activeCell="C7" sqref="C7"/>
      <selection pane="bottomLeft" activeCell="A10" sqref="A10"/>
      <selection pane="bottomRight" activeCell="F36" sqref="F36"/>
    </sheetView>
  </sheetViews>
  <sheetFormatPr defaultColWidth="9.109375" defaultRowHeight="15.6"/>
  <cols>
    <col min="1" max="1" width="4.6640625" style="192" customWidth="1"/>
    <col min="2" max="2" width="63.33203125" style="192" customWidth="1"/>
    <col min="3" max="3" width="11.33203125" style="577" customWidth="1"/>
    <col min="4" max="4" width="10.77734375" style="577" customWidth="1"/>
    <col min="5" max="5" width="10.33203125" style="577" customWidth="1"/>
    <col min="6" max="6" width="14.88671875" style="577" customWidth="1"/>
    <col min="7" max="7" width="14.77734375" style="577" customWidth="1"/>
    <col min="8" max="11" width="21" style="577" customWidth="1"/>
    <col min="12" max="12" width="18.6640625" style="912" customWidth="1"/>
    <col min="13" max="13" width="7.5546875" style="1308" customWidth="1"/>
    <col min="14" max="14" width="16.5546875" style="192" customWidth="1"/>
    <col min="15" max="15" width="13.44140625" style="192" customWidth="1"/>
    <col min="16" max="16" width="20.33203125" style="192" customWidth="1"/>
    <col min="17" max="17" width="13.6640625" style="192" bestFit="1" customWidth="1"/>
    <col min="18" max="18" width="16.44140625" style="192" bestFit="1" customWidth="1"/>
    <col min="19" max="19" width="13.6640625" style="192" customWidth="1"/>
    <col min="20" max="20" width="13.5546875" style="192" bestFit="1" customWidth="1"/>
    <col min="21" max="21" width="9.109375" style="192"/>
    <col min="22" max="23" width="9.5546875" style="192" bestFit="1" customWidth="1"/>
    <col min="24" max="16384" width="9.109375" style="192"/>
  </cols>
  <sheetData>
    <row r="1" spans="2:18">
      <c r="N1" s="1308"/>
      <c r="R1" s="196"/>
    </row>
    <row r="2" spans="2:18" ht="17.399999999999999">
      <c r="B2" s="191"/>
      <c r="J2" s="1123" t="s">
        <v>620</v>
      </c>
      <c r="M2" s="192"/>
      <c r="N2" s="374"/>
      <c r="O2" s="196"/>
      <c r="P2" s="196"/>
      <c r="Q2" s="196"/>
    </row>
    <row r="3" spans="2:18" ht="18" customHeight="1">
      <c r="J3" s="577" t="str">
        <f>'Вхідні дані'!F1</f>
        <v>станом на 01.09.2023 року</v>
      </c>
      <c r="M3" s="374"/>
    </row>
    <row r="4" spans="2:18" ht="19.2">
      <c r="B4" s="238" t="s">
        <v>776</v>
      </c>
      <c r="C4" s="1124"/>
      <c r="D4" s="239" t="str">
        <f>'Вхідні дані'!$F$5</f>
        <v>ТОВ ДП " Моноліт- Сервіс "</v>
      </c>
      <c r="E4" s="239"/>
      <c r="F4" s="239"/>
      <c r="G4" s="239" t="s">
        <v>442</v>
      </c>
      <c r="H4" s="239" t="str">
        <f>'Вхідні дані'!$F$6</f>
        <v>2023-2024</v>
      </c>
      <c r="I4" s="239"/>
      <c r="J4" s="239" t="s">
        <v>545</v>
      </c>
      <c r="K4" s="195"/>
      <c r="L4" s="240"/>
      <c r="M4" s="375"/>
    </row>
    <row r="5" spans="2:18" ht="17.399999999999999">
      <c r="B5" s="194"/>
      <c r="F5" s="195"/>
      <c r="G5" s="1125"/>
      <c r="H5" s="1125"/>
      <c r="I5" s="1125"/>
      <c r="J5" s="1125"/>
      <c r="K5" s="1125"/>
      <c r="L5" s="240"/>
      <c r="M5" s="375"/>
    </row>
    <row r="6" spans="2:18" ht="18.600000000000001" thickBot="1">
      <c r="B6" s="210"/>
      <c r="F6" s="1126"/>
      <c r="G6" s="1126"/>
      <c r="H6" s="1126"/>
      <c r="I6" s="1126"/>
      <c r="J6" s="1126"/>
      <c r="K6" s="1126"/>
      <c r="L6" s="305"/>
      <c r="M6" s="376"/>
    </row>
    <row r="7" spans="2:18" ht="18" thickBot="1">
      <c r="B7" s="2871" t="s">
        <v>1217</v>
      </c>
      <c r="C7" s="1216" t="s">
        <v>673</v>
      </c>
      <c r="D7" s="1216" t="s">
        <v>673</v>
      </c>
      <c r="E7" s="1216" t="s">
        <v>683</v>
      </c>
      <c r="F7" s="1216" t="s">
        <v>674</v>
      </c>
      <c r="G7" s="2873" t="s">
        <v>1822</v>
      </c>
      <c r="H7" s="2874"/>
      <c r="I7" s="2874"/>
      <c r="J7" s="2874"/>
      <c r="K7" s="2875"/>
      <c r="L7" s="306"/>
      <c r="M7" s="236"/>
    </row>
    <row r="8" spans="2:18" ht="28.2" customHeight="1" thickBot="1">
      <c r="B8" s="2872"/>
      <c r="C8" s="1217">
        <f>'Вхідні дані'!$F$8</f>
        <v>2021</v>
      </c>
      <c r="D8" s="1217">
        <f>'Вхідні дані'!$F$7</f>
        <v>2022</v>
      </c>
      <c r="E8" s="1218">
        <f>'Вхідні дані'!$F$9</f>
        <v>0</v>
      </c>
      <c r="F8" s="1216" t="str">
        <f>'Вхідні дані'!$F$6</f>
        <v>2023-2024</v>
      </c>
      <c r="G8" s="1219" t="s">
        <v>1823</v>
      </c>
      <c r="H8" s="1219" t="str">
        <f>'Вхідні дані'!$C$18</f>
        <v>САО Парусна, 1-А</v>
      </c>
      <c r="I8" s="1219" t="str">
        <f>'Вхідні дані'!$D$18</f>
        <v>САО Парусна, 1-Б</v>
      </c>
      <c r="J8" s="1219" t="str">
        <f>'Вхідні дані'!$E$18</f>
        <v>САО Паркова, 50</v>
      </c>
      <c r="K8" s="1219" t="str">
        <f>'Вхідні дані'!F18</f>
        <v>САО Паркова, 52</v>
      </c>
      <c r="L8" s="306"/>
      <c r="M8" s="237"/>
    </row>
    <row r="9" spans="2:18" ht="21" customHeight="1" thickBot="1">
      <c r="B9" s="1220" t="s">
        <v>1503</v>
      </c>
      <c r="C9" s="1221"/>
      <c r="D9" s="1221"/>
      <c r="E9" s="1222"/>
      <c r="F9" s="1223">
        <f>SUM(G9:K9)</f>
        <v>0.99999999999999989</v>
      </c>
      <c r="G9" s="1224">
        <f>'Д 7_РП'!F185</f>
        <v>0.75682087781731899</v>
      </c>
      <c r="H9" s="1224">
        <f>'Д 7_РП'!G185</f>
        <v>5.6346381969157769E-2</v>
      </c>
      <c r="I9" s="1224">
        <f>'Д 7_РП'!H185</f>
        <v>9.3515223408461828E-2</v>
      </c>
      <c r="J9" s="1224">
        <f>'Д 7_РП'!I185</f>
        <v>4.5867931988928426E-2</v>
      </c>
      <c r="K9" s="1224">
        <f>'Д 7_РП'!J185</f>
        <v>4.7449584816132859E-2</v>
      </c>
      <c r="L9" s="306"/>
      <c r="M9" s="237"/>
    </row>
    <row r="10" spans="2:18" ht="34.799999999999997">
      <c r="B10" s="197" t="s">
        <v>783</v>
      </c>
      <c r="C10" s="632">
        <f>C11+C29+C31</f>
        <v>0</v>
      </c>
      <c r="D10" s="1951">
        <f t="shared" ref="D10:K10" si="0">D11+D29+D31</f>
        <v>0</v>
      </c>
      <c r="E10" s="632">
        <f t="shared" si="0"/>
        <v>0</v>
      </c>
      <c r="F10" s="632">
        <f t="shared" si="0"/>
        <v>10147.623056907007</v>
      </c>
      <c r="G10" s="632">
        <f t="shared" si="0"/>
        <v>7663.9566014188749</v>
      </c>
      <c r="H10" s="632">
        <f t="shared" si="0"/>
        <v>584.00669753054763</v>
      </c>
      <c r="I10" s="632">
        <f t="shared" si="0"/>
        <v>954.97321768702557</v>
      </c>
      <c r="J10" s="632">
        <f t="shared" si="0"/>
        <v>461.61267917865416</v>
      </c>
      <c r="K10" s="632">
        <f t="shared" si="0"/>
        <v>483.07386109190492</v>
      </c>
      <c r="L10" s="307"/>
      <c r="M10" s="377"/>
      <c r="N10" s="1130">
        <f>F10-G10-H10-I10-J10-K10</f>
        <v>-5.1159076974727213E-13</v>
      </c>
      <c r="O10" s="196"/>
    </row>
    <row r="11" spans="2:18" ht="17.399999999999999">
      <c r="B11" s="199" t="s">
        <v>769</v>
      </c>
      <c r="C11" s="633">
        <f>SUM(C12:C28)-C13-C14-C15</f>
        <v>0</v>
      </c>
      <c r="D11" s="1442">
        <f t="shared" ref="D11:K11" si="1">SUM(D12:D28)-D13-D14-D15</f>
        <v>0</v>
      </c>
      <c r="E11" s="633">
        <f t="shared" si="1"/>
        <v>0</v>
      </c>
      <c r="F11" s="633">
        <f t="shared" si="1"/>
        <v>9714.0286569070067</v>
      </c>
      <c r="G11" s="633">
        <f t="shared" si="1"/>
        <v>7335.8033069942012</v>
      </c>
      <c r="H11" s="633">
        <f t="shared" si="1"/>
        <v>559.57522184845982</v>
      </c>
      <c r="I11" s="633">
        <f t="shared" si="1"/>
        <v>914.42554050236765</v>
      </c>
      <c r="J11" s="633">
        <f t="shared" si="1"/>
        <v>441.72460072867398</v>
      </c>
      <c r="K11" s="633">
        <f t="shared" si="1"/>
        <v>462.49998683330472</v>
      </c>
      <c r="L11" s="307"/>
      <c r="M11" s="377"/>
      <c r="N11" s="1130">
        <f t="shared" ref="N11:N40" si="2">F11-G11-H11-I11-J11-K11</f>
        <v>-7.3896444519050419E-13</v>
      </c>
      <c r="O11" s="196"/>
    </row>
    <row r="12" spans="2:18" ht="36">
      <c r="B12" s="201" t="s">
        <v>929</v>
      </c>
      <c r="C12" s="635"/>
      <c r="D12" s="1443"/>
      <c r="E12" s="635"/>
      <c r="F12" s="635">
        <f>SUM(G12:K12)</f>
        <v>8302.6957517161845</v>
      </c>
      <c r="G12" s="635">
        <f>'Д 8_Паливо'!S28</f>
        <v>6266.4817806721203</v>
      </c>
      <c r="H12" s="635">
        <f>'Д 8_Паливо'!AC48</f>
        <v>480.36083987563558</v>
      </c>
      <c r="I12" s="635">
        <f>'Д 8_Паливо'!AM48</f>
        <v>782.8090134241105</v>
      </c>
      <c r="J12" s="635">
        <f>'Д 8_Паливо'!AW48</f>
        <v>377.24410092517337</v>
      </c>
      <c r="K12" s="635">
        <f>'Д 8_Паливо'!BG48</f>
        <v>395.8000168191449</v>
      </c>
      <c r="L12" s="244" t="s">
        <v>785</v>
      </c>
      <c r="M12" s="379"/>
      <c r="N12" s="1130">
        <f t="shared" si="2"/>
        <v>0</v>
      </c>
      <c r="O12" s="196"/>
      <c r="P12" s="357"/>
    </row>
    <row r="13" spans="2:18" ht="18">
      <c r="B13" s="218" t="s">
        <v>422</v>
      </c>
      <c r="C13" s="635"/>
      <c r="D13" s="1443"/>
      <c r="E13" s="635"/>
      <c r="F13" s="635">
        <f>SUM(G13:K13)</f>
        <v>7526.294279271533</v>
      </c>
      <c r="G13" s="635">
        <f>'Д 8_Паливо'!S10</f>
        <v>5714.6755349139594</v>
      </c>
      <c r="H13" s="635">
        <f>'Д 8_Паливо'!AC10</f>
        <v>416.21628826954287</v>
      </c>
      <c r="I13" s="635">
        <f>'Д 8_Паливо'!AM10</f>
        <v>690.77286794097972</v>
      </c>
      <c r="J13" s="635">
        <f>'Д 8_Паливо'!AW10</f>
        <v>346.34335688583855</v>
      </c>
      <c r="K13" s="635">
        <f>'Д 8_Паливо'!BG10</f>
        <v>358.28623126121232</v>
      </c>
      <c r="L13" s="244" t="s">
        <v>785</v>
      </c>
      <c r="M13" s="377"/>
      <c r="N13" s="1130">
        <f t="shared" si="2"/>
        <v>0</v>
      </c>
      <c r="O13" s="196"/>
      <c r="P13" s="357"/>
    </row>
    <row r="14" spans="2:18" ht="18">
      <c r="B14" s="218" t="s">
        <v>930</v>
      </c>
      <c r="C14" s="635"/>
      <c r="D14" s="1443"/>
      <c r="E14" s="635"/>
      <c r="F14" s="635">
        <f>SUM(G14:K14)</f>
        <v>166.23909244465176</v>
      </c>
      <c r="G14" s="635">
        <f>'Д 8_Паливо'!S16</f>
        <v>126.22446575816085</v>
      </c>
      <c r="H14" s="635">
        <f>'Д 8_Паливо'!AC16</f>
        <v>9.1932916060926857</v>
      </c>
      <c r="I14" s="635">
        <f>'Д 8_Паливо'!AM16</f>
        <v>15.257635483130812</v>
      </c>
      <c r="J14" s="635">
        <f>'Д 8_Паливо'!AW16</f>
        <v>7.6499540393348378</v>
      </c>
      <c r="K14" s="635">
        <f>'Д 8_Паливо'!BG16</f>
        <v>7.9137455579325913</v>
      </c>
      <c r="L14" s="244" t="s">
        <v>785</v>
      </c>
      <c r="M14" s="377"/>
      <c r="N14" s="1130">
        <f t="shared" si="2"/>
        <v>-1.3322676295501878E-14</v>
      </c>
      <c r="O14" s="196"/>
      <c r="P14" s="357"/>
    </row>
    <row r="15" spans="2:18" ht="18">
      <c r="B15" s="218" t="s">
        <v>931</v>
      </c>
      <c r="C15" s="635"/>
      <c r="D15" s="1443"/>
      <c r="E15" s="635"/>
      <c r="F15" s="635">
        <f>SUM(G15:K15)</f>
        <v>610.1623800000001</v>
      </c>
      <c r="G15" s="635">
        <f>'Д 8_Паливо'!S22</f>
        <v>425.58178000000004</v>
      </c>
      <c r="H15" s="635">
        <f>'Д 8_Паливо'!AC22</f>
        <v>54.951260000000005</v>
      </c>
      <c r="I15" s="635">
        <f>'Д 8_Паливо'!AM22</f>
        <v>76.778509999999997</v>
      </c>
      <c r="J15" s="635">
        <f>'Д 8_Паливо'!AW22</f>
        <v>23.250790000000002</v>
      </c>
      <c r="K15" s="635">
        <f>'Д 8_Паливо'!BG22</f>
        <v>29.600039999999996</v>
      </c>
      <c r="L15" s="244" t="s">
        <v>785</v>
      </c>
      <c r="M15" s="416"/>
      <c r="N15" s="1130">
        <f t="shared" si="2"/>
        <v>7.460698725481052E-14</v>
      </c>
      <c r="O15" s="196"/>
      <c r="P15" s="357"/>
    </row>
    <row r="16" spans="2:18" ht="19.5" customHeight="1">
      <c r="B16" s="201" t="s">
        <v>952</v>
      </c>
      <c r="C16" s="635"/>
      <c r="D16" s="1443"/>
      <c r="E16" s="635"/>
      <c r="F16" s="635">
        <f>'Д 9_ЕЕ'!D235</f>
        <v>1403.2600406893612</v>
      </c>
      <c r="G16" s="635">
        <f t="shared" ref="G16:K30" si="3">$F16*G$9</f>
        <v>1062.0164958004891</v>
      </c>
      <c r="H16" s="635">
        <f t="shared" si="3"/>
        <v>79.068626254738618</v>
      </c>
      <c r="I16" s="635">
        <f t="shared" si="3"/>
        <v>131.22617620523283</v>
      </c>
      <c r="J16" s="635">
        <f t="shared" si="3"/>
        <v>64.364636109120553</v>
      </c>
      <c r="K16" s="635">
        <f t="shared" si="3"/>
        <v>66.584106319779892</v>
      </c>
      <c r="L16" s="244" t="s">
        <v>786</v>
      </c>
      <c r="M16" s="377"/>
      <c r="N16" s="1130">
        <f t="shared" si="2"/>
        <v>1.8474111129762605E-13</v>
      </c>
      <c r="O16" s="196"/>
      <c r="P16" s="357"/>
    </row>
    <row r="17" spans="2:17" ht="36">
      <c r="B17" s="201" t="s">
        <v>784</v>
      </c>
      <c r="C17" s="635"/>
      <c r="D17" s="1443"/>
      <c r="E17" s="635"/>
      <c r="F17" s="635">
        <f>SUM(G17:K17)</f>
        <v>8.0728645014612006</v>
      </c>
      <c r="G17" s="635">
        <f>ВОДА!L34+ВОДА!M34+ВОДА!L37+ВОДА!M37</f>
        <v>7.3050305215916005</v>
      </c>
      <c r="H17" s="635">
        <f>ВОДА!L40+ВОДА!M40</f>
        <v>0.14575571808560001</v>
      </c>
      <c r="I17" s="635">
        <f>ВОДА!L43+ВОДА!M43</f>
        <v>0.39035087302400001</v>
      </c>
      <c r="J17" s="635">
        <f>ВОДА!L46+ВОДА!M46</f>
        <v>0.11586369437999999</v>
      </c>
      <c r="K17" s="635">
        <f>ВОДА!L49+ВОДА!M49</f>
        <v>0.11586369437999999</v>
      </c>
      <c r="L17" s="226" t="s">
        <v>1674</v>
      </c>
      <c r="M17" s="2304">
        <f>ВОДА!L31+ВОДА!M31-F17</f>
        <v>0</v>
      </c>
      <c r="N17" s="1130">
        <f t="shared" si="2"/>
        <v>1.6653345369377348E-16</v>
      </c>
      <c r="O17" s="196"/>
      <c r="P17" s="357"/>
    </row>
    <row r="18" spans="2:17" ht="36.6">
      <c r="B18" s="201" t="s">
        <v>1171</v>
      </c>
      <c r="C18" s="637"/>
      <c r="D18" s="1444"/>
      <c r="E18" s="637"/>
      <c r="F18" s="2499">
        <v>0</v>
      </c>
      <c r="G18" s="635">
        <f t="shared" si="3"/>
        <v>0</v>
      </c>
      <c r="H18" s="635">
        <f t="shared" si="3"/>
        <v>0</v>
      </c>
      <c r="I18" s="635">
        <f t="shared" si="3"/>
        <v>0</v>
      </c>
      <c r="J18" s="635">
        <f t="shared" si="3"/>
        <v>0</v>
      </c>
      <c r="K18" s="635">
        <f t="shared" si="3"/>
        <v>0</v>
      </c>
      <c r="L18" s="2500" t="s">
        <v>2038</v>
      </c>
      <c r="N18" s="1130">
        <f t="shared" si="2"/>
        <v>0</v>
      </c>
      <c r="O18" s="196"/>
      <c r="P18" s="357"/>
      <c r="Q18" s="304"/>
    </row>
    <row r="19" spans="2:17" ht="18" hidden="1">
      <c r="B19" s="201"/>
      <c r="C19" s="637"/>
      <c r="D19" s="1444"/>
      <c r="E19" s="637"/>
      <c r="F19" s="634">
        <v>0</v>
      </c>
      <c r="G19" s="635">
        <f t="shared" si="3"/>
        <v>0</v>
      </c>
      <c r="H19" s="635">
        <f t="shared" si="3"/>
        <v>0</v>
      </c>
      <c r="I19" s="635">
        <f t="shared" si="3"/>
        <v>0</v>
      </c>
      <c r="J19" s="635">
        <f t="shared" si="3"/>
        <v>0</v>
      </c>
      <c r="K19" s="635">
        <f t="shared" si="3"/>
        <v>0</v>
      </c>
      <c r="L19" s="226"/>
      <c r="N19" s="1130">
        <f t="shared" si="2"/>
        <v>0</v>
      </c>
      <c r="O19" s="196"/>
      <c r="P19" s="357"/>
    </row>
    <row r="20" spans="2:17" ht="18" hidden="1">
      <c r="B20" s="201"/>
      <c r="C20" s="637"/>
      <c r="D20" s="1444"/>
      <c r="E20" s="637"/>
      <c r="F20" s="634">
        <f>D20*'Вхідні дані'!D71</f>
        <v>0</v>
      </c>
      <c r="G20" s="635">
        <f t="shared" si="3"/>
        <v>0</v>
      </c>
      <c r="H20" s="635">
        <f t="shared" si="3"/>
        <v>0</v>
      </c>
      <c r="I20" s="635">
        <f t="shared" si="3"/>
        <v>0</v>
      </c>
      <c r="J20" s="635">
        <f t="shared" si="3"/>
        <v>0</v>
      </c>
      <c r="K20" s="635">
        <f t="shared" si="3"/>
        <v>0</v>
      </c>
      <c r="L20" s="244"/>
      <c r="M20" s="379"/>
      <c r="N20" s="1130">
        <f t="shared" si="2"/>
        <v>0</v>
      </c>
      <c r="O20" s="196"/>
      <c r="P20" s="357"/>
    </row>
    <row r="21" spans="2:17" ht="18" hidden="1">
      <c r="B21" s="201"/>
      <c r="C21" s="637"/>
      <c r="D21" s="1444"/>
      <c r="E21" s="637"/>
      <c r="F21" s="637">
        <f>D21*'Вхідні дані'!$D$71</f>
        <v>0</v>
      </c>
      <c r="G21" s="635">
        <f t="shared" si="3"/>
        <v>0</v>
      </c>
      <c r="H21" s="635">
        <f t="shared" si="3"/>
        <v>0</v>
      </c>
      <c r="I21" s="635">
        <f t="shared" si="3"/>
        <v>0</v>
      </c>
      <c r="J21" s="635">
        <f t="shared" si="3"/>
        <v>0</v>
      </c>
      <c r="K21" s="635">
        <f t="shared" si="3"/>
        <v>0</v>
      </c>
      <c r="L21" s="244"/>
      <c r="M21" s="379"/>
      <c r="N21" s="1130">
        <f t="shared" si="2"/>
        <v>0</v>
      </c>
      <c r="O21" s="196"/>
      <c r="P21" s="357"/>
    </row>
    <row r="22" spans="2:17" ht="18" hidden="1" customHeight="1">
      <c r="B22" s="201"/>
      <c r="C22" s="637"/>
      <c r="D22" s="1444"/>
      <c r="E22" s="637"/>
      <c r="F22" s="637">
        <f>D22*'Вхідні дані'!$D$71</f>
        <v>0</v>
      </c>
      <c r="G22" s="635">
        <f t="shared" si="3"/>
        <v>0</v>
      </c>
      <c r="H22" s="635">
        <f t="shared" si="3"/>
        <v>0</v>
      </c>
      <c r="I22" s="635">
        <f t="shared" si="3"/>
        <v>0</v>
      </c>
      <c r="J22" s="635">
        <f t="shared" si="3"/>
        <v>0</v>
      </c>
      <c r="K22" s="635">
        <f t="shared" si="3"/>
        <v>0</v>
      </c>
      <c r="L22" s="244"/>
      <c r="M22" s="379"/>
      <c r="N22" s="1130">
        <f t="shared" si="2"/>
        <v>0</v>
      </c>
      <c r="O22" s="196"/>
      <c r="P22" s="357"/>
    </row>
    <row r="23" spans="2:17" ht="18" hidden="1">
      <c r="B23" s="201"/>
      <c r="C23" s="637"/>
      <c r="D23" s="1444"/>
      <c r="E23" s="637"/>
      <c r="F23" s="634">
        <v>0</v>
      </c>
      <c r="G23" s="635">
        <f t="shared" si="3"/>
        <v>0</v>
      </c>
      <c r="H23" s="635">
        <f t="shared" si="3"/>
        <v>0</v>
      </c>
      <c r="I23" s="635">
        <f t="shared" si="3"/>
        <v>0</v>
      </c>
      <c r="J23" s="635">
        <f t="shared" si="3"/>
        <v>0</v>
      </c>
      <c r="K23" s="635">
        <f t="shared" si="3"/>
        <v>0</v>
      </c>
      <c r="L23" s="244"/>
      <c r="M23" s="379"/>
      <c r="N23" s="1130">
        <f t="shared" si="2"/>
        <v>0</v>
      </c>
      <c r="O23" s="196"/>
      <c r="P23" s="357"/>
    </row>
    <row r="24" spans="2:17" ht="18" hidden="1">
      <c r="B24" s="201"/>
      <c r="C24" s="637"/>
      <c r="D24" s="1444"/>
      <c r="E24" s="637"/>
      <c r="F24" s="637">
        <f>D24*'Вхідні дані'!$D$71</f>
        <v>0</v>
      </c>
      <c r="G24" s="635">
        <f t="shared" si="3"/>
        <v>0</v>
      </c>
      <c r="H24" s="635">
        <f t="shared" si="3"/>
        <v>0</v>
      </c>
      <c r="I24" s="635">
        <f t="shared" si="3"/>
        <v>0</v>
      </c>
      <c r="J24" s="635">
        <f t="shared" si="3"/>
        <v>0</v>
      </c>
      <c r="K24" s="635">
        <f t="shared" si="3"/>
        <v>0</v>
      </c>
      <c r="L24" s="244"/>
      <c r="M24" s="379"/>
      <c r="N24" s="1130">
        <f t="shared" si="2"/>
        <v>0</v>
      </c>
      <c r="O24" s="196"/>
      <c r="P24" s="357"/>
    </row>
    <row r="25" spans="2:17" ht="18" hidden="1">
      <c r="B25" s="201"/>
      <c r="C25" s="637"/>
      <c r="D25" s="1444"/>
      <c r="E25" s="637"/>
      <c r="F25" s="637">
        <f>D25*'Вхідні дані'!$D$71</f>
        <v>0</v>
      </c>
      <c r="G25" s="635">
        <f t="shared" si="3"/>
        <v>0</v>
      </c>
      <c r="H25" s="635">
        <f t="shared" si="3"/>
        <v>0</v>
      </c>
      <c r="I25" s="635">
        <f t="shared" si="3"/>
        <v>0</v>
      </c>
      <c r="J25" s="635">
        <f t="shared" si="3"/>
        <v>0</v>
      </c>
      <c r="K25" s="635">
        <f t="shared" si="3"/>
        <v>0</v>
      </c>
      <c r="L25" s="244"/>
      <c r="M25" s="379"/>
      <c r="N25" s="1130">
        <f t="shared" si="2"/>
        <v>0</v>
      </c>
      <c r="O25" s="196"/>
      <c r="P25" s="357"/>
    </row>
    <row r="26" spans="2:17" ht="18" hidden="1">
      <c r="B26" s="201"/>
      <c r="C26" s="637"/>
      <c r="D26" s="1444"/>
      <c r="E26" s="637"/>
      <c r="F26" s="637">
        <f>D26*'Вхідні дані'!$D$71</f>
        <v>0</v>
      </c>
      <c r="G26" s="635">
        <f t="shared" si="3"/>
        <v>0</v>
      </c>
      <c r="H26" s="635">
        <f t="shared" si="3"/>
        <v>0</v>
      </c>
      <c r="I26" s="635">
        <f t="shared" si="3"/>
        <v>0</v>
      </c>
      <c r="J26" s="635">
        <f t="shared" si="3"/>
        <v>0</v>
      </c>
      <c r="K26" s="635">
        <f t="shared" si="3"/>
        <v>0</v>
      </c>
      <c r="L26" s="244"/>
      <c r="M26" s="379"/>
      <c r="N26" s="1130">
        <f t="shared" si="2"/>
        <v>0</v>
      </c>
      <c r="O26" s="196"/>
      <c r="P26" s="357"/>
    </row>
    <row r="27" spans="2:17" ht="18" hidden="1">
      <c r="B27" s="201"/>
      <c r="C27" s="637"/>
      <c r="D27" s="1444"/>
      <c r="E27" s="637"/>
      <c r="F27" s="634">
        <f>ОП!D6</f>
        <v>0</v>
      </c>
      <c r="G27" s="635">
        <f t="shared" si="3"/>
        <v>0</v>
      </c>
      <c r="H27" s="635">
        <f t="shared" si="3"/>
        <v>0</v>
      </c>
      <c r="I27" s="635">
        <f t="shared" si="3"/>
        <v>0</v>
      </c>
      <c r="J27" s="635">
        <f t="shared" si="3"/>
        <v>0</v>
      </c>
      <c r="K27" s="635">
        <f t="shared" si="3"/>
        <v>0</v>
      </c>
      <c r="L27" s="244"/>
      <c r="M27" s="379"/>
      <c r="N27" s="1130">
        <f t="shared" si="2"/>
        <v>0</v>
      </c>
      <c r="O27" s="196"/>
      <c r="P27" s="357"/>
    </row>
    <row r="28" spans="2:17" ht="18" hidden="1">
      <c r="B28" s="201"/>
      <c r="C28" s="637"/>
      <c r="D28" s="1444"/>
      <c r="E28" s="637"/>
      <c r="F28" s="637">
        <f>ОП!D8</f>
        <v>0</v>
      </c>
      <c r="G28" s="635">
        <f t="shared" si="3"/>
        <v>0</v>
      </c>
      <c r="H28" s="635">
        <f t="shared" si="3"/>
        <v>0</v>
      </c>
      <c r="I28" s="635">
        <f t="shared" si="3"/>
        <v>0</v>
      </c>
      <c r="J28" s="635">
        <f t="shared" si="3"/>
        <v>0</v>
      </c>
      <c r="K28" s="635">
        <f t="shared" si="3"/>
        <v>0</v>
      </c>
      <c r="L28" s="244"/>
      <c r="M28" s="379"/>
      <c r="N28" s="1130">
        <f t="shared" si="2"/>
        <v>0</v>
      </c>
      <c r="O28" s="196"/>
      <c r="P28" s="357"/>
    </row>
    <row r="29" spans="2:17" ht="18">
      <c r="B29" s="204" t="s">
        <v>771</v>
      </c>
      <c r="C29" s="636"/>
      <c r="D29" s="1445"/>
      <c r="E29" s="633"/>
      <c r="F29" s="633">
        <f>ФОП!F9/1000</f>
        <v>216</v>
      </c>
      <c r="G29" s="635">
        <f t="shared" si="3"/>
        <v>163.47330960854092</v>
      </c>
      <c r="H29" s="635">
        <f t="shared" si="3"/>
        <v>12.170818505338078</v>
      </c>
      <c r="I29" s="635">
        <f t="shared" si="3"/>
        <v>20.199288256227756</v>
      </c>
      <c r="J29" s="635">
        <f t="shared" si="3"/>
        <v>9.9074733096085392</v>
      </c>
      <c r="K29" s="635">
        <f t="shared" si="3"/>
        <v>10.249110320284698</v>
      </c>
      <c r="L29" s="912" t="s">
        <v>773</v>
      </c>
      <c r="M29" s="379"/>
      <c r="N29" s="1130">
        <f t="shared" si="2"/>
        <v>1.4210854715202004E-14</v>
      </c>
      <c r="O29" s="196"/>
      <c r="P29" s="357"/>
    </row>
    <row r="30" spans="2:17" ht="18">
      <c r="B30" s="218" t="s">
        <v>664</v>
      </c>
      <c r="C30" s="635"/>
      <c r="D30" s="1443"/>
      <c r="E30" s="635"/>
      <c r="F30" s="635">
        <f>ФОП!F10/1000</f>
        <v>0</v>
      </c>
      <c r="G30" s="635">
        <f t="shared" si="3"/>
        <v>0</v>
      </c>
      <c r="H30" s="635">
        <f t="shared" si="3"/>
        <v>0</v>
      </c>
      <c r="I30" s="635">
        <f t="shared" si="3"/>
        <v>0</v>
      </c>
      <c r="J30" s="635">
        <f t="shared" si="3"/>
        <v>0</v>
      </c>
      <c r="K30" s="635">
        <f t="shared" si="3"/>
        <v>0</v>
      </c>
      <c r="L30" s="912" t="s">
        <v>773</v>
      </c>
      <c r="M30" s="379"/>
      <c r="N30" s="1130">
        <f t="shared" si="2"/>
        <v>0</v>
      </c>
      <c r="O30" s="196"/>
      <c r="P30" s="357"/>
    </row>
    <row r="31" spans="2:17" ht="17.399999999999999">
      <c r="B31" s="204" t="s">
        <v>772</v>
      </c>
      <c r="C31" s="636"/>
      <c r="D31" s="1445"/>
      <c r="E31" s="636"/>
      <c r="F31" s="636">
        <f t="shared" ref="F31:K31" si="4">SUM(F32:F82)</f>
        <v>217.59440000000001</v>
      </c>
      <c r="G31" s="636">
        <f t="shared" si="4"/>
        <v>164.67998481613284</v>
      </c>
      <c r="H31" s="636">
        <f t="shared" si="4"/>
        <v>12.260657176749703</v>
      </c>
      <c r="I31" s="636">
        <f t="shared" si="4"/>
        <v>20.348388928430204</v>
      </c>
      <c r="J31" s="636">
        <f t="shared" si="4"/>
        <v>9.9806051403716864</v>
      </c>
      <c r="K31" s="636">
        <f t="shared" si="4"/>
        <v>10.32476393831554</v>
      </c>
      <c r="M31" s="377"/>
      <c r="N31" s="1130">
        <f t="shared" si="2"/>
        <v>3.0198066269804258E-14</v>
      </c>
      <c r="O31" s="196"/>
      <c r="P31" s="357"/>
    </row>
    <row r="32" spans="2:17" ht="36">
      <c r="B32" s="201" t="s">
        <v>493</v>
      </c>
      <c r="C32" s="637"/>
      <c r="D32" s="1444"/>
      <c r="E32" s="637"/>
      <c r="F32" s="637">
        <f>ФОП!F11/1000</f>
        <v>10.4544</v>
      </c>
      <c r="G32" s="635">
        <f>$F32*G$9</f>
        <v>7.9121081850533796</v>
      </c>
      <c r="H32" s="635">
        <f t="shared" ref="H32:K49" si="5">$F32*H$9</f>
        <v>0.58906761565836296</v>
      </c>
      <c r="I32" s="635">
        <f t="shared" si="5"/>
        <v>0.9776455516014233</v>
      </c>
      <c r="J32" s="635">
        <f t="shared" si="5"/>
        <v>0.4795217081850533</v>
      </c>
      <c r="K32" s="635">
        <f t="shared" si="5"/>
        <v>0.49605693950177937</v>
      </c>
      <c r="L32" s="912" t="s">
        <v>773</v>
      </c>
      <c r="M32" s="379"/>
      <c r="N32" s="1130">
        <f t="shared" si="2"/>
        <v>1.1102230246251565E-15</v>
      </c>
      <c r="O32" s="196"/>
      <c r="P32" s="357"/>
    </row>
    <row r="33" spans="1:18" s="205" customFormat="1" ht="18">
      <c r="A33" s="192"/>
      <c r="B33" s="201" t="s">
        <v>1518</v>
      </c>
      <c r="C33" s="637"/>
      <c r="D33" s="1444"/>
      <c r="E33" s="637"/>
      <c r="F33" s="637"/>
      <c r="G33" s="635"/>
      <c r="H33" s="635"/>
      <c r="I33" s="635"/>
      <c r="J33" s="635"/>
      <c r="K33" s="635"/>
      <c r="L33" s="226" t="s">
        <v>1828</v>
      </c>
      <c r="M33" s="379"/>
      <c r="N33" s="1130">
        <f t="shared" si="2"/>
        <v>0</v>
      </c>
      <c r="O33" s="196"/>
      <c r="P33" s="357"/>
      <c r="Q33" s="248"/>
      <c r="R33" s="248"/>
    </row>
    <row r="34" spans="1:18" s="205" customFormat="1" ht="18.600000000000001" customHeight="1">
      <c r="A34" s="1482"/>
      <c r="B34" s="219" t="s">
        <v>749</v>
      </c>
      <c r="C34" s="637"/>
      <c r="D34" s="1444"/>
      <c r="E34" s="637"/>
      <c r="F34" s="637"/>
      <c r="G34" s="635">
        <f>$F34*G$9</f>
        <v>0</v>
      </c>
      <c r="H34" s="635">
        <f t="shared" si="5"/>
        <v>0</v>
      </c>
      <c r="I34" s="635">
        <f t="shared" si="5"/>
        <v>0</v>
      </c>
      <c r="J34" s="635">
        <f t="shared" si="5"/>
        <v>0</v>
      </c>
      <c r="K34" s="635">
        <f t="shared" si="5"/>
        <v>0</v>
      </c>
      <c r="L34" s="244"/>
      <c r="M34" s="379"/>
      <c r="N34" s="1130">
        <f t="shared" si="2"/>
        <v>0</v>
      </c>
      <c r="O34" s="196"/>
      <c r="P34" s="357"/>
    </row>
    <row r="35" spans="1:18" ht="18" customHeight="1">
      <c r="B35" s="219" t="s">
        <v>789</v>
      </c>
      <c r="C35" s="638"/>
      <c r="D35" s="1446"/>
      <c r="E35" s="637"/>
      <c r="F35" s="637">
        <v>111.53</v>
      </c>
      <c r="G35" s="635">
        <f t="shared" ref="G35:K82" si="6">$F35*G$9</f>
        <v>84.408232502965589</v>
      </c>
      <c r="H35" s="635">
        <f t="shared" si="5"/>
        <v>6.2843119810201662</v>
      </c>
      <c r="I35" s="635">
        <f t="shared" si="5"/>
        <v>10.429752866745748</v>
      </c>
      <c r="J35" s="635">
        <f t="shared" si="5"/>
        <v>5.1156504547251878</v>
      </c>
      <c r="K35" s="635">
        <f t="shared" si="5"/>
        <v>5.2920521945432979</v>
      </c>
      <c r="L35" s="244"/>
      <c r="M35" s="379"/>
      <c r="N35" s="1130">
        <f t="shared" si="2"/>
        <v>1.1546319456101628E-14</v>
      </c>
      <c r="O35" s="196"/>
      <c r="P35" s="357"/>
    </row>
    <row r="36" spans="1:18" ht="18" customHeight="1">
      <c r="B36" s="219" t="s">
        <v>756</v>
      </c>
      <c r="C36" s="638"/>
      <c r="D36" s="1446"/>
      <c r="E36" s="638"/>
      <c r="F36" s="638">
        <v>95.61</v>
      </c>
      <c r="G36" s="635">
        <f t="shared" si="6"/>
        <v>72.359644128113871</v>
      </c>
      <c r="H36" s="635">
        <f t="shared" si="5"/>
        <v>5.3872775800711743</v>
      </c>
      <c r="I36" s="635">
        <f t="shared" si="5"/>
        <v>8.9409905100830347</v>
      </c>
      <c r="J36" s="635">
        <f t="shared" si="5"/>
        <v>4.3854329774614467</v>
      </c>
      <c r="K36" s="635">
        <f t="shared" si="5"/>
        <v>4.5366548042704622</v>
      </c>
      <c r="L36" s="244"/>
      <c r="M36" s="379"/>
      <c r="N36" s="1130">
        <f t="shared" si="2"/>
        <v>1.0658141036401503E-14</v>
      </c>
      <c r="O36" s="196"/>
      <c r="P36" s="357"/>
    </row>
    <row r="37" spans="1:18" ht="18">
      <c r="B37" s="219" t="s">
        <v>1512</v>
      </c>
      <c r="C37" s="637"/>
      <c r="D37" s="1444"/>
      <c r="E37" s="637"/>
      <c r="F37" s="637"/>
      <c r="G37" s="635">
        <f t="shared" si="6"/>
        <v>0</v>
      </c>
      <c r="H37" s="635">
        <f t="shared" si="5"/>
        <v>0</v>
      </c>
      <c r="I37" s="635">
        <f t="shared" si="5"/>
        <v>0</v>
      </c>
      <c r="J37" s="635">
        <f t="shared" si="5"/>
        <v>0</v>
      </c>
      <c r="K37" s="635">
        <f t="shared" si="5"/>
        <v>0</v>
      </c>
      <c r="L37" s="226"/>
      <c r="M37" s="379"/>
      <c r="N37" s="1130">
        <f t="shared" si="2"/>
        <v>0</v>
      </c>
      <c r="O37" s="196"/>
      <c r="P37" s="357"/>
      <c r="Q37" s="248"/>
      <c r="R37" s="248"/>
    </row>
    <row r="38" spans="1:18" ht="18">
      <c r="B38" s="219" t="s">
        <v>1203</v>
      </c>
      <c r="C38" s="637"/>
      <c r="D38" s="1444"/>
      <c r="E38" s="635"/>
      <c r="F38" s="635"/>
      <c r="G38" s="635">
        <f t="shared" si="6"/>
        <v>0</v>
      </c>
      <c r="H38" s="635">
        <f t="shared" si="5"/>
        <v>0</v>
      </c>
      <c r="I38" s="635">
        <f t="shared" si="5"/>
        <v>0</v>
      </c>
      <c r="J38" s="635">
        <f t="shared" si="5"/>
        <v>0</v>
      </c>
      <c r="K38" s="635">
        <f t="shared" si="5"/>
        <v>0</v>
      </c>
      <c r="M38" s="379"/>
      <c r="N38" s="1130">
        <f t="shared" si="2"/>
        <v>0</v>
      </c>
      <c r="O38" s="196"/>
      <c r="P38" s="357"/>
    </row>
    <row r="39" spans="1:18" ht="18">
      <c r="B39" s="201" t="s">
        <v>790</v>
      </c>
      <c r="C39" s="637"/>
      <c r="D39" s="1444"/>
      <c r="E39" s="635"/>
      <c r="F39" s="635"/>
      <c r="G39" s="635">
        <f t="shared" si="6"/>
        <v>0</v>
      </c>
      <c r="H39" s="635">
        <f t="shared" si="5"/>
        <v>0</v>
      </c>
      <c r="I39" s="635">
        <f t="shared" si="5"/>
        <v>0</v>
      </c>
      <c r="J39" s="635">
        <f t="shared" si="5"/>
        <v>0</v>
      </c>
      <c r="K39" s="635">
        <f t="shared" si="5"/>
        <v>0</v>
      </c>
      <c r="L39" s="244"/>
      <c r="M39" s="379"/>
      <c r="N39" s="1130">
        <f t="shared" si="2"/>
        <v>0</v>
      </c>
      <c r="O39" s="196"/>
      <c r="P39" s="357"/>
    </row>
    <row r="40" spans="1:18" ht="18.600000000000001" thickBot="1">
      <c r="B40" s="2032" t="s">
        <v>1834</v>
      </c>
      <c r="C40" s="639"/>
      <c r="D40" s="1448"/>
      <c r="E40" s="1129"/>
      <c r="F40" s="1129"/>
      <c r="G40" s="1129">
        <f t="shared" si="6"/>
        <v>0</v>
      </c>
      <c r="H40" s="1129">
        <f t="shared" si="5"/>
        <v>0</v>
      </c>
      <c r="I40" s="1129">
        <f t="shared" si="5"/>
        <v>0</v>
      </c>
      <c r="J40" s="1129">
        <f t="shared" si="5"/>
        <v>0</v>
      </c>
      <c r="K40" s="1129">
        <f t="shared" si="5"/>
        <v>0</v>
      </c>
      <c r="L40" s="244"/>
      <c r="M40" s="379"/>
      <c r="N40" s="1130">
        <f t="shared" si="2"/>
        <v>0</v>
      </c>
      <c r="O40" s="196"/>
      <c r="P40" s="357"/>
    </row>
    <row r="41" spans="1:18" ht="18" hidden="1">
      <c r="B41" s="2029"/>
      <c r="C41" s="2030"/>
      <c r="D41" s="2031"/>
      <c r="E41" s="2030"/>
      <c r="F41" s="2030"/>
      <c r="G41" s="2030">
        <f t="shared" si="6"/>
        <v>0</v>
      </c>
      <c r="H41" s="2030">
        <f t="shared" si="5"/>
        <v>0</v>
      </c>
      <c r="I41" s="2030">
        <f t="shared" si="5"/>
        <v>0</v>
      </c>
      <c r="J41" s="2030">
        <f t="shared" si="5"/>
        <v>0</v>
      </c>
      <c r="K41" s="2030">
        <f t="shared" si="5"/>
        <v>0</v>
      </c>
      <c r="N41" s="196"/>
      <c r="O41" s="196"/>
      <c r="P41" s="357"/>
    </row>
    <row r="42" spans="1:18" ht="18" hidden="1">
      <c r="B42" s="219"/>
      <c r="C42" s="635"/>
      <c r="D42" s="1443"/>
      <c r="E42" s="635"/>
      <c r="F42" s="635"/>
      <c r="G42" s="635">
        <f t="shared" si="6"/>
        <v>0</v>
      </c>
      <c r="H42" s="635">
        <f t="shared" si="5"/>
        <v>0</v>
      </c>
      <c r="I42" s="635">
        <f t="shared" si="5"/>
        <v>0</v>
      </c>
      <c r="J42" s="635">
        <f t="shared" si="5"/>
        <v>0</v>
      </c>
      <c r="K42" s="635">
        <f t="shared" si="5"/>
        <v>0</v>
      </c>
      <c r="N42" s="196"/>
      <c r="O42" s="196"/>
      <c r="P42" s="357"/>
    </row>
    <row r="43" spans="1:18" ht="18" hidden="1">
      <c r="B43" s="201"/>
      <c r="C43" s="635"/>
      <c r="D43" s="1443"/>
      <c r="E43" s="635"/>
      <c r="F43" s="635"/>
      <c r="G43" s="635">
        <f t="shared" si="6"/>
        <v>0</v>
      </c>
      <c r="H43" s="635">
        <f t="shared" si="5"/>
        <v>0</v>
      </c>
      <c r="I43" s="635">
        <f t="shared" si="5"/>
        <v>0</v>
      </c>
      <c r="J43" s="635">
        <f t="shared" si="5"/>
        <v>0</v>
      </c>
      <c r="K43" s="635">
        <f t="shared" si="5"/>
        <v>0</v>
      </c>
      <c r="N43" s="196"/>
      <c r="O43" s="196"/>
      <c r="P43" s="357"/>
    </row>
    <row r="44" spans="1:18" ht="18" hidden="1">
      <c r="B44" s="219"/>
      <c r="C44" s="635"/>
      <c r="D44" s="1443"/>
      <c r="E44" s="635"/>
      <c r="F44" s="635"/>
      <c r="G44" s="635">
        <f t="shared" si="6"/>
        <v>0</v>
      </c>
      <c r="H44" s="635">
        <f t="shared" si="5"/>
        <v>0</v>
      </c>
      <c r="I44" s="635">
        <f t="shared" si="5"/>
        <v>0</v>
      </c>
      <c r="J44" s="635">
        <f t="shared" si="5"/>
        <v>0</v>
      </c>
      <c r="K44" s="635">
        <f t="shared" si="5"/>
        <v>0</v>
      </c>
      <c r="L44" s="244"/>
      <c r="M44" s="379"/>
      <c r="N44" s="196"/>
      <c r="O44" s="196"/>
      <c r="P44" s="357"/>
    </row>
    <row r="45" spans="1:18" ht="18" hidden="1">
      <c r="B45" s="201"/>
      <c r="C45" s="635"/>
      <c r="D45" s="1443"/>
      <c r="E45" s="635"/>
      <c r="F45" s="635"/>
      <c r="G45" s="635">
        <f t="shared" si="6"/>
        <v>0</v>
      </c>
      <c r="H45" s="635">
        <f t="shared" si="5"/>
        <v>0</v>
      </c>
      <c r="I45" s="635">
        <f t="shared" si="5"/>
        <v>0</v>
      </c>
      <c r="J45" s="635">
        <f t="shared" si="5"/>
        <v>0</v>
      </c>
      <c r="K45" s="635">
        <f t="shared" si="5"/>
        <v>0</v>
      </c>
      <c r="N45" s="196"/>
      <c r="O45" s="196"/>
      <c r="P45" s="357"/>
    </row>
    <row r="46" spans="1:18" ht="18" hidden="1">
      <c r="B46" s="219"/>
      <c r="C46" s="637"/>
      <c r="D46" s="1444"/>
      <c r="E46" s="1127"/>
      <c r="F46" s="637"/>
      <c r="G46" s="635">
        <f t="shared" si="6"/>
        <v>0</v>
      </c>
      <c r="H46" s="635">
        <f t="shared" si="5"/>
        <v>0</v>
      </c>
      <c r="I46" s="635">
        <f t="shared" si="5"/>
        <v>0</v>
      </c>
      <c r="J46" s="635">
        <f t="shared" si="5"/>
        <v>0</v>
      </c>
      <c r="K46" s="635">
        <f t="shared" si="5"/>
        <v>0</v>
      </c>
      <c r="L46" s="631"/>
      <c r="M46" s="379"/>
      <c r="N46" s="576"/>
      <c r="O46" s="196"/>
      <c r="P46" s="357"/>
    </row>
    <row r="47" spans="1:18" ht="18" hidden="1">
      <c r="B47" s="219"/>
      <c r="C47" s="637"/>
      <c r="D47" s="1444"/>
      <c r="E47" s="637"/>
      <c r="F47" s="637"/>
      <c r="G47" s="635">
        <f t="shared" si="6"/>
        <v>0</v>
      </c>
      <c r="H47" s="635">
        <f t="shared" si="5"/>
        <v>0</v>
      </c>
      <c r="I47" s="635">
        <f t="shared" si="5"/>
        <v>0</v>
      </c>
      <c r="J47" s="635">
        <f t="shared" si="5"/>
        <v>0</v>
      </c>
      <c r="K47" s="635">
        <f t="shared" si="5"/>
        <v>0</v>
      </c>
      <c r="N47" s="196"/>
      <c r="O47" s="196"/>
      <c r="P47" s="357"/>
    </row>
    <row r="48" spans="1:18" ht="18" hidden="1">
      <c r="B48" s="207"/>
      <c r="C48" s="637"/>
      <c r="D48" s="1444"/>
      <c r="E48" s="637"/>
      <c r="F48" s="637"/>
      <c r="G48" s="635">
        <f t="shared" si="6"/>
        <v>0</v>
      </c>
      <c r="H48" s="635">
        <f t="shared" si="5"/>
        <v>0</v>
      </c>
      <c r="I48" s="635">
        <f t="shared" si="5"/>
        <v>0</v>
      </c>
      <c r="J48" s="635">
        <f t="shared" si="5"/>
        <v>0</v>
      </c>
      <c r="K48" s="635">
        <f t="shared" si="5"/>
        <v>0</v>
      </c>
      <c r="O48" s="196"/>
      <c r="P48" s="357"/>
    </row>
    <row r="49" spans="2:16" ht="18.75" hidden="1" customHeight="1">
      <c r="B49" s="207"/>
      <c r="C49" s="637"/>
      <c r="D49" s="1444"/>
      <c r="E49" s="637"/>
      <c r="F49" s="637"/>
      <c r="G49" s="635">
        <f t="shared" si="6"/>
        <v>0</v>
      </c>
      <c r="H49" s="635">
        <f t="shared" si="5"/>
        <v>0</v>
      </c>
      <c r="I49" s="635">
        <f t="shared" si="5"/>
        <v>0</v>
      </c>
      <c r="J49" s="635">
        <f t="shared" si="5"/>
        <v>0</v>
      </c>
      <c r="K49" s="635">
        <f t="shared" si="5"/>
        <v>0</v>
      </c>
      <c r="O49" s="196"/>
      <c r="P49" s="357"/>
    </row>
    <row r="50" spans="2:16" ht="18.75" hidden="1" customHeight="1">
      <c r="B50" s="207"/>
      <c r="C50" s="637"/>
      <c r="D50" s="1444"/>
      <c r="E50" s="637"/>
      <c r="F50" s="637"/>
      <c r="G50" s="635">
        <f t="shared" si="6"/>
        <v>0</v>
      </c>
      <c r="H50" s="635">
        <f t="shared" si="6"/>
        <v>0</v>
      </c>
      <c r="I50" s="635">
        <f t="shared" si="6"/>
        <v>0</v>
      </c>
      <c r="J50" s="635">
        <f t="shared" si="6"/>
        <v>0</v>
      </c>
      <c r="K50" s="635">
        <f t="shared" si="6"/>
        <v>0</v>
      </c>
      <c r="O50" s="196"/>
      <c r="P50" s="357"/>
    </row>
    <row r="51" spans="2:16" ht="18.75" hidden="1" customHeight="1">
      <c r="B51" s="207"/>
      <c r="C51" s="1449"/>
      <c r="E51" s="637"/>
      <c r="F51" s="637"/>
      <c r="G51" s="635">
        <f t="shared" si="6"/>
        <v>0</v>
      </c>
      <c r="H51" s="635">
        <f t="shared" si="6"/>
        <v>0</v>
      </c>
      <c r="I51" s="635">
        <f t="shared" si="6"/>
        <v>0</v>
      </c>
      <c r="J51" s="635">
        <f t="shared" si="6"/>
        <v>0</v>
      </c>
      <c r="K51" s="635">
        <f t="shared" si="6"/>
        <v>0</v>
      </c>
      <c r="L51" s="244"/>
      <c r="M51" s="379"/>
      <c r="O51" s="196"/>
      <c r="P51" s="357"/>
    </row>
    <row r="52" spans="2:16" ht="18.75" hidden="1" customHeight="1">
      <c r="B52" s="207"/>
      <c r="C52" s="637"/>
      <c r="D52" s="1444"/>
      <c r="E52" s="637"/>
      <c r="F52" s="637"/>
      <c r="G52" s="635">
        <f t="shared" si="6"/>
        <v>0</v>
      </c>
      <c r="H52" s="635">
        <f t="shared" si="6"/>
        <v>0</v>
      </c>
      <c r="I52" s="635">
        <f t="shared" si="6"/>
        <v>0</v>
      </c>
      <c r="J52" s="635">
        <f t="shared" si="6"/>
        <v>0</v>
      </c>
      <c r="K52" s="635">
        <f t="shared" si="6"/>
        <v>0</v>
      </c>
      <c r="M52" s="379"/>
      <c r="O52" s="196"/>
      <c r="P52" s="357"/>
    </row>
    <row r="53" spans="2:16" ht="18.75" hidden="1" customHeight="1">
      <c r="B53" s="207"/>
      <c r="C53" s="637"/>
      <c r="D53" s="1444"/>
      <c r="E53" s="637"/>
      <c r="F53" s="637"/>
      <c r="G53" s="635">
        <f t="shared" si="6"/>
        <v>0</v>
      </c>
      <c r="H53" s="635">
        <f t="shared" si="6"/>
        <v>0</v>
      </c>
      <c r="I53" s="635">
        <f t="shared" si="6"/>
        <v>0</v>
      </c>
      <c r="J53" s="635">
        <f t="shared" si="6"/>
        <v>0</v>
      </c>
      <c r="K53" s="635">
        <f t="shared" si="6"/>
        <v>0</v>
      </c>
      <c r="L53" s="244"/>
      <c r="M53" s="379"/>
      <c r="O53" s="196"/>
      <c r="P53" s="357"/>
    </row>
    <row r="54" spans="2:16" ht="18.75" hidden="1" customHeight="1">
      <c r="B54" s="207"/>
      <c r="C54" s="637"/>
      <c r="D54" s="1444"/>
      <c r="E54" s="637"/>
      <c r="F54" s="637"/>
      <c r="G54" s="635">
        <f t="shared" si="6"/>
        <v>0</v>
      </c>
      <c r="H54" s="635">
        <f t="shared" si="6"/>
        <v>0</v>
      </c>
      <c r="I54" s="635">
        <f t="shared" si="6"/>
        <v>0</v>
      </c>
      <c r="J54" s="635">
        <f t="shared" si="6"/>
        <v>0</v>
      </c>
      <c r="K54" s="635">
        <f t="shared" si="6"/>
        <v>0</v>
      </c>
      <c r="L54" s="244"/>
      <c r="M54" s="379"/>
      <c r="O54" s="196"/>
      <c r="P54" s="357"/>
    </row>
    <row r="55" spans="2:16" ht="20.399999999999999" hidden="1" customHeight="1">
      <c r="B55" s="207"/>
      <c r="C55" s="637"/>
      <c r="D55" s="1444"/>
      <c r="E55" s="637"/>
      <c r="F55" s="637"/>
      <c r="G55" s="635">
        <f t="shared" si="6"/>
        <v>0</v>
      </c>
      <c r="H55" s="635">
        <f t="shared" si="6"/>
        <v>0</v>
      </c>
      <c r="I55" s="635">
        <f t="shared" si="6"/>
        <v>0</v>
      </c>
      <c r="J55" s="635">
        <f t="shared" si="6"/>
        <v>0</v>
      </c>
      <c r="K55" s="635">
        <f t="shared" si="6"/>
        <v>0</v>
      </c>
      <c r="L55" s="244"/>
      <c r="M55" s="379"/>
      <c r="O55" s="196"/>
      <c r="P55" s="357"/>
    </row>
    <row r="56" spans="2:16" ht="18.75" hidden="1" customHeight="1">
      <c r="B56" s="207"/>
      <c r="C56" s="637"/>
      <c r="D56" s="1444"/>
      <c r="E56" s="637"/>
      <c r="F56" s="637"/>
      <c r="G56" s="635">
        <f t="shared" si="6"/>
        <v>0</v>
      </c>
      <c r="H56" s="635">
        <f t="shared" si="6"/>
        <v>0</v>
      </c>
      <c r="I56" s="635">
        <f t="shared" si="6"/>
        <v>0</v>
      </c>
      <c r="J56" s="635">
        <f t="shared" si="6"/>
        <v>0</v>
      </c>
      <c r="K56" s="635">
        <f t="shared" si="6"/>
        <v>0</v>
      </c>
      <c r="O56" s="196"/>
      <c r="P56" s="357"/>
    </row>
    <row r="57" spans="2:16" ht="18.75" hidden="1" customHeight="1">
      <c r="B57" s="207"/>
      <c r="C57" s="637"/>
      <c r="D57" s="1450"/>
      <c r="E57" s="637"/>
      <c r="F57" s="637"/>
      <c r="G57" s="635">
        <f t="shared" si="6"/>
        <v>0</v>
      </c>
      <c r="H57" s="635">
        <f t="shared" si="6"/>
        <v>0</v>
      </c>
      <c r="I57" s="635">
        <f t="shared" si="6"/>
        <v>0</v>
      </c>
      <c r="J57" s="635">
        <f t="shared" si="6"/>
        <v>0</v>
      </c>
      <c r="K57" s="635">
        <f t="shared" si="6"/>
        <v>0</v>
      </c>
      <c r="O57" s="196"/>
      <c r="P57" s="357"/>
    </row>
    <row r="58" spans="2:16" ht="18.75" hidden="1" customHeight="1">
      <c r="B58" s="207"/>
      <c r="C58" s="637"/>
      <c r="D58" s="1444"/>
      <c r="E58" s="637"/>
      <c r="F58" s="637"/>
      <c r="G58" s="635">
        <f t="shared" si="6"/>
        <v>0</v>
      </c>
      <c r="H58" s="635">
        <f t="shared" si="6"/>
        <v>0</v>
      </c>
      <c r="I58" s="635">
        <f t="shared" si="6"/>
        <v>0</v>
      </c>
      <c r="J58" s="635">
        <f t="shared" si="6"/>
        <v>0</v>
      </c>
      <c r="K58" s="635">
        <f t="shared" si="6"/>
        <v>0</v>
      </c>
      <c r="L58" s="244"/>
      <c r="M58" s="379"/>
      <c r="O58" s="196"/>
      <c r="P58" s="357"/>
    </row>
    <row r="59" spans="2:16" ht="18.600000000000001" hidden="1" customHeight="1">
      <c r="B59" s="207"/>
      <c r="C59" s="637"/>
      <c r="D59" s="1444"/>
      <c r="E59" s="637"/>
      <c r="F59" s="637"/>
      <c r="G59" s="635">
        <f t="shared" si="6"/>
        <v>0</v>
      </c>
      <c r="H59" s="635">
        <f t="shared" si="6"/>
        <v>0</v>
      </c>
      <c r="I59" s="635">
        <f t="shared" si="6"/>
        <v>0</v>
      </c>
      <c r="J59" s="635">
        <f t="shared" si="6"/>
        <v>0</v>
      </c>
      <c r="K59" s="635">
        <f t="shared" si="6"/>
        <v>0</v>
      </c>
      <c r="L59" s="631"/>
      <c r="M59" s="379"/>
      <c r="O59" s="196"/>
      <c r="P59" s="357"/>
    </row>
    <row r="60" spans="2:16" ht="18.75" hidden="1" customHeight="1">
      <c r="B60" s="207"/>
      <c r="C60" s="637"/>
      <c r="D60" s="1444"/>
      <c r="E60" s="637"/>
      <c r="F60" s="637"/>
      <c r="G60" s="635">
        <f t="shared" si="6"/>
        <v>0</v>
      </c>
      <c r="H60" s="635">
        <f t="shared" si="6"/>
        <v>0</v>
      </c>
      <c r="I60" s="635">
        <f t="shared" si="6"/>
        <v>0</v>
      </c>
      <c r="J60" s="635">
        <f t="shared" si="6"/>
        <v>0</v>
      </c>
      <c r="K60" s="635">
        <f t="shared" si="6"/>
        <v>0</v>
      </c>
      <c r="M60" s="373"/>
      <c r="O60" s="196"/>
      <c r="P60" s="357"/>
    </row>
    <row r="61" spans="2:16" ht="18.75" hidden="1" customHeight="1">
      <c r="B61" s="207"/>
      <c r="C61" s="637"/>
      <c r="D61" s="1444"/>
      <c r="E61" s="637"/>
      <c r="F61" s="637"/>
      <c r="G61" s="635">
        <f t="shared" si="6"/>
        <v>0</v>
      </c>
      <c r="H61" s="635">
        <f t="shared" si="6"/>
        <v>0</v>
      </c>
      <c r="I61" s="635">
        <f t="shared" si="6"/>
        <v>0</v>
      </c>
      <c r="J61" s="635">
        <f t="shared" si="6"/>
        <v>0</v>
      </c>
      <c r="K61" s="635">
        <f t="shared" si="6"/>
        <v>0</v>
      </c>
      <c r="M61" s="373"/>
      <c r="O61" s="196"/>
      <c r="P61" s="357"/>
    </row>
    <row r="62" spans="2:16" ht="18.75" hidden="1" customHeight="1">
      <c r="B62" s="207"/>
      <c r="C62" s="637"/>
      <c r="D62" s="1444"/>
      <c r="E62" s="637"/>
      <c r="F62" s="637"/>
      <c r="G62" s="635">
        <f t="shared" si="6"/>
        <v>0</v>
      </c>
      <c r="H62" s="635">
        <f t="shared" si="6"/>
        <v>0</v>
      </c>
      <c r="I62" s="635">
        <f t="shared" si="6"/>
        <v>0</v>
      </c>
      <c r="J62" s="635">
        <f t="shared" si="6"/>
        <v>0</v>
      </c>
      <c r="K62" s="635">
        <f t="shared" si="6"/>
        <v>0</v>
      </c>
      <c r="M62" s="379"/>
      <c r="O62" s="196"/>
      <c r="P62" s="357"/>
    </row>
    <row r="63" spans="2:16" ht="18.75" hidden="1" customHeight="1">
      <c r="B63" s="207"/>
      <c r="C63" s="637"/>
      <c r="D63" s="1444"/>
      <c r="E63" s="637"/>
      <c r="F63" s="637"/>
      <c r="G63" s="635">
        <f t="shared" si="6"/>
        <v>0</v>
      </c>
      <c r="H63" s="635">
        <f t="shared" si="6"/>
        <v>0</v>
      </c>
      <c r="I63" s="635">
        <f t="shared" si="6"/>
        <v>0</v>
      </c>
      <c r="J63" s="635">
        <f t="shared" si="6"/>
        <v>0</v>
      </c>
      <c r="K63" s="635">
        <f t="shared" si="6"/>
        <v>0</v>
      </c>
      <c r="M63" s="379"/>
      <c r="O63" s="196"/>
      <c r="P63" s="357"/>
    </row>
    <row r="64" spans="2:16" ht="18.75" hidden="1" customHeight="1">
      <c r="B64" s="207"/>
      <c r="C64" s="637"/>
      <c r="D64" s="1444"/>
      <c r="E64" s="637"/>
      <c r="F64" s="637"/>
      <c r="G64" s="635">
        <f t="shared" si="6"/>
        <v>0</v>
      </c>
      <c r="H64" s="635">
        <f t="shared" si="6"/>
        <v>0</v>
      </c>
      <c r="I64" s="635">
        <f t="shared" si="6"/>
        <v>0</v>
      </c>
      <c r="J64" s="635">
        <f t="shared" si="6"/>
        <v>0</v>
      </c>
      <c r="K64" s="635">
        <f t="shared" si="6"/>
        <v>0</v>
      </c>
      <c r="M64" s="379"/>
      <c r="O64" s="196"/>
      <c r="P64" s="357"/>
    </row>
    <row r="65" spans="2:16" ht="18.75" hidden="1" customHeight="1">
      <c r="B65" s="1225"/>
      <c r="C65" s="637"/>
      <c r="D65" s="1444"/>
      <c r="E65" s="637"/>
      <c r="F65" s="646"/>
      <c r="G65" s="635">
        <f t="shared" si="6"/>
        <v>0</v>
      </c>
      <c r="H65" s="635">
        <f t="shared" si="6"/>
        <v>0</v>
      </c>
      <c r="I65" s="635">
        <f t="shared" si="6"/>
        <v>0</v>
      </c>
      <c r="J65" s="635">
        <f t="shared" si="6"/>
        <v>0</v>
      </c>
      <c r="K65" s="635">
        <f t="shared" si="6"/>
        <v>0</v>
      </c>
      <c r="L65" s="244"/>
      <c r="M65" s="379"/>
      <c r="O65" s="196"/>
      <c r="P65" s="357"/>
    </row>
    <row r="66" spans="2:16" ht="18" hidden="1">
      <c r="B66" s="201"/>
      <c r="C66" s="637"/>
      <c r="D66" s="1444"/>
      <c r="E66" s="637"/>
      <c r="F66" s="637"/>
      <c r="G66" s="635">
        <f t="shared" si="6"/>
        <v>0</v>
      </c>
      <c r="H66" s="635">
        <f t="shared" si="6"/>
        <v>0</v>
      </c>
      <c r="I66" s="635">
        <f t="shared" si="6"/>
        <v>0</v>
      </c>
      <c r="J66" s="635">
        <f t="shared" si="6"/>
        <v>0</v>
      </c>
      <c r="K66" s="635">
        <f t="shared" si="6"/>
        <v>0</v>
      </c>
      <c r="L66" s="244"/>
      <c r="M66" s="379"/>
      <c r="O66" s="196"/>
      <c r="P66" s="357"/>
    </row>
    <row r="67" spans="2:16" ht="18" hidden="1">
      <c r="B67" s="201"/>
      <c r="C67" s="638"/>
      <c r="D67" s="1446"/>
      <c r="E67" s="638"/>
      <c r="F67" s="638"/>
      <c r="G67" s="635">
        <f t="shared" si="6"/>
        <v>0</v>
      </c>
      <c r="H67" s="635">
        <f t="shared" si="6"/>
        <v>0</v>
      </c>
      <c r="I67" s="635">
        <f t="shared" si="6"/>
        <v>0</v>
      </c>
      <c r="J67" s="635">
        <f t="shared" si="6"/>
        <v>0</v>
      </c>
      <c r="K67" s="635">
        <f t="shared" si="6"/>
        <v>0</v>
      </c>
      <c r="L67" s="244"/>
      <c r="M67" s="379"/>
      <c r="O67" s="196"/>
      <c r="P67" s="357"/>
    </row>
    <row r="68" spans="2:16" ht="18" hidden="1">
      <c r="B68" s="218"/>
      <c r="C68" s="637"/>
      <c r="D68" s="1444"/>
      <c r="E68" s="638"/>
      <c r="F68" s="638"/>
      <c r="G68" s="635">
        <f t="shared" si="6"/>
        <v>0</v>
      </c>
      <c r="H68" s="635">
        <f t="shared" si="6"/>
        <v>0</v>
      </c>
      <c r="I68" s="635">
        <f t="shared" si="6"/>
        <v>0</v>
      </c>
      <c r="J68" s="635">
        <f t="shared" si="6"/>
        <v>0</v>
      </c>
      <c r="K68" s="635">
        <f t="shared" si="6"/>
        <v>0</v>
      </c>
      <c r="M68" s="379"/>
      <c r="N68" s="196"/>
      <c r="O68" s="196"/>
      <c r="P68" s="357"/>
    </row>
    <row r="69" spans="2:16" ht="18" hidden="1">
      <c r="B69" s="218"/>
      <c r="C69" s="637"/>
      <c r="D69" s="1444"/>
      <c r="E69" s="638"/>
      <c r="F69" s="638"/>
      <c r="G69" s="635">
        <f t="shared" si="6"/>
        <v>0</v>
      </c>
      <c r="H69" s="635">
        <f t="shared" si="6"/>
        <v>0</v>
      </c>
      <c r="I69" s="635">
        <f t="shared" si="6"/>
        <v>0</v>
      </c>
      <c r="J69" s="635">
        <f t="shared" si="6"/>
        <v>0</v>
      </c>
      <c r="K69" s="635">
        <f t="shared" si="6"/>
        <v>0</v>
      </c>
      <c r="M69" s="379"/>
      <c r="N69" s="196"/>
      <c r="O69" s="196"/>
      <c r="P69" s="357"/>
    </row>
    <row r="70" spans="2:16" ht="18" hidden="1">
      <c r="B70" s="208"/>
      <c r="C70" s="637"/>
      <c r="D70" s="1444"/>
      <c r="E70" s="637"/>
      <c r="F70" s="637"/>
      <c r="G70" s="635">
        <f t="shared" si="6"/>
        <v>0</v>
      </c>
      <c r="H70" s="635">
        <f t="shared" si="6"/>
        <v>0</v>
      </c>
      <c r="I70" s="635">
        <f t="shared" si="6"/>
        <v>0</v>
      </c>
      <c r="J70" s="635">
        <f t="shared" si="6"/>
        <v>0</v>
      </c>
      <c r="K70" s="635">
        <f t="shared" si="6"/>
        <v>0</v>
      </c>
      <c r="L70" s="244"/>
      <c r="M70" s="379"/>
      <c r="O70" s="196"/>
      <c r="P70" s="357"/>
    </row>
    <row r="71" spans="2:16" ht="18" hidden="1">
      <c r="B71" s="219"/>
      <c r="C71" s="637"/>
      <c r="D71" s="1444"/>
      <c r="E71" s="637"/>
      <c r="F71" s="637"/>
      <c r="G71" s="635">
        <f t="shared" si="6"/>
        <v>0</v>
      </c>
      <c r="H71" s="635">
        <f t="shared" si="6"/>
        <v>0</v>
      </c>
      <c r="I71" s="635">
        <f t="shared" si="6"/>
        <v>0</v>
      </c>
      <c r="J71" s="635">
        <f t="shared" si="6"/>
        <v>0</v>
      </c>
      <c r="K71" s="635">
        <f t="shared" si="6"/>
        <v>0</v>
      </c>
      <c r="M71" s="379"/>
      <c r="O71" s="196"/>
      <c r="P71" s="357"/>
    </row>
    <row r="72" spans="2:16" ht="18" hidden="1">
      <c r="B72" s="219"/>
      <c r="C72" s="637"/>
      <c r="D72" s="1444"/>
      <c r="E72" s="637"/>
      <c r="F72" s="637"/>
      <c r="G72" s="635">
        <f t="shared" si="6"/>
        <v>0</v>
      </c>
      <c r="H72" s="635">
        <f t="shared" si="6"/>
        <v>0</v>
      </c>
      <c r="I72" s="635">
        <f t="shared" si="6"/>
        <v>0</v>
      </c>
      <c r="J72" s="635">
        <f t="shared" si="6"/>
        <v>0</v>
      </c>
      <c r="K72" s="635">
        <f t="shared" si="6"/>
        <v>0</v>
      </c>
      <c r="L72" s="244"/>
      <c r="M72" s="379"/>
      <c r="O72" s="196"/>
      <c r="P72" s="357"/>
    </row>
    <row r="73" spans="2:16" ht="18" hidden="1" customHeight="1">
      <c r="B73" s="201"/>
      <c r="C73" s="637"/>
      <c r="D73" s="1444"/>
      <c r="E73" s="637"/>
      <c r="F73" s="637"/>
      <c r="G73" s="635">
        <f t="shared" si="6"/>
        <v>0</v>
      </c>
      <c r="H73" s="635">
        <f t="shared" si="6"/>
        <v>0</v>
      </c>
      <c r="I73" s="635">
        <f t="shared" si="6"/>
        <v>0</v>
      </c>
      <c r="J73" s="635">
        <f t="shared" si="6"/>
        <v>0</v>
      </c>
      <c r="K73" s="635">
        <f t="shared" si="6"/>
        <v>0</v>
      </c>
      <c r="L73" s="244"/>
      <c r="M73" s="379"/>
      <c r="O73" s="196"/>
      <c r="P73" s="357"/>
    </row>
    <row r="74" spans="2:16" ht="18" hidden="1" customHeight="1">
      <c r="B74" s="201"/>
      <c r="C74" s="646"/>
      <c r="D74" s="1447"/>
      <c r="E74" s="646"/>
      <c r="F74" s="637"/>
      <c r="G74" s="635">
        <f t="shared" si="6"/>
        <v>0</v>
      </c>
      <c r="H74" s="635">
        <f t="shared" si="6"/>
        <v>0</v>
      </c>
      <c r="I74" s="635">
        <f t="shared" si="6"/>
        <v>0</v>
      </c>
      <c r="J74" s="635">
        <f t="shared" si="6"/>
        <v>0</v>
      </c>
      <c r="K74" s="635">
        <f t="shared" si="6"/>
        <v>0</v>
      </c>
      <c r="L74" s="244"/>
      <c r="O74" s="196"/>
      <c r="P74" s="357"/>
    </row>
    <row r="75" spans="2:16" ht="18" hidden="1" customHeight="1">
      <c r="B75" s="219"/>
      <c r="C75" s="637"/>
      <c r="D75" s="1444"/>
      <c r="E75" s="1128"/>
      <c r="F75" s="646"/>
      <c r="G75" s="635">
        <f t="shared" si="6"/>
        <v>0</v>
      </c>
      <c r="H75" s="635">
        <f t="shared" si="6"/>
        <v>0</v>
      </c>
      <c r="I75" s="635">
        <f t="shared" si="6"/>
        <v>0</v>
      </c>
      <c r="J75" s="635">
        <f t="shared" si="6"/>
        <v>0</v>
      </c>
      <c r="K75" s="635">
        <f t="shared" si="6"/>
        <v>0</v>
      </c>
      <c r="M75" s="379"/>
      <c r="O75" s="196"/>
      <c r="P75" s="357"/>
    </row>
    <row r="76" spans="2:16" ht="18" hidden="1" customHeight="1">
      <c r="B76" s="219"/>
      <c r="C76" s="637"/>
      <c r="D76" s="1444"/>
      <c r="E76" s="1128"/>
      <c r="F76" s="646"/>
      <c r="G76" s="635">
        <f t="shared" si="6"/>
        <v>0</v>
      </c>
      <c r="H76" s="635">
        <f t="shared" si="6"/>
        <v>0</v>
      </c>
      <c r="I76" s="635">
        <f t="shared" si="6"/>
        <v>0</v>
      </c>
      <c r="J76" s="635">
        <f t="shared" si="6"/>
        <v>0</v>
      </c>
      <c r="K76" s="635">
        <f t="shared" si="6"/>
        <v>0</v>
      </c>
      <c r="L76" s="244"/>
      <c r="M76" s="379"/>
      <c r="O76" s="196"/>
      <c r="P76" s="357"/>
    </row>
    <row r="77" spans="2:16" ht="18" hidden="1" customHeight="1">
      <c r="B77" s="219"/>
      <c r="C77" s="637"/>
      <c r="D77" s="1444"/>
      <c r="E77" s="1128"/>
      <c r="F77" s="646"/>
      <c r="G77" s="635">
        <f t="shared" si="6"/>
        <v>0</v>
      </c>
      <c r="H77" s="635">
        <f t="shared" si="6"/>
        <v>0</v>
      </c>
      <c r="I77" s="635">
        <f t="shared" si="6"/>
        <v>0</v>
      </c>
      <c r="J77" s="635">
        <f t="shared" si="6"/>
        <v>0</v>
      </c>
      <c r="K77" s="635">
        <f t="shared" si="6"/>
        <v>0</v>
      </c>
      <c r="L77" s="244"/>
      <c r="M77" s="379"/>
      <c r="O77" s="196"/>
      <c r="P77" s="357"/>
    </row>
    <row r="78" spans="2:16" ht="18" hidden="1">
      <c r="B78" s="219"/>
      <c r="C78" s="637"/>
      <c r="D78" s="1444"/>
      <c r="E78" s="1128"/>
      <c r="F78" s="646"/>
      <c r="G78" s="635">
        <f t="shared" si="6"/>
        <v>0</v>
      </c>
      <c r="H78" s="635">
        <f t="shared" si="6"/>
        <v>0</v>
      </c>
      <c r="I78" s="635">
        <f t="shared" si="6"/>
        <v>0</v>
      </c>
      <c r="J78" s="635">
        <f t="shared" si="6"/>
        <v>0</v>
      </c>
      <c r="K78" s="635">
        <f t="shared" si="6"/>
        <v>0</v>
      </c>
      <c r="L78" s="244"/>
      <c r="M78" s="379"/>
      <c r="O78" s="196"/>
      <c r="P78" s="357"/>
    </row>
    <row r="79" spans="2:16" ht="18" hidden="1" customHeight="1">
      <c r="B79" s="1952"/>
      <c r="C79" s="637"/>
      <c r="D79" s="1444"/>
      <c r="E79" s="1128"/>
      <c r="F79" s="646"/>
      <c r="G79" s="635">
        <f t="shared" si="6"/>
        <v>0</v>
      </c>
      <c r="H79" s="635">
        <f t="shared" si="6"/>
        <v>0</v>
      </c>
      <c r="I79" s="635">
        <f t="shared" si="6"/>
        <v>0</v>
      </c>
      <c r="J79" s="635">
        <f t="shared" si="6"/>
        <v>0</v>
      </c>
      <c r="K79" s="635">
        <f t="shared" si="6"/>
        <v>0</v>
      </c>
      <c r="L79" s="244"/>
      <c r="M79" s="378"/>
      <c r="O79" s="196"/>
      <c r="P79" s="357"/>
    </row>
    <row r="80" spans="2:16" ht="18" hidden="1" customHeight="1">
      <c r="B80" s="219"/>
      <c r="C80" s="637"/>
      <c r="D80" s="1444"/>
      <c r="E80" s="1128"/>
      <c r="F80" s="646"/>
      <c r="G80" s="635">
        <f t="shared" si="6"/>
        <v>0</v>
      </c>
      <c r="H80" s="635">
        <f t="shared" si="6"/>
        <v>0</v>
      </c>
      <c r="I80" s="635">
        <f t="shared" si="6"/>
        <v>0</v>
      </c>
      <c r="J80" s="635">
        <f t="shared" si="6"/>
        <v>0</v>
      </c>
      <c r="K80" s="635">
        <f t="shared" si="6"/>
        <v>0</v>
      </c>
      <c r="L80" s="244"/>
      <c r="M80" s="379"/>
      <c r="O80" s="196"/>
      <c r="P80" s="357"/>
    </row>
    <row r="81" spans="2:16" ht="18" hidden="1" customHeight="1">
      <c r="B81" s="219"/>
      <c r="C81" s="646"/>
      <c r="D81" s="1447"/>
      <c r="E81" s="1128"/>
      <c r="F81" s="646"/>
      <c r="G81" s="635">
        <f t="shared" si="6"/>
        <v>0</v>
      </c>
      <c r="H81" s="635">
        <f t="shared" si="6"/>
        <v>0</v>
      </c>
      <c r="I81" s="635">
        <f t="shared" si="6"/>
        <v>0</v>
      </c>
      <c r="J81" s="635">
        <f t="shared" si="6"/>
        <v>0</v>
      </c>
      <c r="K81" s="635">
        <f t="shared" si="6"/>
        <v>0</v>
      </c>
      <c r="L81" s="244"/>
      <c r="M81" s="379"/>
      <c r="O81" s="196"/>
      <c r="P81" s="357"/>
    </row>
    <row r="82" spans="2:16" ht="18" hidden="1">
      <c r="B82" s="1577"/>
      <c r="C82" s="646"/>
      <c r="D82" s="1447"/>
      <c r="E82" s="646"/>
      <c r="F82" s="646"/>
      <c r="G82" s="2025">
        <f t="shared" si="6"/>
        <v>0</v>
      </c>
      <c r="H82" s="2025">
        <f t="shared" si="6"/>
        <v>0</v>
      </c>
      <c r="I82" s="2025">
        <f t="shared" si="6"/>
        <v>0</v>
      </c>
      <c r="J82" s="2025">
        <f t="shared" si="6"/>
        <v>0</v>
      </c>
      <c r="K82" s="2025">
        <f t="shared" si="6"/>
        <v>0</v>
      </c>
      <c r="L82" s="214"/>
      <c r="N82" s="245"/>
      <c r="O82" s="196"/>
      <c r="P82" s="357"/>
    </row>
    <row r="83" spans="2:16" s="575" customFormat="1">
      <c r="B83" s="2026"/>
      <c r="C83" s="1130"/>
      <c r="D83" s="1130"/>
      <c r="E83" s="1130"/>
      <c r="F83" s="1130"/>
      <c r="G83" s="1130"/>
      <c r="H83" s="1130"/>
      <c r="I83" s="1130"/>
      <c r="J83" s="1130"/>
      <c r="K83" s="1130"/>
      <c r="L83" s="2027"/>
      <c r="M83" s="2028"/>
    </row>
    <row r="84" spans="2:16">
      <c r="N84" s="304"/>
    </row>
    <row r="85" spans="2:16" ht="18">
      <c r="B85" s="210" t="str">
        <f>'Вхідні дані'!$B$13</f>
        <v>Директор підприємства</v>
      </c>
      <c r="C85" s="1131"/>
      <c r="D85" s="1132" t="s">
        <v>754</v>
      </c>
      <c r="E85" s="1131"/>
      <c r="G85" s="2876" t="str">
        <f>'Вхідні дані'!$F$13</f>
        <v>Сергій НІКУЛЬЧА</v>
      </c>
      <c r="H85" s="2876"/>
      <c r="I85" s="2876"/>
      <c r="J85" s="2876"/>
    </row>
    <row r="86" spans="2:16" ht="18">
      <c r="B86" s="210"/>
      <c r="C86" s="1131"/>
      <c r="D86" s="1132" t="s">
        <v>196</v>
      </c>
      <c r="E86" s="1131"/>
      <c r="G86" s="2870" t="s">
        <v>686</v>
      </c>
      <c r="H86" s="2870"/>
      <c r="I86" s="2870"/>
      <c r="J86" s="2870"/>
    </row>
    <row r="87" spans="2:16" ht="18">
      <c r="B87" s="210" t="str">
        <f>'Вхідні дані'!$B$16</f>
        <v>Головний бухгалтер</v>
      </c>
      <c r="C87" s="1131"/>
      <c r="D87" s="1132" t="s">
        <v>754</v>
      </c>
      <c r="E87" s="1131"/>
      <c r="G87" s="2876" t="str">
        <f>'Вхідні дані'!$F$16</f>
        <v>Ольга ПЄТРОВА</v>
      </c>
      <c r="H87" s="2876"/>
      <c r="I87" s="2876"/>
      <c r="J87" s="2876"/>
    </row>
    <row r="88" spans="2:16" ht="24" customHeight="1">
      <c r="B88" s="246"/>
      <c r="D88" s="1132" t="s">
        <v>196</v>
      </c>
      <c r="G88" s="2870" t="s">
        <v>686</v>
      </c>
      <c r="H88" s="2870"/>
      <c r="I88" s="2870"/>
      <c r="J88" s="2870"/>
      <c r="L88" s="913"/>
      <c r="M88" s="914"/>
    </row>
  </sheetData>
  <autoFilter ref="A8:V8" xr:uid="{00000000-0009-0000-0000-00000F000000}"/>
  <mergeCells count="6">
    <mergeCell ref="G88:J88"/>
    <mergeCell ref="B7:B8"/>
    <mergeCell ref="G7:K7"/>
    <mergeCell ref="G85:J85"/>
    <mergeCell ref="G86:J86"/>
    <mergeCell ref="G87:J87"/>
  </mergeCells>
  <conditionalFormatting sqref="G88:J88 D88">
    <cfRule type="expression" dxfId="38" priority="26" stopIfTrue="1">
      <formula>ABS(#REF!-(#REF!+#REF!+$N88+$Q88))&gt;отклонение</formula>
    </cfRule>
  </conditionalFormatting>
  <conditionalFormatting sqref="G88:J88">
    <cfRule type="expression" dxfId="37" priority="14" stopIfTrue="1">
      <formula>ABS(#REF!-(#REF!+$E88+$M88+$P88))&gt;отклонение</formula>
    </cfRule>
    <cfRule type="expression" dxfId="36" priority="25" stopIfTrue="1">
      <formula>ABS(#REF!-(#REF!+#REF!+#REF!+#REF!))&gt;отклонение</formula>
    </cfRule>
    <cfRule type="expression" dxfId="35" priority="28" stopIfTrue="1">
      <formula>ABS(#REF!-(#REF!+#REF!+$N88+$Q88))&gt;отклонение</formula>
    </cfRule>
  </conditionalFormatting>
  <conditionalFormatting sqref="G88:M88 B88:C88 E88">
    <cfRule type="expression" dxfId="34" priority="22" stopIfTrue="1">
      <formula>ABS(#REF!-(#REF!+#REF!+#REF!+#REF!))&gt;отклонение</formula>
    </cfRule>
  </conditionalFormatting>
  <pageMargins left="0.23622047244094491" right="0.23622047244094491" top="0.47244094488188981" bottom="0.15748031496062992" header="0.59055118110236227" footer="0.31496062992125984"/>
  <pageSetup paperSize="9" scale="74" fitToHeight="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7"/>
    <pageSetUpPr fitToPage="1"/>
  </sheetPr>
  <dimension ref="A1:AG100"/>
  <sheetViews>
    <sheetView topLeftCell="A6" zoomScale="75" zoomScaleNormal="75" workbookViewId="0">
      <pane xSplit="2" ySplit="6" topLeftCell="C12" activePane="bottomRight" state="frozen"/>
      <selection activeCell="A6" sqref="A6"/>
      <selection pane="topRight" activeCell="C6" sqref="C6"/>
      <selection pane="bottomLeft" activeCell="A12" sqref="A12"/>
      <selection pane="bottomRight" activeCell="B56" sqref="B56"/>
    </sheetView>
  </sheetViews>
  <sheetFormatPr defaultRowHeight="15.6"/>
  <cols>
    <col min="2" max="2" width="57.109375" customWidth="1"/>
    <col min="3" max="3" width="11.5546875" customWidth="1"/>
    <col min="4" max="4" width="11.44140625" customWidth="1"/>
    <col min="5" max="5" width="12.6640625" customWidth="1"/>
    <col min="6" max="6" width="12.5546875" customWidth="1"/>
    <col min="7" max="17" width="12.6640625" customWidth="1"/>
    <col min="18" max="18" width="12.109375" customWidth="1"/>
    <col min="19" max="20" width="12.6640625" customWidth="1"/>
    <col min="24" max="24" width="8.88671875" style="1982"/>
    <col min="25" max="25" width="10" style="1982" bestFit="1" customWidth="1"/>
    <col min="26" max="29" width="8.88671875" style="1982"/>
    <col min="30" max="30" width="9.44140625" style="1982" bestFit="1" customWidth="1"/>
    <col min="31" max="31" width="8.88671875" style="1982"/>
    <col min="32" max="32" width="9.44140625" style="1982" bestFit="1" customWidth="1"/>
    <col min="33" max="33" width="8.88671875" style="1982"/>
  </cols>
  <sheetData>
    <row r="1" spans="2:33" s="192" customFormat="1" ht="17.399999999999999">
      <c r="B1" s="191"/>
      <c r="C1" s="196"/>
      <c r="D1" s="196"/>
      <c r="E1" s="196"/>
      <c r="F1" s="196"/>
      <c r="G1" s="196"/>
      <c r="H1" s="196"/>
      <c r="O1" s="193" t="s">
        <v>620</v>
      </c>
      <c r="P1" s="193"/>
      <c r="Q1" s="193"/>
      <c r="S1" s="912"/>
      <c r="T1" s="1308"/>
      <c r="X1" s="191"/>
      <c r="Y1" s="191"/>
      <c r="Z1" s="191"/>
      <c r="AA1" s="191"/>
      <c r="AB1" s="191"/>
      <c r="AC1" s="191"/>
      <c r="AD1" s="191">
        <f>'ТЕ_2ст_тариф_з ІТП'!H16</f>
        <v>6.4600562400000001</v>
      </c>
      <c r="AE1" s="191"/>
      <c r="AF1" s="191"/>
      <c r="AG1" s="191"/>
    </row>
    <row r="2" spans="2:33" s="192" customFormat="1" ht="18" customHeight="1">
      <c r="O2" s="192" t="str">
        <f>'Вхідні дані'!F1</f>
        <v>станом на 01.09.2023 року</v>
      </c>
      <c r="S2" s="912"/>
      <c r="T2" s="1308"/>
      <c r="X2" s="191"/>
      <c r="Y2" s="191"/>
      <c r="Z2" s="191"/>
      <c r="AA2" s="191"/>
      <c r="AB2" s="191"/>
      <c r="AC2" s="191"/>
      <c r="AD2" s="191"/>
      <c r="AE2" s="191"/>
      <c r="AF2" s="191"/>
      <c r="AG2" s="191"/>
    </row>
    <row r="3" spans="2:33" s="192" customFormat="1" ht="18.600000000000001">
      <c r="B3" s="194" t="s">
        <v>775</v>
      </c>
      <c r="C3" s="195"/>
      <c r="D3" s="239" t="str">
        <f>'Вхідні дані'!$F$5</f>
        <v>ТОВ ДП " Моноліт- Сервіс "</v>
      </c>
      <c r="E3" s="239"/>
      <c r="F3" s="239"/>
      <c r="G3" s="239"/>
      <c r="H3" s="239"/>
      <c r="I3" s="239" t="s">
        <v>442</v>
      </c>
      <c r="J3" s="239"/>
      <c r="K3" s="239"/>
      <c r="L3" s="239" t="str">
        <f>'Вхідні дані'!$F$6</f>
        <v>2023-2024</v>
      </c>
      <c r="M3" s="239"/>
      <c r="N3" s="239"/>
      <c r="O3" s="239" t="s">
        <v>545</v>
      </c>
      <c r="P3" s="239"/>
      <c r="Q3" s="239"/>
      <c r="R3" s="194"/>
      <c r="S3" s="240"/>
      <c r="T3" s="375"/>
      <c r="X3" s="191"/>
      <c r="Y3" s="191"/>
      <c r="Z3" s="191"/>
      <c r="AA3" s="191"/>
      <c r="AB3" s="191"/>
      <c r="AC3" s="191"/>
      <c r="AD3" s="191"/>
      <c r="AE3" s="191"/>
      <c r="AF3" s="191"/>
      <c r="AG3" s="191"/>
    </row>
    <row r="4" spans="2:33" s="192" customFormat="1" ht="17.399999999999999">
      <c r="B4" s="194"/>
      <c r="C4" s="227"/>
      <c r="D4" s="228"/>
      <c r="E4" s="195"/>
      <c r="F4" s="194"/>
      <c r="G4" s="2877"/>
      <c r="H4" s="2877"/>
      <c r="I4" s="227"/>
      <c r="J4" s="227"/>
      <c r="K4" s="227"/>
      <c r="L4" s="228"/>
      <c r="M4" s="228"/>
      <c r="N4" s="228"/>
      <c r="O4" s="195"/>
      <c r="P4" s="195"/>
      <c r="Q4" s="195"/>
      <c r="R4" s="194"/>
      <c r="S4" s="2877"/>
      <c r="T4" s="2877"/>
      <c r="X4" s="191"/>
      <c r="Y4" s="1953"/>
      <c r="Z4" s="191"/>
      <c r="AA4" s="191"/>
      <c r="AB4" s="191"/>
      <c r="AC4" s="191"/>
      <c r="AD4" s="191"/>
      <c r="AE4" s="191"/>
      <c r="AF4" s="191"/>
      <c r="AG4" s="191"/>
    </row>
    <row r="5" spans="2:33" s="192" customFormat="1" ht="18.600000000000001" thickBot="1">
      <c r="B5" s="210"/>
      <c r="C5" s="229"/>
      <c r="D5" s="229"/>
      <c r="E5" s="229"/>
      <c r="F5" s="229">
        <f>G10+H10</f>
        <v>0</v>
      </c>
      <c r="G5" s="376" t="e">
        <f>F10/F5*G10</f>
        <v>#DIV/0!</v>
      </c>
      <c r="H5" s="376"/>
      <c r="I5" s="229"/>
      <c r="J5" s="376"/>
      <c r="K5" s="376"/>
      <c r="L5" s="229"/>
      <c r="M5" s="376"/>
      <c r="N5" s="376"/>
      <c r="O5" s="229"/>
      <c r="P5" s="376"/>
      <c r="Q5" s="376"/>
      <c r="R5" s="229"/>
      <c r="S5" s="376"/>
      <c r="T5" s="376"/>
      <c r="X5" s="191"/>
      <c r="Y5" s="1953"/>
      <c r="Z5" s="191"/>
      <c r="AA5" s="191"/>
      <c r="AB5" s="191"/>
      <c r="AC5" s="191"/>
      <c r="AD5" s="191"/>
      <c r="AE5" s="191"/>
      <c r="AF5" s="191"/>
      <c r="AG5" s="191"/>
    </row>
    <row r="6" spans="2:33" s="192" customFormat="1" ht="19.5" customHeight="1" thickBot="1">
      <c r="B6" s="2871" t="s">
        <v>1218</v>
      </c>
      <c r="C6" s="2897" t="s">
        <v>673</v>
      </c>
      <c r="D6" s="2899" t="s">
        <v>673</v>
      </c>
      <c r="E6" s="1954" t="s">
        <v>683</v>
      </c>
      <c r="F6" s="2890" t="s">
        <v>674</v>
      </c>
      <c r="G6" s="2891"/>
      <c r="H6" s="2892"/>
      <c r="I6" s="2893" t="s">
        <v>958</v>
      </c>
      <c r="J6" s="2893"/>
      <c r="K6" s="2893"/>
      <c r="L6" s="2893"/>
      <c r="M6" s="2893"/>
      <c r="N6" s="2893"/>
      <c r="O6" s="2893"/>
      <c r="P6" s="2893"/>
      <c r="Q6" s="2893"/>
      <c r="R6" s="2893"/>
      <c r="S6" s="2893"/>
      <c r="T6" s="2894"/>
      <c r="X6" s="191"/>
      <c r="Y6" s="191"/>
      <c r="Z6" s="191"/>
      <c r="AA6" s="191"/>
      <c r="AB6" s="191"/>
      <c r="AC6" s="191"/>
      <c r="AD6" s="191"/>
      <c r="AE6" s="191"/>
      <c r="AF6" s="191"/>
      <c r="AG6" s="191"/>
    </row>
    <row r="7" spans="2:33" s="192" customFormat="1" ht="19.5" customHeight="1" thickBot="1">
      <c r="B7" s="2887"/>
      <c r="C7" s="2898"/>
      <c r="D7" s="2900"/>
      <c r="E7" s="2895">
        <f>'Вхідні дані'!$F$9</f>
        <v>0</v>
      </c>
      <c r="F7" s="2881" t="str">
        <f>'Вхідні дані'!$F$6</f>
        <v>2023-2024</v>
      </c>
      <c r="G7" s="2882"/>
      <c r="H7" s="2883"/>
      <c r="I7" s="2878" t="str">
        <f>'Вхідні дані'!$C$11</f>
        <v>населення</v>
      </c>
      <c r="J7" s="2878"/>
      <c r="K7" s="2878"/>
      <c r="L7" s="2879">
        <f>'Вхідні дані'!$D$11</f>
        <v>0</v>
      </c>
      <c r="M7" s="2878"/>
      <c r="N7" s="2878"/>
      <c r="O7" s="2879">
        <f>'Вхідні дані'!$E$11</f>
        <v>0</v>
      </c>
      <c r="P7" s="2878"/>
      <c r="Q7" s="2878"/>
      <c r="R7" s="2879">
        <f>'Вхідні дані'!$F$11</f>
        <v>0</v>
      </c>
      <c r="S7" s="2878"/>
      <c r="T7" s="2880"/>
      <c r="X7" s="191"/>
      <c r="Y7" s="191"/>
      <c r="Z7" s="191"/>
      <c r="AA7" s="191"/>
      <c r="AB7" s="191"/>
      <c r="AC7" s="191"/>
      <c r="AD7" s="191"/>
      <c r="AE7" s="191"/>
      <c r="AF7" s="191"/>
      <c r="AG7" s="191"/>
    </row>
    <row r="8" spans="2:33" s="192" customFormat="1" ht="55.95" customHeight="1" thickBot="1">
      <c r="B8" s="2872"/>
      <c r="C8" s="1955">
        <f>'Вхідні дані'!$F$8</f>
        <v>2021</v>
      </c>
      <c r="D8" s="1956">
        <f>'Вхідні дані'!$F$7</f>
        <v>2022</v>
      </c>
      <c r="E8" s="2896"/>
      <c r="F8" s="1957" t="s">
        <v>1497</v>
      </c>
      <c r="G8" s="1958" t="s">
        <v>1829</v>
      </c>
      <c r="H8" s="1959" t="s">
        <v>1830</v>
      </c>
      <c r="I8" s="1957" t="s">
        <v>1497</v>
      </c>
      <c r="J8" s="1958" t="s">
        <v>536</v>
      </c>
      <c r="K8" s="1959" t="s">
        <v>535</v>
      </c>
      <c r="L8" s="1957" t="s">
        <v>1497</v>
      </c>
      <c r="M8" s="1958" t="s">
        <v>536</v>
      </c>
      <c r="N8" s="1959" t="s">
        <v>535</v>
      </c>
      <c r="O8" s="1957" t="s">
        <v>1497</v>
      </c>
      <c r="P8" s="1958" t="s">
        <v>536</v>
      </c>
      <c r="Q8" s="1959" t="s">
        <v>535</v>
      </c>
      <c r="R8" s="1957" t="s">
        <v>1497</v>
      </c>
      <c r="S8" s="1958" t="s">
        <v>536</v>
      </c>
      <c r="T8" s="1959" t="s">
        <v>535</v>
      </c>
      <c r="X8" s="191"/>
      <c r="Y8" s="191"/>
      <c r="Z8" s="191"/>
      <c r="AA8" s="191"/>
      <c r="AB8" s="191"/>
      <c r="AC8" s="191"/>
      <c r="AD8" s="191"/>
      <c r="AE8" s="191"/>
      <c r="AF8" s="191"/>
      <c r="AG8" s="191"/>
    </row>
    <row r="9" spans="2:33" s="955" customFormat="1" ht="21" customHeight="1" thickBot="1">
      <c r="B9" s="1960" t="s">
        <v>1517</v>
      </c>
      <c r="C9" s="1961"/>
      <c r="D9" s="1962"/>
      <c r="E9" s="1963"/>
      <c r="F9" s="1964"/>
      <c r="G9" s="1964"/>
      <c r="H9" s="1964"/>
      <c r="I9" s="1964"/>
      <c r="J9" s="1965"/>
      <c r="K9" s="1966"/>
      <c r="L9" s="1964"/>
      <c r="M9" s="1965"/>
      <c r="N9" s="1966"/>
      <c r="O9" s="1964"/>
      <c r="P9" s="1965"/>
      <c r="Q9" s="1966"/>
      <c r="R9" s="1964"/>
      <c r="S9" s="1965"/>
      <c r="T9" s="1966"/>
      <c r="X9" s="1111" t="s">
        <v>1526</v>
      </c>
      <c r="Y9" s="1967">
        <f>'ТЕ_2ст_тариф_з ІТП'!H16</f>
        <v>6.4600562400000001</v>
      </c>
      <c r="Z9" s="1967">
        <f>'ТЕ_2ст_тариф_з ІТП'!K16</f>
        <v>0.48096030000000001</v>
      </c>
      <c r="AA9" s="1967">
        <f>'ТЕ_2ст_тариф_з ІТП'!N16</f>
        <v>0.79822534000000001</v>
      </c>
      <c r="AB9" s="1967">
        <f>'ТЕ_2ст_тариф_з ІТП'!T16</f>
        <v>0.40501920000000002</v>
      </c>
      <c r="AC9" s="1968"/>
      <c r="AD9" s="1967" t="e">
        <f>#REF!</f>
        <v>#REF!</v>
      </c>
      <c r="AE9" s="1967" t="e">
        <f>#REF!</f>
        <v>#REF!</v>
      </c>
      <c r="AF9" s="1967" t="e">
        <f>#REF!</f>
        <v>#REF!</v>
      </c>
      <c r="AG9" s="1967" t="e">
        <f>#REF!</f>
        <v>#REF!</v>
      </c>
    </row>
    <row r="10" spans="2:33" s="955" customFormat="1" ht="21" customHeight="1" thickBot="1">
      <c r="B10" s="1969" t="s">
        <v>1620</v>
      </c>
      <c r="C10" s="1970"/>
      <c r="D10" s="1971"/>
      <c r="E10" s="1972"/>
      <c r="F10" s="1973"/>
      <c r="G10" s="1974"/>
      <c r="H10" s="1975"/>
      <c r="I10" s="1976"/>
      <c r="J10" s="1964"/>
      <c r="K10" s="1964"/>
      <c r="L10" s="1964"/>
      <c r="M10" s="1964"/>
      <c r="N10" s="1964"/>
      <c r="O10" s="1964"/>
      <c r="P10" s="1964"/>
      <c r="Q10" s="1964"/>
      <c r="R10" s="1964"/>
      <c r="S10" s="1964"/>
      <c r="T10" s="1964"/>
      <c r="X10" s="1111" t="s">
        <v>1154</v>
      </c>
      <c r="Y10" s="1967">
        <f>'ТЕ_2ст_тариф_з ІТП'!H19</f>
        <v>3.8280000000000003</v>
      </c>
      <c r="Z10" s="1967">
        <f>'ТЕ_2ст_тариф_з ІТП'!K19</f>
        <v>0.28499999999999998</v>
      </c>
      <c r="AA10" s="1967">
        <f>'ТЕ_2ст_тариф_з ІТП'!N19</f>
        <v>0.47299999999999998</v>
      </c>
      <c r="AB10" s="1967">
        <f>'ТЕ_2ст_тариф_з ІТП'!T19</f>
        <v>0.24</v>
      </c>
      <c r="AC10" s="1968"/>
      <c r="AD10" s="1967" t="e">
        <f>#REF!</f>
        <v>#REF!</v>
      </c>
      <c r="AE10" s="1967" t="e">
        <f>#REF!</f>
        <v>#REF!</v>
      </c>
      <c r="AF10" s="1967" t="e">
        <f>#REF!</f>
        <v>#REF!</v>
      </c>
      <c r="AG10" s="1967" t="e">
        <f>#REF!</f>
        <v>#REF!</v>
      </c>
    </row>
    <row r="11" spans="2:33" s="955" customFormat="1" ht="21" hidden="1" customHeight="1" thickBot="1">
      <c r="B11" s="1960" t="s">
        <v>1621</v>
      </c>
      <c r="C11" s="1961"/>
      <c r="D11" s="1962"/>
      <c r="E11" s="1963"/>
      <c r="F11" s="1964"/>
      <c r="G11" s="1965"/>
      <c r="H11" s="1966"/>
      <c r="I11" s="1973"/>
      <c r="J11" s="1973"/>
      <c r="K11" s="1973"/>
      <c r="L11" s="1973"/>
      <c r="M11" s="1973"/>
      <c r="N11" s="1973"/>
      <c r="O11" s="1973"/>
      <c r="P11" s="1973"/>
      <c r="Q11" s="1973"/>
      <c r="R11" s="1973"/>
      <c r="S11" s="1973"/>
      <c r="T11" s="1973"/>
      <c r="X11" s="1111"/>
      <c r="Y11" s="1111" t="s">
        <v>1524</v>
      </c>
      <c r="Z11" s="1111" t="s">
        <v>1493</v>
      </c>
      <c r="AA11" s="1111" t="s">
        <v>1494</v>
      </c>
      <c r="AB11" s="1111" t="s">
        <v>1525</v>
      </c>
      <c r="AC11" s="1977"/>
      <c r="AD11" s="1111" t="s">
        <v>1524</v>
      </c>
      <c r="AE11" s="1111" t="s">
        <v>1493</v>
      </c>
      <c r="AF11" s="1111" t="s">
        <v>1494</v>
      </c>
      <c r="AG11" s="1111" t="s">
        <v>1525</v>
      </c>
    </row>
    <row r="12" spans="2:33" s="192" customFormat="1" ht="40.200000000000003" customHeight="1" thickBot="1">
      <c r="B12" s="1025" t="s">
        <v>782</v>
      </c>
      <c r="C12" s="1978">
        <f>C13+C27+C29</f>
        <v>0</v>
      </c>
      <c r="D12" s="1978">
        <f t="shared" ref="D12:E12" si="0">D13+D27+D29</f>
        <v>0</v>
      </c>
      <c r="E12" s="1026">
        <f t="shared" si="0"/>
        <v>0</v>
      </c>
      <c r="F12" s="1026"/>
      <c r="G12" s="1027"/>
      <c r="H12" s="1027"/>
      <c r="I12" s="1026"/>
      <c r="J12" s="1027"/>
      <c r="K12" s="1027"/>
      <c r="L12" s="1028"/>
      <c r="M12" s="1027"/>
      <c r="N12" s="1029"/>
      <c r="O12" s="1026"/>
      <c r="P12" s="1027"/>
      <c r="Q12" s="1027"/>
      <c r="R12" s="1026"/>
      <c r="S12" s="1027"/>
      <c r="T12" s="1027"/>
      <c r="U12" s="196"/>
      <c r="X12" s="1112"/>
      <c r="Y12" s="1113">
        <f>J12/Y$9</f>
        <v>0</v>
      </c>
      <c r="Z12" s="1114"/>
      <c r="AA12" s="1113">
        <f>P12/AA$9</f>
        <v>0</v>
      </c>
      <c r="AB12" s="1113">
        <f>S12/AB$9</f>
        <v>0</v>
      </c>
      <c r="AC12" s="191"/>
      <c r="AD12" s="1113" t="e">
        <f>K12/AD$9</f>
        <v>#REF!</v>
      </c>
      <c r="AE12" s="1113" t="e">
        <f>N12/AE$9</f>
        <v>#REF!</v>
      </c>
      <c r="AF12" s="1113" t="e">
        <f>Q12/AF$9</f>
        <v>#REF!</v>
      </c>
      <c r="AG12" s="1113" t="e">
        <f>T12/AG$9</f>
        <v>#REF!</v>
      </c>
    </row>
    <row r="13" spans="2:33" s="192" customFormat="1" ht="22.2" customHeight="1" thickBot="1">
      <c r="B13" s="1031" t="s">
        <v>769</v>
      </c>
      <c r="C13" s="1015">
        <f>SUM(C14:C25)</f>
        <v>0</v>
      </c>
      <c r="D13" s="1015">
        <f>SUM(D14:D25)</f>
        <v>0</v>
      </c>
      <c r="E13" s="1016">
        <f t="shared" ref="E13" si="1">SUM(E14:E26)</f>
        <v>0</v>
      </c>
      <c r="F13" s="1016"/>
      <c r="G13" s="1017"/>
      <c r="H13" s="1017"/>
      <c r="I13" s="1016"/>
      <c r="J13" s="1017"/>
      <c r="K13" s="1017"/>
      <c r="L13" s="1024"/>
      <c r="M13" s="1017"/>
      <c r="N13" s="1018"/>
      <c r="O13" s="1016"/>
      <c r="P13" s="1017"/>
      <c r="Q13" s="1017"/>
      <c r="R13" s="1016"/>
      <c r="S13" s="1017"/>
      <c r="T13" s="1017"/>
      <c r="X13" s="1112"/>
      <c r="Y13" s="1113">
        <f t="shared" ref="Y13:Y74" si="2">J13/Y$9</f>
        <v>0</v>
      </c>
      <c r="Z13" s="1114"/>
      <c r="AA13" s="1113">
        <f t="shared" ref="AA13:AA74" si="3">P13/AA$9</f>
        <v>0</v>
      </c>
      <c r="AB13" s="1113">
        <f t="shared" ref="AB13:AB74" si="4">S13/AB$9</f>
        <v>0</v>
      </c>
      <c r="AC13" s="191"/>
      <c r="AD13" s="1113" t="e">
        <f t="shared" ref="AD13:AD74" si="5">K13/AD$9</f>
        <v>#REF!</v>
      </c>
      <c r="AE13" s="1113" t="e">
        <f t="shared" ref="AE13:AE74" si="6">N13/AE$9</f>
        <v>#REF!</v>
      </c>
      <c r="AF13" s="1113" t="e">
        <f t="shared" ref="AF13:AF74" si="7">Q13/AF$9</f>
        <v>#REF!</v>
      </c>
      <c r="AG13" s="1113" t="e">
        <f t="shared" ref="AG13:AG74" si="8">T13/AG$9</f>
        <v>#REF!</v>
      </c>
    </row>
    <row r="14" spans="2:33" s="192" customFormat="1" ht="39" customHeight="1">
      <c r="B14" s="1030" t="s">
        <v>952</v>
      </c>
      <c r="C14" s="1009"/>
      <c r="D14" s="1009"/>
      <c r="E14" s="1010"/>
      <c r="F14" s="1010"/>
      <c r="G14" s="1011"/>
      <c r="H14" s="1011"/>
      <c r="I14" s="1010"/>
      <c r="J14" s="1011"/>
      <c r="K14" s="1011"/>
      <c r="L14" s="1012"/>
      <c r="M14" s="1011"/>
      <c r="N14" s="1013"/>
      <c r="O14" s="1010"/>
      <c r="P14" s="1011"/>
      <c r="Q14" s="1011"/>
      <c r="R14" s="1010"/>
      <c r="S14" s="1011"/>
      <c r="T14" s="1011"/>
      <c r="U14" s="244"/>
      <c r="V14" s="244"/>
      <c r="X14" s="1112"/>
      <c r="Y14" s="1117">
        <f t="shared" si="2"/>
        <v>0</v>
      </c>
      <c r="Z14" s="1118"/>
      <c r="AA14" s="1117">
        <f t="shared" si="3"/>
        <v>0</v>
      </c>
      <c r="AB14" s="1117">
        <f t="shared" si="4"/>
        <v>0</v>
      </c>
      <c r="AC14" s="191"/>
      <c r="AD14" s="1117" t="e">
        <f t="shared" si="5"/>
        <v>#REF!</v>
      </c>
      <c r="AE14" s="1117" t="e">
        <f t="shared" si="6"/>
        <v>#REF!</v>
      </c>
      <c r="AF14" s="1117" t="e">
        <f t="shared" si="7"/>
        <v>#REF!</v>
      </c>
      <c r="AG14" s="1117" t="e">
        <f t="shared" si="8"/>
        <v>#REF!</v>
      </c>
    </row>
    <row r="15" spans="2:33" s="192" customFormat="1" ht="36">
      <c r="B15" s="915" t="s">
        <v>784</v>
      </c>
      <c r="C15" s="957"/>
      <c r="D15" s="957"/>
      <c r="E15" s="958"/>
      <c r="F15" s="958"/>
      <c r="G15" s="959"/>
      <c r="H15" s="959"/>
      <c r="I15" s="958"/>
      <c r="J15" s="959"/>
      <c r="K15" s="959"/>
      <c r="L15" s="993"/>
      <c r="M15" s="959"/>
      <c r="N15" s="999"/>
      <c r="O15" s="958"/>
      <c r="P15" s="959"/>
      <c r="Q15" s="959"/>
      <c r="R15" s="958"/>
      <c r="S15" s="959"/>
      <c r="T15" s="959"/>
      <c r="U15" s="226"/>
      <c r="V15" s="244"/>
      <c r="X15" s="1112"/>
      <c r="Y15" s="1117">
        <f t="shared" si="2"/>
        <v>0</v>
      </c>
      <c r="Z15" s="1119"/>
      <c r="AA15" s="1117">
        <f t="shared" si="3"/>
        <v>0</v>
      </c>
      <c r="AB15" s="1117">
        <f t="shared" si="4"/>
        <v>0</v>
      </c>
      <c r="AC15" s="191"/>
      <c r="AD15" s="1117" t="e">
        <f t="shared" si="5"/>
        <v>#REF!</v>
      </c>
      <c r="AE15" s="1117" t="e">
        <f t="shared" si="6"/>
        <v>#REF!</v>
      </c>
      <c r="AF15" s="1117" t="e">
        <f t="shared" si="7"/>
        <v>#REF!</v>
      </c>
      <c r="AG15" s="1117" t="e">
        <f t="shared" si="8"/>
        <v>#REF!</v>
      </c>
    </row>
    <row r="16" spans="2:33" s="192" customFormat="1" ht="18">
      <c r="B16" s="915" t="s">
        <v>675</v>
      </c>
      <c r="C16" s="957"/>
      <c r="D16" s="957"/>
      <c r="E16" s="958"/>
      <c r="F16" s="958"/>
      <c r="G16" s="959"/>
      <c r="H16" s="959"/>
      <c r="I16" s="958"/>
      <c r="J16" s="959"/>
      <c r="K16" s="959"/>
      <c r="L16" s="993"/>
      <c r="M16" s="959"/>
      <c r="N16" s="999"/>
      <c r="O16" s="958"/>
      <c r="P16" s="959"/>
      <c r="Q16" s="959"/>
      <c r="R16" s="958"/>
      <c r="S16" s="959"/>
      <c r="T16" s="959"/>
      <c r="U16" s="226"/>
      <c r="V16" s="244"/>
      <c r="X16" s="1112"/>
      <c r="Y16" s="1117">
        <f t="shared" si="2"/>
        <v>0</v>
      </c>
      <c r="Z16" s="1118"/>
      <c r="AA16" s="1117">
        <f t="shared" si="3"/>
        <v>0</v>
      </c>
      <c r="AB16" s="1117">
        <f t="shared" si="4"/>
        <v>0</v>
      </c>
      <c r="AC16" s="191"/>
      <c r="AD16" s="1117" t="e">
        <f t="shared" si="5"/>
        <v>#REF!</v>
      </c>
      <c r="AE16" s="1117" t="e">
        <f t="shared" si="6"/>
        <v>#REF!</v>
      </c>
      <c r="AF16" s="1117" t="e">
        <f t="shared" si="7"/>
        <v>#REF!</v>
      </c>
      <c r="AG16" s="1117" t="e">
        <f t="shared" si="8"/>
        <v>#REF!</v>
      </c>
    </row>
    <row r="17" spans="1:33" s="192" customFormat="1" ht="18">
      <c r="B17" s="915" t="s">
        <v>676</v>
      </c>
      <c r="C17" s="957"/>
      <c r="D17" s="957"/>
      <c r="E17" s="958"/>
      <c r="F17" s="958"/>
      <c r="G17" s="959"/>
      <c r="H17" s="959"/>
      <c r="I17" s="958"/>
      <c r="J17" s="959"/>
      <c r="K17" s="959"/>
      <c r="L17" s="993"/>
      <c r="M17" s="959"/>
      <c r="N17" s="999"/>
      <c r="O17" s="958"/>
      <c r="P17" s="959"/>
      <c r="Q17" s="959"/>
      <c r="R17" s="958"/>
      <c r="S17" s="959"/>
      <c r="T17" s="959"/>
      <c r="U17" s="244"/>
      <c r="V17" s="244"/>
      <c r="X17" s="1112"/>
      <c r="Y17" s="1117">
        <f t="shared" si="2"/>
        <v>0</v>
      </c>
      <c r="Z17" s="1118"/>
      <c r="AA17" s="1117">
        <f t="shared" si="3"/>
        <v>0</v>
      </c>
      <c r="AB17" s="1117">
        <f t="shared" si="4"/>
        <v>0</v>
      </c>
      <c r="AC17" s="191"/>
      <c r="AD17" s="1117" t="e">
        <f t="shared" si="5"/>
        <v>#REF!</v>
      </c>
      <c r="AE17" s="1117" t="e">
        <f t="shared" si="6"/>
        <v>#REF!</v>
      </c>
      <c r="AF17" s="1117" t="e">
        <f t="shared" si="7"/>
        <v>#REF!</v>
      </c>
      <c r="AG17" s="1117" t="e">
        <f t="shared" si="8"/>
        <v>#REF!</v>
      </c>
    </row>
    <row r="18" spans="1:33" s="192" customFormat="1" ht="18">
      <c r="B18" s="915" t="s">
        <v>677</v>
      </c>
      <c r="C18" s="957"/>
      <c r="D18" s="957"/>
      <c r="E18" s="958"/>
      <c r="F18" s="958"/>
      <c r="G18" s="959"/>
      <c r="H18" s="959"/>
      <c r="I18" s="958"/>
      <c r="J18" s="959"/>
      <c r="K18" s="959"/>
      <c r="L18" s="993"/>
      <c r="M18" s="959"/>
      <c r="N18" s="999"/>
      <c r="O18" s="958"/>
      <c r="P18" s="959"/>
      <c r="Q18" s="959"/>
      <c r="R18" s="958"/>
      <c r="S18" s="959"/>
      <c r="T18" s="959"/>
      <c r="U18" s="244"/>
      <c r="V18" s="244"/>
      <c r="X18" s="1112"/>
      <c r="Y18" s="1117">
        <f t="shared" si="2"/>
        <v>0</v>
      </c>
      <c r="Z18" s="1118"/>
      <c r="AA18" s="1117">
        <f t="shared" si="3"/>
        <v>0</v>
      </c>
      <c r="AB18" s="1117">
        <f t="shared" si="4"/>
        <v>0</v>
      </c>
      <c r="AC18" s="191"/>
      <c r="AD18" s="1117" t="e">
        <f t="shared" si="5"/>
        <v>#REF!</v>
      </c>
      <c r="AE18" s="1117" t="e">
        <f t="shared" si="6"/>
        <v>#REF!</v>
      </c>
      <c r="AF18" s="1117" t="e">
        <f t="shared" si="7"/>
        <v>#REF!</v>
      </c>
      <c r="AG18" s="1117" t="e">
        <f t="shared" si="8"/>
        <v>#REF!</v>
      </c>
    </row>
    <row r="19" spans="1:33" s="192" customFormat="1" ht="18" customHeight="1">
      <c r="B19" s="915" t="s">
        <v>766</v>
      </c>
      <c r="C19" s="957"/>
      <c r="D19" s="957"/>
      <c r="E19" s="958"/>
      <c r="F19" s="958"/>
      <c r="G19" s="959"/>
      <c r="H19" s="959"/>
      <c r="I19" s="958"/>
      <c r="J19" s="959"/>
      <c r="K19" s="959"/>
      <c r="L19" s="993"/>
      <c r="M19" s="959"/>
      <c r="N19" s="999"/>
      <c r="O19" s="958"/>
      <c r="P19" s="959"/>
      <c r="Q19" s="959"/>
      <c r="R19" s="958"/>
      <c r="S19" s="959"/>
      <c r="T19" s="959"/>
      <c r="U19" s="244"/>
      <c r="V19" s="244"/>
      <c r="X19" s="1112"/>
      <c r="Y19" s="1117">
        <f t="shared" si="2"/>
        <v>0</v>
      </c>
      <c r="Z19" s="1118"/>
      <c r="AA19" s="1117">
        <f t="shared" si="3"/>
        <v>0</v>
      </c>
      <c r="AB19" s="1117">
        <f t="shared" si="4"/>
        <v>0</v>
      </c>
      <c r="AC19" s="191"/>
      <c r="AD19" s="1117" t="e">
        <f t="shared" si="5"/>
        <v>#REF!</v>
      </c>
      <c r="AE19" s="1117" t="e">
        <f t="shared" si="6"/>
        <v>#REF!</v>
      </c>
      <c r="AF19" s="1117" t="e">
        <f t="shared" si="7"/>
        <v>#REF!</v>
      </c>
      <c r="AG19" s="1117" t="e">
        <f t="shared" si="8"/>
        <v>#REF!</v>
      </c>
    </row>
    <row r="20" spans="1:33" s="192" customFormat="1" ht="18">
      <c r="B20" s="915" t="s">
        <v>663</v>
      </c>
      <c r="C20" s="957"/>
      <c r="D20" s="957"/>
      <c r="E20" s="958"/>
      <c r="F20" s="958"/>
      <c r="G20" s="959"/>
      <c r="H20" s="959"/>
      <c r="I20" s="958"/>
      <c r="J20" s="959"/>
      <c r="K20" s="959"/>
      <c r="L20" s="993"/>
      <c r="M20" s="959"/>
      <c r="N20" s="999"/>
      <c r="O20" s="958"/>
      <c r="P20" s="959"/>
      <c r="Q20" s="959"/>
      <c r="R20" s="958"/>
      <c r="S20" s="959"/>
      <c r="T20" s="959"/>
      <c r="U20" s="244"/>
      <c r="V20" s="244"/>
      <c r="X20" s="1112"/>
      <c r="Y20" s="1117">
        <f t="shared" si="2"/>
        <v>0</v>
      </c>
      <c r="Z20" s="1118"/>
      <c r="AA20" s="1117">
        <f t="shared" si="3"/>
        <v>0</v>
      </c>
      <c r="AB20" s="1117">
        <f t="shared" si="4"/>
        <v>0</v>
      </c>
      <c r="AC20" s="191"/>
      <c r="AD20" s="1117" t="e">
        <f t="shared" si="5"/>
        <v>#REF!</v>
      </c>
      <c r="AE20" s="1117" t="e">
        <f t="shared" si="6"/>
        <v>#REF!</v>
      </c>
      <c r="AF20" s="1117" t="e">
        <f t="shared" si="7"/>
        <v>#REF!</v>
      </c>
      <c r="AG20" s="1117" t="e">
        <f t="shared" si="8"/>
        <v>#REF!</v>
      </c>
    </row>
    <row r="21" spans="1:33" s="192" customFormat="1" ht="18">
      <c r="B21" s="915" t="s">
        <v>678</v>
      </c>
      <c r="C21" s="957"/>
      <c r="D21" s="957"/>
      <c r="E21" s="958"/>
      <c r="F21" s="958"/>
      <c r="G21" s="959"/>
      <c r="H21" s="959"/>
      <c r="I21" s="958"/>
      <c r="J21" s="959"/>
      <c r="K21" s="959"/>
      <c r="L21" s="993"/>
      <c r="M21" s="959"/>
      <c r="N21" s="999"/>
      <c r="O21" s="958"/>
      <c r="P21" s="959"/>
      <c r="Q21" s="959"/>
      <c r="R21" s="958"/>
      <c r="S21" s="959"/>
      <c r="T21" s="959"/>
      <c r="U21" s="244"/>
      <c r="V21" s="244"/>
      <c r="X21" s="1112"/>
      <c r="Y21" s="1117">
        <f t="shared" si="2"/>
        <v>0</v>
      </c>
      <c r="Z21" s="1118"/>
      <c r="AA21" s="1117">
        <f t="shared" si="3"/>
        <v>0</v>
      </c>
      <c r="AB21" s="1117">
        <f t="shared" si="4"/>
        <v>0</v>
      </c>
      <c r="AC21" s="191"/>
      <c r="AD21" s="1117" t="e">
        <f t="shared" si="5"/>
        <v>#REF!</v>
      </c>
      <c r="AE21" s="1117" t="e">
        <f t="shared" si="6"/>
        <v>#REF!</v>
      </c>
      <c r="AF21" s="1117" t="e">
        <f t="shared" si="7"/>
        <v>#REF!</v>
      </c>
      <c r="AG21" s="1117" t="e">
        <f t="shared" si="8"/>
        <v>#REF!</v>
      </c>
    </row>
    <row r="22" spans="1:33" s="192" customFormat="1" ht="18">
      <c r="B22" s="915" t="s">
        <v>679</v>
      </c>
      <c r="C22" s="957"/>
      <c r="D22" s="957"/>
      <c r="E22" s="958"/>
      <c r="F22" s="958"/>
      <c r="G22" s="959"/>
      <c r="H22" s="959"/>
      <c r="I22" s="958"/>
      <c r="J22" s="959"/>
      <c r="K22" s="959"/>
      <c r="L22" s="993"/>
      <c r="M22" s="959"/>
      <c r="N22" s="999"/>
      <c r="O22" s="958"/>
      <c r="P22" s="959"/>
      <c r="Q22" s="959"/>
      <c r="R22" s="958"/>
      <c r="S22" s="959"/>
      <c r="T22" s="959"/>
      <c r="U22" s="244"/>
      <c r="V22" s="244"/>
      <c r="X22" s="1112"/>
      <c r="Y22" s="1117">
        <f t="shared" si="2"/>
        <v>0</v>
      </c>
      <c r="Z22" s="1118"/>
      <c r="AA22" s="1117">
        <f t="shared" si="3"/>
        <v>0</v>
      </c>
      <c r="AB22" s="1117">
        <f t="shared" si="4"/>
        <v>0</v>
      </c>
      <c r="AC22" s="191"/>
      <c r="AD22" s="1117" t="e">
        <f t="shared" si="5"/>
        <v>#REF!</v>
      </c>
      <c r="AE22" s="1117" t="e">
        <f t="shared" si="6"/>
        <v>#REF!</v>
      </c>
      <c r="AF22" s="1117" t="e">
        <f t="shared" si="7"/>
        <v>#REF!</v>
      </c>
      <c r="AG22" s="1117" t="e">
        <f t="shared" si="8"/>
        <v>#REF!</v>
      </c>
    </row>
    <row r="23" spans="1:33" s="192" customFormat="1" ht="18">
      <c r="B23" s="915" t="s">
        <v>680</v>
      </c>
      <c r="C23" s="957"/>
      <c r="D23" s="957"/>
      <c r="E23" s="958"/>
      <c r="F23" s="958"/>
      <c r="G23" s="959"/>
      <c r="H23" s="959"/>
      <c r="I23" s="958"/>
      <c r="J23" s="959"/>
      <c r="K23" s="959"/>
      <c r="L23" s="993"/>
      <c r="M23" s="959"/>
      <c r="N23" s="999"/>
      <c r="O23" s="958"/>
      <c r="P23" s="959"/>
      <c r="Q23" s="959"/>
      <c r="R23" s="958"/>
      <c r="S23" s="959"/>
      <c r="T23" s="959"/>
      <c r="U23" s="244"/>
      <c r="V23" s="244"/>
      <c r="X23" s="1112"/>
      <c r="Y23" s="1117">
        <f t="shared" si="2"/>
        <v>0</v>
      </c>
      <c r="Z23" s="1118"/>
      <c r="AA23" s="1117">
        <f t="shared" si="3"/>
        <v>0</v>
      </c>
      <c r="AB23" s="1117">
        <f t="shared" si="4"/>
        <v>0</v>
      </c>
      <c r="AC23" s="191"/>
      <c r="AD23" s="1117" t="e">
        <f t="shared" si="5"/>
        <v>#REF!</v>
      </c>
      <c r="AE23" s="1117" t="e">
        <f t="shared" si="6"/>
        <v>#REF!</v>
      </c>
      <c r="AF23" s="1117" t="e">
        <f t="shared" si="7"/>
        <v>#REF!</v>
      </c>
      <c r="AG23" s="1117" t="e">
        <f t="shared" si="8"/>
        <v>#REF!</v>
      </c>
    </row>
    <row r="24" spans="1:33" s="192" customFormat="1" ht="18">
      <c r="B24" s="915" t="s">
        <v>681</v>
      </c>
      <c r="C24" s="957"/>
      <c r="D24" s="957"/>
      <c r="E24" s="958"/>
      <c r="F24" s="958"/>
      <c r="G24" s="959"/>
      <c r="H24" s="959"/>
      <c r="I24" s="958"/>
      <c r="J24" s="959"/>
      <c r="K24" s="959"/>
      <c r="L24" s="993"/>
      <c r="M24" s="959"/>
      <c r="N24" s="999"/>
      <c r="O24" s="958"/>
      <c r="P24" s="959"/>
      <c r="Q24" s="959"/>
      <c r="R24" s="958"/>
      <c r="S24" s="959"/>
      <c r="T24" s="959"/>
      <c r="U24" s="244"/>
      <c r="V24" s="244"/>
      <c r="X24" s="1112"/>
      <c r="Y24" s="1117">
        <f t="shared" si="2"/>
        <v>0</v>
      </c>
      <c r="Z24" s="1118"/>
      <c r="AA24" s="1117">
        <f t="shared" si="3"/>
        <v>0</v>
      </c>
      <c r="AB24" s="1117">
        <f t="shared" si="4"/>
        <v>0</v>
      </c>
      <c r="AC24" s="191"/>
      <c r="AD24" s="1117" t="e">
        <f t="shared" si="5"/>
        <v>#REF!</v>
      </c>
      <c r="AE24" s="1117" t="e">
        <f t="shared" si="6"/>
        <v>#REF!</v>
      </c>
      <c r="AF24" s="1117" t="e">
        <f t="shared" si="7"/>
        <v>#REF!</v>
      </c>
      <c r="AG24" s="1117" t="e">
        <f t="shared" si="8"/>
        <v>#REF!</v>
      </c>
    </row>
    <row r="25" spans="1:33" s="192" customFormat="1" ht="18">
      <c r="B25" s="915" t="s">
        <v>682</v>
      </c>
      <c r="C25" s="957"/>
      <c r="D25" s="957"/>
      <c r="E25" s="958"/>
      <c r="F25" s="958"/>
      <c r="G25" s="959"/>
      <c r="H25" s="959"/>
      <c r="I25" s="958"/>
      <c r="J25" s="959"/>
      <c r="K25" s="959"/>
      <c r="L25" s="993"/>
      <c r="M25" s="959"/>
      <c r="N25" s="999"/>
      <c r="O25" s="958"/>
      <c r="P25" s="959"/>
      <c r="Q25" s="959"/>
      <c r="R25" s="958"/>
      <c r="S25" s="959"/>
      <c r="T25" s="959"/>
      <c r="U25" s="244"/>
      <c r="V25" s="244"/>
      <c r="X25" s="1112"/>
      <c r="Y25" s="1117">
        <f t="shared" si="2"/>
        <v>0</v>
      </c>
      <c r="Z25" s="1118"/>
      <c r="AA25" s="1117">
        <f t="shared" si="3"/>
        <v>0</v>
      </c>
      <c r="AB25" s="1117">
        <f t="shared" si="4"/>
        <v>0</v>
      </c>
      <c r="AC25" s="191"/>
      <c r="AD25" s="1117" t="e">
        <f t="shared" si="5"/>
        <v>#REF!</v>
      </c>
      <c r="AE25" s="1117" t="e">
        <f t="shared" si="6"/>
        <v>#REF!</v>
      </c>
      <c r="AF25" s="1117" t="e">
        <f t="shared" si="7"/>
        <v>#REF!</v>
      </c>
      <c r="AG25" s="1117" t="e">
        <f t="shared" si="8"/>
        <v>#REF!</v>
      </c>
    </row>
    <row r="26" spans="1:33" s="963" customFormat="1" ht="42.6" customHeight="1" thickBot="1">
      <c r="B26" s="961" t="s">
        <v>1202</v>
      </c>
      <c r="C26" s="1000"/>
      <c r="D26" s="1000"/>
      <c r="E26" s="1000"/>
      <c r="F26" s="1000"/>
      <c r="G26" s="1140"/>
      <c r="H26" s="1140"/>
      <c r="I26" s="1141"/>
      <c r="J26" s="1140"/>
      <c r="K26" s="1140"/>
      <c r="L26" s="1142"/>
      <c r="M26" s="1140"/>
      <c r="N26" s="1143"/>
      <c r="O26" s="1141"/>
      <c r="P26" s="1140"/>
      <c r="Q26" s="1140"/>
      <c r="R26" s="1141"/>
      <c r="S26" s="1140"/>
      <c r="T26" s="1140"/>
      <c r="V26" s="2884" t="s">
        <v>955</v>
      </c>
      <c r="W26" s="2884"/>
      <c r="X26" s="1116"/>
      <c r="Y26" s="1113">
        <f t="shared" si="2"/>
        <v>0</v>
      </c>
      <c r="Z26" s="1144"/>
      <c r="AA26" s="1113">
        <f t="shared" si="3"/>
        <v>0</v>
      </c>
      <c r="AB26" s="1113">
        <f t="shared" si="4"/>
        <v>0</v>
      </c>
      <c r="AC26" s="1110"/>
      <c r="AD26" s="1113" t="e">
        <f t="shared" si="5"/>
        <v>#REF!</v>
      </c>
      <c r="AE26" s="1113" t="e">
        <f t="shared" si="6"/>
        <v>#REF!</v>
      </c>
      <c r="AF26" s="1113" t="e">
        <f t="shared" si="7"/>
        <v>#REF!</v>
      </c>
      <c r="AG26" s="1113" t="e">
        <f t="shared" si="8"/>
        <v>#REF!</v>
      </c>
    </row>
    <row r="27" spans="1:33" s="192" customFormat="1" ht="18.600000000000001" thickBot="1">
      <c r="B27" s="1014" t="s">
        <v>771</v>
      </c>
      <c r="C27" s="1015"/>
      <c r="D27" s="1015"/>
      <c r="E27" s="1016"/>
      <c r="F27" s="1016"/>
      <c r="G27" s="1017"/>
      <c r="H27" s="1017"/>
      <c r="I27" s="1016"/>
      <c r="J27" s="1017"/>
      <c r="K27" s="1017"/>
      <c r="L27" s="1024"/>
      <c r="M27" s="1017"/>
      <c r="N27" s="1018"/>
      <c r="O27" s="1016"/>
      <c r="P27" s="1017"/>
      <c r="Q27" s="1017"/>
      <c r="R27" s="1016"/>
      <c r="S27" s="1017"/>
      <c r="T27" s="1017"/>
      <c r="V27" s="244" t="s">
        <v>953</v>
      </c>
      <c r="X27" s="1112"/>
      <c r="Y27" s="1117">
        <f t="shared" si="2"/>
        <v>0</v>
      </c>
      <c r="Z27" s="1118"/>
      <c r="AA27" s="1117">
        <f t="shared" si="3"/>
        <v>0</v>
      </c>
      <c r="AB27" s="1117">
        <f t="shared" si="4"/>
        <v>0</v>
      </c>
      <c r="AC27" s="1107"/>
      <c r="AD27" s="1117" t="e">
        <f t="shared" si="5"/>
        <v>#REF!</v>
      </c>
      <c r="AE27" s="1117" t="e">
        <f t="shared" si="6"/>
        <v>#REF!</v>
      </c>
      <c r="AF27" s="1117" t="e">
        <f t="shared" si="7"/>
        <v>#REF!</v>
      </c>
      <c r="AG27" s="1117" t="e">
        <f t="shared" si="8"/>
        <v>#REF!</v>
      </c>
    </row>
    <row r="28" spans="1:33" s="192" customFormat="1" ht="18.600000000000001" thickBot="1">
      <c r="B28" s="918" t="s">
        <v>664</v>
      </c>
      <c r="C28" s="1019"/>
      <c r="D28" s="1019"/>
      <c r="E28" s="1020"/>
      <c r="F28" s="1020"/>
      <c r="G28" s="1310"/>
      <c r="H28" s="1021"/>
      <c r="I28" s="1020"/>
      <c r="J28" s="1021"/>
      <c r="K28" s="1021"/>
      <c r="L28" s="1022"/>
      <c r="M28" s="1021"/>
      <c r="N28" s="1023"/>
      <c r="O28" s="1020"/>
      <c r="P28" s="1021"/>
      <c r="Q28" s="1021"/>
      <c r="R28" s="1020"/>
      <c r="S28" s="1021"/>
      <c r="T28" s="1021"/>
      <c r="V28" s="244" t="s">
        <v>953</v>
      </c>
      <c r="X28" s="1112"/>
      <c r="Y28" s="1117">
        <f t="shared" si="2"/>
        <v>0</v>
      </c>
      <c r="Z28" s="1118"/>
      <c r="AA28" s="1117">
        <f t="shared" si="3"/>
        <v>0</v>
      </c>
      <c r="AB28" s="1117">
        <f t="shared" si="4"/>
        <v>0</v>
      </c>
      <c r="AC28" s="1107"/>
      <c r="AD28" s="1117" t="e">
        <f t="shared" si="5"/>
        <v>#REF!</v>
      </c>
      <c r="AE28" s="1117" t="e">
        <f t="shared" si="6"/>
        <v>#REF!</v>
      </c>
      <c r="AF28" s="1117" t="e">
        <f t="shared" si="7"/>
        <v>#REF!</v>
      </c>
      <c r="AG28" s="1117" t="e">
        <f t="shared" si="8"/>
        <v>#REF!</v>
      </c>
    </row>
    <row r="29" spans="1:33" s="192" customFormat="1" ht="18.600000000000001" thickBot="1">
      <c r="B29" s="1014" t="s">
        <v>772</v>
      </c>
      <c r="C29" s="1015">
        <f t="shared" ref="C29:E29" si="9">SUM(C30:C74)</f>
        <v>0</v>
      </c>
      <c r="D29" s="1015">
        <f t="shared" si="9"/>
        <v>0</v>
      </c>
      <c r="E29" s="1016">
        <f t="shared" si="9"/>
        <v>0</v>
      </c>
      <c r="F29" s="1016"/>
      <c r="G29" s="1017"/>
      <c r="H29" s="1017"/>
      <c r="I29" s="1017"/>
      <c r="J29" s="1017"/>
      <c r="K29" s="1017"/>
      <c r="L29" s="1018"/>
      <c r="M29" s="1017"/>
      <c r="N29" s="1018"/>
      <c r="O29" s="1017"/>
      <c r="P29" s="1017"/>
      <c r="Q29" s="1017"/>
      <c r="R29" s="1017"/>
      <c r="S29" s="1017"/>
      <c r="T29" s="1017"/>
      <c r="V29" s="244" t="s">
        <v>953</v>
      </c>
      <c r="X29" s="1112"/>
      <c r="Y29" s="1117">
        <f t="shared" si="2"/>
        <v>0</v>
      </c>
      <c r="Z29" s="1118"/>
      <c r="AA29" s="1117">
        <f t="shared" si="3"/>
        <v>0</v>
      </c>
      <c r="AB29" s="1117">
        <f t="shared" si="4"/>
        <v>0</v>
      </c>
      <c r="AC29" s="191"/>
      <c r="AD29" s="1117" t="e">
        <f t="shared" si="5"/>
        <v>#REF!</v>
      </c>
      <c r="AE29" s="1117" t="e">
        <f t="shared" si="6"/>
        <v>#REF!</v>
      </c>
      <c r="AF29" s="1117" t="e">
        <f t="shared" si="7"/>
        <v>#REF!</v>
      </c>
      <c r="AG29" s="1117" t="e">
        <f t="shared" si="8"/>
        <v>#REF!</v>
      </c>
    </row>
    <row r="30" spans="1:33" s="192" customFormat="1" ht="36">
      <c r="B30" s="1008" t="s">
        <v>493</v>
      </c>
      <c r="C30" s="1009"/>
      <c r="D30" s="1009"/>
      <c r="E30" s="1010"/>
      <c r="F30" s="1010"/>
      <c r="G30" s="1011"/>
      <c r="H30" s="1011"/>
      <c r="I30" s="1010"/>
      <c r="J30" s="1011"/>
      <c r="K30" s="1011"/>
      <c r="L30" s="1012"/>
      <c r="M30" s="1011"/>
      <c r="N30" s="1013"/>
      <c r="O30" s="1010"/>
      <c r="P30" s="1011"/>
      <c r="Q30" s="1011"/>
      <c r="R30" s="1010"/>
      <c r="S30" s="1011"/>
      <c r="T30" s="1011"/>
      <c r="V30" s="244" t="s">
        <v>953</v>
      </c>
      <c r="W30" s="196"/>
      <c r="X30" s="1112"/>
      <c r="Y30" s="1117">
        <f t="shared" si="2"/>
        <v>0</v>
      </c>
      <c r="Z30" s="1118"/>
      <c r="AA30" s="1117">
        <f t="shared" si="3"/>
        <v>0</v>
      </c>
      <c r="AB30" s="1117">
        <f t="shared" si="4"/>
        <v>0</v>
      </c>
      <c r="AC30" s="191"/>
      <c r="AD30" s="1117" t="e">
        <f t="shared" si="5"/>
        <v>#REF!</v>
      </c>
      <c r="AE30" s="1117" t="e">
        <f t="shared" si="6"/>
        <v>#REF!</v>
      </c>
      <c r="AF30" s="1117" t="e">
        <f t="shared" si="7"/>
        <v>#REF!</v>
      </c>
      <c r="AG30" s="1117" t="e">
        <f t="shared" si="8"/>
        <v>#REF!</v>
      </c>
    </row>
    <row r="31" spans="1:33" s="205" customFormat="1" ht="18">
      <c r="A31" s="192"/>
      <c r="B31" s="915" t="s">
        <v>1518</v>
      </c>
      <c r="C31" s="957"/>
      <c r="D31" s="957"/>
      <c r="E31" s="958"/>
      <c r="F31" s="958"/>
      <c r="G31" s="959"/>
      <c r="H31" s="959"/>
      <c r="I31" s="958"/>
      <c r="J31" s="959"/>
      <c r="K31" s="959"/>
      <c r="L31" s="993"/>
      <c r="M31" s="959"/>
      <c r="N31" s="999"/>
      <c r="O31" s="958"/>
      <c r="P31" s="959"/>
      <c r="Q31" s="959"/>
      <c r="R31" s="958"/>
      <c r="S31" s="959"/>
      <c r="T31" s="959"/>
      <c r="U31" s="247"/>
      <c r="V31" s="244" t="s">
        <v>953</v>
      </c>
      <c r="W31" s="248"/>
      <c r="X31" s="1112"/>
      <c r="Y31" s="1117">
        <f t="shared" si="2"/>
        <v>0</v>
      </c>
      <c r="Z31" s="1120"/>
      <c r="AA31" s="1117">
        <f t="shared" si="3"/>
        <v>0</v>
      </c>
      <c r="AB31" s="1117">
        <f t="shared" si="4"/>
        <v>0</v>
      </c>
      <c r="AC31" s="1108"/>
      <c r="AD31" s="1117" t="e">
        <f t="shared" si="5"/>
        <v>#REF!</v>
      </c>
      <c r="AE31" s="1117" t="e">
        <f t="shared" si="6"/>
        <v>#REF!</v>
      </c>
      <c r="AF31" s="1117" t="e">
        <f t="shared" si="7"/>
        <v>#REF!</v>
      </c>
      <c r="AG31" s="1117" t="e">
        <f t="shared" si="8"/>
        <v>#REF!</v>
      </c>
    </row>
    <row r="32" spans="1:33" s="205" customFormat="1" ht="34.950000000000003" customHeight="1">
      <c r="A32" s="1482" t="s">
        <v>1617</v>
      </c>
      <c r="B32" s="915" t="s">
        <v>1230</v>
      </c>
      <c r="C32" s="957"/>
      <c r="D32" s="957"/>
      <c r="E32" s="958"/>
      <c r="F32" s="958"/>
      <c r="G32" s="959"/>
      <c r="H32" s="959"/>
      <c r="I32" s="958"/>
      <c r="J32" s="959"/>
      <c r="K32" s="959"/>
      <c r="L32" s="993"/>
      <c r="M32" s="959"/>
      <c r="N32" s="999"/>
      <c r="O32" s="958"/>
      <c r="P32" s="959"/>
      <c r="Q32" s="959"/>
      <c r="R32" s="958"/>
      <c r="S32" s="959"/>
      <c r="T32" s="959"/>
      <c r="X32" s="1112"/>
      <c r="Y32" s="1117">
        <f t="shared" si="2"/>
        <v>0</v>
      </c>
      <c r="Z32" s="1120"/>
      <c r="AA32" s="1117">
        <f t="shared" si="3"/>
        <v>0</v>
      </c>
      <c r="AB32" s="1117">
        <f t="shared" si="4"/>
        <v>0</v>
      </c>
      <c r="AC32" s="1108"/>
      <c r="AD32" s="1117" t="e">
        <f t="shared" si="5"/>
        <v>#REF!</v>
      </c>
      <c r="AE32" s="1117" t="e">
        <f t="shared" si="6"/>
        <v>#REF!</v>
      </c>
      <c r="AF32" s="1117" t="e">
        <f t="shared" si="7"/>
        <v>#REF!</v>
      </c>
      <c r="AG32" s="1117" t="e">
        <f t="shared" si="8"/>
        <v>#REF!</v>
      </c>
    </row>
    <row r="33" spans="1:33" s="205" customFormat="1" ht="34.950000000000003" customHeight="1">
      <c r="A33" s="192"/>
      <c r="B33" s="915" t="s">
        <v>1554</v>
      </c>
      <c r="C33" s="957"/>
      <c r="D33" s="957"/>
      <c r="E33" s="958"/>
      <c r="F33" s="958"/>
      <c r="G33" s="959"/>
      <c r="H33" s="959"/>
      <c r="I33" s="958"/>
      <c r="J33" s="959"/>
      <c r="K33" s="959"/>
      <c r="L33" s="993"/>
      <c r="M33" s="959"/>
      <c r="N33" s="999"/>
      <c r="O33" s="958"/>
      <c r="P33" s="959"/>
      <c r="Q33" s="959"/>
      <c r="R33" s="958"/>
      <c r="S33" s="959"/>
      <c r="T33" s="959"/>
      <c r="X33" s="1112"/>
      <c r="Y33" s="1117"/>
      <c r="Z33" s="1120"/>
      <c r="AA33" s="1117"/>
      <c r="AB33" s="1117"/>
      <c r="AC33" s="1108"/>
      <c r="AD33" s="1117"/>
      <c r="AE33" s="1117"/>
      <c r="AF33" s="1117"/>
      <c r="AG33" s="1117"/>
    </row>
    <row r="34" spans="1:33" s="192" customFormat="1" ht="18" customHeight="1">
      <c r="B34" s="916" t="s">
        <v>749</v>
      </c>
      <c r="C34" s="957"/>
      <c r="D34" s="957"/>
      <c r="E34" s="958"/>
      <c r="F34" s="958"/>
      <c r="G34" s="959"/>
      <c r="H34" s="959"/>
      <c r="I34" s="958"/>
      <c r="J34" s="959"/>
      <c r="K34" s="959"/>
      <c r="L34" s="993"/>
      <c r="M34" s="959"/>
      <c r="N34" s="999"/>
      <c r="O34" s="958"/>
      <c r="P34" s="959"/>
      <c r="Q34" s="959"/>
      <c r="R34" s="958"/>
      <c r="S34" s="959"/>
      <c r="T34" s="959"/>
      <c r="U34" s="192" t="s">
        <v>1226</v>
      </c>
      <c r="V34" s="244" t="s">
        <v>953</v>
      </c>
      <c r="X34" s="1112"/>
      <c r="Y34" s="1117">
        <f t="shared" si="2"/>
        <v>0</v>
      </c>
      <c r="Z34" s="1118"/>
      <c r="AA34" s="1117">
        <f t="shared" si="3"/>
        <v>0</v>
      </c>
      <c r="AB34" s="1117">
        <f t="shared" si="4"/>
        <v>0</v>
      </c>
      <c r="AC34" s="191"/>
      <c r="AD34" s="1117" t="e">
        <f t="shared" si="5"/>
        <v>#REF!</v>
      </c>
      <c r="AE34" s="1117" t="e">
        <f t="shared" si="6"/>
        <v>#REF!</v>
      </c>
      <c r="AF34" s="1117" t="e">
        <f t="shared" si="7"/>
        <v>#REF!</v>
      </c>
      <c r="AG34" s="1117" t="e">
        <f t="shared" si="8"/>
        <v>#REF!</v>
      </c>
    </row>
    <row r="35" spans="1:33" s="192" customFormat="1" ht="18" customHeight="1">
      <c r="B35" s="916" t="s">
        <v>762</v>
      </c>
      <c r="C35" s="957"/>
      <c r="D35" s="957"/>
      <c r="E35" s="958"/>
      <c r="F35" s="958"/>
      <c r="G35" s="959"/>
      <c r="H35" s="959"/>
      <c r="I35" s="958"/>
      <c r="J35" s="959"/>
      <c r="K35" s="959"/>
      <c r="L35" s="993"/>
      <c r="M35" s="959"/>
      <c r="N35" s="999"/>
      <c r="O35" s="958"/>
      <c r="P35" s="959"/>
      <c r="Q35" s="959"/>
      <c r="R35" s="958"/>
      <c r="S35" s="959"/>
      <c r="T35" s="959"/>
      <c r="U35" s="192" t="s">
        <v>1226</v>
      </c>
      <c r="V35" s="192" t="s">
        <v>954</v>
      </c>
      <c r="X35" s="1112"/>
      <c r="Y35" s="1117">
        <f t="shared" si="2"/>
        <v>0</v>
      </c>
      <c r="Z35" s="1118"/>
      <c r="AA35" s="1117">
        <f t="shared" si="3"/>
        <v>0</v>
      </c>
      <c r="AB35" s="1117">
        <f t="shared" si="4"/>
        <v>0</v>
      </c>
      <c r="AC35" s="191"/>
      <c r="AD35" s="1117" t="e">
        <f t="shared" si="5"/>
        <v>#REF!</v>
      </c>
      <c r="AE35" s="1117" t="e">
        <f t="shared" si="6"/>
        <v>#REF!</v>
      </c>
      <c r="AF35" s="1117" t="e">
        <f t="shared" si="7"/>
        <v>#REF!</v>
      </c>
      <c r="AG35" s="1117" t="e">
        <f t="shared" si="8"/>
        <v>#REF!</v>
      </c>
    </row>
    <row r="36" spans="1:33" s="192" customFormat="1" ht="36">
      <c r="B36" s="916" t="s">
        <v>751</v>
      </c>
      <c r="C36" s="957"/>
      <c r="D36" s="957"/>
      <c r="E36" s="958"/>
      <c r="F36" s="958"/>
      <c r="G36" s="959"/>
      <c r="H36" s="959"/>
      <c r="I36" s="958"/>
      <c r="J36" s="959"/>
      <c r="K36" s="959"/>
      <c r="L36" s="993"/>
      <c r="M36" s="959"/>
      <c r="N36" s="999"/>
      <c r="O36" s="958"/>
      <c r="P36" s="959"/>
      <c r="Q36" s="959"/>
      <c r="R36" s="958"/>
      <c r="S36" s="959"/>
      <c r="T36" s="959"/>
      <c r="U36" s="247"/>
      <c r="V36" s="192" t="s">
        <v>954</v>
      </c>
      <c r="W36" s="248"/>
      <c r="X36" s="1112"/>
      <c r="Y36" s="1117">
        <f t="shared" si="2"/>
        <v>0</v>
      </c>
      <c r="Z36" s="1118"/>
      <c r="AA36" s="1117">
        <f t="shared" si="3"/>
        <v>0</v>
      </c>
      <c r="AB36" s="1117">
        <f t="shared" si="4"/>
        <v>0</v>
      </c>
      <c r="AC36" s="191"/>
      <c r="AD36" s="1117" t="e">
        <f t="shared" si="5"/>
        <v>#REF!</v>
      </c>
      <c r="AE36" s="1117" t="e">
        <f t="shared" si="6"/>
        <v>#REF!</v>
      </c>
      <c r="AF36" s="1117" t="e">
        <f t="shared" si="7"/>
        <v>#REF!</v>
      </c>
      <c r="AG36" s="1117" t="e">
        <f t="shared" si="8"/>
        <v>#REF!</v>
      </c>
    </row>
    <row r="37" spans="1:33" s="192" customFormat="1" ht="18">
      <c r="B37" s="916" t="s">
        <v>665</v>
      </c>
      <c r="C37" s="957"/>
      <c r="D37" s="957"/>
      <c r="E37" s="958"/>
      <c r="F37" s="958"/>
      <c r="G37" s="959"/>
      <c r="H37" s="959"/>
      <c r="I37" s="958"/>
      <c r="J37" s="959"/>
      <c r="K37" s="959"/>
      <c r="L37" s="993"/>
      <c r="M37" s="959"/>
      <c r="N37" s="999"/>
      <c r="O37" s="958"/>
      <c r="P37" s="959"/>
      <c r="Q37" s="959"/>
      <c r="R37" s="958"/>
      <c r="S37" s="959"/>
      <c r="T37" s="959"/>
      <c r="X37" s="1112"/>
      <c r="Y37" s="1117">
        <f t="shared" si="2"/>
        <v>0</v>
      </c>
      <c r="Z37" s="1118"/>
      <c r="AA37" s="1117">
        <f t="shared" si="3"/>
        <v>0</v>
      </c>
      <c r="AB37" s="1117">
        <f t="shared" si="4"/>
        <v>0</v>
      </c>
      <c r="AC37" s="191"/>
      <c r="AD37" s="1117" t="e">
        <f t="shared" si="5"/>
        <v>#REF!</v>
      </c>
      <c r="AE37" s="1117" t="e">
        <f t="shared" si="6"/>
        <v>#REF!</v>
      </c>
      <c r="AF37" s="1117" t="e">
        <f t="shared" si="7"/>
        <v>#REF!</v>
      </c>
      <c r="AG37" s="1117" t="e">
        <f t="shared" si="8"/>
        <v>#REF!</v>
      </c>
    </row>
    <row r="38" spans="1:33" s="192" customFormat="1" ht="18">
      <c r="B38" s="956"/>
      <c r="C38" s="957"/>
      <c r="D38" s="957"/>
      <c r="E38" s="958"/>
      <c r="F38" s="958"/>
      <c r="G38" s="959"/>
      <c r="H38" s="959"/>
      <c r="I38" s="958"/>
      <c r="J38" s="959"/>
      <c r="K38" s="959"/>
      <c r="L38" s="993"/>
      <c r="M38" s="959"/>
      <c r="N38" s="999"/>
      <c r="O38" s="958"/>
      <c r="P38" s="959"/>
      <c r="Q38" s="959"/>
      <c r="R38" s="958"/>
      <c r="S38" s="959"/>
      <c r="T38" s="959"/>
      <c r="X38" s="1112"/>
      <c r="Y38" s="1117">
        <f t="shared" si="2"/>
        <v>0</v>
      </c>
      <c r="Z38" s="1118"/>
      <c r="AA38" s="1117">
        <f t="shared" si="3"/>
        <v>0</v>
      </c>
      <c r="AB38" s="1117">
        <f t="shared" si="4"/>
        <v>0</v>
      </c>
      <c r="AC38" s="191"/>
      <c r="AD38" s="1117" t="e">
        <f t="shared" si="5"/>
        <v>#REF!</v>
      </c>
      <c r="AE38" s="1117" t="e">
        <f t="shared" si="6"/>
        <v>#REF!</v>
      </c>
      <c r="AF38" s="1117" t="e">
        <f t="shared" si="7"/>
        <v>#REF!</v>
      </c>
      <c r="AG38" s="1117" t="e">
        <f t="shared" si="8"/>
        <v>#REF!</v>
      </c>
    </row>
    <row r="39" spans="1:33" s="192" customFormat="1" ht="18">
      <c r="B39" s="916"/>
      <c r="C39" s="957"/>
      <c r="D39" s="957"/>
      <c r="E39" s="958"/>
      <c r="F39" s="958"/>
      <c r="G39" s="959"/>
      <c r="H39" s="959"/>
      <c r="I39" s="958"/>
      <c r="J39" s="959"/>
      <c r="K39" s="959"/>
      <c r="L39" s="993"/>
      <c r="M39" s="959"/>
      <c r="N39" s="999"/>
      <c r="O39" s="958"/>
      <c r="P39" s="959"/>
      <c r="Q39" s="959"/>
      <c r="R39" s="958"/>
      <c r="S39" s="959"/>
      <c r="T39" s="959"/>
      <c r="X39" s="1112"/>
      <c r="Y39" s="1117">
        <f t="shared" si="2"/>
        <v>0</v>
      </c>
      <c r="Z39" s="1118"/>
      <c r="AA39" s="1117">
        <f t="shared" si="3"/>
        <v>0</v>
      </c>
      <c r="AB39" s="1117">
        <f t="shared" si="4"/>
        <v>0</v>
      </c>
      <c r="AC39" s="191"/>
      <c r="AD39" s="1117" t="e">
        <f t="shared" si="5"/>
        <v>#REF!</v>
      </c>
      <c r="AE39" s="1117" t="e">
        <f t="shared" si="6"/>
        <v>#REF!</v>
      </c>
      <c r="AF39" s="1117" t="e">
        <f t="shared" si="7"/>
        <v>#REF!</v>
      </c>
      <c r="AG39" s="1117" t="e">
        <f t="shared" si="8"/>
        <v>#REF!</v>
      </c>
    </row>
    <row r="40" spans="1:33" s="192" customFormat="1" ht="18">
      <c r="B40" s="916"/>
      <c r="C40" s="957"/>
      <c r="D40" s="957"/>
      <c r="E40" s="958"/>
      <c r="F40" s="958"/>
      <c r="G40" s="959"/>
      <c r="H40" s="959"/>
      <c r="I40" s="958"/>
      <c r="J40" s="959"/>
      <c r="K40" s="959"/>
      <c r="L40" s="993"/>
      <c r="M40" s="959"/>
      <c r="N40" s="999"/>
      <c r="O40" s="958"/>
      <c r="P40" s="959"/>
      <c r="Q40" s="959"/>
      <c r="R40" s="958"/>
      <c r="S40" s="959"/>
      <c r="T40" s="959"/>
      <c r="V40" s="192" t="s">
        <v>954</v>
      </c>
      <c r="X40" s="1112"/>
      <c r="Y40" s="1117">
        <f t="shared" si="2"/>
        <v>0</v>
      </c>
      <c r="Z40" s="1118"/>
      <c r="AA40" s="1117">
        <f t="shared" si="3"/>
        <v>0</v>
      </c>
      <c r="AB40" s="1117">
        <f t="shared" si="4"/>
        <v>0</v>
      </c>
      <c r="AC40" s="191"/>
      <c r="AD40" s="1117" t="e">
        <f t="shared" si="5"/>
        <v>#REF!</v>
      </c>
      <c r="AE40" s="1117" t="e">
        <f t="shared" si="6"/>
        <v>#REF!</v>
      </c>
      <c r="AF40" s="1117" t="e">
        <f t="shared" si="7"/>
        <v>#REF!</v>
      </c>
      <c r="AG40" s="1117" t="e">
        <f t="shared" si="8"/>
        <v>#REF!</v>
      </c>
    </row>
    <row r="41" spans="1:33" s="192" customFormat="1" ht="18">
      <c r="B41" s="916"/>
      <c r="C41" s="957"/>
      <c r="D41" s="957"/>
      <c r="E41" s="958"/>
      <c r="F41" s="958"/>
      <c r="G41" s="959"/>
      <c r="H41" s="959"/>
      <c r="I41" s="958"/>
      <c r="J41" s="959"/>
      <c r="K41" s="959"/>
      <c r="L41" s="993"/>
      <c r="M41" s="959"/>
      <c r="N41" s="999"/>
      <c r="O41" s="958"/>
      <c r="P41" s="959"/>
      <c r="Q41" s="959"/>
      <c r="R41" s="958"/>
      <c r="S41" s="959"/>
      <c r="T41" s="959"/>
      <c r="V41" s="192" t="s">
        <v>954</v>
      </c>
      <c r="X41" s="1112"/>
      <c r="Y41" s="1117">
        <f t="shared" si="2"/>
        <v>0</v>
      </c>
      <c r="Z41" s="1118"/>
      <c r="AA41" s="1117">
        <f t="shared" si="3"/>
        <v>0</v>
      </c>
      <c r="AB41" s="1117">
        <f t="shared" si="4"/>
        <v>0</v>
      </c>
      <c r="AC41" s="191"/>
      <c r="AD41" s="1117" t="e">
        <f t="shared" si="5"/>
        <v>#REF!</v>
      </c>
      <c r="AE41" s="1117" t="e">
        <f t="shared" si="6"/>
        <v>#REF!</v>
      </c>
      <c r="AF41" s="1117" t="e">
        <f t="shared" si="7"/>
        <v>#REF!</v>
      </c>
      <c r="AG41" s="1117" t="e">
        <f t="shared" si="8"/>
        <v>#REF!</v>
      </c>
    </row>
    <row r="42" spans="1:33" s="192" customFormat="1" ht="18">
      <c r="B42" s="916"/>
      <c r="C42" s="957"/>
      <c r="D42" s="957"/>
      <c r="E42" s="958"/>
      <c r="F42" s="958"/>
      <c r="G42" s="959"/>
      <c r="H42" s="959"/>
      <c r="I42" s="958"/>
      <c r="J42" s="959"/>
      <c r="K42" s="959"/>
      <c r="L42" s="993"/>
      <c r="M42" s="959"/>
      <c r="N42" s="999"/>
      <c r="O42" s="958"/>
      <c r="P42" s="959"/>
      <c r="Q42" s="959"/>
      <c r="R42" s="958"/>
      <c r="S42" s="959"/>
      <c r="T42" s="959"/>
      <c r="U42" s="415"/>
      <c r="V42" s="192" t="s">
        <v>954</v>
      </c>
      <c r="X42" s="1112"/>
      <c r="Y42" s="1117">
        <f t="shared" si="2"/>
        <v>0</v>
      </c>
      <c r="Z42" s="1118"/>
      <c r="AA42" s="1117">
        <f t="shared" si="3"/>
        <v>0</v>
      </c>
      <c r="AB42" s="1117">
        <f t="shared" si="4"/>
        <v>0</v>
      </c>
      <c r="AC42" s="191"/>
      <c r="AD42" s="1117" t="e">
        <f t="shared" si="5"/>
        <v>#REF!</v>
      </c>
      <c r="AE42" s="1117" t="e">
        <f t="shared" si="6"/>
        <v>#REF!</v>
      </c>
      <c r="AF42" s="1117" t="e">
        <f t="shared" si="7"/>
        <v>#REF!</v>
      </c>
      <c r="AG42" s="1117" t="e">
        <f t="shared" si="8"/>
        <v>#REF!</v>
      </c>
    </row>
    <row r="43" spans="1:33" s="192" customFormat="1" ht="18">
      <c r="B43" s="916"/>
      <c r="C43" s="957"/>
      <c r="D43" s="957"/>
      <c r="E43" s="958"/>
      <c r="F43" s="958"/>
      <c r="G43" s="959"/>
      <c r="H43" s="959"/>
      <c r="I43" s="958"/>
      <c r="J43" s="959"/>
      <c r="K43" s="959"/>
      <c r="L43" s="993"/>
      <c r="M43" s="959"/>
      <c r="N43" s="999"/>
      <c r="O43" s="958"/>
      <c r="P43" s="959"/>
      <c r="Q43" s="959"/>
      <c r="R43" s="958"/>
      <c r="S43" s="959"/>
      <c r="T43" s="959"/>
      <c r="U43" s="415"/>
      <c r="V43" s="192" t="s">
        <v>954</v>
      </c>
      <c r="X43" s="1112"/>
      <c r="Y43" s="1117">
        <f t="shared" si="2"/>
        <v>0</v>
      </c>
      <c r="Z43" s="1118"/>
      <c r="AA43" s="1117">
        <f t="shared" si="3"/>
        <v>0</v>
      </c>
      <c r="AB43" s="1117">
        <f t="shared" si="4"/>
        <v>0</v>
      </c>
      <c r="AC43" s="191"/>
      <c r="AD43" s="1117" t="e">
        <f t="shared" si="5"/>
        <v>#REF!</v>
      </c>
      <c r="AE43" s="1117" t="e">
        <f t="shared" si="6"/>
        <v>#REF!</v>
      </c>
      <c r="AF43" s="1117" t="e">
        <f t="shared" si="7"/>
        <v>#REF!</v>
      </c>
      <c r="AG43" s="1117" t="e">
        <f t="shared" si="8"/>
        <v>#REF!</v>
      </c>
    </row>
    <row r="44" spans="1:33" s="192" customFormat="1" ht="18">
      <c r="B44" s="916"/>
      <c r="C44" s="957"/>
      <c r="D44" s="957"/>
      <c r="E44" s="958"/>
      <c r="F44" s="958"/>
      <c r="G44" s="959"/>
      <c r="H44" s="959"/>
      <c r="I44" s="958"/>
      <c r="J44" s="959"/>
      <c r="K44" s="959"/>
      <c r="L44" s="993"/>
      <c r="M44" s="959"/>
      <c r="N44" s="999"/>
      <c r="O44" s="958"/>
      <c r="P44" s="959"/>
      <c r="Q44" s="959"/>
      <c r="R44" s="958"/>
      <c r="S44" s="959"/>
      <c r="T44" s="959"/>
      <c r="U44" s="415"/>
      <c r="V44" s="192" t="s">
        <v>954</v>
      </c>
      <c r="X44" s="1112"/>
      <c r="Y44" s="1117">
        <f t="shared" si="2"/>
        <v>0</v>
      </c>
      <c r="Z44" s="1118"/>
      <c r="AA44" s="1117">
        <f t="shared" si="3"/>
        <v>0</v>
      </c>
      <c r="AB44" s="1117">
        <f t="shared" si="4"/>
        <v>0</v>
      </c>
      <c r="AC44" s="191"/>
      <c r="AD44" s="1117" t="e">
        <f t="shared" si="5"/>
        <v>#REF!</v>
      </c>
      <c r="AE44" s="1117" t="e">
        <f t="shared" si="6"/>
        <v>#REF!</v>
      </c>
      <c r="AF44" s="1117" t="e">
        <f t="shared" si="7"/>
        <v>#REF!</v>
      </c>
      <c r="AG44" s="1117" t="e">
        <f t="shared" si="8"/>
        <v>#REF!</v>
      </c>
    </row>
    <row r="45" spans="1:33" s="192" customFormat="1" ht="18">
      <c r="B45" s="916"/>
      <c r="C45" s="957"/>
      <c r="D45" s="957"/>
      <c r="E45" s="958"/>
      <c r="F45" s="958"/>
      <c r="G45" s="959"/>
      <c r="H45" s="959"/>
      <c r="I45" s="958"/>
      <c r="J45" s="959"/>
      <c r="K45" s="959"/>
      <c r="L45" s="993"/>
      <c r="M45" s="959"/>
      <c r="N45" s="999"/>
      <c r="O45" s="958"/>
      <c r="P45" s="959"/>
      <c r="Q45" s="959"/>
      <c r="R45" s="958"/>
      <c r="S45" s="959"/>
      <c r="T45" s="959"/>
      <c r="U45" s="415"/>
      <c r="V45" s="192" t="s">
        <v>954</v>
      </c>
      <c r="X45" s="1112"/>
      <c r="Y45" s="1117">
        <f t="shared" si="2"/>
        <v>0</v>
      </c>
      <c r="Z45" s="1118"/>
      <c r="AA45" s="1117">
        <f t="shared" si="3"/>
        <v>0</v>
      </c>
      <c r="AB45" s="1117">
        <f t="shared" si="4"/>
        <v>0</v>
      </c>
      <c r="AC45" s="191"/>
      <c r="AD45" s="1117" t="e">
        <f t="shared" si="5"/>
        <v>#REF!</v>
      </c>
      <c r="AE45" s="1117" t="e">
        <f t="shared" si="6"/>
        <v>#REF!</v>
      </c>
      <c r="AF45" s="1117" t="e">
        <f t="shared" si="7"/>
        <v>#REF!</v>
      </c>
      <c r="AG45" s="1117" t="e">
        <f t="shared" si="8"/>
        <v>#REF!</v>
      </c>
    </row>
    <row r="46" spans="1:33" s="192" customFormat="1" ht="18">
      <c r="B46" s="916"/>
      <c r="C46" s="957"/>
      <c r="D46" s="957"/>
      <c r="E46" s="958"/>
      <c r="F46" s="958"/>
      <c r="G46" s="959"/>
      <c r="H46" s="959"/>
      <c r="I46" s="958"/>
      <c r="J46" s="959"/>
      <c r="K46" s="959"/>
      <c r="L46" s="993"/>
      <c r="M46" s="959"/>
      <c r="N46" s="999"/>
      <c r="O46" s="958"/>
      <c r="P46" s="959"/>
      <c r="Q46" s="959"/>
      <c r="R46" s="958"/>
      <c r="S46" s="959"/>
      <c r="T46" s="959"/>
      <c r="U46" s="415"/>
      <c r="V46" s="192" t="s">
        <v>954</v>
      </c>
      <c r="X46" s="1112"/>
      <c r="Y46" s="1117">
        <f t="shared" si="2"/>
        <v>0</v>
      </c>
      <c r="Z46" s="1118"/>
      <c r="AA46" s="1117">
        <f t="shared" si="3"/>
        <v>0</v>
      </c>
      <c r="AB46" s="1117">
        <f t="shared" si="4"/>
        <v>0</v>
      </c>
      <c r="AC46" s="191"/>
      <c r="AD46" s="1117" t="e">
        <f t="shared" si="5"/>
        <v>#REF!</v>
      </c>
      <c r="AE46" s="1117" t="e">
        <f t="shared" si="6"/>
        <v>#REF!</v>
      </c>
      <c r="AF46" s="1117" t="e">
        <f t="shared" si="7"/>
        <v>#REF!</v>
      </c>
      <c r="AG46" s="1117" t="e">
        <f t="shared" si="8"/>
        <v>#REF!</v>
      </c>
    </row>
    <row r="47" spans="1:33" s="192" customFormat="1" ht="18">
      <c r="B47" s="917"/>
      <c r="C47" s="957"/>
      <c r="D47" s="957"/>
      <c r="E47" s="958"/>
      <c r="F47" s="958"/>
      <c r="G47" s="959"/>
      <c r="H47" s="959"/>
      <c r="I47" s="958"/>
      <c r="J47" s="959"/>
      <c r="K47" s="959"/>
      <c r="L47" s="993"/>
      <c r="M47" s="959"/>
      <c r="N47" s="999"/>
      <c r="O47" s="958"/>
      <c r="P47" s="959"/>
      <c r="Q47" s="959"/>
      <c r="R47" s="958"/>
      <c r="S47" s="959"/>
      <c r="T47" s="959"/>
      <c r="U47" s="415"/>
      <c r="V47" s="192" t="s">
        <v>954</v>
      </c>
      <c r="X47" s="1112"/>
      <c r="Y47" s="1117">
        <f t="shared" si="2"/>
        <v>0</v>
      </c>
      <c r="Z47" s="1118"/>
      <c r="AA47" s="1117">
        <f t="shared" si="3"/>
        <v>0</v>
      </c>
      <c r="AB47" s="1117">
        <f t="shared" si="4"/>
        <v>0</v>
      </c>
      <c r="AC47" s="191"/>
      <c r="AD47" s="1117" t="e">
        <f t="shared" si="5"/>
        <v>#REF!</v>
      </c>
      <c r="AE47" s="1117" t="e">
        <f t="shared" si="6"/>
        <v>#REF!</v>
      </c>
      <c r="AF47" s="1117" t="e">
        <f t="shared" si="7"/>
        <v>#REF!</v>
      </c>
      <c r="AG47" s="1117" t="e">
        <f t="shared" si="8"/>
        <v>#REF!</v>
      </c>
    </row>
    <row r="48" spans="1:33" s="192" customFormat="1" ht="18.75" customHeight="1">
      <c r="B48" s="917"/>
      <c r="C48" s="957"/>
      <c r="D48" s="957"/>
      <c r="E48" s="958"/>
      <c r="F48" s="958"/>
      <c r="G48" s="959"/>
      <c r="H48" s="959"/>
      <c r="I48" s="958"/>
      <c r="J48" s="959"/>
      <c r="K48" s="959"/>
      <c r="L48" s="993"/>
      <c r="M48" s="959"/>
      <c r="N48" s="999"/>
      <c r="O48" s="958"/>
      <c r="P48" s="959"/>
      <c r="Q48" s="959"/>
      <c r="R48" s="958"/>
      <c r="S48" s="959"/>
      <c r="T48" s="959"/>
      <c r="V48" s="196" t="s">
        <v>957</v>
      </c>
      <c r="X48" s="1112"/>
      <c r="Y48" s="1117">
        <f t="shared" si="2"/>
        <v>0</v>
      </c>
      <c r="Z48" s="1118"/>
      <c r="AA48" s="1117">
        <f t="shared" si="3"/>
        <v>0</v>
      </c>
      <c r="AB48" s="1117">
        <f t="shared" si="4"/>
        <v>0</v>
      </c>
      <c r="AC48" s="191"/>
      <c r="AD48" s="1117" t="e">
        <f t="shared" si="5"/>
        <v>#REF!</v>
      </c>
      <c r="AE48" s="1117" t="e">
        <f t="shared" si="6"/>
        <v>#REF!</v>
      </c>
      <c r="AF48" s="1117" t="e">
        <f t="shared" si="7"/>
        <v>#REF!</v>
      </c>
      <c r="AG48" s="1117" t="e">
        <f t="shared" si="8"/>
        <v>#REF!</v>
      </c>
    </row>
    <row r="49" spans="2:33" s="192" customFormat="1" ht="18.75" customHeight="1">
      <c r="B49" s="917"/>
      <c r="C49" s="957"/>
      <c r="D49" s="957"/>
      <c r="E49" s="958"/>
      <c r="F49" s="958"/>
      <c r="G49" s="959"/>
      <c r="H49" s="959"/>
      <c r="I49" s="958"/>
      <c r="J49" s="959"/>
      <c r="K49" s="959"/>
      <c r="L49" s="993"/>
      <c r="M49" s="959"/>
      <c r="N49" s="999"/>
      <c r="O49" s="958"/>
      <c r="P49" s="959"/>
      <c r="Q49" s="959"/>
      <c r="R49" s="958"/>
      <c r="S49" s="959"/>
      <c r="T49" s="959"/>
      <c r="V49" s="192" t="s">
        <v>954</v>
      </c>
      <c r="X49" s="1112"/>
      <c r="Y49" s="1117">
        <f t="shared" si="2"/>
        <v>0</v>
      </c>
      <c r="Z49" s="1118"/>
      <c r="AA49" s="1117">
        <f t="shared" si="3"/>
        <v>0</v>
      </c>
      <c r="AB49" s="1117">
        <f t="shared" si="4"/>
        <v>0</v>
      </c>
      <c r="AC49" s="191"/>
      <c r="AD49" s="1117" t="e">
        <f t="shared" si="5"/>
        <v>#REF!</v>
      </c>
      <c r="AE49" s="1117" t="e">
        <f t="shared" si="6"/>
        <v>#REF!</v>
      </c>
      <c r="AF49" s="1117" t="e">
        <f t="shared" si="7"/>
        <v>#REF!</v>
      </c>
      <c r="AG49" s="1117" t="e">
        <f t="shared" si="8"/>
        <v>#REF!</v>
      </c>
    </row>
    <row r="50" spans="2:33" s="192" customFormat="1" ht="18.75" customHeight="1">
      <c r="B50" s="917"/>
      <c r="C50" s="957"/>
      <c r="D50" s="957"/>
      <c r="E50" s="958"/>
      <c r="F50" s="958"/>
      <c r="G50" s="959"/>
      <c r="H50" s="959"/>
      <c r="I50" s="958"/>
      <c r="J50" s="959"/>
      <c r="K50" s="959"/>
      <c r="L50" s="993"/>
      <c r="M50" s="959"/>
      <c r="N50" s="999"/>
      <c r="O50" s="958"/>
      <c r="P50" s="959"/>
      <c r="Q50" s="959"/>
      <c r="R50" s="958"/>
      <c r="S50" s="959"/>
      <c r="T50" s="959"/>
      <c r="V50" s="192" t="s">
        <v>954</v>
      </c>
      <c r="X50" s="1112"/>
      <c r="Y50" s="1117">
        <f t="shared" si="2"/>
        <v>0</v>
      </c>
      <c r="Z50" s="1118"/>
      <c r="AA50" s="1117">
        <f t="shared" si="3"/>
        <v>0</v>
      </c>
      <c r="AB50" s="1117">
        <f t="shared" si="4"/>
        <v>0</v>
      </c>
      <c r="AC50" s="191"/>
      <c r="AD50" s="1117" t="e">
        <f t="shared" si="5"/>
        <v>#REF!</v>
      </c>
      <c r="AE50" s="1117" t="e">
        <f t="shared" si="6"/>
        <v>#REF!</v>
      </c>
      <c r="AF50" s="1117" t="e">
        <f t="shared" si="7"/>
        <v>#REF!</v>
      </c>
      <c r="AG50" s="1117" t="e">
        <f t="shared" si="8"/>
        <v>#REF!</v>
      </c>
    </row>
    <row r="51" spans="2:33" s="192" customFormat="1" ht="18.75" customHeight="1">
      <c r="B51" s="917"/>
      <c r="C51" s="957"/>
      <c r="D51" s="957"/>
      <c r="E51" s="958"/>
      <c r="F51" s="958"/>
      <c r="G51" s="959"/>
      <c r="H51" s="959"/>
      <c r="I51" s="958"/>
      <c r="J51" s="959"/>
      <c r="K51" s="959"/>
      <c r="L51" s="993"/>
      <c r="M51" s="959"/>
      <c r="N51" s="999"/>
      <c r="O51" s="958"/>
      <c r="P51" s="959"/>
      <c r="Q51" s="959"/>
      <c r="R51" s="958"/>
      <c r="S51" s="959"/>
      <c r="T51" s="959"/>
      <c r="V51" s="192" t="s">
        <v>954</v>
      </c>
      <c r="X51" s="1112"/>
      <c r="Y51" s="1117">
        <f t="shared" si="2"/>
        <v>0</v>
      </c>
      <c r="Z51" s="1118"/>
      <c r="AA51" s="1117">
        <f t="shared" si="3"/>
        <v>0</v>
      </c>
      <c r="AB51" s="1117">
        <f t="shared" si="4"/>
        <v>0</v>
      </c>
      <c r="AC51" s="191"/>
      <c r="AD51" s="1117" t="e">
        <f t="shared" si="5"/>
        <v>#REF!</v>
      </c>
      <c r="AE51" s="1117" t="e">
        <f t="shared" si="6"/>
        <v>#REF!</v>
      </c>
      <c r="AF51" s="1117" t="e">
        <f t="shared" si="7"/>
        <v>#REF!</v>
      </c>
      <c r="AG51" s="1117" t="e">
        <f t="shared" si="8"/>
        <v>#REF!</v>
      </c>
    </row>
    <row r="52" spans="2:33" s="192" customFormat="1" ht="18.75" customHeight="1">
      <c r="B52" s="917"/>
      <c r="C52" s="957"/>
      <c r="D52" s="957"/>
      <c r="E52" s="958"/>
      <c r="F52" s="958"/>
      <c r="G52" s="959"/>
      <c r="H52" s="959"/>
      <c r="I52" s="958"/>
      <c r="J52" s="959"/>
      <c r="K52" s="959"/>
      <c r="L52" s="993"/>
      <c r="M52" s="959"/>
      <c r="N52" s="999"/>
      <c r="O52" s="958"/>
      <c r="P52" s="959"/>
      <c r="Q52" s="959"/>
      <c r="R52" s="958"/>
      <c r="S52" s="959"/>
      <c r="T52" s="959"/>
      <c r="X52" s="1112"/>
      <c r="Y52" s="1117">
        <f t="shared" si="2"/>
        <v>0</v>
      </c>
      <c r="Z52" s="1118"/>
      <c r="AA52" s="1117">
        <f t="shared" si="3"/>
        <v>0</v>
      </c>
      <c r="AB52" s="1117">
        <f t="shared" si="4"/>
        <v>0</v>
      </c>
      <c r="AC52" s="191"/>
      <c r="AD52" s="1117" t="e">
        <f t="shared" si="5"/>
        <v>#REF!</v>
      </c>
      <c r="AE52" s="1117" t="e">
        <f t="shared" si="6"/>
        <v>#REF!</v>
      </c>
      <c r="AF52" s="1117" t="e">
        <f t="shared" si="7"/>
        <v>#REF!</v>
      </c>
      <c r="AG52" s="1117" t="e">
        <f t="shared" si="8"/>
        <v>#REF!</v>
      </c>
    </row>
    <row r="53" spans="2:33" s="192" customFormat="1" ht="18.75" customHeight="1">
      <c r="B53" s="917"/>
      <c r="C53" s="957"/>
      <c r="D53" s="957"/>
      <c r="E53" s="958"/>
      <c r="F53" s="958"/>
      <c r="G53" s="959"/>
      <c r="H53" s="959"/>
      <c r="I53" s="958"/>
      <c r="J53" s="959"/>
      <c r="K53" s="959"/>
      <c r="L53" s="993"/>
      <c r="M53" s="959"/>
      <c r="N53" s="999"/>
      <c r="O53" s="958"/>
      <c r="P53" s="959"/>
      <c r="Q53" s="959"/>
      <c r="R53" s="958"/>
      <c r="S53" s="959"/>
      <c r="T53" s="959"/>
      <c r="V53" s="192" t="s">
        <v>956</v>
      </c>
      <c r="X53" s="1112"/>
      <c r="Y53" s="1117">
        <f t="shared" si="2"/>
        <v>0</v>
      </c>
      <c r="Z53" s="1118"/>
      <c r="AA53" s="1117">
        <f t="shared" si="3"/>
        <v>0</v>
      </c>
      <c r="AB53" s="1117">
        <f t="shared" si="4"/>
        <v>0</v>
      </c>
      <c r="AC53" s="191"/>
      <c r="AD53" s="1117" t="e">
        <f t="shared" si="5"/>
        <v>#REF!</v>
      </c>
      <c r="AE53" s="1117" t="e">
        <f t="shared" si="6"/>
        <v>#REF!</v>
      </c>
      <c r="AF53" s="1117" t="e">
        <f t="shared" si="7"/>
        <v>#REF!</v>
      </c>
      <c r="AG53" s="1117" t="e">
        <f t="shared" si="8"/>
        <v>#REF!</v>
      </c>
    </row>
    <row r="54" spans="2:33" s="192" customFormat="1" ht="18.75" customHeight="1">
      <c r="B54" s="917"/>
      <c r="C54" s="957"/>
      <c r="D54" s="957"/>
      <c r="E54" s="958"/>
      <c r="F54" s="958"/>
      <c r="G54" s="959"/>
      <c r="H54" s="959"/>
      <c r="I54" s="958"/>
      <c r="J54" s="959"/>
      <c r="K54" s="959"/>
      <c r="L54" s="993"/>
      <c r="M54" s="959"/>
      <c r="N54" s="999"/>
      <c r="O54" s="958"/>
      <c r="P54" s="959"/>
      <c r="Q54" s="959"/>
      <c r="R54" s="958"/>
      <c r="S54" s="959"/>
      <c r="T54" s="959"/>
      <c r="U54" s="911" t="s">
        <v>1224</v>
      </c>
      <c r="V54" s="192" t="s">
        <v>954</v>
      </c>
      <c r="X54" s="1112"/>
      <c r="Y54" s="1117">
        <f t="shared" si="2"/>
        <v>0</v>
      </c>
      <c r="Z54" s="1118"/>
      <c r="AA54" s="1117">
        <f t="shared" si="3"/>
        <v>0</v>
      </c>
      <c r="AB54" s="1117">
        <f t="shared" si="4"/>
        <v>0</v>
      </c>
      <c r="AC54" s="191"/>
      <c r="AD54" s="1117" t="e">
        <f t="shared" si="5"/>
        <v>#REF!</v>
      </c>
      <c r="AE54" s="1117" t="e">
        <f t="shared" si="6"/>
        <v>#REF!</v>
      </c>
      <c r="AF54" s="1117" t="e">
        <f t="shared" si="7"/>
        <v>#REF!</v>
      </c>
      <c r="AG54" s="1117" t="e">
        <f t="shared" si="8"/>
        <v>#REF!</v>
      </c>
    </row>
    <row r="55" spans="2:33" s="192" customFormat="1" ht="18.75" customHeight="1">
      <c r="B55" s="917"/>
      <c r="C55" s="957"/>
      <c r="D55" s="957"/>
      <c r="E55" s="958"/>
      <c r="F55" s="958"/>
      <c r="G55" s="959"/>
      <c r="H55" s="959"/>
      <c r="I55" s="958"/>
      <c r="J55" s="959"/>
      <c r="K55" s="959"/>
      <c r="L55" s="993"/>
      <c r="M55" s="959"/>
      <c r="N55" s="999"/>
      <c r="O55" s="958"/>
      <c r="P55" s="959"/>
      <c r="Q55" s="959"/>
      <c r="R55" s="958"/>
      <c r="S55" s="959"/>
      <c r="T55" s="959"/>
      <c r="X55" s="1112"/>
      <c r="Y55" s="1117">
        <f t="shared" si="2"/>
        <v>0</v>
      </c>
      <c r="Z55" s="1118"/>
      <c r="AA55" s="1117">
        <f t="shared" si="3"/>
        <v>0</v>
      </c>
      <c r="AB55" s="1117">
        <f t="shared" si="4"/>
        <v>0</v>
      </c>
      <c r="AC55" s="191"/>
      <c r="AD55" s="1117" t="e">
        <f t="shared" si="5"/>
        <v>#REF!</v>
      </c>
      <c r="AE55" s="1117" t="e">
        <f t="shared" si="6"/>
        <v>#REF!</v>
      </c>
      <c r="AF55" s="1117" t="e">
        <f t="shared" si="7"/>
        <v>#REF!</v>
      </c>
      <c r="AG55" s="1117" t="e">
        <f t="shared" si="8"/>
        <v>#REF!</v>
      </c>
    </row>
    <row r="56" spans="2:33" s="192" customFormat="1" ht="18.75" customHeight="1">
      <c r="B56" s="917"/>
      <c r="C56" s="957"/>
      <c r="D56" s="957"/>
      <c r="E56" s="958"/>
      <c r="F56" s="958"/>
      <c r="G56" s="959"/>
      <c r="H56" s="959"/>
      <c r="I56" s="958"/>
      <c r="J56" s="959"/>
      <c r="K56" s="959"/>
      <c r="L56" s="993"/>
      <c r="M56" s="959"/>
      <c r="N56" s="999"/>
      <c r="O56" s="958"/>
      <c r="P56" s="959"/>
      <c r="Q56" s="959"/>
      <c r="R56" s="958"/>
      <c r="S56" s="959"/>
      <c r="T56" s="959"/>
      <c r="V56" s="192" t="s">
        <v>1611</v>
      </c>
      <c r="X56" s="1112"/>
      <c r="Y56" s="1117">
        <f t="shared" si="2"/>
        <v>0</v>
      </c>
      <c r="Z56" s="1118"/>
      <c r="AA56" s="1117">
        <f t="shared" si="3"/>
        <v>0</v>
      </c>
      <c r="AB56" s="1117">
        <f t="shared" si="4"/>
        <v>0</v>
      </c>
      <c r="AC56" s="191"/>
      <c r="AD56" s="1117" t="e">
        <f t="shared" si="5"/>
        <v>#REF!</v>
      </c>
      <c r="AE56" s="1117" t="e">
        <f t="shared" si="6"/>
        <v>#REF!</v>
      </c>
      <c r="AF56" s="1117" t="e">
        <f t="shared" si="7"/>
        <v>#REF!</v>
      </c>
      <c r="AG56" s="1117" t="e">
        <f t="shared" si="8"/>
        <v>#REF!</v>
      </c>
    </row>
    <row r="57" spans="2:33" s="192" customFormat="1" ht="18.75" customHeight="1">
      <c r="B57" s="917"/>
      <c r="C57" s="957"/>
      <c r="D57" s="957"/>
      <c r="E57" s="958"/>
      <c r="F57" s="958"/>
      <c r="G57" s="959"/>
      <c r="H57" s="959"/>
      <c r="I57" s="958"/>
      <c r="J57" s="959"/>
      <c r="K57" s="959"/>
      <c r="L57" s="993"/>
      <c r="M57" s="959"/>
      <c r="N57" s="999"/>
      <c r="O57" s="958"/>
      <c r="P57" s="959"/>
      <c r="Q57" s="959"/>
      <c r="R57" s="958"/>
      <c r="S57" s="959"/>
      <c r="T57" s="959"/>
      <c r="X57" s="1112"/>
      <c r="Y57" s="1117">
        <f t="shared" si="2"/>
        <v>0</v>
      </c>
      <c r="Z57" s="1118"/>
      <c r="AA57" s="1117">
        <f t="shared" si="3"/>
        <v>0</v>
      </c>
      <c r="AB57" s="1117">
        <f t="shared" si="4"/>
        <v>0</v>
      </c>
      <c r="AC57" s="191"/>
      <c r="AD57" s="1117" t="e">
        <f t="shared" si="5"/>
        <v>#REF!</v>
      </c>
      <c r="AE57" s="1117" t="e">
        <f t="shared" si="6"/>
        <v>#REF!</v>
      </c>
      <c r="AF57" s="1117" t="e">
        <f t="shared" si="7"/>
        <v>#REF!</v>
      </c>
      <c r="AG57" s="1117" t="e">
        <f t="shared" si="8"/>
        <v>#REF!</v>
      </c>
    </row>
    <row r="58" spans="2:33" s="192" customFormat="1" ht="18.75" customHeight="1">
      <c r="B58" s="917"/>
      <c r="C58" s="957"/>
      <c r="D58" s="957"/>
      <c r="E58" s="958"/>
      <c r="F58" s="958"/>
      <c r="G58" s="959"/>
      <c r="H58" s="959"/>
      <c r="I58" s="958"/>
      <c r="J58" s="959"/>
      <c r="K58" s="959"/>
      <c r="L58" s="993"/>
      <c r="M58" s="959"/>
      <c r="N58" s="999"/>
      <c r="O58" s="958"/>
      <c r="P58" s="959"/>
      <c r="Q58" s="959"/>
      <c r="R58" s="958"/>
      <c r="S58" s="959"/>
      <c r="T58" s="959"/>
      <c r="U58" s="380"/>
      <c r="V58" s="192" t="s">
        <v>954</v>
      </c>
      <c r="X58" s="1112"/>
      <c r="Y58" s="1117">
        <f t="shared" si="2"/>
        <v>0</v>
      </c>
      <c r="Z58" s="1118"/>
      <c r="AA58" s="1117">
        <f t="shared" si="3"/>
        <v>0</v>
      </c>
      <c r="AB58" s="1117">
        <f t="shared" si="4"/>
        <v>0</v>
      </c>
      <c r="AC58" s="191"/>
      <c r="AD58" s="1117" t="e">
        <f t="shared" si="5"/>
        <v>#REF!</v>
      </c>
      <c r="AE58" s="1117" t="e">
        <f t="shared" si="6"/>
        <v>#REF!</v>
      </c>
      <c r="AF58" s="1117" t="e">
        <f t="shared" si="7"/>
        <v>#REF!</v>
      </c>
      <c r="AG58" s="1117" t="e">
        <f t="shared" si="8"/>
        <v>#REF!</v>
      </c>
    </row>
    <row r="59" spans="2:33" s="192" customFormat="1" ht="18.75" customHeight="1">
      <c r="B59" s="917"/>
      <c r="C59" s="957"/>
      <c r="D59" s="957"/>
      <c r="E59" s="958"/>
      <c r="F59" s="958"/>
      <c r="G59" s="959"/>
      <c r="H59" s="959"/>
      <c r="I59" s="958"/>
      <c r="J59" s="959"/>
      <c r="K59" s="959"/>
      <c r="L59" s="993"/>
      <c r="M59" s="959"/>
      <c r="N59" s="999"/>
      <c r="O59" s="958"/>
      <c r="P59" s="959"/>
      <c r="Q59" s="959"/>
      <c r="R59" s="958"/>
      <c r="S59" s="959"/>
      <c r="T59" s="959"/>
      <c r="X59" s="1112"/>
      <c r="Y59" s="1117">
        <f t="shared" si="2"/>
        <v>0</v>
      </c>
      <c r="Z59" s="1118"/>
      <c r="AA59" s="1117">
        <f t="shared" si="3"/>
        <v>0</v>
      </c>
      <c r="AB59" s="1117">
        <f t="shared" si="4"/>
        <v>0</v>
      </c>
      <c r="AC59" s="191"/>
      <c r="AD59" s="1117" t="e">
        <f t="shared" si="5"/>
        <v>#REF!</v>
      </c>
      <c r="AE59" s="1117" t="e">
        <f t="shared" si="6"/>
        <v>#REF!</v>
      </c>
      <c r="AF59" s="1117" t="e">
        <f t="shared" si="7"/>
        <v>#REF!</v>
      </c>
      <c r="AG59" s="1117" t="e">
        <f t="shared" si="8"/>
        <v>#REF!</v>
      </c>
    </row>
    <row r="60" spans="2:33" s="192" customFormat="1" ht="18.75" customHeight="1">
      <c r="B60" s="917"/>
      <c r="C60" s="957"/>
      <c r="D60" s="957"/>
      <c r="E60" s="958"/>
      <c r="F60" s="958"/>
      <c r="G60" s="959"/>
      <c r="H60" s="959"/>
      <c r="I60" s="958"/>
      <c r="J60" s="959"/>
      <c r="K60" s="959"/>
      <c r="L60" s="993"/>
      <c r="M60" s="959"/>
      <c r="N60" s="999"/>
      <c r="O60" s="958"/>
      <c r="P60" s="959"/>
      <c r="Q60" s="959"/>
      <c r="R60" s="958"/>
      <c r="S60" s="959"/>
      <c r="T60" s="959"/>
      <c r="X60" s="1112"/>
      <c r="Y60" s="1117">
        <f t="shared" si="2"/>
        <v>0</v>
      </c>
      <c r="Z60" s="1118"/>
      <c r="AA60" s="1117">
        <f t="shared" si="3"/>
        <v>0</v>
      </c>
      <c r="AB60" s="1117">
        <f t="shared" si="4"/>
        <v>0</v>
      </c>
      <c r="AC60" s="191"/>
      <c r="AD60" s="1117" t="e">
        <f t="shared" si="5"/>
        <v>#REF!</v>
      </c>
      <c r="AE60" s="1117" t="e">
        <f t="shared" si="6"/>
        <v>#REF!</v>
      </c>
      <c r="AF60" s="1117" t="e">
        <f t="shared" si="7"/>
        <v>#REF!</v>
      </c>
      <c r="AG60" s="1117" t="e">
        <f t="shared" si="8"/>
        <v>#REF!</v>
      </c>
    </row>
    <row r="61" spans="2:33" s="192" customFormat="1" ht="18.75" customHeight="1">
      <c r="B61" s="917"/>
      <c r="C61" s="957"/>
      <c r="D61" s="957"/>
      <c r="E61" s="958"/>
      <c r="F61" s="958"/>
      <c r="G61" s="959"/>
      <c r="H61" s="959"/>
      <c r="I61" s="958"/>
      <c r="J61" s="959"/>
      <c r="K61" s="959"/>
      <c r="L61" s="993"/>
      <c r="M61" s="959"/>
      <c r="N61" s="999"/>
      <c r="O61" s="958"/>
      <c r="P61" s="959"/>
      <c r="Q61" s="959"/>
      <c r="R61" s="958"/>
      <c r="S61" s="959"/>
      <c r="T61" s="959"/>
      <c r="X61" s="1112"/>
      <c r="Y61" s="1117">
        <f t="shared" si="2"/>
        <v>0</v>
      </c>
      <c r="Z61" s="1118"/>
      <c r="AA61" s="1117">
        <f t="shared" si="3"/>
        <v>0</v>
      </c>
      <c r="AB61" s="1117">
        <f t="shared" si="4"/>
        <v>0</v>
      </c>
      <c r="AC61" s="191"/>
      <c r="AD61" s="1117" t="e">
        <f t="shared" si="5"/>
        <v>#REF!</v>
      </c>
      <c r="AE61" s="1117" t="e">
        <f t="shared" si="6"/>
        <v>#REF!</v>
      </c>
      <c r="AF61" s="1117" t="e">
        <f t="shared" si="7"/>
        <v>#REF!</v>
      </c>
      <c r="AG61" s="1117" t="e">
        <f t="shared" si="8"/>
        <v>#REF!</v>
      </c>
    </row>
    <row r="62" spans="2:33" s="192" customFormat="1" ht="18.75" customHeight="1">
      <c r="B62" s="917"/>
      <c r="C62" s="957"/>
      <c r="D62" s="957"/>
      <c r="E62" s="958"/>
      <c r="F62" s="958"/>
      <c r="G62" s="959"/>
      <c r="H62" s="959"/>
      <c r="I62" s="958"/>
      <c r="J62" s="959"/>
      <c r="K62" s="959"/>
      <c r="L62" s="993"/>
      <c r="M62" s="959"/>
      <c r="N62" s="999"/>
      <c r="O62" s="958"/>
      <c r="P62" s="959"/>
      <c r="Q62" s="959"/>
      <c r="R62" s="958"/>
      <c r="S62" s="959"/>
      <c r="T62" s="959"/>
      <c r="V62" s="192" t="s">
        <v>954</v>
      </c>
      <c r="X62" s="1112"/>
      <c r="Y62" s="1117">
        <f t="shared" si="2"/>
        <v>0</v>
      </c>
      <c r="Z62" s="1118"/>
      <c r="AA62" s="1117">
        <f t="shared" si="3"/>
        <v>0</v>
      </c>
      <c r="AB62" s="1117">
        <f t="shared" si="4"/>
        <v>0</v>
      </c>
      <c r="AC62" s="191"/>
      <c r="AD62" s="1117" t="e">
        <f t="shared" si="5"/>
        <v>#REF!</v>
      </c>
      <c r="AE62" s="1117" t="e">
        <f t="shared" si="6"/>
        <v>#REF!</v>
      </c>
      <c r="AF62" s="1117" t="e">
        <f t="shared" si="7"/>
        <v>#REF!</v>
      </c>
      <c r="AG62" s="1117" t="e">
        <f t="shared" si="8"/>
        <v>#REF!</v>
      </c>
    </row>
    <row r="63" spans="2:33" s="192" customFormat="1" ht="18.75" customHeight="1">
      <c r="B63" s="917"/>
      <c r="C63" s="957"/>
      <c r="D63" s="957"/>
      <c r="E63" s="958"/>
      <c r="F63" s="958"/>
      <c r="G63" s="959"/>
      <c r="H63" s="959"/>
      <c r="I63" s="958"/>
      <c r="J63" s="959"/>
      <c r="K63" s="959"/>
      <c r="L63" s="993"/>
      <c r="M63" s="959"/>
      <c r="N63" s="999"/>
      <c r="O63" s="958"/>
      <c r="P63" s="959"/>
      <c r="Q63" s="959"/>
      <c r="R63" s="958"/>
      <c r="S63" s="959"/>
      <c r="T63" s="959"/>
      <c r="V63" s="192" t="s">
        <v>1232</v>
      </c>
      <c r="X63" s="1112"/>
      <c r="Y63" s="1117">
        <f t="shared" si="2"/>
        <v>0</v>
      </c>
      <c r="Z63" s="1118"/>
      <c r="AA63" s="1117">
        <f t="shared" si="3"/>
        <v>0</v>
      </c>
      <c r="AB63" s="1117">
        <f t="shared" si="4"/>
        <v>0</v>
      </c>
      <c r="AC63" s="191"/>
      <c r="AD63" s="1117" t="e">
        <f t="shared" si="5"/>
        <v>#REF!</v>
      </c>
      <c r="AE63" s="1117" t="e">
        <f t="shared" si="6"/>
        <v>#REF!</v>
      </c>
      <c r="AF63" s="1117" t="e">
        <f t="shared" si="7"/>
        <v>#REF!</v>
      </c>
      <c r="AG63" s="1117" t="e">
        <f t="shared" si="8"/>
        <v>#REF!</v>
      </c>
    </row>
    <row r="64" spans="2:33" s="192" customFormat="1" ht="18">
      <c r="B64" s="915"/>
      <c r="C64" s="957"/>
      <c r="D64" s="957"/>
      <c r="E64" s="958"/>
      <c r="F64" s="958"/>
      <c r="G64" s="959"/>
      <c r="H64" s="959"/>
      <c r="I64" s="958"/>
      <c r="J64" s="959"/>
      <c r="K64" s="959"/>
      <c r="L64" s="993"/>
      <c r="M64" s="959"/>
      <c r="N64" s="999"/>
      <c r="O64" s="958"/>
      <c r="P64" s="959"/>
      <c r="Q64" s="959"/>
      <c r="R64" s="958"/>
      <c r="S64" s="959"/>
      <c r="T64" s="959"/>
      <c r="X64" s="1112"/>
      <c r="Y64" s="1117">
        <f t="shared" si="2"/>
        <v>0</v>
      </c>
      <c r="Z64" s="1118"/>
      <c r="AA64" s="1117">
        <f t="shared" si="3"/>
        <v>0</v>
      </c>
      <c r="AB64" s="1117">
        <f t="shared" si="4"/>
        <v>0</v>
      </c>
      <c r="AC64" s="191"/>
      <c r="AD64" s="1117" t="e">
        <f t="shared" si="5"/>
        <v>#REF!</v>
      </c>
      <c r="AE64" s="1117" t="e">
        <f t="shared" si="6"/>
        <v>#REF!</v>
      </c>
      <c r="AF64" s="1117" t="e">
        <f t="shared" si="7"/>
        <v>#REF!</v>
      </c>
      <c r="AG64" s="1117" t="e">
        <f t="shared" si="8"/>
        <v>#REF!</v>
      </c>
    </row>
    <row r="65" spans="2:33" s="192" customFormat="1" ht="18">
      <c r="B65" s="915"/>
      <c r="C65" s="957"/>
      <c r="D65" s="957"/>
      <c r="E65" s="958"/>
      <c r="F65" s="958"/>
      <c r="G65" s="959"/>
      <c r="H65" s="959"/>
      <c r="I65" s="958"/>
      <c r="J65" s="959"/>
      <c r="K65" s="959"/>
      <c r="L65" s="993"/>
      <c r="M65" s="959"/>
      <c r="N65" s="999"/>
      <c r="O65" s="958"/>
      <c r="P65" s="959"/>
      <c r="Q65" s="959"/>
      <c r="R65" s="958"/>
      <c r="S65" s="959"/>
      <c r="T65" s="959"/>
      <c r="X65" s="1112"/>
      <c r="Y65" s="1117">
        <f t="shared" si="2"/>
        <v>0</v>
      </c>
      <c r="Z65" s="1118"/>
      <c r="AA65" s="1117">
        <f t="shared" si="3"/>
        <v>0</v>
      </c>
      <c r="AB65" s="1117">
        <f t="shared" si="4"/>
        <v>0</v>
      </c>
      <c r="AC65" s="191"/>
      <c r="AD65" s="1117" t="e">
        <f t="shared" si="5"/>
        <v>#REF!</v>
      </c>
      <c r="AE65" s="1117" t="e">
        <f t="shared" si="6"/>
        <v>#REF!</v>
      </c>
      <c r="AF65" s="1117" t="e">
        <f t="shared" si="7"/>
        <v>#REF!</v>
      </c>
      <c r="AG65" s="1117" t="e">
        <f t="shared" si="8"/>
        <v>#REF!</v>
      </c>
    </row>
    <row r="66" spans="2:33" s="192" customFormat="1" ht="18">
      <c r="B66" s="915"/>
      <c r="C66" s="957"/>
      <c r="D66" s="957"/>
      <c r="E66" s="958"/>
      <c r="F66" s="958"/>
      <c r="G66" s="959"/>
      <c r="H66" s="959"/>
      <c r="I66" s="958"/>
      <c r="J66" s="959"/>
      <c r="K66" s="959"/>
      <c r="L66" s="993"/>
      <c r="M66" s="959"/>
      <c r="N66" s="999"/>
      <c r="O66" s="958"/>
      <c r="P66" s="959"/>
      <c r="Q66" s="959"/>
      <c r="R66" s="958"/>
      <c r="S66" s="959"/>
      <c r="T66" s="959"/>
      <c r="U66" s="192" t="s">
        <v>1227</v>
      </c>
      <c r="V66" s="192" t="s">
        <v>954</v>
      </c>
      <c r="X66" s="1112"/>
      <c r="Y66" s="1117">
        <f t="shared" si="2"/>
        <v>0</v>
      </c>
      <c r="Z66" s="1118"/>
      <c r="AA66" s="1117">
        <f t="shared" si="3"/>
        <v>0</v>
      </c>
      <c r="AB66" s="1117">
        <f t="shared" si="4"/>
        <v>0</v>
      </c>
      <c r="AC66" s="191"/>
      <c r="AD66" s="1117" t="e">
        <f t="shared" si="5"/>
        <v>#REF!</v>
      </c>
      <c r="AE66" s="1117" t="e">
        <f t="shared" si="6"/>
        <v>#REF!</v>
      </c>
      <c r="AF66" s="1117" t="e">
        <f t="shared" si="7"/>
        <v>#REF!</v>
      </c>
      <c r="AG66" s="1117" t="e">
        <f t="shared" si="8"/>
        <v>#REF!</v>
      </c>
    </row>
    <row r="67" spans="2:33" s="192" customFormat="1" ht="18">
      <c r="B67" s="915"/>
      <c r="C67" s="957"/>
      <c r="D67" s="957"/>
      <c r="E67" s="958"/>
      <c r="F67" s="958"/>
      <c r="G67" s="959"/>
      <c r="H67" s="959"/>
      <c r="I67" s="958"/>
      <c r="J67" s="959"/>
      <c r="K67" s="959"/>
      <c r="L67" s="993"/>
      <c r="M67" s="959"/>
      <c r="N67" s="999"/>
      <c r="O67" s="958"/>
      <c r="P67" s="959"/>
      <c r="Q67" s="959"/>
      <c r="R67" s="958"/>
      <c r="S67" s="959"/>
      <c r="T67" s="959"/>
      <c r="V67" s="192" t="s">
        <v>954</v>
      </c>
      <c r="X67" s="1112"/>
      <c r="Y67" s="1117">
        <f t="shared" si="2"/>
        <v>0</v>
      </c>
      <c r="Z67" s="1118"/>
      <c r="AA67" s="1117">
        <f t="shared" si="3"/>
        <v>0</v>
      </c>
      <c r="AB67" s="1117">
        <f t="shared" si="4"/>
        <v>0</v>
      </c>
      <c r="AC67" s="191"/>
      <c r="AD67" s="1117" t="e">
        <f t="shared" si="5"/>
        <v>#REF!</v>
      </c>
      <c r="AE67" s="1117" t="e">
        <f t="shared" si="6"/>
        <v>#REF!</v>
      </c>
      <c r="AF67" s="1117" t="e">
        <f t="shared" si="7"/>
        <v>#REF!</v>
      </c>
      <c r="AG67" s="1117" t="e">
        <f t="shared" si="8"/>
        <v>#REF!</v>
      </c>
    </row>
    <row r="68" spans="2:33" s="960" customFormat="1" ht="18">
      <c r="B68" s="1311"/>
      <c r="C68" s="957"/>
      <c r="D68" s="957"/>
      <c r="E68" s="958"/>
      <c r="F68" s="958"/>
      <c r="G68" s="959"/>
      <c r="H68" s="959"/>
      <c r="I68" s="958"/>
      <c r="J68" s="959"/>
      <c r="K68" s="959"/>
      <c r="L68" s="993"/>
      <c r="M68" s="959"/>
      <c r="N68" s="999"/>
      <c r="O68" s="958"/>
      <c r="P68" s="959"/>
      <c r="Q68" s="959"/>
      <c r="R68" s="958"/>
      <c r="S68" s="959"/>
      <c r="T68" s="959"/>
      <c r="X68" s="1115"/>
      <c r="Y68" s="1117">
        <f t="shared" si="2"/>
        <v>0</v>
      </c>
      <c r="Z68" s="1121"/>
      <c r="AA68" s="1117">
        <f t="shared" si="3"/>
        <v>0</v>
      </c>
      <c r="AB68" s="1117">
        <f t="shared" si="4"/>
        <v>0</v>
      </c>
      <c r="AC68" s="1109"/>
      <c r="AD68" s="1117" t="e">
        <f t="shared" si="5"/>
        <v>#REF!</v>
      </c>
      <c r="AE68" s="1117" t="e">
        <f t="shared" si="6"/>
        <v>#REF!</v>
      </c>
      <c r="AF68" s="1117" t="e">
        <f t="shared" si="7"/>
        <v>#REF!</v>
      </c>
      <c r="AG68" s="1117" t="e">
        <f t="shared" si="8"/>
        <v>#REF!</v>
      </c>
    </row>
    <row r="69" spans="2:33" s="192" customFormat="1" ht="18">
      <c r="B69" s="916"/>
      <c r="C69" s="957"/>
      <c r="D69" s="958"/>
      <c r="E69" s="958"/>
      <c r="F69" s="958"/>
      <c r="G69" s="959"/>
      <c r="H69" s="959"/>
      <c r="I69" s="958"/>
      <c r="J69" s="959"/>
      <c r="K69" s="959"/>
      <c r="L69" s="993"/>
      <c r="M69" s="959"/>
      <c r="N69" s="999"/>
      <c r="O69" s="958"/>
      <c r="P69" s="959"/>
      <c r="Q69" s="959"/>
      <c r="R69" s="958"/>
      <c r="S69" s="959"/>
      <c r="T69" s="959"/>
      <c r="V69" s="244" t="s">
        <v>953</v>
      </c>
      <c r="X69" s="1112"/>
      <c r="Y69" s="1117">
        <f t="shared" si="2"/>
        <v>0</v>
      </c>
      <c r="Z69" s="1118"/>
      <c r="AA69" s="1117">
        <f t="shared" si="3"/>
        <v>0</v>
      </c>
      <c r="AB69" s="1117">
        <f t="shared" si="4"/>
        <v>0</v>
      </c>
      <c r="AC69" s="191"/>
      <c r="AD69" s="1117" t="e">
        <f t="shared" si="5"/>
        <v>#REF!</v>
      </c>
      <c r="AE69" s="1117" t="e">
        <f t="shared" si="6"/>
        <v>#REF!</v>
      </c>
      <c r="AF69" s="1117" t="e">
        <f t="shared" si="7"/>
        <v>#REF!</v>
      </c>
      <c r="AG69" s="1117" t="e">
        <f t="shared" si="8"/>
        <v>#REF!</v>
      </c>
    </row>
    <row r="70" spans="2:33" s="192" customFormat="1" ht="18">
      <c r="B70" s="915"/>
      <c r="C70" s="957"/>
      <c r="D70" s="957"/>
      <c r="E70" s="958"/>
      <c r="F70" s="958"/>
      <c r="G70" s="959"/>
      <c r="H70" s="959"/>
      <c r="I70" s="958"/>
      <c r="J70" s="959"/>
      <c r="K70" s="959"/>
      <c r="L70" s="993"/>
      <c r="M70" s="959"/>
      <c r="N70" s="999"/>
      <c r="O70" s="958"/>
      <c r="P70" s="959"/>
      <c r="Q70" s="959"/>
      <c r="R70" s="958"/>
      <c r="S70" s="959"/>
      <c r="T70" s="959"/>
      <c r="V70" s="244" t="s">
        <v>953</v>
      </c>
      <c r="X70" s="1112"/>
      <c r="Y70" s="1117">
        <f t="shared" si="2"/>
        <v>0</v>
      </c>
      <c r="Z70" s="1118"/>
      <c r="AA70" s="1117">
        <f t="shared" si="3"/>
        <v>0</v>
      </c>
      <c r="AB70" s="1117">
        <f t="shared" si="4"/>
        <v>0</v>
      </c>
      <c r="AC70" s="191"/>
      <c r="AD70" s="1117" t="e">
        <f t="shared" si="5"/>
        <v>#REF!</v>
      </c>
      <c r="AE70" s="1117" t="e">
        <f t="shared" si="6"/>
        <v>#REF!</v>
      </c>
      <c r="AF70" s="1117" t="e">
        <f t="shared" si="7"/>
        <v>#REF!</v>
      </c>
      <c r="AG70" s="1117" t="e">
        <f t="shared" si="8"/>
        <v>#REF!</v>
      </c>
    </row>
    <row r="71" spans="2:33" s="192" customFormat="1" ht="18">
      <c r="B71" s="915"/>
      <c r="C71" s="957"/>
      <c r="D71" s="957"/>
      <c r="E71" s="958"/>
      <c r="F71" s="958"/>
      <c r="G71" s="959"/>
      <c r="H71" s="959"/>
      <c r="I71" s="958"/>
      <c r="J71" s="959"/>
      <c r="K71" s="959"/>
      <c r="L71" s="993"/>
      <c r="M71" s="959"/>
      <c r="N71" s="999"/>
      <c r="O71" s="958"/>
      <c r="P71" s="959"/>
      <c r="Q71" s="959"/>
      <c r="R71" s="958"/>
      <c r="S71" s="959"/>
      <c r="T71" s="959"/>
      <c r="U71" s="912" t="s">
        <v>1229</v>
      </c>
      <c r="V71" s="192" t="s">
        <v>954</v>
      </c>
      <c r="X71" s="1112"/>
      <c r="Y71" s="1117">
        <f t="shared" si="2"/>
        <v>0</v>
      </c>
      <c r="Z71" s="1118"/>
      <c r="AA71" s="1117">
        <f t="shared" si="3"/>
        <v>0</v>
      </c>
      <c r="AB71" s="1117">
        <f t="shared" si="4"/>
        <v>0</v>
      </c>
      <c r="AC71" s="191"/>
      <c r="AD71" s="1117" t="e">
        <f t="shared" si="5"/>
        <v>#REF!</v>
      </c>
      <c r="AE71" s="1117" t="e">
        <f t="shared" si="6"/>
        <v>#REF!</v>
      </c>
      <c r="AF71" s="1117" t="e">
        <f t="shared" si="7"/>
        <v>#REF!</v>
      </c>
      <c r="AG71" s="1117" t="e">
        <f t="shared" si="8"/>
        <v>#REF!</v>
      </c>
    </row>
    <row r="72" spans="2:33" s="963" customFormat="1" ht="36" customHeight="1">
      <c r="B72" s="961"/>
      <c r="C72" s="962"/>
      <c r="D72" s="962"/>
      <c r="E72" s="958"/>
      <c r="F72" s="958"/>
      <c r="G72" s="959"/>
      <c r="H72" s="959"/>
      <c r="I72" s="958"/>
      <c r="J72" s="959"/>
      <c r="K72" s="959"/>
      <c r="L72" s="993"/>
      <c r="M72" s="959"/>
      <c r="N72" s="999"/>
      <c r="O72" s="958"/>
      <c r="P72" s="959"/>
      <c r="Q72" s="959"/>
      <c r="R72" s="958"/>
      <c r="S72" s="959"/>
      <c r="T72" s="959"/>
      <c r="U72" s="963" t="s">
        <v>1231</v>
      </c>
      <c r="V72" s="963" t="s">
        <v>956</v>
      </c>
      <c r="X72" s="1116"/>
      <c r="Y72" s="1117">
        <f t="shared" si="2"/>
        <v>0</v>
      </c>
      <c r="Z72" s="1122"/>
      <c r="AA72" s="1117">
        <f t="shared" si="3"/>
        <v>0</v>
      </c>
      <c r="AB72" s="1117">
        <f t="shared" si="4"/>
        <v>0</v>
      </c>
      <c r="AC72" s="1110"/>
      <c r="AD72" s="1117" t="e">
        <f t="shared" si="5"/>
        <v>#REF!</v>
      </c>
      <c r="AE72" s="1117" t="e">
        <f t="shared" si="6"/>
        <v>#REF!</v>
      </c>
      <c r="AF72" s="1117" t="e">
        <f t="shared" si="7"/>
        <v>#REF!</v>
      </c>
      <c r="AG72" s="1117" t="e">
        <f t="shared" si="8"/>
        <v>#REF!</v>
      </c>
    </row>
    <row r="73" spans="2:33" s="192" customFormat="1" ht="17.399999999999999" customHeight="1">
      <c r="B73" s="918"/>
      <c r="C73" s="962"/>
      <c r="D73" s="962"/>
      <c r="E73" s="1000"/>
      <c r="F73" s="1000"/>
      <c r="G73" s="959"/>
      <c r="H73" s="959"/>
      <c r="I73" s="958"/>
      <c r="J73" s="959"/>
      <c r="K73" s="959"/>
      <c r="L73" s="993"/>
      <c r="M73" s="959"/>
      <c r="N73" s="999"/>
      <c r="O73" s="958"/>
      <c r="P73" s="959"/>
      <c r="Q73" s="959"/>
      <c r="R73" s="958"/>
      <c r="S73" s="959"/>
      <c r="T73" s="959"/>
      <c r="X73" s="1112"/>
      <c r="Y73" s="1117">
        <f t="shared" si="2"/>
        <v>0</v>
      </c>
      <c r="Z73" s="1118"/>
      <c r="AA73" s="1117">
        <f t="shared" si="3"/>
        <v>0</v>
      </c>
      <c r="AB73" s="1117">
        <f t="shared" si="4"/>
        <v>0</v>
      </c>
      <c r="AC73" s="191"/>
      <c r="AD73" s="1117" t="e">
        <f t="shared" si="5"/>
        <v>#REF!</v>
      </c>
      <c r="AE73" s="1117" t="e">
        <f t="shared" si="6"/>
        <v>#REF!</v>
      </c>
      <c r="AF73" s="1117" t="e">
        <f t="shared" si="7"/>
        <v>#REF!</v>
      </c>
      <c r="AG73" s="1117" t="e">
        <f t="shared" si="8"/>
        <v>#REF!</v>
      </c>
    </row>
    <row r="74" spans="2:33" s="192" customFormat="1" ht="18.600000000000001" thickBot="1">
      <c r="B74" s="919"/>
      <c r="C74" s="1001"/>
      <c r="D74" s="1001"/>
      <c r="E74" s="1002"/>
      <c r="F74" s="1002"/>
      <c r="G74" s="1003"/>
      <c r="H74" s="1003"/>
      <c r="I74" s="1002"/>
      <c r="J74" s="1003"/>
      <c r="K74" s="1003"/>
      <c r="L74" s="1004"/>
      <c r="M74" s="1003"/>
      <c r="N74" s="1005"/>
      <c r="O74" s="1002"/>
      <c r="P74" s="1003"/>
      <c r="Q74" s="1003"/>
      <c r="R74" s="1002"/>
      <c r="S74" s="1003"/>
      <c r="T74" s="1003"/>
      <c r="V74" s="192" t="s">
        <v>954</v>
      </c>
      <c r="X74" s="1112"/>
      <c r="Y74" s="1117">
        <f t="shared" si="2"/>
        <v>0</v>
      </c>
      <c r="Z74" s="1118"/>
      <c r="AA74" s="1117">
        <f t="shared" si="3"/>
        <v>0</v>
      </c>
      <c r="AB74" s="1117">
        <f t="shared" si="4"/>
        <v>0</v>
      </c>
      <c r="AC74" s="191"/>
      <c r="AD74" s="1117" t="e">
        <f t="shared" si="5"/>
        <v>#REF!</v>
      </c>
      <c r="AE74" s="1117" t="e">
        <f t="shared" si="6"/>
        <v>#REF!</v>
      </c>
      <c r="AF74" s="1117" t="e">
        <f t="shared" si="7"/>
        <v>#REF!</v>
      </c>
      <c r="AG74" s="1117" t="e">
        <f t="shared" si="8"/>
        <v>#REF!</v>
      </c>
    </row>
    <row r="75" spans="2:33" s="192" customFormat="1" ht="24" customHeight="1">
      <c r="D75" s="196"/>
      <c r="S75" s="912"/>
      <c r="T75" s="1308"/>
      <c r="X75" s="191"/>
      <c r="Y75" s="191"/>
      <c r="Z75" s="191"/>
      <c r="AA75" s="191"/>
      <c r="AB75" s="191"/>
      <c r="AC75" s="191"/>
      <c r="AD75" s="191"/>
      <c r="AE75" s="191"/>
      <c r="AF75" s="191"/>
      <c r="AG75" s="191"/>
    </row>
    <row r="76" spans="2:33" s="192" customFormat="1" ht="24" customHeight="1">
      <c r="D76" s="196"/>
      <c r="S76" s="912"/>
      <c r="T76" s="1308"/>
      <c r="X76" s="191"/>
      <c r="Y76" s="191"/>
      <c r="Z76" s="191"/>
      <c r="AA76" s="191"/>
      <c r="AB76" s="191"/>
      <c r="AC76" s="191"/>
      <c r="AD76" s="191"/>
      <c r="AE76" s="191"/>
      <c r="AF76" s="191"/>
      <c r="AG76" s="191"/>
    </row>
    <row r="77" spans="2:33" s="192" customFormat="1" ht="24" customHeight="1">
      <c r="B77" s="210" t="str">
        <f>'Вхідні дані'!$B$13</f>
        <v>Директор підприємства</v>
      </c>
      <c r="C77" s="210"/>
      <c r="D77" s="210"/>
      <c r="E77" s="210"/>
      <c r="F77" s="358" t="s">
        <v>754</v>
      </c>
      <c r="G77" s="358"/>
      <c r="H77" s="358"/>
      <c r="L77" s="2888" t="str">
        <f>'Вхідні дані'!$F$13</f>
        <v>Сергій НІКУЛЬЧА</v>
      </c>
      <c r="M77" s="2888"/>
      <c r="N77" s="2888"/>
      <c r="O77" s="2888"/>
      <c r="P77" s="2888"/>
      <c r="Q77" s="2888"/>
      <c r="R77" s="2888"/>
      <c r="S77" s="912"/>
      <c r="T77" s="1308"/>
      <c r="X77" s="191"/>
      <c r="Y77" s="191"/>
      <c r="Z77" s="191"/>
      <c r="AA77" s="191"/>
      <c r="AB77" s="191"/>
      <c r="AC77" s="191"/>
      <c r="AD77" s="191"/>
      <c r="AE77" s="191"/>
      <c r="AF77" s="191"/>
      <c r="AG77" s="191"/>
    </row>
    <row r="78" spans="2:33" s="192" customFormat="1" ht="24" customHeight="1">
      <c r="B78" s="210"/>
      <c r="C78" s="210"/>
      <c r="D78" s="210"/>
      <c r="E78" s="210"/>
      <c r="F78" s="358" t="s">
        <v>196</v>
      </c>
      <c r="G78" s="358"/>
      <c r="H78" s="358"/>
      <c r="L78" s="2889" t="s">
        <v>951</v>
      </c>
      <c r="M78" s="2889"/>
      <c r="N78" s="2889"/>
      <c r="O78" s="2889"/>
      <c r="P78" s="2889"/>
      <c r="Q78" s="2889"/>
      <c r="R78" s="2889"/>
      <c r="S78" s="912"/>
      <c r="T78" s="1308"/>
      <c r="X78" s="191"/>
      <c r="Y78" s="191"/>
      <c r="Z78" s="191"/>
      <c r="AA78" s="191"/>
      <c r="AB78" s="191"/>
      <c r="AC78" s="191"/>
      <c r="AD78" s="191"/>
      <c r="AE78" s="191"/>
      <c r="AF78" s="191"/>
      <c r="AG78" s="191"/>
    </row>
    <row r="79" spans="2:33" s="192" customFormat="1" ht="24" customHeight="1">
      <c r="B79" s="210" t="str">
        <f>'Вхідні дані'!$B$15</f>
        <v>Заступник директора з економіки</v>
      </c>
      <c r="C79" s="210"/>
      <c r="D79" s="210"/>
      <c r="E79" s="210"/>
      <c r="F79" s="358" t="s">
        <v>754</v>
      </c>
      <c r="G79" s="358"/>
      <c r="H79" s="358"/>
      <c r="L79" s="2888">
        <f>'Вхідні дані'!$F$15</f>
        <v>0</v>
      </c>
      <c r="M79" s="2888"/>
      <c r="N79" s="2888"/>
      <c r="O79" s="2888"/>
      <c r="P79" s="2888"/>
      <c r="Q79" s="2888"/>
      <c r="R79" s="2888"/>
      <c r="S79" s="912"/>
      <c r="T79" s="1308"/>
      <c r="X79" s="191"/>
      <c r="Y79" s="191"/>
      <c r="Z79" s="191"/>
      <c r="AA79" s="191"/>
      <c r="AB79" s="191"/>
      <c r="AC79" s="191"/>
      <c r="AD79" s="191"/>
      <c r="AE79" s="191"/>
      <c r="AF79" s="191"/>
      <c r="AG79" s="191"/>
    </row>
    <row r="80" spans="2:33" s="192" customFormat="1" ht="24" customHeight="1">
      <c r="B80" s="246"/>
      <c r="C80" s="246"/>
      <c r="D80" s="246"/>
      <c r="E80" s="246"/>
      <c r="F80" s="358" t="s">
        <v>196</v>
      </c>
      <c r="G80" s="358"/>
      <c r="H80" s="358"/>
      <c r="L80" s="2889" t="s">
        <v>951</v>
      </c>
      <c r="M80" s="2889"/>
      <c r="N80" s="2889"/>
      <c r="O80" s="2889"/>
      <c r="P80" s="2889"/>
      <c r="Q80" s="2889"/>
      <c r="R80" s="2889"/>
      <c r="S80" s="913"/>
      <c r="T80" s="914"/>
      <c r="X80" s="191"/>
      <c r="Y80" s="191"/>
      <c r="Z80" s="191"/>
      <c r="AA80" s="191"/>
      <c r="AB80" s="191"/>
      <c r="AC80" s="191"/>
      <c r="AD80" s="191"/>
      <c r="AE80" s="191"/>
      <c r="AF80" s="191"/>
      <c r="AG80" s="191"/>
    </row>
    <row r="86" spans="2:33" s="192" customFormat="1" ht="31.2" customHeight="1">
      <c r="B86" s="2885" t="s">
        <v>1261</v>
      </c>
      <c r="C86" s="2885"/>
      <c r="D86" s="2885"/>
      <c r="E86" s="2885"/>
      <c r="F86" s="2885"/>
      <c r="G86" s="2885"/>
      <c r="H86" s="2885"/>
      <c r="K86" s="912"/>
      <c r="L86" s="1308"/>
      <c r="X86" s="191"/>
      <c r="Y86" s="191"/>
      <c r="Z86" s="191"/>
      <c r="AA86" s="191"/>
      <c r="AB86" s="191"/>
      <c r="AC86" s="191"/>
      <c r="AD86" s="191"/>
      <c r="AE86" s="191"/>
      <c r="AF86" s="191"/>
      <c r="AG86" s="191"/>
    </row>
    <row r="87" spans="2:33" s="192" customFormat="1">
      <c r="B87" s="540"/>
      <c r="C87" s="540"/>
      <c r="D87" s="540"/>
      <c r="E87" s="2886" t="s">
        <v>833</v>
      </c>
      <c r="F87" s="2886"/>
      <c r="G87" s="540"/>
      <c r="H87" s="540"/>
      <c r="K87" s="912"/>
      <c r="L87" s="1308"/>
      <c r="X87" s="191"/>
      <c r="Y87" s="191"/>
      <c r="Z87" s="191"/>
      <c r="AA87" s="191"/>
      <c r="AB87" s="191"/>
      <c r="AC87" s="191"/>
      <c r="AD87" s="191"/>
      <c r="AE87" s="191"/>
      <c r="AF87" s="191"/>
      <c r="AG87" s="191"/>
    </row>
    <row r="88" spans="2:33" s="192" customFormat="1">
      <c r="B88" s="1931" t="s">
        <v>340</v>
      </c>
      <c r="C88" s="677" t="s">
        <v>1200</v>
      </c>
      <c r="D88" s="676" t="s">
        <v>1182</v>
      </c>
      <c r="E88" s="677" t="s">
        <v>546</v>
      </c>
      <c r="F88" s="676" t="s">
        <v>1183</v>
      </c>
      <c r="G88" s="1931" t="s">
        <v>1185</v>
      </c>
      <c r="H88" s="1931" t="s">
        <v>1184</v>
      </c>
      <c r="K88" s="912"/>
      <c r="L88" s="1308"/>
      <c r="X88" s="191"/>
      <c r="Y88" s="191"/>
      <c r="Z88" s="191"/>
      <c r="AA88" s="191"/>
      <c r="AB88" s="191"/>
      <c r="AC88" s="191"/>
      <c r="AD88" s="191"/>
      <c r="AE88" s="191"/>
      <c r="AF88" s="191"/>
      <c r="AG88" s="191"/>
    </row>
    <row r="89" spans="2:33" s="192" customFormat="1">
      <c r="B89" s="365" t="s">
        <v>1174</v>
      </c>
      <c r="C89" s="1979" t="e">
        <f>D89/D99</f>
        <v>#DIV/0!</v>
      </c>
      <c r="D89" s="1312">
        <f>F27</f>
        <v>0</v>
      </c>
      <c r="E89" s="1979" t="e">
        <f>F89/F99</f>
        <v>#DIV/0!</v>
      </c>
      <c r="F89" s="1312">
        <f>E27</f>
        <v>0</v>
      </c>
      <c r="G89" s="1313" t="e">
        <f>C89-E89</f>
        <v>#DIV/0!</v>
      </c>
      <c r="H89" s="1312">
        <f>D89-F89</f>
        <v>0</v>
      </c>
      <c r="K89" s="912"/>
      <c r="L89" s="1308"/>
      <c r="X89" s="191"/>
      <c r="Y89" s="191"/>
      <c r="Z89" s="191"/>
      <c r="AA89" s="191"/>
      <c r="AB89" s="191"/>
      <c r="AC89" s="191"/>
      <c r="AD89" s="191"/>
      <c r="AE89" s="191"/>
      <c r="AF89" s="191"/>
      <c r="AG89" s="191"/>
    </row>
    <row r="90" spans="2:33" s="192" customFormat="1">
      <c r="B90" s="365" t="s">
        <v>1175</v>
      </c>
      <c r="C90" s="1979" t="e">
        <f>D90/D99</f>
        <v>#DIV/0!</v>
      </c>
      <c r="D90" s="1312">
        <f>F30</f>
        <v>0</v>
      </c>
      <c r="E90" s="1979" t="e">
        <f>F90/F99</f>
        <v>#DIV/0!</v>
      </c>
      <c r="F90" s="1312">
        <f>E30</f>
        <v>0</v>
      </c>
      <c r="G90" s="1313" t="e">
        <f t="shared" ref="G90:H99" si="10">C90-E90</f>
        <v>#DIV/0!</v>
      </c>
      <c r="H90" s="1312">
        <f t="shared" si="10"/>
        <v>0</v>
      </c>
      <c r="K90" s="912"/>
      <c r="L90" s="1308"/>
      <c r="X90" s="191"/>
      <c r="Y90" s="191"/>
      <c r="Z90" s="191"/>
      <c r="AA90" s="191"/>
      <c r="AB90" s="191"/>
      <c r="AC90" s="191"/>
      <c r="AD90" s="191"/>
      <c r="AE90" s="191"/>
      <c r="AF90" s="191"/>
      <c r="AG90" s="191"/>
    </row>
    <row r="91" spans="2:33" s="192" customFormat="1" ht="34.200000000000003" customHeight="1">
      <c r="B91" s="1980" t="s">
        <v>1202</v>
      </c>
      <c r="C91" s="1979" t="e">
        <f>D91/D99</f>
        <v>#DIV/0!</v>
      </c>
      <c r="D91" s="1312">
        <f>F26</f>
        <v>0</v>
      </c>
      <c r="E91" s="1979" t="e">
        <f>F91/F99</f>
        <v>#DIV/0!</v>
      </c>
      <c r="F91" s="1312">
        <f>E26</f>
        <v>0</v>
      </c>
      <c r="G91" s="1313" t="e">
        <f t="shared" si="10"/>
        <v>#DIV/0!</v>
      </c>
      <c r="H91" s="1312">
        <f t="shared" si="10"/>
        <v>0</v>
      </c>
      <c r="K91" s="912"/>
      <c r="L91" s="1308"/>
      <c r="X91" s="191"/>
      <c r="Y91" s="191"/>
      <c r="Z91" s="191"/>
      <c r="AA91" s="191"/>
      <c r="AB91" s="191"/>
      <c r="AC91" s="191"/>
      <c r="AD91" s="191"/>
      <c r="AE91" s="191"/>
      <c r="AF91" s="191"/>
      <c r="AG91" s="191"/>
    </row>
    <row r="92" spans="2:33" s="192" customFormat="1">
      <c r="B92" s="365" t="s">
        <v>39</v>
      </c>
      <c r="C92" s="1979" t="e">
        <f>D92/D99</f>
        <v>#DIV/0!</v>
      </c>
      <c r="D92" s="1312">
        <f>F14</f>
        <v>0</v>
      </c>
      <c r="E92" s="1979" t="e">
        <f>F92/F99</f>
        <v>#DIV/0!</v>
      </c>
      <c r="F92" s="1312">
        <f>E14</f>
        <v>0</v>
      </c>
      <c r="G92" s="1313" t="e">
        <f t="shared" si="10"/>
        <v>#DIV/0!</v>
      </c>
      <c r="H92" s="1312">
        <f t="shared" si="10"/>
        <v>0</v>
      </c>
      <c r="K92" s="912"/>
      <c r="L92" s="1308"/>
      <c r="X92" s="191"/>
      <c r="Y92" s="191"/>
      <c r="Z92" s="191"/>
      <c r="AA92" s="191"/>
      <c r="AB92" s="191"/>
      <c r="AC92" s="191"/>
      <c r="AD92" s="191"/>
      <c r="AE92" s="191"/>
      <c r="AF92" s="191"/>
      <c r="AG92" s="191"/>
    </row>
    <row r="93" spans="2:33" s="192" customFormat="1">
      <c r="B93" s="365" t="s">
        <v>1177</v>
      </c>
      <c r="C93" s="1979" t="e">
        <f>D93/D99</f>
        <v>#DIV/0!</v>
      </c>
      <c r="D93" s="1312">
        <f>F15</f>
        <v>0</v>
      </c>
      <c r="E93" s="1979" t="e">
        <f>F93/F99</f>
        <v>#DIV/0!</v>
      </c>
      <c r="F93" s="1312">
        <f>E15</f>
        <v>0</v>
      </c>
      <c r="G93" s="1313" t="e">
        <f t="shared" si="10"/>
        <v>#DIV/0!</v>
      </c>
      <c r="H93" s="1312">
        <f t="shared" si="10"/>
        <v>0</v>
      </c>
      <c r="K93" s="912"/>
      <c r="L93" s="1308"/>
      <c r="X93" s="191"/>
      <c r="Y93" s="191"/>
      <c r="Z93" s="191"/>
      <c r="AA93" s="191"/>
      <c r="AB93" s="191"/>
      <c r="AC93" s="191"/>
      <c r="AD93" s="191"/>
      <c r="AE93" s="191"/>
      <c r="AF93" s="191"/>
      <c r="AG93" s="191"/>
    </row>
    <row r="94" spans="2:33" s="192" customFormat="1">
      <c r="B94" s="365" t="s">
        <v>441</v>
      </c>
      <c r="C94" s="1979" t="e">
        <f>D94/D99</f>
        <v>#DIV/0!</v>
      </c>
      <c r="D94" s="1312">
        <f>F31+F32</f>
        <v>0</v>
      </c>
      <c r="E94" s="1979" t="e">
        <f>F94/F99</f>
        <v>#DIV/0!</v>
      </c>
      <c r="F94" s="1312">
        <f>E31+E32</f>
        <v>0</v>
      </c>
      <c r="G94" s="1313" t="e">
        <f t="shared" si="10"/>
        <v>#DIV/0!</v>
      </c>
      <c r="H94" s="1312">
        <f t="shared" si="10"/>
        <v>0</v>
      </c>
      <c r="K94" s="912"/>
      <c r="L94" s="1308"/>
      <c r="X94" s="191"/>
      <c r="Y94" s="191"/>
      <c r="Z94" s="191"/>
      <c r="AA94" s="191"/>
      <c r="AB94" s="191"/>
      <c r="AC94" s="191"/>
      <c r="AD94" s="191"/>
      <c r="AE94" s="191"/>
      <c r="AF94" s="191"/>
      <c r="AG94" s="191"/>
    </row>
    <row r="95" spans="2:33" s="192" customFormat="1">
      <c r="B95" s="365" t="s">
        <v>1178</v>
      </c>
      <c r="C95" s="1979" t="e">
        <f>D95/D99</f>
        <v>#DIV/0!</v>
      </c>
      <c r="D95" s="1312">
        <f>F69</f>
        <v>0</v>
      </c>
      <c r="E95" s="1979" t="e">
        <f>F95/F99</f>
        <v>#DIV/0!</v>
      </c>
      <c r="F95" s="1312">
        <f>E69</f>
        <v>0</v>
      </c>
      <c r="G95" s="1313" t="e">
        <f t="shared" si="10"/>
        <v>#DIV/0!</v>
      </c>
      <c r="H95" s="1312">
        <f t="shared" si="10"/>
        <v>0</v>
      </c>
      <c r="K95" s="912"/>
      <c r="L95" s="1308"/>
      <c r="X95" s="191"/>
      <c r="Y95" s="191"/>
      <c r="Z95" s="191"/>
      <c r="AA95" s="191"/>
      <c r="AB95" s="191"/>
      <c r="AC95" s="191"/>
      <c r="AD95" s="191"/>
      <c r="AE95" s="191"/>
      <c r="AF95" s="191"/>
      <c r="AG95" s="191"/>
    </row>
    <row r="96" spans="2:33" s="192" customFormat="1">
      <c r="B96" s="365" t="s">
        <v>1179</v>
      </c>
      <c r="C96" s="1979" t="e">
        <f>D96/D99</f>
        <v>#DIV/0!</v>
      </c>
      <c r="D96" s="1312">
        <f>F34+F35</f>
        <v>0</v>
      </c>
      <c r="E96" s="1979" t="e">
        <f>F96/F99</f>
        <v>#DIV/0!</v>
      </c>
      <c r="F96" s="1312">
        <f>E34+E35</f>
        <v>0</v>
      </c>
      <c r="G96" s="1313" t="e">
        <f t="shared" si="10"/>
        <v>#DIV/0!</v>
      </c>
      <c r="H96" s="1312">
        <f t="shared" si="10"/>
        <v>0</v>
      </c>
      <c r="K96" s="912"/>
      <c r="L96" s="1308"/>
      <c r="X96" s="191"/>
      <c r="Y96" s="191"/>
      <c r="Z96" s="191"/>
      <c r="AA96" s="191"/>
      <c r="AB96" s="191"/>
      <c r="AC96" s="191"/>
      <c r="AD96" s="191"/>
      <c r="AE96" s="191"/>
      <c r="AF96" s="191"/>
      <c r="AG96" s="191"/>
    </row>
    <row r="97" spans="2:33" s="192" customFormat="1">
      <c r="B97" s="365" t="s">
        <v>1180</v>
      </c>
      <c r="C97" s="1979" t="e">
        <f>D97/D99</f>
        <v>#DIV/0!</v>
      </c>
      <c r="D97" s="1312">
        <f>F12-D89-D90-D91-D92-D93-D94-D95-D96</f>
        <v>0</v>
      </c>
      <c r="E97" s="1979" t="e">
        <f>F97/F99</f>
        <v>#DIV/0!</v>
      </c>
      <c r="F97" s="1312">
        <f>E12-F89-F90-F91-F92-F93-F94-F95-F96</f>
        <v>0</v>
      </c>
      <c r="G97" s="1313" t="e">
        <f t="shared" si="10"/>
        <v>#DIV/0!</v>
      </c>
      <c r="H97" s="1312">
        <f t="shared" si="10"/>
        <v>0</v>
      </c>
      <c r="K97" s="912"/>
      <c r="L97" s="1308"/>
      <c r="X97" s="191"/>
      <c r="Y97" s="191"/>
      <c r="Z97" s="191"/>
      <c r="AA97" s="191"/>
      <c r="AB97" s="191"/>
      <c r="AC97" s="191"/>
      <c r="AD97" s="191"/>
      <c r="AE97" s="191"/>
      <c r="AF97" s="191"/>
      <c r="AG97" s="191"/>
    </row>
    <row r="98" spans="2:33" s="192" customFormat="1">
      <c r="B98" s="365" t="s">
        <v>1181</v>
      </c>
      <c r="C98" s="1979" t="e">
        <f>D98/D99</f>
        <v>#DIV/0!</v>
      </c>
      <c r="D98" s="1312"/>
      <c r="E98" s="1979" t="e">
        <f>F98/F99</f>
        <v>#DIV/0!</v>
      </c>
      <c r="F98" s="1312"/>
      <c r="G98" s="1313" t="e">
        <f t="shared" si="10"/>
        <v>#DIV/0!</v>
      </c>
      <c r="H98" s="1312">
        <f t="shared" si="10"/>
        <v>0</v>
      </c>
      <c r="K98" s="912"/>
      <c r="L98" s="1308"/>
      <c r="X98" s="191"/>
      <c r="Y98" s="191"/>
      <c r="Z98" s="191"/>
      <c r="AA98" s="191"/>
      <c r="AB98" s="191"/>
      <c r="AC98" s="191"/>
      <c r="AD98" s="191"/>
      <c r="AE98" s="191"/>
      <c r="AF98" s="191"/>
      <c r="AG98" s="191"/>
    </row>
    <row r="99" spans="2:33" s="192" customFormat="1">
      <c r="B99" s="991" t="s">
        <v>932</v>
      </c>
      <c r="C99" s="1981" t="e">
        <f>SUM(C89:C98)</f>
        <v>#DIV/0!</v>
      </c>
      <c r="D99" s="1312">
        <f>F12</f>
        <v>0</v>
      </c>
      <c r="E99" s="1981" t="e">
        <f>SUM(E89:E98)</f>
        <v>#DIV/0!</v>
      </c>
      <c r="F99" s="1312">
        <f>E12</f>
        <v>0</v>
      </c>
      <c r="G99" s="1313" t="e">
        <f t="shared" si="10"/>
        <v>#DIV/0!</v>
      </c>
      <c r="H99" s="1312">
        <f t="shared" si="10"/>
        <v>0</v>
      </c>
      <c r="K99" s="912"/>
      <c r="L99" s="1308"/>
      <c r="X99" s="191"/>
      <c r="Y99" s="191"/>
      <c r="Z99" s="191"/>
      <c r="AA99" s="191"/>
      <c r="AB99" s="191"/>
      <c r="AC99" s="191"/>
      <c r="AD99" s="191"/>
      <c r="AE99" s="191"/>
      <c r="AF99" s="191"/>
      <c r="AG99" s="191"/>
    </row>
    <row r="100" spans="2:33" s="192" customFormat="1">
      <c r="K100" s="912"/>
      <c r="L100" s="1308"/>
      <c r="X100" s="191"/>
      <c r="Y100" s="191"/>
      <c r="Z100" s="191"/>
      <c r="AA100" s="191"/>
      <c r="AB100" s="191"/>
      <c r="AC100" s="191"/>
      <c r="AD100" s="191"/>
      <c r="AE100" s="191"/>
      <c r="AF100" s="191"/>
      <c r="AG100" s="191"/>
    </row>
  </sheetData>
  <mergeCells count="20">
    <mergeCell ref="V26:W26"/>
    <mergeCell ref="B86:H86"/>
    <mergeCell ref="E87:F87"/>
    <mergeCell ref="B6:B8"/>
    <mergeCell ref="L77:R77"/>
    <mergeCell ref="L78:R78"/>
    <mergeCell ref="F6:H6"/>
    <mergeCell ref="I6:T6"/>
    <mergeCell ref="E7:E8"/>
    <mergeCell ref="C6:C7"/>
    <mergeCell ref="D6:D7"/>
    <mergeCell ref="L79:R79"/>
    <mergeCell ref="L80:R80"/>
    <mergeCell ref="G4:H4"/>
    <mergeCell ref="I7:K7"/>
    <mergeCell ref="L7:N7"/>
    <mergeCell ref="O7:Q7"/>
    <mergeCell ref="R7:T7"/>
    <mergeCell ref="F7:H7"/>
    <mergeCell ref="S4:T4"/>
  </mergeCells>
  <conditionalFormatting sqref="B80:H80 L80:Q80">
    <cfRule type="expression" dxfId="33" priority="14" stopIfTrue="1">
      <formula>ABS(#REF!-(#REF!+$D80+#REF!+#REF!))&gt;Откл</formula>
    </cfRule>
  </conditionalFormatting>
  <conditionalFormatting sqref="B80:H80 L80:T80">
    <cfRule type="expression" dxfId="32" priority="15" stopIfTrue="1">
      <formula>ABS(#REF!-(#REF!+$D80+#REF!+#REF!))&gt;Откл</formula>
    </cfRule>
  </conditionalFormatting>
  <conditionalFormatting sqref="L80:R80 F80:H80">
    <cfRule type="expression" dxfId="31" priority="13" stopIfTrue="1">
      <formula>ABS(#REF!-(#REF!+$D80+$U80+$X80))&gt;Откл</formula>
    </cfRule>
  </conditionalFormatting>
  <conditionalFormatting sqref="L80:R80">
    <cfRule type="expression" dxfId="30" priority="1" stopIfTrue="1">
      <formula>ABS(#REF!-(#REF!+#REF!+$T80+$W80))&gt;Откл</formula>
    </cfRule>
    <cfRule type="expression" dxfId="29" priority="2" stopIfTrue="1">
      <formula>ABS(#REF!-(#REF!+$D80+$U80+$X80))&gt;Откл</formula>
    </cfRule>
    <cfRule type="expression" dxfId="28" priority="3" stopIfTrue="1">
      <formula>ABS(#REF!-(#REF!+$E80+$T80+$W80))&gt;Откл</formula>
    </cfRule>
    <cfRule type="expression" dxfId="27" priority="4" stopIfTrue="1">
      <formula>ABS(#REF!-(#REF!+$D80+$U80+$X80))&gt;Откл</formula>
    </cfRule>
    <cfRule type="expression" dxfId="26" priority="6" stopIfTrue="1">
      <formula>ABS(#REF!-(#REF!+$E80+$T80+$W80))&gt;Откл</formula>
    </cfRule>
    <cfRule type="expression" dxfId="25" priority="7" stopIfTrue="1">
      <formula>ABS(#REF!-(#REF!+$D80+$U80+$X80))&gt;Откл</formula>
    </cfRule>
    <cfRule type="expression" dxfId="24" priority="9" stopIfTrue="1">
      <formula>ABS(#REF!-(#REF!+$D80+#REF!+#REF!))&gt;Откл</formula>
    </cfRule>
    <cfRule type="expression" dxfId="23" priority="10" stopIfTrue="1">
      <formula>ABS(#REF!-(#REF!+$D80+#REF!+#REF!))&gt;Откл</formula>
    </cfRule>
    <cfRule type="expression" dxfId="22" priority="11" stopIfTrue="1">
      <formula>ABS(#REF!-(#REF!+$E80+$T80+$W80))&gt;Откл</formula>
    </cfRule>
    <cfRule type="expression" dxfId="21" priority="12" stopIfTrue="1">
      <formula>ABS(#REF!-(#REF!+$D80+$U80+$X80))&gt;Откл</formula>
    </cfRule>
  </conditionalFormatting>
  <pageMargins left="0.31496062992125984" right="0.19685039370078741" top="0.74803149606299213" bottom="0.39370078740157483" header="0.31496062992125984" footer="0.31496062992125984"/>
  <pageSetup paperSize="9" scale="50" fitToHeight="7"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7"/>
    <pageSetUpPr fitToPage="1"/>
  </sheetPr>
  <dimension ref="A1:N69"/>
  <sheetViews>
    <sheetView zoomScale="75" zoomScaleNormal="75" workbookViewId="0">
      <selection activeCell="F25" sqref="F25"/>
    </sheetView>
  </sheetViews>
  <sheetFormatPr defaultColWidth="9.109375" defaultRowHeight="15.6"/>
  <cols>
    <col min="1" max="1" width="4.6640625" style="192" customWidth="1"/>
    <col min="2" max="2" width="60.88671875" style="192" customWidth="1"/>
    <col min="3" max="3" width="11.44140625" style="192" customWidth="1"/>
    <col min="4" max="4" width="11" style="192" customWidth="1"/>
    <col min="5" max="6" width="13.5546875" style="192" customWidth="1"/>
    <col min="7" max="7" width="14.77734375" style="192" customWidth="1"/>
    <col min="8" max="9" width="16.109375" style="192" customWidth="1"/>
    <col min="10" max="11" width="14.77734375" style="192" customWidth="1"/>
    <col min="12" max="12" width="15.33203125" style="191" customWidth="1"/>
    <col min="13" max="13" width="14" style="192" customWidth="1"/>
    <col min="14" max="14" width="21" style="192" customWidth="1"/>
    <col min="15" max="16384" width="9.109375" style="192"/>
  </cols>
  <sheetData>
    <row r="1" spans="2:14" ht="19.5" customHeight="1">
      <c r="F1" s="193"/>
      <c r="G1" s="193"/>
      <c r="H1" s="193"/>
      <c r="I1" s="193" t="s">
        <v>620</v>
      </c>
      <c r="N1" s="374"/>
    </row>
    <row r="2" spans="2:14">
      <c r="B2" s="191"/>
      <c r="C2" s="191"/>
      <c r="D2" s="191"/>
      <c r="E2" s="191"/>
      <c r="F2" s="191"/>
      <c r="G2" s="191"/>
      <c r="N2" s="196"/>
    </row>
    <row r="3" spans="2:14" ht="18" customHeight="1"/>
    <row r="4" spans="2:14" ht="17.399999999999999">
      <c r="B4" s="194" t="s">
        <v>774</v>
      </c>
      <c r="C4" s="195" t="str">
        <f>'Вхідні дані'!$F$5</f>
        <v>ТОВ ДП " Моноліт- Сервіс "</v>
      </c>
      <c r="E4" s="195"/>
      <c r="F4" s="2002" t="s">
        <v>442</v>
      </c>
      <c r="G4" s="195" t="str">
        <f>'Вхідні дані'!$F$6</f>
        <v>2023-2024</v>
      </c>
      <c r="H4" s="195" t="s">
        <v>545</v>
      </c>
      <c r="K4" s="194"/>
      <c r="L4" s="240"/>
      <c r="M4" s="194">
        <f>ФОП!E19</f>
        <v>1.715846994535519</v>
      </c>
      <c r="N4" s="192" t="s">
        <v>787</v>
      </c>
    </row>
    <row r="5" spans="2:14" ht="18" thickBot="1">
      <c r="B5" s="194"/>
      <c r="F5" s="227"/>
      <c r="G5" s="227"/>
      <c r="H5" s="228"/>
      <c r="I5" s="195"/>
      <c r="J5" s="195"/>
      <c r="K5" s="194"/>
      <c r="L5" s="240"/>
      <c r="M5" s="194"/>
    </row>
    <row r="6" spans="2:14" s="2000" customFormat="1" ht="36.6" customHeight="1" thickBot="1">
      <c r="B6" s="2901" t="s">
        <v>1901</v>
      </c>
      <c r="C6" s="2902"/>
      <c r="D6" s="2902"/>
      <c r="E6" s="2903"/>
      <c r="F6" s="1995">
        <f>SUM(G6:K6)</f>
        <v>0.99999999999999989</v>
      </c>
      <c r="G6" s="1996">
        <f>'Д 7_РП'!F185</f>
        <v>0.75682087781731899</v>
      </c>
      <c r="H6" s="1997">
        <f>'Д 7_РП'!G185</f>
        <v>5.6346381969157769E-2</v>
      </c>
      <c r="I6" s="1997">
        <f>'Д 7_РП'!H185</f>
        <v>9.3515223408461828E-2</v>
      </c>
      <c r="J6" s="1997">
        <f>'Д 7_РП'!I185</f>
        <v>4.5867931988928426E-2</v>
      </c>
      <c r="K6" s="1997">
        <f>'Д 7_РП'!J185</f>
        <v>4.7449584816132859E-2</v>
      </c>
      <c r="L6" s="1998"/>
      <c r="M6" s="1999"/>
    </row>
    <row r="7" spans="2:14" ht="18" thickBot="1">
      <c r="B7" s="2887" t="s">
        <v>8</v>
      </c>
      <c r="C7" s="1994" t="s">
        <v>673</v>
      </c>
      <c r="D7" s="1994" t="s">
        <v>673</v>
      </c>
      <c r="E7" s="1994" t="s">
        <v>683</v>
      </c>
      <c r="F7" s="1994" t="s">
        <v>674</v>
      </c>
      <c r="G7" s="2904" t="s">
        <v>1822</v>
      </c>
      <c r="H7" s="2893"/>
      <c r="I7" s="2893"/>
      <c r="J7" s="2893"/>
      <c r="K7" s="2894"/>
      <c r="L7" s="241"/>
      <c r="M7" s="236"/>
    </row>
    <row r="8" spans="2:14" ht="34.200000000000003" thickBot="1">
      <c r="B8" s="2872"/>
      <c r="C8" s="1988">
        <f>'Вхідні дані'!$F$8</f>
        <v>2021</v>
      </c>
      <c r="D8" s="1988">
        <f>'Вхідні дані'!$F$7</f>
        <v>2022</v>
      </c>
      <c r="E8" s="1989">
        <f>'Вхідні дані'!$F$9</f>
        <v>0</v>
      </c>
      <c r="F8" s="1988" t="str">
        <f>'Вхідні дані'!$F$6</f>
        <v>2023-2024</v>
      </c>
      <c r="G8" s="1990" t="str">
        <f>'Д 7_РП'!F183</f>
        <v>котельні</v>
      </c>
      <c r="H8" s="1990" t="str">
        <f>'Д 7_РП'!G183</f>
        <v>САО Парусна, 1-А</v>
      </c>
      <c r="I8" s="1990" t="str">
        <f>'Д 7_РП'!H183</f>
        <v>САО Парусна, 1-Б</v>
      </c>
      <c r="J8" s="1990" t="str">
        <f>'Д 7_РП'!I183</f>
        <v>САО Паркова, 50</v>
      </c>
      <c r="K8" s="1990" t="str">
        <f>'Д 7_РП'!J183</f>
        <v>САО Паркова, 52</v>
      </c>
      <c r="L8" s="241"/>
      <c r="M8" s="237"/>
    </row>
    <row r="9" spans="2:14" ht="34.799999999999997">
      <c r="B9" s="197" t="s">
        <v>770</v>
      </c>
      <c r="C9" s="2390">
        <f>C10+C21+C23</f>
        <v>0</v>
      </c>
      <c r="D9" s="2390">
        <f t="shared" ref="D9:K9" si="0">D10+D21+D23</f>
        <v>0</v>
      </c>
      <c r="E9" s="2390">
        <f t="shared" si="0"/>
        <v>0</v>
      </c>
      <c r="F9" s="2390">
        <f t="shared" si="0"/>
        <v>151.1070950819672</v>
      </c>
      <c r="G9" s="2390">
        <f t="shared" si="0"/>
        <v>114.3610043443595</v>
      </c>
      <c r="H9" s="2390">
        <f t="shared" si="0"/>
        <v>8.5143380977383654</v>
      </c>
      <c r="I9" s="2409">
        <f t="shared" si="0"/>
        <v>14.130813755193847</v>
      </c>
      <c r="J9" s="2390">
        <f t="shared" si="0"/>
        <v>6.9309699602642123</v>
      </c>
      <c r="K9" s="2410">
        <f t="shared" si="0"/>
        <v>7.169968924411255</v>
      </c>
      <c r="L9" s="242"/>
      <c r="M9" s="233"/>
      <c r="N9" s="196"/>
    </row>
    <row r="10" spans="2:14" ht="17.399999999999999">
      <c r="B10" s="199" t="s">
        <v>769</v>
      </c>
      <c r="C10" s="2391">
        <f>SUM(C11:C20)</f>
        <v>0</v>
      </c>
      <c r="D10" s="2391">
        <f t="shared" ref="D10:K10" si="1">SUM(D11:D20)</f>
        <v>0</v>
      </c>
      <c r="E10" s="2391">
        <f t="shared" si="1"/>
        <v>0</v>
      </c>
      <c r="F10" s="2391">
        <f>SUM(F11:F20)</f>
        <v>0</v>
      </c>
      <c r="G10" s="2391">
        <f t="shared" si="1"/>
        <v>0</v>
      </c>
      <c r="H10" s="2391">
        <f t="shared" si="1"/>
        <v>0</v>
      </c>
      <c r="I10" s="2411">
        <f t="shared" si="1"/>
        <v>0</v>
      </c>
      <c r="J10" s="2412">
        <f t="shared" si="1"/>
        <v>0</v>
      </c>
      <c r="K10" s="2413">
        <f t="shared" si="1"/>
        <v>0</v>
      </c>
      <c r="L10" s="243"/>
      <c r="M10" s="234"/>
    </row>
    <row r="11" spans="2:14" ht="18">
      <c r="B11" s="201" t="s">
        <v>1835</v>
      </c>
      <c r="C11" s="231"/>
      <c r="D11" s="231"/>
      <c r="E11" s="231"/>
      <c r="F11" s="2392">
        <f>'Д 9_ЕЕ'!D255</f>
        <v>0</v>
      </c>
      <c r="G11" s="2393">
        <f t="shared" ref="G11:G22" si="2">F11*$G$6</f>
        <v>0</v>
      </c>
      <c r="H11" s="2393">
        <f t="shared" ref="H11:H22" si="3">F11*$H$6</f>
        <v>0</v>
      </c>
      <c r="I11" s="2414">
        <f t="shared" ref="I11:I22" si="4">F11*$I$6</f>
        <v>0</v>
      </c>
      <c r="J11" s="2415">
        <f>F11*J$6</f>
        <v>0</v>
      </c>
      <c r="K11" s="2416">
        <f t="shared" ref="K11:K22" si="5">F11*$K$6</f>
        <v>0</v>
      </c>
      <c r="L11" s="192" t="s">
        <v>788</v>
      </c>
      <c r="M11" s="235"/>
    </row>
    <row r="12" spans="2:14" ht="18">
      <c r="B12" s="201" t="s">
        <v>1836</v>
      </c>
      <c r="C12" s="231"/>
      <c r="D12" s="231"/>
      <c r="E12" s="231"/>
      <c r="F12" s="2392"/>
      <c r="G12" s="2393">
        <f t="shared" si="2"/>
        <v>0</v>
      </c>
      <c r="H12" s="2393">
        <f t="shared" si="3"/>
        <v>0</v>
      </c>
      <c r="I12" s="2414">
        <f t="shared" si="4"/>
        <v>0</v>
      </c>
      <c r="J12" s="2417">
        <f t="shared" ref="J12:J63" si="6">F12*J$6</f>
        <v>0</v>
      </c>
      <c r="K12" s="2416">
        <f t="shared" si="5"/>
        <v>0</v>
      </c>
      <c r="L12" s="247" t="s">
        <v>1831</v>
      </c>
      <c r="M12" s="235"/>
    </row>
    <row r="13" spans="2:14" ht="36">
      <c r="B13" s="201" t="s">
        <v>1837</v>
      </c>
      <c r="C13" s="2392"/>
      <c r="D13" s="2392"/>
      <c r="E13" s="2392"/>
      <c r="F13" s="2392"/>
      <c r="G13" s="2393">
        <f t="shared" si="2"/>
        <v>0</v>
      </c>
      <c r="H13" s="2393">
        <f t="shared" si="3"/>
        <v>0</v>
      </c>
      <c r="I13" s="2414">
        <f t="shared" si="4"/>
        <v>0</v>
      </c>
      <c r="J13" s="2393">
        <f t="shared" si="6"/>
        <v>0</v>
      </c>
      <c r="K13" s="2416">
        <f t="shared" si="5"/>
        <v>0</v>
      </c>
      <c r="L13" s="192"/>
      <c r="M13" s="235"/>
      <c r="N13" s="196"/>
    </row>
    <row r="14" spans="2:14" ht="18" hidden="1" customHeight="1">
      <c r="B14" s="201"/>
      <c r="C14" s="2392"/>
      <c r="D14" s="2392"/>
      <c r="E14" s="231"/>
      <c r="F14" s="2392"/>
      <c r="G14" s="2393">
        <f t="shared" si="2"/>
        <v>0</v>
      </c>
      <c r="H14" s="2393">
        <f t="shared" si="3"/>
        <v>0</v>
      </c>
      <c r="I14" s="2414">
        <f t="shared" si="4"/>
        <v>0</v>
      </c>
      <c r="J14" s="2393">
        <f t="shared" si="6"/>
        <v>0</v>
      </c>
      <c r="K14" s="2416">
        <f t="shared" si="5"/>
        <v>0</v>
      </c>
      <c r="L14" s="245"/>
      <c r="M14" s="235"/>
      <c r="N14" s="196"/>
    </row>
    <row r="15" spans="2:14" ht="18" hidden="1">
      <c r="B15" s="201"/>
      <c r="C15" s="231"/>
      <c r="D15" s="231"/>
      <c r="E15" s="231"/>
      <c r="F15" s="2392"/>
      <c r="G15" s="2393">
        <f t="shared" si="2"/>
        <v>0</v>
      </c>
      <c r="H15" s="2393">
        <f t="shared" si="3"/>
        <v>0</v>
      </c>
      <c r="I15" s="2414">
        <f t="shared" si="4"/>
        <v>0</v>
      </c>
      <c r="J15" s="2393">
        <f t="shared" si="6"/>
        <v>0</v>
      </c>
      <c r="K15" s="2416">
        <f t="shared" si="5"/>
        <v>0</v>
      </c>
      <c r="L15" s="245"/>
      <c r="M15" s="235"/>
      <c r="N15" s="196"/>
    </row>
    <row r="16" spans="2:14" ht="18" hidden="1">
      <c r="B16" s="201"/>
      <c r="C16" s="2392"/>
      <c r="D16" s="2392"/>
      <c r="E16" s="231"/>
      <c r="F16" s="2392"/>
      <c r="G16" s="2393">
        <f t="shared" si="2"/>
        <v>0</v>
      </c>
      <c r="H16" s="2393">
        <f t="shared" si="3"/>
        <v>0</v>
      </c>
      <c r="I16" s="2414">
        <f t="shared" si="4"/>
        <v>0</v>
      </c>
      <c r="J16" s="2393">
        <f t="shared" si="6"/>
        <v>0</v>
      </c>
      <c r="K16" s="2416">
        <f t="shared" si="5"/>
        <v>0</v>
      </c>
      <c r="L16" s="192"/>
      <c r="N16" s="196"/>
    </row>
    <row r="17" spans="1:14" ht="18" hidden="1">
      <c r="B17" s="201"/>
      <c r="C17" s="231"/>
      <c r="D17" s="231"/>
      <c r="E17" s="231"/>
      <c r="F17" s="2392"/>
      <c r="G17" s="2393">
        <f t="shared" si="2"/>
        <v>0</v>
      </c>
      <c r="H17" s="2393">
        <f t="shared" si="3"/>
        <v>0</v>
      </c>
      <c r="I17" s="2414">
        <f t="shared" si="4"/>
        <v>0</v>
      </c>
      <c r="J17" s="2393">
        <f t="shared" si="6"/>
        <v>0</v>
      </c>
      <c r="K17" s="2416">
        <f t="shared" si="5"/>
        <v>0</v>
      </c>
      <c r="L17" s="245"/>
      <c r="M17" s="235"/>
      <c r="N17" s="196"/>
    </row>
    <row r="18" spans="1:14" ht="18" hidden="1">
      <c r="B18" s="201"/>
      <c r="C18" s="2392"/>
      <c r="D18" s="2418"/>
      <c r="E18" s="231"/>
      <c r="F18" s="2392"/>
      <c r="G18" s="2393">
        <f t="shared" si="2"/>
        <v>0</v>
      </c>
      <c r="H18" s="2393">
        <f t="shared" si="3"/>
        <v>0</v>
      </c>
      <c r="I18" s="2414">
        <f t="shared" si="4"/>
        <v>0</v>
      </c>
      <c r="J18" s="2393">
        <f t="shared" si="6"/>
        <v>0</v>
      </c>
      <c r="K18" s="2416">
        <f t="shared" si="5"/>
        <v>0</v>
      </c>
      <c r="L18" s="192"/>
      <c r="M18" s="235"/>
      <c r="N18" s="196"/>
    </row>
    <row r="19" spans="1:14" ht="18" hidden="1">
      <c r="B19" s="201"/>
      <c r="C19" s="231"/>
      <c r="D19" s="231"/>
      <c r="E19" s="231"/>
      <c r="F19" s="2392"/>
      <c r="G19" s="2393">
        <f t="shared" si="2"/>
        <v>0</v>
      </c>
      <c r="H19" s="2393">
        <f t="shared" si="3"/>
        <v>0</v>
      </c>
      <c r="I19" s="2414">
        <f t="shared" si="4"/>
        <v>0</v>
      </c>
      <c r="J19" s="2393">
        <f t="shared" si="6"/>
        <v>0</v>
      </c>
      <c r="K19" s="2416">
        <f t="shared" si="5"/>
        <v>0</v>
      </c>
      <c r="L19" s="192"/>
      <c r="M19" s="235"/>
      <c r="N19" s="196"/>
    </row>
    <row r="20" spans="1:14" ht="18" hidden="1">
      <c r="B20" s="201"/>
      <c r="C20" s="231"/>
      <c r="D20" s="231"/>
      <c r="E20" s="231"/>
      <c r="F20" s="2392"/>
      <c r="G20" s="2393">
        <f t="shared" si="2"/>
        <v>0</v>
      </c>
      <c r="H20" s="2393">
        <f t="shared" si="3"/>
        <v>0</v>
      </c>
      <c r="I20" s="2414">
        <f t="shared" si="4"/>
        <v>0</v>
      </c>
      <c r="J20" s="2393">
        <f t="shared" si="6"/>
        <v>0</v>
      </c>
      <c r="K20" s="2416">
        <f t="shared" si="5"/>
        <v>0</v>
      </c>
      <c r="L20" s="192"/>
      <c r="M20" s="235"/>
    </row>
    <row r="21" spans="1:14" ht="18">
      <c r="B21" s="204" t="s">
        <v>771</v>
      </c>
      <c r="C21" s="2391"/>
      <c r="D21" s="2391"/>
      <c r="E21" s="2391"/>
      <c r="F21" s="2391">
        <f>ФОП!F19/1000</f>
        <v>144.13114754098359</v>
      </c>
      <c r="G21" s="2391">
        <f t="shared" si="2"/>
        <v>109.08146160278471</v>
      </c>
      <c r="H21" s="2391">
        <f t="shared" si="3"/>
        <v>8.1212686929972957</v>
      </c>
      <c r="I21" s="2411">
        <f t="shared" si="4"/>
        <v>13.478456462413055</v>
      </c>
      <c r="J21" s="2393">
        <f t="shared" si="6"/>
        <v>6.610997672896044</v>
      </c>
      <c r="K21" s="2413">
        <f t="shared" si="5"/>
        <v>6.8389631098924601</v>
      </c>
      <c r="L21" s="192" t="s">
        <v>773</v>
      </c>
      <c r="M21" s="235"/>
    </row>
    <row r="22" spans="1:14" ht="18">
      <c r="B22" s="218" t="s">
        <v>664</v>
      </c>
      <c r="C22" s="231"/>
      <c r="D22" s="231"/>
      <c r="E22" s="231"/>
      <c r="F22" s="2393"/>
      <c r="G22" s="2393">
        <f t="shared" si="2"/>
        <v>0</v>
      </c>
      <c r="H22" s="2393">
        <f t="shared" si="3"/>
        <v>0</v>
      </c>
      <c r="I22" s="2414">
        <f t="shared" si="4"/>
        <v>0</v>
      </c>
      <c r="J22" s="2393">
        <f t="shared" si="6"/>
        <v>0</v>
      </c>
      <c r="K22" s="2416">
        <f t="shared" si="5"/>
        <v>0</v>
      </c>
      <c r="L22" s="245"/>
      <c r="M22" s="235"/>
    </row>
    <row r="23" spans="1:14" ht="18">
      <c r="B23" s="204" t="s">
        <v>772</v>
      </c>
      <c r="C23" s="2389">
        <f>SUM(C24:C63)</f>
        <v>0</v>
      </c>
      <c r="D23" s="2389">
        <f t="shared" ref="D23:K23" si="7">SUM(D24:D63)</f>
        <v>0</v>
      </c>
      <c r="E23" s="2389">
        <f t="shared" si="7"/>
        <v>0</v>
      </c>
      <c r="F23" s="2389">
        <f t="shared" si="7"/>
        <v>6.9759475409836069</v>
      </c>
      <c r="G23" s="2389">
        <f t="shared" si="7"/>
        <v>5.2795427415747813</v>
      </c>
      <c r="H23" s="2389">
        <f t="shared" si="7"/>
        <v>0.39306940474106916</v>
      </c>
      <c r="I23" s="2419">
        <f t="shared" si="7"/>
        <v>0.65235729278079191</v>
      </c>
      <c r="J23" s="2393">
        <f t="shared" si="6"/>
        <v>0.31997228736816857</v>
      </c>
      <c r="K23" s="2420">
        <f t="shared" si="7"/>
        <v>0.33100581451879513</v>
      </c>
      <c r="L23" s="242"/>
      <c r="M23" s="233"/>
    </row>
    <row r="24" spans="1:14" ht="36">
      <c r="B24" s="201" t="s">
        <v>493</v>
      </c>
      <c r="C24" s="231"/>
      <c r="D24" s="231"/>
      <c r="E24" s="231"/>
      <c r="F24" s="231">
        <f>ФОП!F21/1000</f>
        <v>6.9759475409836069</v>
      </c>
      <c r="G24" s="2393">
        <f t="shared" ref="G24:G63" si="8">F24*$G$6</f>
        <v>5.2795427415747813</v>
      </c>
      <c r="H24" s="2393">
        <f>F24*$H$6</f>
        <v>0.39306940474106916</v>
      </c>
      <c r="I24" s="2414">
        <f>F24*$I$6</f>
        <v>0.65235729278079191</v>
      </c>
      <c r="J24" s="2393">
        <f t="shared" si="6"/>
        <v>0.31997228736816857</v>
      </c>
      <c r="K24" s="2416">
        <f>F24*$K$6</f>
        <v>0.33100581451879513</v>
      </c>
      <c r="L24" s="192" t="s">
        <v>773</v>
      </c>
      <c r="M24" s="235"/>
    </row>
    <row r="25" spans="1:14" s="205" customFormat="1" ht="18">
      <c r="A25" s="192"/>
      <c r="B25" s="201" t="s">
        <v>1519</v>
      </c>
      <c r="C25" s="231"/>
      <c r="D25" s="231"/>
      <c r="E25" s="231"/>
      <c r="F25" s="231">
        <f>Амортизація!G10</f>
        <v>0</v>
      </c>
      <c r="G25" s="2393"/>
      <c r="H25" s="2393"/>
      <c r="I25" s="2414"/>
      <c r="J25" s="2393"/>
      <c r="K25" s="2416"/>
      <c r="L25" s="247" t="s">
        <v>1828</v>
      </c>
      <c r="M25" s="235"/>
    </row>
    <row r="26" spans="1:14" s="205" customFormat="1" ht="19.2" customHeight="1">
      <c r="A26" s="192"/>
      <c r="B26" s="219" t="s">
        <v>749</v>
      </c>
      <c r="C26" s="231"/>
      <c r="D26" s="231"/>
      <c r="E26" s="231"/>
      <c r="F26" s="231"/>
      <c r="G26" s="2393">
        <f t="shared" si="8"/>
        <v>0</v>
      </c>
      <c r="H26" s="2393">
        <f t="shared" ref="H26:H31" si="9">F26*$H$6</f>
        <v>0</v>
      </c>
      <c r="I26" s="2414">
        <f t="shared" ref="I26:I31" si="10">F26*$I$6</f>
        <v>0</v>
      </c>
      <c r="J26" s="2393">
        <f t="shared" si="6"/>
        <v>0</v>
      </c>
      <c r="K26" s="2416">
        <f t="shared" ref="K26:K31" si="11">F26*$K$6</f>
        <v>0</v>
      </c>
      <c r="L26" s="247"/>
      <c r="M26" s="235"/>
    </row>
    <row r="27" spans="1:14" ht="18" customHeight="1">
      <c r="B27" s="219" t="s">
        <v>756</v>
      </c>
      <c r="C27" s="2394"/>
      <c r="D27" s="2394"/>
      <c r="E27" s="2394"/>
      <c r="F27" s="231"/>
      <c r="G27" s="2393">
        <f t="shared" si="8"/>
        <v>0</v>
      </c>
      <c r="H27" s="2393">
        <f t="shared" si="9"/>
        <v>0</v>
      </c>
      <c r="I27" s="2414">
        <f t="shared" si="10"/>
        <v>0</v>
      </c>
      <c r="J27" s="2393">
        <f t="shared" si="6"/>
        <v>0</v>
      </c>
      <c r="K27" s="2416">
        <f t="shared" si="11"/>
        <v>0</v>
      </c>
      <c r="L27" s="245"/>
      <c r="M27" s="235"/>
    </row>
    <row r="28" spans="1:14" ht="18" customHeight="1">
      <c r="B28" s="219" t="s">
        <v>753</v>
      </c>
      <c r="C28" s="231"/>
      <c r="D28" s="231"/>
      <c r="E28" s="231"/>
      <c r="F28" s="2394"/>
      <c r="G28" s="2393">
        <f t="shared" si="8"/>
        <v>0</v>
      </c>
      <c r="H28" s="2393">
        <f t="shared" si="9"/>
        <v>0</v>
      </c>
      <c r="I28" s="2414">
        <f t="shared" si="10"/>
        <v>0</v>
      </c>
      <c r="J28" s="2393">
        <f t="shared" si="6"/>
        <v>0</v>
      </c>
      <c r="K28" s="2416">
        <f t="shared" si="11"/>
        <v>0</v>
      </c>
      <c r="L28" s="245"/>
      <c r="M28" s="235"/>
    </row>
    <row r="29" spans="1:14" ht="18">
      <c r="B29" s="219" t="s">
        <v>1834</v>
      </c>
      <c r="C29" s="231"/>
      <c r="D29" s="231"/>
      <c r="E29" s="231"/>
      <c r="F29" s="231"/>
      <c r="G29" s="2393">
        <f t="shared" si="8"/>
        <v>0</v>
      </c>
      <c r="H29" s="2393">
        <f t="shared" si="9"/>
        <v>0</v>
      </c>
      <c r="I29" s="2414">
        <f t="shared" si="10"/>
        <v>0</v>
      </c>
      <c r="J29" s="2393">
        <f t="shared" si="6"/>
        <v>0</v>
      </c>
      <c r="K29" s="2416">
        <f t="shared" si="11"/>
        <v>0</v>
      </c>
      <c r="L29" s="247"/>
      <c r="M29" s="235"/>
    </row>
    <row r="30" spans="1:14" ht="18" hidden="1">
      <c r="B30" s="219"/>
      <c r="C30" s="203"/>
      <c r="D30" s="203"/>
      <c r="E30" s="203"/>
      <c r="F30" s="635"/>
      <c r="G30" s="203">
        <f t="shared" si="8"/>
        <v>0</v>
      </c>
      <c r="H30" s="203">
        <f t="shared" si="9"/>
        <v>0</v>
      </c>
      <c r="I30" s="1983">
        <f t="shared" si="10"/>
        <v>0</v>
      </c>
      <c r="J30" s="203">
        <f t="shared" si="6"/>
        <v>0</v>
      </c>
      <c r="K30" s="1984">
        <f t="shared" si="11"/>
        <v>0</v>
      </c>
      <c r="L30" s="192"/>
    </row>
    <row r="31" spans="1:14" ht="18" hidden="1">
      <c r="B31" s="219"/>
      <c r="C31" s="203"/>
      <c r="D31" s="203"/>
      <c r="E31" s="203"/>
      <c r="F31" s="635"/>
      <c r="G31" s="203">
        <f t="shared" si="8"/>
        <v>0</v>
      </c>
      <c r="H31" s="203">
        <f t="shared" si="9"/>
        <v>0</v>
      </c>
      <c r="I31" s="1983">
        <f t="shared" si="10"/>
        <v>0</v>
      </c>
      <c r="J31" s="203">
        <f t="shared" si="6"/>
        <v>0</v>
      </c>
      <c r="K31" s="1984">
        <f t="shared" si="11"/>
        <v>0</v>
      </c>
      <c r="L31" s="192"/>
    </row>
    <row r="32" spans="1:14" ht="18" hidden="1">
      <c r="B32" s="219"/>
      <c r="C32" s="203"/>
      <c r="D32" s="203"/>
      <c r="E32" s="203"/>
      <c r="F32" s="635"/>
      <c r="G32" s="203">
        <f t="shared" si="8"/>
        <v>0</v>
      </c>
      <c r="H32" s="203">
        <f>F32*$H$6</f>
        <v>0</v>
      </c>
      <c r="I32" s="1983">
        <f>F32*$I$6</f>
        <v>0</v>
      </c>
      <c r="J32" s="203">
        <f t="shared" si="6"/>
        <v>0</v>
      </c>
      <c r="K32" s="1984">
        <f>F32*$K$6</f>
        <v>0</v>
      </c>
      <c r="L32" s="192"/>
    </row>
    <row r="33" spans="2:12" ht="18" hidden="1">
      <c r="B33" s="219"/>
      <c r="C33" s="203"/>
      <c r="D33" s="203"/>
      <c r="E33" s="202"/>
      <c r="F33" s="635"/>
      <c r="G33" s="203">
        <f t="shared" si="8"/>
        <v>0</v>
      </c>
      <c r="H33" s="203">
        <f t="shared" ref="H33:H42" si="12">F33*$H$6</f>
        <v>0</v>
      </c>
      <c r="I33" s="1983">
        <f t="shared" ref="I33:I42" si="13">F33*$I$6</f>
        <v>0</v>
      </c>
      <c r="J33" s="203">
        <f t="shared" si="6"/>
        <v>0</v>
      </c>
      <c r="K33" s="1984">
        <f t="shared" ref="K33:K42" si="14">F33*$K$6</f>
        <v>0</v>
      </c>
      <c r="L33" s="192"/>
    </row>
    <row r="34" spans="2:12" ht="18" hidden="1">
      <c r="B34" s="219"/>
      <c r="C34" s="203"/>
      <c r="D34" s="203"/>
      <c r="F34" s="635"/>
      <c r="G34" s="203">
        <f t="shared" si="8"/>
        <v>0</v>
      </c>
      <c r="H34" s="203">
        <f t="shared" si="12"/>
        <v>0</v>
      </c>
      <c r="I34" s="1983">
        <f t="shared" si="13"/>
        <v>0</v>
      </c>
      <c r="J34" s="203">
        <f t="shared" si="6"/>
        <v>0</v>
      </c>
      <c r="K34" s="1984">
        <f t="shared" si="14"/>
        <v>0</v>
      </c>
      <c r="L34" s="192"/>
    </row>
    <row r="35" spans="2:12" ht="18" hidden="1">
      <c r="B35" s="219"/>
      <c r="C35" s="203"/>
      <c r="D35" s="203"/>
      <c r="E35" s="203"/>
      <c r="F35" s="635"/>
      <c r="G35" s="203">
        <f t="shared" si="8"/>
        <v>0</v>
      </c>
      <c r="H35" s="203">
        <f t="shared" si="12"/>
        <v>0</v>
      </c>
      <c r="I35" s="1983">
        <f t="shared" si="13"/>
        <v>0</v>
      </c>
      <c r="J35" s="203">
        <f t="shared" si="6"/>
        <v>0</v>
      </c>
      <c r="K35" s="1984">
        <f t="shared" si="14"/>
        <v>0</v>
      </c>
      <c r="L35" s="192"/>
    </row>
    <row r="36" spans="2:12" ht="18" hidden="1">
      <c r="B36" s="219"/>
      <c r="C36" s="203"/>
      <c r="D36" s="203"/>
      <c r="E36" s="203"/>
      <c r="F36" s="635"/>
      <c r="G36" s="203">
        <f t="shared" si="8"/>
        <v>0</v>
      </c>
      <c r="H36" s="203">
        <f t="shared" si="12"/>
        <v>0</v>
      </c>
      <c r="I36" s="1983">
        <f t="shared" si="13"/>
        <v>0</v>
      </c>
      <c r="J36" s="203">
        <f t="shared" si="6"/>
        <v>0</v>
      </c>
      <c r="K36" s="1984">
        <f t="shared" si="14"/>
        <v>0</v>
      </c>
      <c r="L36" s="192"/>
    </row>
    <row r="37" spans="2:12" ht="18" hidden="1">
      <c r="B37" s="207"/>
      <c r="C37" s="202"/>
      <c r="D37" s="202"/>
      <c r="E37" s="202"/>
      <c r="F37" s="637"/>
      <c r="G37" s="203">
        <f t="shared" si="8"/>
        <v>0</v>
      </c>
      <c r="H37" s="203">
        <f t="shared" si="12"/>
        <v>0</v>
      </c>
      <c r="I37" s="1983">
        <f t="shared" si="13"/>
        <v>0</v>
      </c>
      <c r="J37" s="203">
        <f t="shared" si="6"/>
        <v>0</v>
      </c>
      <c r="K37" s="1984">
        <f t="shared" si="14"/>
        <v>0</v>
      </c>
      <c r="L37" s="192"/>
    </row>
    <row r="38" spans="2:12" ht="18" hidden="1">
      <c r="B38" s="207"/>
      <c r="C38" s="202"/>
      <c r="D38" s="202"/>
      <c r="E38" s="202"/>
      <c r="F38" s="637"/>
      <c r="G38" s="203">
        <f t="shared" si="8"/>
        <v>0</v>
      </c>
      <c r="H38" s="203">
        <f t="shared" si="12"/>
        <v>0</v>
      </c>
      <c r="I38" s="1983">
        <f t="shared" si="13"/>
        <v>0</v>
      </c>
      <c r="J38" s="203">
        <f t="shared" si="6"/>
        <v>0</v>
      </c>
      <c r="K38" s="1984">
        <f t="shared" si="14"/>
        <v>0</v>
      </c>
      <c r="L38" s="192"/>
    </row>
    <row r="39" spans="2:12" ht="18.75" hidden="1" customHeight="1">
      <c r="B39" s="207"/>
      <c r="C39" s="202"/>
      <c r="D39" s="202"/>
      <c r="E39" s="202"/>
      <c r="F39" s="637"/>
      <c r="G39" s="203">
        <f t="shared" si="8"/>
        <v>0</v>
      </c>
      <c r="H39" s="203">
        <f t="shared" si="12"/>
        <v>0</v>
      </c>
      <c r="I39" s="1983">
        <f t="shared" si="13"/>
        <v>0</v>
      </c>
      <c r="J39" s="203">
        <f t="shared" si="6"/>
        <v>0</v>
      </c>
      <c r="K39" s="1984">
        <f t="shared" si="14"/>
        <v>0</v>
      </c>
      <c r="L39" s="192"/>
    </row>
    <row r="40" spans="2:12" ht="18.75" hidden="1" customHeight="1">
      <c r="B40" s="207"/>
      <c r="C40" s="202"/>
      <c r="D40" s="202"/>
      <c r="E40" s="202"/>
      <c r="F40" s="637"/>
      <c r="G40" s="203">
        <f t="shared" si="8"/>
        <v>0</v>
      </c>
      <c r="H40" s="203">
        <f t="shared" si="12"/>
        <v>0</v>
      </c>
      <c r="I40" s="1983">
        <f t="shared" si="13"/>
        <v>0</v>
      </c>
      <c r="J40" s="203">
        <f t="shared" si="6"/>
        <v>0</v>
      </c>
      <c r="K40" s="1984">
        <f t="shared" si="14"/>
        <v>0</v>
      </c>
      <c r="L40" s="192"/>
    </row>
    <row r="41" spans="2:12" ht="18.75" hidden="1" customHeight="1">
      <c r="B41" s="207"/>
      <c r="C41" s="202"/>
      <c r="D41" s="202"/>
      <c r="E41" s="202"/>
      <c r="F41" s="637"/>
      <c r="G41" s="203">
        <f t="shared" si="8"/>
        <v>0</v>
      </c>
      <c r="H41" s="203">
        <f t="shared" si="12"/>
        <v>0</v>
      </c>
      <c r="I41" s="1983">
        <f t="shared" si="13"/>
        <v>0</v>
      </c>
      <c r="J41" s="203">
        <f t="shared" si="6"/>
        <v>0</v>
      </c>
      <c r="K41" s="1984">
        <f t="shared" si="14"/>
        <v>0</v>
      </c>
      <c r="L41" s="192"/>
    </row>
    <row r="42" spans="2:12" ht="18.75" hidden="1" customHeight="1">
      <c r="B42" s="207"/>
      <c r="C42" s="202"/>
      <c r="D42" s="202"/>
      <c r="E42" s="202"/>
      <c r="F42" s="637"/>
      <c r="G42" s="203">
        <f t="shared" si="8"/>
        <v>0</v>
      </c>
      <c r="H42" s="203">
        <f t="shared" si="12"/>
        <v>0</v>
      </c>
      <c r="I42" s="1983">
        <f t="shared" si="13"/>
        <v>0</v>
      </c>
      <c r="J42" s="203">
        <f t="shared" si="6"/>
        <v>0</v>
      </c>
      <c r="K42" s="1984">
        <f t="shared" si="14"/>
        <v>0</v>
      </c>
      <c r="L42" s="192"/>
    </row>
    <row r="43" spans="2:12" ht="18.75" hidden="1" customHeight="1">
      <c r="B43" s="207"/>
      <c r="C43" s="202"/>
      <c r="D43" s="202"/>
      <c r="E43" s="202"/>
      <c r="F43" s="637"/>
      <c r="G43" s="203">
        <f t="shared" si="8"/>
        <v>0</v>
      </c>
      <c r="H43" s="203">
        <f>F43*$H$6</f>
        <v>0</v>
      </c>
      <c r="I43" s="1983">
        <f>F43*$I$6</f>
        <v>0</v>
      </c>
      <c r="J43" s="203">
        <f t="shared" si="6"/>
        <v>0</v>
      </c>
      <c r="K43" s="1984">
        <f>F43*$K$6</f>
        <v>0</v>
      </c>
      <c r="L43" s="192"/>
    </row>
    <row r="44" spans="2:12" ht="18.75" hidden="1" customHeight="1">
      <c r="B44" s="207"/>
      <c r="C44" s="202"/>
      <c r="D44" s="202"/>
      <c r="E44" s="202"/>
      <c r="F44" s="637"/>
      <c r="G44" s="203">
        <f t="shared" si="8"/>
        <v>0</v>
      </c>
      <c r="H44" s="203">
        <f t="shared" ref="H44:H55" si="15">F44*$H$6</f>
        <v>0</v>
      </c>
      <c r="I44" s="1983">
        <f t="shared" ref="I44:I55" si="16">F44*$I$6</f>
        <v>0</v>
      </c>
      <c r="J44" s="203">
        <f t="shared" si="6"/>
        <v>0</v>
      </c>
      <c r="K44" s="1984">
        <f t="shared" ref="K44:K55" si="17">F44*$K$6</f>
        <v>0</v>
      </c>
      <c r="L44" s="192"/>
    </row>
    <row r="45" spans="2:12" ht="18.75" hidden="1" customHeight="1">
      <c r="B45" s="207"/>
      <c r="C45" s="202"/>
      <c r="D45" s="202"/>
      <c r="E45" s="202"/>
      <c r="F45" s="637"/>
      <c r="G45" s="203">
        <f t="shared" si="8"/>
        <v>0</v>
      </c>
      <c r="H45" s="203">
        <f t="shared" si="15"/>
        <v>0</v>
      </c>
      <c r="I45" s="1983">
        <f t="shared" si="16"/>
        <v>0</v>
      </c>
      <c r="J45" s="203">
        <f t="shared" si="6"/>
        <v>0</v>
      </c>
      <c r="K45" s="1984">
        <f t="shared" si="17"/>
        <v>0</v>
      </c>
      <c r="L45" s="192"/>
    </row>
    <row r="46" spans="2:12" ht="18.75" hidden="1" customHeight="1">
      <c r="B46" s="207"/>
      <c r="C46" s="202"/>
      <c r="D46" s="202"/>
      <c r="E46" s="202"/>
      <c r="F46" s="637"/>
      <c r="G46" s="203">
        <f t="shared" si="8"/>
        <v>0</v>
      </c>
      <c r="H46" s="203">
        <f t="shared" si="15"/>
        <v>0</v>
      </c>
      <c r="I46" s="1983">
        <f t="shared" si="16"/>
        <v>0</v>
      </c>
      <c r="J46" s="203">
        <f t="shared" si="6"/>
        <v>0</v>
      </c>
      <c r="K46" s="1984">
        <f t="shared" si="17"/>
        <v>0</v>
      </c>
      <c r="L46" s="192"/>
    </row>
    <row r="47" spans="2:12" ht="18.75" hidden="1" customHeight="1">
      <c r="B47" s="207"/>
      <c r="C47" s="202"/>
      <c r="D47" s="202"/>
      <c r="E47" s="202"/>
      <c r="F47" s="637"/>
      <c r="G47" s="203">
        <f t="shared" si="8"/>
        <v>0</v>
      </c>
      <c r="H47" s="203">
        <f t="shared" si="15"/>
        <v>0</v>
      </c>
      <c r="I47" s="1983">
        <f t="shared" si="16"/>
        <v>0</v>
      </c>
      <c r="J47" s="203">
        <f t="shared" si="6"/>
        <v>0</v>
      </c>
      <c r="K47" s="1984">
        <f t="shared" si="17"/>
        <v>0</v>
      </c>
      <c r="L47" s="192"/>
    </row>
    <row r="48" spans="2:12" ht="18" hidden="1">
      <c r="B48" s="207"/>
      <c r="C48" s="202"/>
      <c r="D48" s="202"/>
      <c r="E48" s="637"/>
      <c r="F48" s="637"/>
      <c r="G48" s="203">
        <f t="shared" si="8"/>
        <v>0</v>
      </c>
      <c r="H48" s="203">
        <f t="shared" si="15"/>
        <v>0</v>
      </c>
      <c r="I48" s="1983">
        <f t="shared" si="16"/>
        <v>0</v>
      </c>
      <c r="J48" s="203">
        <f t="shared" si="6"/>
        <v>0</v>
      </c>
      <c r="K48" s="1984">
        <f t="shared" si="17"/>
        <v>0</v>
      </c>
      <c r="L48" s="192"/>
    </row>
    <row r="49" spans="2:13" ht="18.75" hidden="1" customHeight="1">
      <c r="B49" s="207"/>
      <c r="C49" s="202"/>
      <c r="D49" s="202"/>
      <c r="E49" s="202"/>
      <c r="F49" s="637"/>
      <c r="G49" s="203">
        <f t="shared" si="8"/>
        <v>0</v>
      </c>
      <c r="H49" s="203">
        <f t="shared" si="15"/>
        <v>0</v>
      </c>
      <c r="I49" s="1983">
        <f t="shared" si="16"/>
        <v>0</v>
      </c>
      <c r="J49" s="203">
        <f t="shared" si="6"/>
        <v>0</v>
      </c>
      <c r="K49" s="1984">
        <f t="shared" si="17"/>
        <v>0</v>
      </c>
      <c r="L49" s="192"/>
    </row>
    <row r="50" spans="2:13" ht="18.75" hidden="1" customHeight="1">
      <c r="B50" s="207"/>
      <c r="C50" s="202"/>
      <c r="D50" s="202"/>
      <c r="E50" s="202"/>
      <c r="F50" s="637"/>
      <c r="G50" s="203">
        <f t="shared" si="8"/>
        <v>0</v>
      </c>
      <c r="H50" s="203">
        <f t="shared" si="15"/>
        <v>0</v>
      </c>
      <c r="I50" s="1983">
        <f t="shared" si="16"/>
        <v>0</v>
      </c>
      <c r="J50" s="203">
        <f t="shared" si="6"/>
        <v>0</v>
      </c>
      <c r="K50" s="1984">
        <f t="shared" si="17"/>
        <v>0</v>
      </c>
      <c r="L50" s="192"/>
    </row>
    <row r="51" spans="2:13" ht="18.75" hidden="1" customHeight="1">
      <c r="B51" s="207"/>
      <c r="C51" s="202"/>
      <c r="D51" s="202"/>
      <c r="E51" s="202"/>
      <c r="F51" s="637"/>
      <c r="G51" s="203">
        <f t="shared" si="8"/>
        <v>0</v>
      </c>
      <c r="H51" s="203">
        <f t="shared" si="15"/>
        <v>0</v>
      </c>
      <c r="I51" s="1983">
        <f t="shared" si="16"/>
        <v>0</v>
      </c>
      <c r="J51" s="203">
        <f t="shared" si="6"/>
        <v>0</v>
      </c>
      <c r="K51" s="1984">
        <f t="shared" si="17"/>
        <v>0</v>
      </c>
      <c r="L51" s="192"/>
    </row>
    <row r="52" spans="2:13" ht="18.75" hidden="1" customHeight="1">
      <c r="B52" s="207"/>
      <c r="C52" s="202"/>
      <c r="D52" s="202"/>
      <c r="E52" s="202"/>
      <c r="F52" s="637"/>
      <c r="G52" s="203">
        <f t="shared" si="8"/>
        <v>0</v>
      </c>
      <c r="H52" s="203">
        <f t="shared" si="15"/>
        <v>0</v>
      </c>
      <c r="I52" s="1983">
        <f t="shared" si="16"/>
        <v>0</v>
      </c>
      <c r="J52" s="203">
        <f t="shared" si="6"/>
        <v>0</v>
      </c>
      <c r="K52" s="1984">
        <f t="shared" si="17"/>
        <v>0</v>
      </c>
      <c r="L52" s="192"/>
    </row>
    <row r="53" spans="2:13" ht="18.75" hidden="1" customHeight="1">
      <c r="B53" s="207"/>
      <c r="C53" s="202"/>
      <c r="D53" s="202"/>
      <c r="E53" s="202"/>
      <c r="F53" s="637"/>
      <c r="G53" s="203">
        <f t="shared" si="8"/>
        <v>0</v>
      </c>
      <c r="H53" s="203">
        <f t="shared" si="15"/>
        <v>0</v>
      </c>
      <c r="I53" s="1983">
        <f t="shared" si="16"/>
        <v>0</v>
      </c>
      <c r="J53" s="203">
        <f t="shared" si="6"/>
        <v>0</v>
      </c>
      <c r="K53" s="1984">
        <f t="shared" si="17"/>
        <v>0</v>
      </c>
      <c r="L53" s="192"/>
    </row>
    <row r="54" spans="2:13" ht="18" hidden="1">
      <c r="B54" s="201"/>
      <c r="C54" s="202"/>
      <c r="D54" s="202"/>
      <c r="E54" s="202"/>
      <c r="F54" s="637"/>
      <c r="G54" s="203">
        <f t="shared" si="8"/>
        <v>0</v>
      </c>
      <c r="H54" s="203">
        <f t="shared" si="15"/>
        <v>0</v>
      </c>
      <c r="I54" s="1983">
        <f t="shared" si="16"/>
        <v>0</v>
      </c>
      <c r="J54" s="203">
        <f t="shared" si="6"/>
        <v>0</v>
      </c>
      <c r="K54" s="1984">
        <f t="shared" si="17"/>
        <v>0</v>
      </c>
      <c r="L54" s="192"/>
    </row>
    <row r="55" spans="2:13" ht="18" hidden="1">
      <c r="B55" s="201"/>
      <c r="C55" s="216"/>
      <c r="D55" s="216"/>
      <c r="E55" s="216"/>
      <c r="F55" s="638"/>
      <c r="G55" s="203">
        <f t="shared" si="8"/>
        <v>0</v>
      </c>
      <c r="H55" s="203">
        <f t="shared" si="15"/>
        <v>0</v>
      </c>
      <c r="I55" s="1983">
        <f t="shared" si="16"/>
        <v>0</v>
      </c>
      <c r="J55" s="203">
        <f t="shared" si="6"/>
        <v>0</v>
      </c>
      <c r="K55" s="1984">
        <f t="shared" si="17"/>
        <v>0</v>
      </c>
      <c r="L55" s="192"/>
    </row>
    <row r="56" spans="2:13" ht="18" hidden="1">
      <c r="B56" s="218"/>
      <c r="C56" s="216"/>
      <c r="D56" s="216"/>
      <c r="E56" s="216"/>
      <c r="F56" s="638"/>
      <c r="G56" s="203">
        <f t="shared" si="8"/>
        <v>0</v>
      </c>
      <c r="H56" s="203">
        <f>F56*$H$6</f>
        <v>0</v>
      </c>
      <c r="I56" s="1983">
        <f>F56*$I$6</f>
        <v>0</v>
      </c>
      <c r="J56" s="203">
        <f t="shared" si="6"/>
        <v>0</v>
      </c>
      <c r="K56" s="1984">
        <f>F56*$K$6</f>
        <v>0</v>
      </c>
      <c r="L56" s="192"/>
    </row>
    <row r="57" spans="2:13" ht="18" hidden="1">
      <c r="B57" s="218"/>
      <c r="C57" s="216"/>
      <c r="D57" s="216"/>
      <c r="E57" s="216"/>
      <c r="F57" s="638"/>
      <c r="G57" s="203">
        <f t="shared" si="8"/>
        <v>0</v>
      </c>
      <c r="H57" s="203">
        <f t="shared" ref="H57:H63" si="18">F57*$H$6</f>
        <v>0</v>
      </c>
      <c r="I57" s="1983">
        <f t="shared" ref="I57:I63" si="19">F57*$I$6</f>
        <v>0</v>
      </c>
      <c r="J57" s="203">
        <f t="shared" si="6"/>
        <v>0</v>
      </c>
      <c r="K57" s="1984">
        <f t="shared" ref="K57:K63" si="20">F57*$K$6</f>
        <v>0</v>
      </c>
      <c r="L57" s="245"/>
      <c r="M57" s="235"/>
    </row>
    <row r="58" spans="2:13" ht="18" hidden="1">
      <c r="B58" s="208"/>
      <c r="C58" s="202"/>
      <c r="D58" s="202"/>
      <c r="E58" s="202"/>
      <c r="F58" s="637"/>
      <c r="G58" s="203">
        <f t="shared" si="8"/>
        <v>0</v>
      </c>
      <c r="H58" s="203">
        <f t="shared" si="18"/>
        <v>0</v>
      </c>
      <c r="I58" s="1983">
        <f t="shared" si="19"/>
        <v>0</v>
      </c>
      <c r="J58" s="203">
        <f t="shared" si="6"/>
        <v>0</v>
      </c>
      <c r="K58" s="1984">
        <f t="shared" si="20"/>
        <v>0</v>
      </c>
      <c r="L58" s="245"/>
      <c r="M58" s="235"/>
    </row>
    <row r="59" spans="2:13" ht="18" hidden="1">
      <c r="B59" s="219"/>
      <c r="C59" s="202"/>
      <c r="D59" s="202"/>
      <c r="E59" s="231"/>
      <c r="F59" s="637"/>
      <c r="G59" s="203">
        <f t="shared" si="8"/>
        <v>0</v>
      </c>
      <c r="H59" s="203">
        <f t="shared" si="18"/>
        <v>0</v>
      </c>
      <c r="I59" s="1983">
        <f t="shared" si="19"/>
        <v>0</v>
      </c>
      <c r="J59" s="203">
        <f t="shared" si="6"/>
        <v>0</v>
      </c>
      <c r="K59" s="1984">
        <f t="shared" si="20"/>
        <v>0</v>
      </c>
      <c r="L59" s="245"/>
      <c r="M59" s="235"/>
    </row>
    <row r="60" spans="2:13" ht="18" hidden="1">
      <c r="B60" s="201"/>
      <c r="C60" s="216"/>
      <c r="D60" s="216"/>
      <c r="E60" s="216"/>
      <c r="F60" s="637"/>
      <c r="G60" s="203">
        <f t="shared" si="8"/>
        <v>0</v>
      </c>
      <c r="H60" s="203">
        <f t="shared" si="18"/>
        <v>0</v>
      </c>
      <c r="I60" s="1983">
        <f t="shared" si="19"/>
        <v>0</v>
      </c>
      <c r="J60" s="203">
        <f t="shared" si="6"/>
        <v>0</v>
      </c>
      <c r="K60" s="1984">
        <f t="shared" si="20"/>
        <v>0</v>
      </c>
      <c r="L60" s="245"/>
      <c r="M60" s="235"/>
    </row>
    <row r="61" spans="2:13" ht="18" hidden="1">
      <c r="B61" s="201"/>
      <c r="C61" s="232"/>
      <c r="D61" s="232"/>
      <c r="E61" s="232"/>
      <c r="F61" s="646"/>
      <c r="G61" s="203">
        <f t="shared" si="8"/>
        <v>0</v>
      </c>
      <c r="H61" s="203">
        <f t="shared" si="18"/>
        <v>0</v>
      </c>
      <c r="I61" s="1983">
        <f t="shared" si="19"/>
        <v>0</v>
      </c>
      <c r="J61" s="203">
        <f t="shared" si="6"/>
        <v>0</v>
      </c>
      <c r="K61" s="1984">
        <f t="shared" si="20"/>
        <v>0</v>
      </c>
      <c r="L61" s="912"/>
      <c r="M61" s="235"/>
    </row>
    <row r="62" spans="2:13" ht="18" hidden="1">
      <c r="B62" s="1577"/>
      <c r="C62" s="232"/>
      <c r="D62" s="232"/>
      <c r="E62" s="232"/>
      <c r="F62" s="646"/>
      <c r="G62" s="203">
        <f t="shared" si="8"/>
        <v>0</v>
      </c>
      <c r="H62" s="203">
        <f t="shared" si="18"/>
        <v>0</v>
      </c>
      <c r="I62" s="1983">
        <f t="shared" si="19"/>
        <v>0</v>
      </c>
      <c r="J62" s="203">
        <f t="shared" si="6"/>
        <v>0</v>
      </c>
      <c r="K62" s="1984">
        <f t="shared" si="20"/>
        <v>0</v>
      </c>
      <c r="L62" s="912"/>
      <c r="M62" s="235"/>
    </row>
    <row r="63" spans="2:13" ht="18.600000000000001" hidden="1" thickBot="1">
      <c r="B63" s="220"/>
      <c r="C63" s="221"/>
      <c r="D63" s="221"/>
      <c r="E63" s="221"/>
      <c r="F63" s="639"/>
      <c r="G63" s="209">
        <f t="shared" si="8"/>
        <v>0</v>
      </c>
      <c r="H63" s="209">
        <f t="shared" si="18"/>
        <v>0</v>
      </c>
      <c r="I63" s="1986">
        <f t="shared" si="19"/>
        <v>0</v>
      </c>
      <c r="J63" s="209">
        <f t="shared" si="6"/>
        <v>0</v>
      </c>
      <c r="K63" s="1987">
        <f t="shared" si="20"/>
        <v>0</v>
      </c>
      <c r="L63" s="245"/>
      <c r="M63" s="235"/>
    </row>
    <row r="64" spans="2:13" ht="24" customHeight="1">
      <c r="D64" s="191"/>
    </row>
    <row r="65" spans="2:13" ht="24" customHeight="1"/>
    <row r="66" spans="2:13" ht="24" customHeight="1">
      <c r="B66" s="210" t="str">
        <f>'Вхідні дані'!$B$13</f>
        <v>Директор підприємства</v>
      </c>
      <c r="C66" s="210"/>
      <c r="D66" s="210"/>
      <c r="E66" s="358" t="s">
        <v>754</v>
      </c>
      <c r="G66" s="2888" t="str">
        <f>'Вхідні дані'!$F$13</f>
        <v>Сергій НІКУЛЬЧА</v>
      </c>
      <c r="H66" s="2888"/>
      <c r="I66" s="2888"/>
      <c r="J66" s="1991"/>
    </row>
    <row r="67" spans="2:13" ht="24" customHeight="1">
      <c r="B67" s="210"/>
      <c r="C67" s="210"/>
      <c r="D67" s="210"/>
      <c r="E67" s="358" t="s">
        <v>196</v>
      </c>
      <c r="G67" s="2889" t="s">
        <v>951</v>
      </c>
      <c r="H67" s="2889"/>
      <c r="I67" s="2889"/>
      <c r="J67" s="1992"/>
    </row>
    <row r="68" spans="2:13" ht="24" customHeight="1">
      <c r="B68" s="210" t="str">
        <f>'Вхідні дані'!$B$16</f>
        <v>Головний бухгалтер</v>
      </c>
      <c r="C68" s="210"/>
      <c r="D68" s="210"/>
      <c r="E68" s="358" t="s">
        <v>754</v>
      </c>
      <c r="G68" s="2888" t="str">
        <f>'Вхідні дані'!$F$16</f>
        <v>Ольга ПЄТРОВА</v>
      </c>
      <c r="H68" s="2888"/>
      <c r="I68" s="2888"/>
      <c r="J68" s="1991"/>
    </row>
    <row r="69" spans="2:13" ht="24" customHeight="1">
      <c r="B69" s="246"/>
      <c r="C69" s="246"/>
      <c r="D69" s="246"/>
      <c r="E69" s="358" t="s">
        <v>196</v>
      </c>
      <c r="G69" s="2889" t="s">
        <v>951</v>
      </c>
      <c r="H69" s="2889"/>
      <c r="I69" s="2889"/>
      <c r="J69" s="1992"/>
      <c r="K69" s="246"/>
      <c r="L69" s="1993"/>
      <c r="M69" s="246"/>
    </row>
  </sheetData>
  <mergeCells count="7">
    <mergeCell ref="G68:I68"/>
    <mergeCell ref="G69:I69"/>
    <mergeCell ref="B6:E6"/>
    <mergeCell ref="B7:B8"/>
    <mergeCell ref="G7:K7"/>
    <mergeCell ref="G66:I66"/>
    <mergeCell ref="G67:I67"/>
  </mergeCells>
  <conditionalFormatting sqref="B69:E69 G69:M69">
    <cfRule type="expression" dxfId="20" priority="13" stopIfTrue="1">
      <formula>ABS(#REF!-(#REF!+$D69+#REF!+#REF!))&gt;отклонение</formula>
    </cfRule>
  </conditionalFormatting>
  <conditionalFormatting sqref="B69:J69">
    <cfRule type="expression" dxfId="19" priority="17" stopIfTrue="1">
      <formula>ABS(#REF!-(#REF!+$D69+$N69+#REF!))&gt;отклонение</formula>
    </cfRule>
  </conditionalFormatting>
  <conditionalFormatting sqref="F69:J69">
    <cfRule type="expression" dxfId="18" priority="14" stopIfTrue="1">
      <formula>ABS(#REF!-(#REF!+$D69+$N69+#REF!))&gt;отклонение</formula>
    </cfRule>
  </conditionalFormatting>
  <conditionalFormatting sqref="G69:J69 B69:D69">
    <cfRule type="expression" dxfId="17" priority="20" stopIfTrue="1">
      <formula>ABS(#REF!-(#REF!+$D69+$N69+#REF!))&gt;отклонение</formula>
    </cfRule>
  </conditionalFormatting>
  <conditionalFormatting sqref="G69:J69">
    <cfRule type="expression" dxfId="16" priority="15" stopIfTrue="1">
      <formula>ABS(#REF!-(#REF!+$D69+$N69+#REF!))&gt;отклонение</formula>
    </cfRule>
    <cfRule type="expression" dxfId="15" priority="16" stopIfTrue="1">
      <formula>ABS(#REF!-(#REF!+$E69+$M69+#REF!))&gt;отклонение</formula>
    </cfRule>
    <cfRule type="expression" dxfId="14" priority="18" stopIfTrue="1">
      <formula>ABS(#REF!-(#REF!+$D69+$N69+#REF!))&gt;отклонение</formula>
    </cfRule>
    <cfRule type="expression" dxfId="13" priority="19" stopIfTrue="1">
      <formula>ABS(#REF!-(#REF!+$E69+$M69+#REF!))&gt;отклонение</formula>
    </cfRule>
    <cfRule type="expression" dxfId="12" priority="22" stopIfTrue="1">
      <formula>ABS(#REF!-(#REF!+#REF!+$M69+#REF!))&gt;отклонение</formula>
    </cfRule>
  </conditionalFormatting>
  <pageMargins left="0.75" right="0.23622047244094491" top="0.52" bottom="0.15748031496062992" header="0.37" footer="0.31496062992125984"/>
  <pageSetup paperSize="9" scale="4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R69"/>
  <sheetViews>
    <sheetView topLeftCell="A26" zoomScale="90" zoomScaleNormal="90" workbookViewId="0">
      <selection activeCell="G37" sqref="G37"/>
    </sheetView>
  </sheetViews>
  <sheetFormatPr defaultColWidth="9.109375" defaultRowHeight="13.8"/>
  <cols>
    <col min="1" max="1" width="3.77734375" style="192" customWidth="1"/>
    <col min="2" max="2" width="68.109375" style="192" customWidth="1"/>
    <col min="3" max="3" width="10.88671875" style="192" customWidth="1"/>
    <col min="4" max="5" width="10.6640625" style="192" customWidth="1"/>
    <col min="6" max="6" width="13.5546875" style="192" customWidth="1"/>
    <col min="7" max="7" width="16.5546875" style="192" customWidth="1"/>
    <col min="8" max="8" width="16.109375" style="192" customWidth="1"/>
    <col min="9" max="9" width="16.33203125" style="192" customWidth="1"/>
    <col min="10" max="10" width="14" style="192" customWidth="1"/>
    <col min="11" max="11" width="14.44140625" style="192" customWidth="1"/>
    <col min="12" max="12" width="15.21875" style="1580" customWidth="1"/>
    <col min="13" max="13" width="12.44140625" style="576" customWidth="1"/>
    <col min="14" max="14" width="11.6640625" style="576" customWidth="1"/>
    <col min="15" max="15" width="11.33203125" style="192" customWidth="1"/>
    <col min="16" max="16" width="10.44140625" style="192" bestFit="1" customWidth="1"/>
    <col min="17" max="16384" width="9.109375" style="192"/>
  </cols>
  <sheetData>
    <row r="1" spans="2:16" ht="17.399999999999999">
      <c r="B1" s="191"/>
      <c r="J1" s="193" t="s">
        <v>620</v>
      </c>
      <c r="L1" s="1571"/>
    </row>
    <row r="2" spans="2:16" ht="17.399999999999999">
      <c r="B2" s="194" t="s">
        <v>765</v>
      </c>
      <c r="C2" s="195" t="str">
        <f>'Вхідні дані'!F5</f>
        <v>ТОВ ДП " Моноліт- Сервіс "</v>
      </c>
      <c r="G2" s="2001" t="s">
        <v>442</v>
      </c>
      <c r="H2" s="195" t="s">
        <v>1552</v>
      </c>
      <c r="I2" s="195" t="s">
        <v>545</v>
      </c>
      <c r="L2" s="2041"/>
      <c r="M2" s="2046"/>
      <c r="N2" s="2046"/>
      <c r="O2" s="2042"/>
    </row>
    <row r="3" spans="2:16" ht="17.399999999999999">
      <c r="B3" s="194"/>
      <c r="C3" s="195"/>
      <c r="D3" s="195"/>
      <c r="E3" s="195"/>
      <c r="F3" s="304"/>
      <c r="G3" s="2001"/>
      <c r="H3" s="195"/>
      <c r="I3" s="195"/>
      <c r="J3" s="195"/>
      <c r="L3" s="2044">
        <f>ФОП!E39</f>
        <v>6</v>
      </c>
      <c r="M3" s="576" t="s">
        <v>138</v>
      </c>
    </row>
    <row r="4" spans="2:16" s="2000" customFormat="1" ht="15.6">
      <c r="B4" s="2906" t="s">
        <v>1706</v>
      </c>
      <c r="C4" s="2052"/>
      <c r="D4" s="2052"/>
      <c r="E4" s="2053"/>
      <c r="F4" s="2054">
        <f>G4+I4</f>
        <v>1</v>
      </c>
      <c r="G4" s="2908">
        <f>'БАЗИ РОЗПОДІЛУ'!E9</f>
        <v>0.12827924326458062</v>
      </c>
      <c r="H4" s="2908"/>
      <c r="I4" s="2908">
        <f>I5+J5+K5</f>
        <v>0.87172075673541949</v>
      </c>
      <c r="J4" s="2908"/>
      <c r="K4" s="2908"/>
      <c r="L4" s="2055"/>
      <c r="M4" s="2056"/>
      <c r="N4" s="2057"/>
    </row>
    <row r="5" spans="2:16" s="2000" customFormat="1" ht="18.600000000000001" thickBot="1">
      <c r="B5" s="2907"/>
      <c r="E5" s="2071"/>
      <c r="F5" s="2072"/>
      <c r="G5" s="2073">
        <f>'БАЗИ РОЗПОДІЛУ'!F15</f>
        <v>0.1263970788110067</v>
      </c>
      <c r="H5" s="2073">
        <f>'БАЗИ РОЗПОДІЛУ'!G15</f>
        <v>1.8821644535739399E-3</v>
      </c>
      <c r="I5" s="2138">
        <f>'БАЗИ РОЗПОДІЛУ'!H15</f>
        <v>2.9920923274203894E-2</v>
      </c>
      <c r="J5" s="2138">
        <f>'БАЗИ РОЗПОДІЛУ'!I15</f>
        <v>0.84179983346121556</v>
      </c>
      <c r="K5" s="2138">
        <f>'БАЗИ РОЗПОДІЛУ'!J15</f>
        <v>0</v>
      </c>
      <c r="L5" s="2058"/>
      <c r="M5" s="2059"/>
      <c r="N5" s="2057"/>
      <c r="O5" s="2058"/>
      <c r="P5" s="2058"/>
    </row>
    <row r="6" spans="2:16" ht="18" thickBot="1">
      <c r="B6" s="2871" t="s">
        <v>8</v>
      </c>
      <c r="C6" s="1988" t="s">
        <v>673</v>
      </c>
      <c r="D6" s="1988" t="s">
        <v>673</v>
      </c>
      <c r="E6" s="1988" t="s">
        <v>683</v>
      </c>
      <c r="F6" s="1988" t="s">
        <v>674</v>
      </c>
      <c r="G6" s="2904" t="s">
        <v>660</v>
      </c>
      <c r="H6" s="2893"/>
      <c r="I6" s="2893"/>
      <c r="J6" s="2893"/>
      <c r="K6" s="1567"/>
    </row>
    <row r="7" spans="2:16" ht="52.8" thickBot="1">
      <c r="B7" s="2872"/>
      <c r="C7" s="1988">
        <v>2021</v>
      </c>
      <c r="D7" s="1988">
        <v>2022</v>
      </c>
      <c r="E7" s="1989"/>
      <c r="F7" s="1988" t="s">
        <v>1552</v>
      </c>
      <c r="G7" s="1988" t="s">
        <v>661</v>
      </c>
      <c r="H7" s="1988" t="s">
        <v>662</v>
      </c>
      <c r="I7" s="1988" t="s">
        <v>1694</v>
      </c>
      <c r="J7" s="1988" t="s">
        <v>1839</v>
      </c>
      <c r="K7" s="1568" t="s">
        <v>1695</v>
      </c>
    </row>
    <row r="8" spans="2:16" ht="17.399999999999999">
      <c r="B8" s="197" t="s">
        <v>1707</v>
      </c>
      <c r="C8" s="198">
        <f>C9+C20+C40+C24+C37+C38+C39</f>
        <v>0</v>
      </c>
      <c r="D8" s="198">
        <f>D9+D20+D40+D24+D37+D38+D39</f>
        <v>0</v>
      </c>
      <c r="E8" s="632">
        <f>E9+E20+E40+E24+E37+E39</f>
        <v>0</v>
      </c>
      <c r="F8" s="2390">
        <f t="shared" ref="F8:K8" si="0">F9+F20+F40+F24+F37+F39</f>
        <v>853.47299981250001</v>
      </c>
      <c r="G8" s="2390">
        <f t="shared" si="0"/>
        <v>107.87649402036686</v>
      </c>
      <c r="H8" s="2390">
        <f t="shared" si="0"/>
        <v>1.6063765423322054</v>
      </c>
      <c r="I8" s="2390">
        <f t="shared" si="0"/>
        <v>25.536700143994445</v>
      </c>
      <c r="J8" s="2390">
        <f t="shared" si="0"/>
        <v>718.45342910580655</v>
      </c>
      <c r="K8" s="2390">
        <f t="shared" si="0"/>
        <v>0</v>
      </c>
      <c r="L8" s="380"/>
      <c r="M8" s="576">
        <f>F8*G4-G8-H8</f>
        <v>-5.773159728050814E-15</v>
      </c>
      <c r="N8" s="576">
        <f>F8*I4-I8-J8-K8</f>
        <v>0</v>
      </c>
    </row>
    <row r="9" spans="2:16" ht="17.399999999999999">
      <c r="B9" s="199" t="s">
        <v>1697</v>
      </c>
      <c r="C9" s="200">
        <f>SUM(C10:C19)</f>
        <v>0</v>
      </c>
      <c r="D9" s="200">
        <f>SUM(D10:D19)</f>
        <v>0</v>
      </c>
      <c r="E9" s="633">
        <f>SUM(E10:E19)</f>
        <v>0</v>
      </c>
      <c r="F9" s="2391">
        <f t="shared" ref="F9:K9" si="1">SUM(F10:F19)</f>
        <v>0</v>
      </c>
      <c r="G9" s="2391">
        <f t="shared" si="1"/>
        <v>0</v>
      </c>
      <c r="H9" s="2391">
        <f t="shared" si="1"/>
        <v>0</v>
      </c>
      <c r="I9" s="2391">
        <f t="shared" si="1"/>
        <v>0</v>
      </c>
      <c r="J9" s="2391">
        <f t="shared" si="1"/>
        <v>0</v>
      </c>
      <c r="K9" s="2391">
        <f t="shared" si="1"/>
        <v>0</v>
      </c>
      <c r="L9" s="380"/>
    </row>
    <row r="10" spans="2:16" ht="19.2" customHeight="1">
      <c r="B10" s="201" t="s">
        <v>1171</v>
      </c>
      <c r="C10" s="202"/>
      <c r="D10" s="202"/>
      <c r="E10" s="637"/>
      <c r="F10" s="2392">
        <v>0</v>
      </c>
      <c r="G10" s="2393">
        <f>F10*$G$4*$G$5</f>
        <v>0</v>
      </c>
      <c r="H10" s="2393">
        <f>$F10*$G$4*$H$5</f>
        <v>0</v>
      </c>
      <c r="I10" s="2393">
        <f>$F10*$I$4*I$5</f>
        <v>0</v>
      </c>
      <c r="J10" s="2393">
        <f t="shared" ref="J10:K10" si="2">$F10*$I$4*J$5</f>
        <v>0</v>
      </c>
      <c r="K10" s="2393">
        <f t="shared" si="2"/>
        <v>0</v>
      </c>
      <c r="L10" s="380"/>
    </row>
    <row r="11" spans="2:16" ht="18" hidden="1">
      <c r="B11" s="201"/>
      <c r="C11" s="202"/>
      <c r="D11" s="202"/>
      <c r="E11" s="637"/>
      <c r="F11" s="2392">
        <v>0</v>
      </c>
      <c r="G11" s="2393">
        <f>F11*$G$5</f>
        <v>0</v>
      </c>
      <c r="H11" s="2393">
        <f>F11*$H$5</f>
        <v>0</v>
      </c>
      <c r="I11" s="2393">
        <f t="shared" ref="I11:I63" si="3">F11*$I$5</f>
        <v>0</v>
      </c>
      <c r="J11" s="2393">
        <f t="shared" ref="J11:J63" si="4">F11*$J$5</f>
        <v>0</v>
      </c>
      <c r="K11" s="2393">
        <f t="shared" ref="K11:K19" si="5">F11*$K$5</f>
        <v>0</v>
      </c>
      <c r="L11" s="380"/>
    </row>
    <row r="12" spans="2:16" ht="18" hidden="1">
      <c r="B12" s="201"/>
      <c r="C12" s="217"/>
      <c r="D12" s="217"/>
      <c r="E12" s="634"/>
      <c r="F12" s="2392">
        <v>0</v>
      </c>
      <c r="G12" s="2393">
        <f>F12*$G$5</f>
        <v>0</v>
      </c>
      <c r="H12" s="2393">
        <f>F12*$H$5</f>
        <v>0</v>
      </c>
      <c r="I12" s="2393">
        <f t="shared" si="3"/>
        <v>0</v>
      </c>
      <c r="J12" s="2393">
        <f t="shared" si="4"/>
        <v>0</v>
      </c>
      <c r="K12" s="2393">
        <f t="shared" si="5"/>
        <v>0</v>
      </c>
      <c r="L12" s="226"/>
    </row>
    <row r="13" spans="2:16" ht="18" hidden="1">
      <c r="B13" s="201"/>
      <c r="C13" s="217"/>
      <c r="D13" s="217"/>
      <c r="E13" s="637"/>
      <c r="F13" s="2392">
        <v>0</v>
      </c>
      <c r="G13" s="2393">
        <f t="shared" ref="G13:G63" si="6">F13*$G$5</f>
        <v>0</v>
      </c>
      <c r="H13" s="2393">
        <f t="shared" ref="H13:H63" si="7">F13*$H$5</f>
        <v>0</v>
      </c>
      <c r="I13" s="2393">
        <f t="shared" si="3"/>
        <v>0</v>
      </c>
      <c r="J13" s="2393">
        <f t="shared" si="4"/>
        <v>0</v>
      </c>
      <c r="K13" s="2393">
        <f t="shared" si="5"/>
        <v>0</v>
      </c>
      <c r="L13" s="380"/>
    </row>
    <row r="14" spans="2:16" ht="18" hidden="1">
      <c r="B14" s="201"/>
      <c r="C14" s="202"/>
      <c r="D14" s="202"/>
      <c r="E14" s="637"/>
      <c r="F14" s="2392">
        <v>0</v>
      </c>
      <c r="G14" s="2393">
        <f t="shared" si="6"/>
        <v>0</v>
      </c>
      <c r="H14" s="2393">
        <f t="shared" si="7"/>
        <v>0</v>
      </c>
      <c r="I14" s="2393">
        <f t="shared" si="3"/>
        <v>0</v>
      </c>
      <c r="J14" s="2393">
        <f t="shared" si="4"/>
        <v>0</v>
      </c>
      <c r="K14" s="2393">
        <f t="shared" si="5"/>
        <v>0</v>
      </c>
      <c r="L14" s="380"/>
    </row>
    <row r="15" spans="2:16" ht="18" hidden="1">
      <c r="B15" s="201"/>
      <c r="C15" s="202"/>
      <c r="D15" s="202"/>
      <c r="E15" s="637"/>
      <c r="F15" s="2392">
        <v>0</v>
      </c>
      <c r="G15" s="2393">
        <f t="shared" si="6"/>
        <v>0</v>
      </c>
      <c r="H15" s="2393">
        <f t="shared" si="7"/>
        <v>0</v>
      </c>
      <c r="I15" s="2393">
        <f t="shared" si="3"/>
        <v>0</v>
      </c>
      <c r="J15" s="2393">
        <f t="shared" si="4"/>
        <v>0</v>
      </c>
      <c r="K15" s="2393">
        <f t="shared" si="5"/>
        <v>0</v>
      </c>
      <c r="L15" s="380"/>
    </row>
    <row r="16" spans="2:16" ht="18" hidden="1">
      <c r="B16" s="201"/>
      <c r="C16" s="217"/>
      <c r="E16" s="637"/>
      <c r="F16" s="2392">
        <v>0</v>
      </c>
      <c r="G16" s="2393">
        <f t="shared" si="6"/>
        <v>0</v>
      </c>
      <c r="H16" s="2393">
        <f t="shared" si="7"/>
        <v>0</v>
      </c>
      <c r="I16" s="2393">
        <f t="shared" si="3"/>
        <v>0</v>
      </c>
      <c r="J16" s="2393">
        <f t="shared" si="4"/>
        <v>0</v>
      </c>
      <c r="K16" s="2393">
        <f t="shared" si="5"/>
        <v>0</v>
      </c>
      <c r="L16" s="380"/>
    </row>
    <row r="17" spans="1:16" ht="18" hidden="1">
      <c r="B17" s="201"/>
      <c r="C17" s="202"/>
      <c r="E17" s="637"/>
      <c r="F17" s="2392">
        <v>0</v>
      </c>
      <c r="G17" s="2393">
        <f t="shared" si="6"/>
        <v>0</v>
      </c>
      <c r="H17" s="2393">
        <f t="shared" si="7"/>
        <v>0</v>
      </c>
      <c r="I17" s="2393">
        <f t="shared" si="3"/>
        <v>0</v>
      </c>
      <c r="J17" s="2393">
        <f t="shared" si="4"/>
        <v>0</v>
      </c>
      <c r="K17" s="2393">
        <f t="shared" si="5"/>
        <v>0</v>
      </c>
      <c r="L17" s="226"/>
    </row>
    <row r="18" spans="1:16" ht="18" hidden="1">
      <c r="B18" s="201"/>
      <c r="C18" s="202"/>
      <c r="D18" s="217"/>
      <c r="E18" s="637"/>
      <c r="F18" s="2392">
        <v>0</v>
      </c>
      <c r="G18" s="2393">
        <f t="shared" si="6"/>
        <v>0</v>
      </c>
      <c r="H18" s="2393">
        <f t="shared" si="7"/>
        <v>0</v>
      </c>
      <c r="I18" s="2393">
        <f t="shared" si="3"/>
        <v>0</v>
      </c>
      <c r="J18" s="2393">
        <f t="shared" si="4"/>
        <v>0</v>
      </c>
      <c r="K18" s="2393">
        <f t="shared" si="5"/>
        <v>0</v>
      </c>
      <c r="L18" s="380"/>
    </row>
    <row r="19" spans="1:16" ht="18" hidden="1">
      <c r="B19" s="201"/>
      <c r="C19" s="202"/>
      <c r="D19" s="202"/>
      <c r="E19" s="637"/>
      <c r="F19" s="2392">
        <v>0</v>
      </c>
      <c r="G19" s="2393">
        <f t="shared" si="6"/>
        <v>0</v>
      </c>
      <c r="H19" s="2393">
        <f t="shared" si="7"/>
        <v>0</v>
      </c>
      <c r="I19" s="2393">
        <f t="shared" si="3"/>
        <v>0</v>
      </c>
      <c r="J19" s="2393">
        <f t="shared" si="4"/>
        <v>0</v>
      </c>
      <c r="K19" s="2393">
        <f t="shared" si="5"/>
        <v>0</v>
      </c>
      <c r="L19" s="380"/>
    </row>
    <row r="20" spans="1:16" ht="22.8" customHeight="1">
      <c r="B20" s="204" t="s">
        <v>1698</v>
      </c>
      <c r="C20" s="200">
        <f>C21+C23</f>
        <v>0</v>
      </c>
      <c r="D20" s="200">
        <f t="shared" ref="D20:K20" si="8">D21+D23</f>
        <v>0</v>
      </c>
      <c r="E20" s="200">
        <f t="shared" si="8"/>
        <v>0</v>
      </c>
      <c r="F20" s="2391">
        <f t="shared" si="8"/>
        <v>847.94592</v>
      </c>
      <c r="G20" s="2391">
        <f t="shared" si="8"/>
        <v>107.17788727771158</v>
      </c>
      <c r="H20" s="2391">
        <f t="shared" si="8"/>
        <v>1.5959736691770516</v>
      </c>
      <c r="I20" s="2391">
        <f t="shared" si="8"/>
        <v>25.371324812994231</v>
      </c>
      <c r="J20" s="2391">
        <f t="shared" si="8"/>
        <v>713.80073424011721</v>
      </c>
      <c r="K20" s="2391">
        <f t="shared" si="8"/>
        <v>0</v>
      </c>
      <c r="L20" s="380"/>
      <c r="M20" s="2047"/>
    </row>
    <row r="21" spans="1:16" ht="36">
      <c r="B21" s="201" t="s">
        <v>1708</v>
      </c>
      <c r="C21" s="202"/>
      <c r="D21" s="202"/>
      <c r="E21" s="202"/>
      <c r="F21" s="231">
        <f>ФОП!F39/1000</f>
        <v>808.8</v>
      </c>
      <c r="G21" s="2393">
        <f>$F21*G$5</f>
        <v>102.22995734234222</v>
      </c>
      <c r="H21" s="2393">
        <f t="shared" ref="H21:K34" si="9">$F21*H$5</f>
        <v>1.5222946100506025</v>
      </c>
      <c r="I21" s="2393">
        <f t="shared" si="9"/>
        <v>24.200042744176109</v>
      </c>
      <c r="J21" s="2393">
        <f t="shared" si="9"/>
        <v>680.8477053034311</v>
      </c>
      <c r="K21" s="2393">
        <f t="shared" si="9"/>
        <v>0</v>
      </c>
      <c r="L21" s="2395">
        <f>F21-G21-H21-I21-J21-K21</f>
        <v>-1.1368683772161603E-13</v>
      </c>
      <c r="M21" s="2047"/>
    </row>
    <row r="22" spans="1:16" ht="18">
      <c r="B22" s="218" t="s">
        <v>1700</v>
      </c>
      <c r="C22" s="202"/>
      <c r="D22" s="202"/>
      <c r="E22" s="202"/>
      <c r="F22" s="231">
        <f>ФОП!F40/1000</f>
        <v>0</v>
      </c>
      <c r="G22" s="2393">
        <f t="shared" ref="G22:G23" si="10">$F22*G$5</f>
        <v>0</v>
      </c>
      <c r="H22" s="2393">
        <f t="shared" si="9"/>
        <v>0</v>
      </c>
      <c r="I22" s="2393">
        <f t="shared" si="9"/>
        <v>0</v>
      </c>
      <c r="J22" s="2393">
        <f t="shared" si="9"/>
        <v>0</v>
      </c>
      <c r="K22" s="2393">
        <f t="shared" si="9"/>
        <v>0</v>
      </c>
      <c r="L22" s="2395">
        <f t="shared" ref="L22:L49" si="11">F22-G22-H22-I22-J22-K22</f>
        <v>0</v>
      </c>
      <c r="M22" s="2047"/>
    </row>
    <row r="23" spans="1:16" ht="36">
      <c r="B23" s="201" t="s">
        <v>1709</v>
      </c>
      <c r="C23" s="202"/>
      <c r="D23" s="202"/>
      <c r="E23" s="202"/>
      <c r="F23" s="231">
        <f>ФОП!F41/1000</f>
        <v>39.145919999999997</v>
      </c>
      <c r="G23" s="2393">
        <f t="shared" si="10"/>
        <v>4.9479299353693627</v>
      </c>
      <c r="H23" s="2393">
        <f t="shared" si="9"/>
        <v>7.3679059126449162E-2</v>
      </c>
      <c r="I23" s="2393">
        <f t="shared" si="9"/>
        <v>1.1712820688181236</v>
      </c>
      <c r="J23" s="2393">
        <f t="shared" si="9"/>
        <v>32.953028936686067</v>
      </c>
      <c r="K23" s="2393">
        <f t="shared" si="9"/>
        <v>0</v>
      </c>
      <c r="L23" s="2395">
        <f t="shared" si="11"/>
        <v>-7.1054273576010019E-15</v>
      </c>
      <c r="M23" s="2047"/>
    </row>
    <row r="24" spans="1:16" s="205" customFormat="1" ht="69.599999999999994">
      <c r="A24" s="2060"/>
      <c r="B24" s="204" t="s">
        <v>1842</v>
      </c>
      <c r="C24" s="200">
        <f>SUM(C25:C36)</f>
        <v>0</v>
      </c>
      <c r="D24" s="200">
        <f>SUM(D25:D36)</f>
        <v>0</v>
      </c>
      <c r="E24" s="200">
        <f t="shared" ref="E24:K24" si="12">SUM(E25:E36)</f>
        <v>0</v>
      </c>
      <c r="F24" s="2391">
        <f t="shared" si="12"/>
        <v>1.3328398125000001</v>
      </c>
      <c r="G24" s="2391">
        <f t="shared" si="12"/>
        <v>0.16846705882300991</v>
      </c>
      <c r="H24" s="2391">
        <f t="shared" si="12"/>
        <v>2.5086237173956552E-3</v>
      </c>
      <c r="I24" s="2391">
        <f t="shared" si="12"/>
        <v>3.9879797766616806E-2</v>
      </c>
      <c r="J24" s="2391">
        <f t="shared" si="12"/>
        <v>1.1219843321929779</v>
      </c>
      <c r="K24" s="2391">
        <f t="shared" si="12"/>
        <v>0</v>
      </c>
      <c r="L24" s="2395">
        <f t="shared" si="11"/>
        <v>-2.2204460492503131E-16</v>
      </c>
      <c r="M24" s="2048"/>
      <c r="N24" s="2049"/>
      <c r="P24" s="192"/>
    </row>
    <row r="25" spans="1:16" ht="18">
      <c r="B25" s="1574" t="s">
        <v>749</v>
      </c>
      <c r="C25" s="216"/>
      <c r="D25" s="216"/>
      <c r="E25" s="216"/>
      <c r="F25" s="231"/>
      <c r="G25" s="2393">
        <f t="shared" ref="G25:G34" si="13">$F25*G$5</f>
        <v>0</v>
      </c>
      <c r="H25" s="2393">
        <f t="shared" si="9"/>
        <v>0</v>
      </c>
      <c r="I25" s="2393">
        <f t="shared" si="9"/>
        <v>0</v>
      </c>
      <c r="J25" s="2393">
        <f t="shared" si="9"/>
        <v>0</v>
      </c>
      <c r="K25" s="2393">
        <f t="shared" si="9"/>
        <v>0</v>
      </c>
      <c r="L25" s="2395">
        <f t="shared" si="11"/>
        <v>0</v>
      </c>
      <c r="M25" s="575"/>
      <c r="N25" s="575"/>
    </row>
    <row r="26" spans="1:16" ht="36">
      <c r="B26" s="1574" t="s">
        <v>751</v>
      </c>
      <c r="C26" s="216"/>
      <c r="D26" s="216"/>
      <c r="E26" s="216"/>
      <c r="F26" s="2394">
        <f>ВОДА!R31+ВОДА!S31</f>
        <v>1.3328398125000001</v>
      </c>
      <c r="G26" s="2393">
        <f t="shared" si="13"/>
        <v>0.16846705882300991</v>
      </c>
      <c r="H26" s="2393">
        <f t="shared" si="9"/>
        <v>2.5086237173956552E-3</v>
      </c>
      <c r="I26" s="2393">
        <f t="shared" si="9"/>
        <v>3.9879797766616806E-2</v>
      </c>
      <c r="J26" s="2393">
        <f t="shared" si="9"/>
        <v>1.1219843321929779</v>
      </c>
      <c r="K26" s="2393">
        <f t="shared" si="9"/>
        <v>0</v>
      </c>
      <c r="L26" s="2395">
        <f t="shared" si="11"/>
        <v>-2.2204460492503131E-16</v>
      </c>
      <c r="M26" s="2047"/>
    </row>
    <row r="27" spans="1:16" ht="18">
      <c r="B27" s="1574" t="s">
        <v>665</v>
      </c>
      <c r="C27" s="202"/>
      <c r="D27" s="202"/>
      <c r="E27" s="202"/>
      <c r="F27" s="231"/>
      <c r="G27" s="2393">
        <f t="shared" si="13"/>
        <v>0</v>
      </c>
      <c r="H27" s="2393">
        <f t="shared" si="9"/>
        <v>0</v>
      </c>
      <c r="I27" s="2393">
        <f t="shared" si="9"/>
        <v>0</v>
      </c>
      <c r="J27" s="2393">
        <f t="shared" si="9"/>
        <v>0</v>
      </c>
      <c r="K27" s="2393">
        <f t="shared" si="9"/>
        <v>0</v>
      </c>
      <c r="L27" s="2395">
        <f t="shared" si="11"/>
        <v>0</v>
      </c>
      <c r="M27" s="2050"/>
    </row>
    <row r="28" spans="1:16" ht="18">
      <c r="B28" s="1574" t="s">
        <v>755</v>
      </c>
      <c r="C28" s="203"/>
      <c r="D28" s="203"/>
      <c r="E28" s="203"/>
      <c r="F28" s="2393"/>
      <c r="G28" s="2393">
        <f t="shared" si="13"/>
        <v>0</v>
      </c>
      <c r="H28" s="2393">
        <f t="shared" si="9"/>
        <v>0</v>
      </c>
      <c r="I28" s="2393">
        <f t="shared" si="9"/>
        <v>0</v>
      </c>
      <c r="J28" s="2393">
        <f t="shared" si="9"/>
        <v>0</v>
      </c>
      <c r="K28" s="2393">
        <f t="shared" si="9"/>
        <v>0</v>
      </c>
      <c r="L28" s="2395">
        <f t="shared" si="11"/>
        <v>0</v>
      </c>
      <c r="M28" s="575"/>
      <c r="N28" s="575"/>
    </row>
    <row r="29" spans="1:16" ht="18">
      <c r="B29" s="2043" t="s">
        <v>1838</v>
      </c>
      <c r="C29" s="203"/>
      <c r="E29" s="203"/>
      <c r="F29" s="2393"/>
      <c r="G29" s="2393">
        <f t="shared" si="13"/>
        <v>0</v>
      </c>
      <c r="H29" s="2393">
        <f t="shared" si="9"/>
        <v>0</v>
      </c>
      <c r="I29" s="2393">
        <f t="shared" si="9"/>
        <v>0</v>
      </c>
      <c r="J29" s="2393">
        <f t="shared" si="9"/>
        <v>0</v>
      </c>
      <c r="K29" s="2393">
        <f t="shared" si="9"/>
        <v>0</v>
      </c>
      <c r="L29" s="2395">
        <f t="shared" si="11"/>
        <v>0</v>
      </c>
    </row>
    <row r="30" spans="1:16" ht="18">
      <c r="B30" s="1574" t="s">
        <v>756</v>
      </c>
      <c r="C30" s="203"/>
      <c r="D30" s="203"/>
      <c r="E30" s="203"/>
      <c r="F30" s="2393"/>
      <c r="G30" s="2393">
        <f t="shared" si="13"/>
        <v>0</v>
      </c>
      <c r="H30" s="2393">
        <f t="shared" si="9"/>
        <v>0</v>
      </c>
      <c r="I30" s="2393">
        <f t="shared" si="9"/>
        <v>0</v>
      </c>
      <c r="J30" s="2393">
        <f t="shared" si="9"/>
        <v>0</v>
      </c>
      <c r="K30" s="2393">
        <f t="shared" si="9"/>
        <v>0</v>
      </c>
      <c r="L30" s="2395">
        <f t="shared" si="11"/>
        <v>0</v>
      </c>
    </row>
    <row r="31" spans="1:16" ht="18">
      <c r="B31" s="2043" t="s">
        <v>1840</v>
      </c>
      <c r="C31" s="203"/>
      <c r="D31" s="203"/>
      <c r="E31" s="202"/>
      <c r="F31" s="231"/>
      <c r="G31" s="2393">
        <f t="shared" si="13"/>
        <v>0</v>
      </c>
      <c r="H31" s="2393">
        <f t="shared" si="9"/>
        <v>0</v>
      </c>
      <c r="I31" s="2393">
        <f t="shared" si="9"/>
        <v>0</v>
      </c>
      <c r="J31" s="2393">
        <f t="shared" si="9"/>
        <v>0</v>
      </c>
      <c r="K31" s="2393">
        <f t="shared" si="9"/>
        <v>0</v>
      </c>
      <c r="L31" s="2395">
        <f t="shared" si="11"/>
        <v>0</v>
      </c>
    </row>
    <row r="32" spans="1:16" ht="21" customHeight="1">
      <c r="B32" s="1574" t="s">
        <v>1843</v>
      </c>
      <c r="C32" s="203"/>
      <c r="D32" s="203"/>
      <c r="E32" s="203"/>
      <c r="F32" s="231"/>
      <c r="G32" s="2393">
        <f t="shared" si="13"/>
        <v>0</v>
      </c>
      <c r="H32" s="2393">
        <f t="shared" si="9"/>
        <v>0</v>
      </c>
      <c r="I32" s="2393">
        <f t="shared" si="9"/>
        <v>0</v>
      </c>
      <c r="J32" s="2393">
        <f t="shared" si="9"/>
        <v>0</v>
      </c>
      <c r="K32" s="2393">
        <f t="shared" si="9"/>
        <v>0</v>
      </c>
      <c r="L32" s="2395">
        <f t="shared" si="11"/>
        <v>0</v>
      </c>
    </row>
    <row r="33" spans="1:18" ht="19.2" customHeight="1">
      <c r="B33" s="1574" t="s">
        <v>1844</v>
      </c>
      <c r="C33" s="203"/>
      <c r="D33" s="203"/>
      <c r="E33" s="203"/>
      <c r="F33" s="231"/>
      <c r="G33" s="2393">
        <f t="shared" si="13"/>
        <v>0</v>
      </c>
      <c r="H33" s="2393">
        <f t="shared" si="9"/>
        <v>0</v>
      </c>
      <c r="I33" s="2393">
        <f t="shared" si="9"/>
        <v>0</v>
      </c>
      <c r="J33" s="2393">
        <f t="shared" si="9"/>
        <v>0</v>
      </c>
      <c r="K33" s="2393">
        <f t="shared" si="9"/>
        <v>0</v>
      </c>
      <c r="L33" s="2395">
        <f t="shared" si="11"/>
        <v>0</v>
      </c>
    </row>
    <row r="34" spans="1:18" ht="18">
      <c r="B34" s="1574" t="s">
        <v>1847</v>
      </c>
      <c r="C34" s="203"/>
      <c r="E34" s="203"/>
      <c r="F34" s="231"/>
      <c r="G34" s="2393">
        <f t="shared" si="13"/>
        <v>0</v>
      </c>
      <c r="H34" s="2393">
        <f t="shared" si="9"/>
        <v>0</v>
      </c>
      <c r="I34" s="2393">
        <f t="shared" si="9"/>
        <v>0</v>
      </c>
      <c r="J34" s="2393">
        <f t="shared" si="9"/>
        <v>0</v>
      </c>
      <c r="K34" s="2393">
        <f t="shared" si="9"/>
        <v>0</v>
      </c>
      <c r="L34" s="2395">
        <f t="shared" si="11"/>
        <v>0</v>
      </c>
    </row>
    <row r="35" spans="1:18" ht="18" hidden="1">
      <c r="B35" s="1574"/>
      <c r="C35" s="203"/>
      <c r="D35" s="203"/>
      <c r="E35" s="203"/>
      <c r="F35" s="231">
        <v>0</v>
      </c>
      <c r="G35" s="2393">
        <f t="shared" ref="G35:G39" si="14">F35*$G$4*$G$5</f>
        <v>0</v>
      </c>
      <c r="H35" s="2393">
        <f t="shared" ref="H35:H39" si="15">$F35*$G$4*$H$5</f>
        <v>0</v>
      </c>
      <c r="I35" s="2393">
        <f t="shared" ref="I35:I39" si="16">$F35*$I$4*I$5</f>
        <v>0</v>
      </c>
      <c r="J35" s="2393">
        <f t="shared" ref="J35:K39" si="17">$F35*$I$4*J$5</f>
        <v>0</v>
      </c>
      <c r="K35" s="2393">
        <f t="shared" si="17"/>
        <v>0</v>
      </c>
      <c r="L35" s="2395">
        <f t="shared" si="11"/>
        <v>0</v>
      </c>
    </row>
    <row r="36" spans="1:18" ht="18" hidden="1">
      <c r="B36" s="1574"/>
      <c r="C36" s="203"/>
      <c r="D36" s="203"/>
      <c r="E36" s="202"/>
      <c r="F36" s="231">
        <v>0</v>
      </c>
      <c r="G36" s="2393">
        <f t="shared" si="14"/>
        <v>0</v>
      </c>
      <c r="H36" s="2393">
        <f t="shared" si="15"/>
        <v>0</v>
      </c>
      <c r="I36" s="2393">
        <f t="shared" si="16"/>
        <v>0</v>
      </c>
      <c r="J36" s="2393">
        <f t="shared" si="17"/>
        <v>0</v>
      </c>
      <c r="K36" s="2393">
        <f t="shared" si="17"/>
        <v>0</v>
      </c>
      <c r="L36" s="2395">
        <f t="shared" si="11"/>
        <v>0</v>
      </c>
      <c r="M36" s="2050"/>
    </row>
    <row r="37" spans="1:18" s="205" customFormat="1" ht="35.4">
      <c r="A37" s="192"/>
      <c r="B37" s="1575" t="s">
        <v>1703</v>
      </c>
      <c r="C37" s="206"/>
      <c r="D37" s="206"/>
      <c r="E37" s="206"/>
      <c r="F37" s="2389">
        <f>Амортизація!G20/1000</f>
        <v>4.1942399999999997</v>
      </c>
      <c r="G37" s="2393">
        <f>$F37*G$5</f>
        <v>0.53013968383227672</v>
      </c>
      <c r="H37" s="2393">
        <f t="shared" ref="H37:K37" si="18">$F37*H$5</f>
        <v>7.8942494377579608E-3</v>
      </c>
      <c r="I37" s="2393">
        <f t="shared" si="18"/>
        <v>0.12549553323359694</v>
      </c>
      <c r="J37" s="2393">
        <f t="shared" si="18"/>
        <v>3.5307105334963684</v>
      </c>
      <c r="K37" s="2393">
        <f t="shared" si="18"/>
        <v>0</v>
      </c>
      <c r="L37" s="2395">
        <f t="shared" si="11"/>
        <v>0</v>
      </c>
      <c r="M37" s="2050"/>
      <c r="N37" s="2050"/>
      <c r="O37" s="192"/>
    </row>
    <row r="38" spans="1:18" s="205" customFormat="1" ht="18" hidden="1">
      <c r="A38" s="192"/>
      <c r="B38" s="1575"/>
      <c r="C38" s="206"/>
      <c r="D38" s="206"/>
      <c r="E38" s="206"/>
      <c r="F38" s="2389">
        <v>0</v>
      </c>
      <c r="G38" s="2393">
        <f t="shared" si="14"/>
        <v>0</v>
      </c>
      <c r="H38" s="2393">
        <f t="shared" si="15"/>
        <v>0</v>
      </c>
      <c r="I38" s="2393">
        <f t="shared" si="16"/>
        <v>0</v>
      </c>
      <c r="J38" s="2393">
        <f t="shared" si="17"/>
        <v>0</v>
      </c>
      <c r="K38" s="2393">
        <f t="shared" si="17"/>
        <v>0</v>
      </c>
      <c r="L38" s="2395">
        <f t="shared" si="11"/>
        <v>0</v>
      </c>
      <c r="M38" s="2050"/>
      <c r="N38" s="2050"/>
      <c r="O38" s="192"/>
    </row>
    <row r="39" spans="1:18" s="205" customFormat="1" ht="39" hidden="1" customHeight="1">
      <c r="A39" s="192"/>
      <c r="B39" s="1575"/>
      <c r="C39" s="206"/>
      <c r="D39" s="206"/>
      <c r="E39" s="206"/>
      <c r="F39" s="2389">
        <v>0</v>
      </c>
      <c r="G39" s="2393">
        <f t="shared" si="14"/>
        <v>0</v>
      </c>
      <c r="H39" s="2393">
        <f t="shared" si="15"/>
        <v>0</v>
      </c>
      <c r="I39" s="2393">
        <f t="shared" si="16"/>
        <v>0</v>
      </c>
      <c r="J39" s="2393">
        <f t="shared" si="17"/>
        <v>0</v>
      </c>
      <c r="K39" s="2393">
        <f t="shared" si="17"/>
        <v>0</v>
      </c>
      <c r="L39" s="2395">
        <f t="shared" si="11"/>
        <v>0</v>
      </c>
      <c r="M39" s="2905"/>
      <c r="N39" s="2905"/>
      <c r="O39" s="2905"/>
    </row>
    <row r="40" spans="1:18" ht="39" customHeight="1">
      <c r="A40" s="2060"/>
      <c r="B40" s="204" t="s">
        <v>1841</v>
      </c>
      <c r="C40" s="206"/>
      <c r="D40" s="206"/>
      <c r="E40" s="206"/>
      <c r="F40" s="2389">
        <f t="shared" ref="F40:K40" si="19">SUM(F41:F63)</f>
        <v>0</v>
      </c>
      <c r="G40" s="2389">
        <f t="shared" si="19"/>
        <v>0</v>
      </c>
      <c r="H40" s="2389">
        <f t="shared" si="19"/>
        <v>0</v>
      </c>
      <c r="I40" s="2389">
        <f t="shared" si="19"/>
        <v>0</v>
      </c>
      <c r="J40" s="2389">
        <f t="shared" si="19"/>
        <v>0</v>
      </c>
      <c r="K40" s="2389">
        <f t="shared" si="19"/>
        <v>0</v>
      </c>
      <c r="L40" s="2395">
        <f t="shared" si="11"/>
        <v>0</v>
      </c>
      <c r="M40" s="2049"/>
      <c r="N40" s="2049"/>
      <c r="O40" s="1576"/>
      <c r="P40" s="1576"/>
      <c r="Q40" s="1576"/>
      <c r="R40" s="1576"/>
    </row>
    <row r="41" spans="1:18" ht="21.6" customHeight="1">
      <c r="B41" s="207" t="s">
        <v>1845</v>
      </c>
      <c r="C41" s="202"/>
      <c r="D41" s="202"/>
      <c r="E41" s="202"/>
      <c r="F41" s="231"/>
      <c r="G41" s="2393">
        <f t="shared" ref="G41:K49" si="20">$F41*G$5</f>
        <v>0</v>
      </c>
      <c r="H41" s="2393">
        <f t="shared" si="20"/>
        <v>0</v>
      </c>
      <c r="I41" s="2393">
        <f t="shared" si="20"/>
        <v>0</v>
      </c>
      <c r="J41" s="2393">
        <f t="shared" si="20"/>
        <v>0</v>
      </c>
      <c r="K41" s="2393">
        <f t="shared" si="20"/>
        <v>0</v>
      </c>
      <c r="L41" s="2395">
        <f t="shared" si="11"/>
        <v>0</v>
      </c>
      <c r="M41" s="2049"/>
      <c r="N41" s="2049"/>
      <c r="O41" s="1576"/>
      <c r="P41" s="1576"/>
      <c r="Q41" s="1576"/>
      <c r="R41" s="1576"/>
    </row>
    <row r="42" spans="1:18" ht="19.2" customHeight="1">
      <c r="B42" s="207" t="s">
        <v>757</v>
      </c>
      <c r="C42" s="202"/>
      <c r="D42" s="202"/>
      <c r="E42" s="202"/>
      <c r="F42" s="231"/>
      <c r="G42" s="2393">
        <f t="shared" si="20"/>
        <v>0</v>
      </c>
      <c r="H42" s="2393">
        <f t="shared" si="20"/>
        <v>0</v>
      </c>
      <c r="I42" s="2393">
        <f t="shared" si="20"/>
        <v>0</v>
      </c>
      <c r="J42" s="2393">
        <f t="shared" si="20"/>
        <v>0</v>
      </c>
      <c r="K42" s="2393">
        <f t="shared" si="20"/>
        <v>0</v>
      </c>
      <c r="L42" s="2395">
        <f t="shared" si="11"/>
        <v>0</v>
      </c>
    </row>
    <row r="43" spans="1:18" ht="18.75" customHeight="1">
      <c r="B43" s="201" t="s">
        <v>750</v>
      </c>
      <c r="C43" s="202"/>
      <c r="D43" s="202"/>
      <c r="E43" s="202"/>
      <c r="F43" s="231"/>
      <c r="G43" s="2393">
        <f t="shared" si="20"/>
        <v>0</v>
      </c>
      <c r="H43" s="2393">
        <f t="shared" si="20"/>
        <v>0</v>
      </c>
      <c r="I43" s="2393">
        <f t="shared" si="20"/>
        <v>0</v>
      </c>
      <c r="J43" s="2393">
        <f t="shared" si="20"/>
        <v>0</v>
      </c>
      <c r="K43" s="2393">
        <f t="shared" si="20"/>
        <v>0</v>
      </c>
      <c r="L43" s="2395">
        <f t="shared" si="11"/>
        <v>0</v>
      </c>
    </row>
    <row r="44" spans="1:18" ht="18.75" customHeight="1">
      <c r="B44" s="218" t="s">
        <v>1710</v>
      </c>
      <c r="C44" s="202"/>
      <c r="D44" s="202"/>
      <c r="E44" s="202"/>
      <c r="F44" s="231"/>
      <c r="G44" s="2393">
        <f t="shared" si="20"/>
        <v>0</v>
      </c>
      <c r="H44" s="2393">
        <f t="shared" si="20"/>
        <v>0</v>
      </c>
      <c r="I44" s="2393">
        <f t="shared" si="20"/>
        <v>0</v>
      </c>
      <c r="J44" s="2393">
        <f t="shared" si="20"/>
        <v>0</v>
      </c>
      <c r="K44" s="2393">
        <f t="shared" si="20"/>
        <v>0</v>
      </c>
      <c r="L44" s="2395">
        <f t="shared" si="11"/>
        <v>0</v>
      </c>
    </row>
    <row r="45" spans="1:18" ht="18.75" customHeight="1">
      <c r="B45" s="218" t="s">
        <v>1711</v>
      </c>
      <c r="C45" s="202"/>
      <c r="D45" s="202"/>
      <c r="E45" s="202"/>
      <c r="F45" s="231"/>
      <c r="G45" s="2393">
        <f t="shared" si="20"/>
        <v>0</v>
      </c>
      <c r="H45" s="2393">
        <f t="shared" si="20"/>
        <v>0</v>
      </c>
      <c r="I45" s="2393">
        <f t="shared" si="20"/>
        <v>0</v>
      </c>
      <c r="J45" s="2393">
        <f t="shared" si="20"/>
        <v>0</v>
      </c>
      <c r="K45" s="2393">
        <f t="shared" si="20"/>
        <v>0</v>
      </c>
      <c r="L45" s="2395">
        <f t="shared" si="11"/>
        <v>0</v>
      </c>
      <c r="M45" s="575"/>
    </row>
    <row r="46" spans="1:18" ht="18.75" customHeight="1">
      <c r="B46" s="207" t="s">
        <v>927</v>
      </c>
      <c r="C46" s="202"/>
      <c r="D46" s="202"/>
      <c r="E46" s="202"/>
      <c r="F46" s="231"/>
      <c r="G46" s="2393">
        <f t="shared" si="20"/>
        <v>0</v>
      </c>
      <c r="H46" s="2393">
        <f t="shared" si="20"/>
        <v>0</v>
      </c>
      <c r="I46" s="2393">
        <f t="shared" si="20"/>
        <v>0</v>
      </c>
      <c r="J46" s="2393">
        <f t="shared" si="20"/>
        <v>0</v>
      </c>
      <c r="K46" s="2393">
        <f t="shared" si="20"/>
        <v>0</v>
      </c>
      <c r="L46" s="2395">
        <f t="shared" si="11"/>
        <v>0</v>
      </c>
      <c r="M46" s="2051"/>
    </row>
    <row r="47" spans="1:18" ht="18.75" customHeight="1">
      <c r="B47" s="207" t="s">
        <v>763</v>
      </c>
      <c r="C47" s="202"/>
      <c r="D47" s="202"/>
      <c r="E47" s="202"/>
      <c r="F47" s="231"/>
      <c r="G47" s="2393">
        <f t="shared" si="20"/>
        <v>0</v>
      </c>
      <c r="H47" s="2393">
        <f t="shared" si="20"/>
        <v>0</v>
      </c>
      <c r="I47" s="2393">
        <f t="shared" si="20"/>
        <v>0</v>
      </c>
      <c r="J47" s="2393">
        <f t="shared" si="20"/>
        <v>0</v>
      </c>
      <c r="K47" s="2393">
        <f t="shared" si="20"/>
        <v>0</v>
      </c>
      <c r="L47" s="2395">
        <f t="shared" si="11"/>
        <v>0</v>
      </c>
      <c r="M47" s="2051"/>
    </row>
    <row r="48" spans="1:18" ht="18.75" customHeight="1">
      <c r="B48" s="201" t="s">
        <v>1712</v>
      </c>
      <c r="C48" s="202"/>
      <c r="D48" s="202"/>
      <c r="E48" s="202"/>
      <c r="F48" s="231"/>
      <c r="G48" s="2393">
        <f t="shared" si="20"/>
        <v>0</v>
      </c>
      <c r="H48" s="2393">
        <f t="shared" si="20"/>
        <v>0</v>
      </c>
      <c r="I48" s="2393">
        <f t="shared" si="20"/>
        <v>0</v>
      </c>
      <c r="J48" s="2393">
        <f t="shared" si="20"/>
        <v>0</v>
      </c>
      <c r="K48" s="2393">
        <f t="shared" si="20"/>
        <v>0</v>
      </c>
      <c r="L48" s="2395">
        <f t="shared" si="11"/>
        <v>0</v>
      </c>
      <c r="M48" s="2051"/>
    </row>
    <row r="49" spans="2:14" ht="20.399999999999999" customHeight="1">
      <c r="B49" s="207" t="s">
        <v>1846</v>
      </c>
      <c r="C49" s="202"/>
      <c r="D49" s="202"/>
      <c r="E49" s="202"/>
      <c r="F49" s="231"/>
      <c r="G49" s="2393">
        <f t="shared" si="20"/>
        <v>0</v>
      </c>
      <c r="H49" s="2393">
        <f t="shared" si="20"/>
        <v>0</v>
      </c>
      <c r="I49" s="2393">
        <f t="shared" si="20"/>
        <v>0</v>
      </c>
      <c r="J49" s="2393">
        <f t="shared" si="20"/>
        <v>0</v>
      </c>
      <c r="K49" s="2393">
        <f t="shared" si="20"/>
        <v>0</v>
      </c>
      <c r="L49" s="2395">
        <f t="shared" si="11"/>
        <v>0</v>
      </c>
      <c r="M49" s="575"/>
      <c r="N49" s="575"/>
    </row>
    <row r="50" spans="2:14" ht="18" hidden="1">
      <c r="B50" s="201"/>
      <c r="C50" s="202"/>
      <c r="D50" s="202"/>
      <c r="E50" s="202"/>
      <c r="F50" s="202">
        <v>0</v>
      </c>
      <c r="G50" s="203">
        <f t="shared" ref="G50" si="21">F50*$G$4*$G$5</f>
        <v>0</v>
      </c>
      <c r="H50" s="203">
        <f t="shared" ref="H50" si="22">$F50*$G$4*$H$5</f>
        <v>0</v>
      </c>
      <c r="I50" s="203">
        <f t="shared" ref="I50:K50" si="23">$F50*$I$4*I$5</f>
        <v>0</v>
      </c>
      <c r="J50" s="203">
        <f t="shared" si="23"/>
        <v>0</v>
      </c>
      <c r="K50" s="203">
        <f t="shared" si="23"/>
        <v>0</v>
      </c>
      <c r="L50" s="380"/>
      <c r="M50" s="2051"/>
    </row>
    <row r="51" spans="2:14" ht="18" hidden="1">
      <c r="B51" s="207"/>
      <c r="C51" s="2045"/>
      <c r="D51" s="2045"/>
      <c r="E51" s="2045"/>
      <c r="F51" s="2045">
        <v>0</v>
      </c>
      <c r="G51" s="1985">
        <f t="shared" si="6"/>
        <v>0</v>
      </c>
      <c r="H51" s="1985">
        <f t="shared" si="7"/>
        <v>0</v>
      </c>
      <c r="I51" s="1985">
        <f t="shared" si="3"/>
        <v>0</v>
      </c>
      <c r="J51" s="1985">
        <f t="shared" si="4"/>
        <v>0</v>
      </c>
      <c r="K51" s="1985">
        <f>F51*$K$5</f>
        <v>0</v>
      </c>
      <c r="L51" s="214"/>
      <c r="M51" s="2051"/>
    </row>
    <row r="52" spans="2:14" ht="18" hidden="1">
      <c r="B52" s="207"/>
      <c r="C52" s="202"/>
      <c r="D52" s="202"/>
      <c r="E52" s="202"/>
      <c r="F52" s="202">
        <v>0</v>
      </c>
      <c r="G52" s="203">
        <f t="shared" si="6"/>
        <v>0</v>
      </c>
      <c r="H52" s="203">
        <f t="shared" si="7"/>
        <v>0</v>
      </c>
      <c r="I52" s="203">
        <f t="shared" si="3"/>
        <v>0</v>
      </c>
      <c r="J52" s="203">
        <f t="shared" si="4"/>
        <v>0</v>
      </c>
      <c r="K52" s="203">
        <f>F52*$K$5</f>
        <v>0</v>
      </c>
      <c r="L52" s="214"/>
      <c r="M52" s="2050"/>
      <c r="N52" s="2050"/>
    </row>
    <row r="53" spans="2:14" ht="18" hidden="1">
      <c r="B53" s="207"/>
      <c r="C53" s="202"/>
      <c r="D53" s="202"/>
      <c r="E53" s="202"/>
      <c r="F53" s="202">
        <v>0</v>
      </c>
      <c r="G53" s="203">
        <f t="shared" si="6"/>
        <v>0</v>
      </c>
      <c r="H53" s="203">
        <f t="shared" si="7"/>
        <v>0</v>
      </c>
      <c r="I53" s="203">
        <f t="shared" si="3"/>
        <v>0</v>
      </c>
      <c r="J53" s="203">
        <f t="shared" si="4"/>
        <v>0</v>
      </c>
      <c r="K53" s="203">
        <f>F53*$K$5</f>
        <v>0</v>
      </c>
      <c r="L53" s="214"/>
      <c r="M53" s="2051"/>
    </row>
    <row r="54" spans="2:14" ht="18" hidden="1">
      <c r="B54" s="207"/>
      <c r="C54" s="202"/>
      <c r="D54" s="202"/>
      <c r="E54" s="202"/>
      <c r="F54" s="202">
        <v>0</v>
      </c>
      <c r="G54" s="203">
        <f t="shared" si="6"/>
        <v>0</v>
      </c>
      <c r="H54" s="203">
        <f t="shared" si="7"/>
        <v>0</v>
      </c>
      <c r="I54" s="203">
        <f t="shared" si="3"/>
        <v>0</v>
      </c>
      <c r="J54" s="203">
        <f t="shared" si="4"/>
        <v>0</v>
      </c>
      <c r="K54" s="203">
        <f>F54*$K$5</f>
        <v>0</v>
      </c>
      <c r="L54" s="214"/>
      <c r="M54" s="2051"/>
    </row>
    <row r="55" spans="2:14" ht="18" hidden="1">
      <c r="B55" s="201"/>
      <c r="C55" s="202"/>
      <c r="D55" s="202"/>
      <c r="E55" s="202"/>
      <c r="F55" s="202">
        <v>0</v>
      </c>
      <c r="G55" s="203">
        <f t="shared" si="6"/>
        <v>0</v>
      </c>
      <c r="H55" s="203">
        <f t="shared" si="7"/>
        <v>0</v>
      </c>
      <c r="I55" s="203">
        <f t="shared" si="3"/>
        <v>0</v>
      </c>
      <c r="J55" s="203">
        <f t="shared" si="4"/>
        <v>0</v>
      </c>
      <c r="K55" s="203">
        <f>F55*$K$5</f>
        <v>0</v>
      </c>
      <c r="L55" s="380"/>
    </row>
    <row r="56" spans="2:14" ht="18" hidden="1">
      <c r="B56" s="201"/>
      <c r="C56" s="202"/>
      <c r="D56" s="202"/>
      <c r="E56" s="202"/>
      <c r="F56" s="202">
        <v>0</v>
      </c>
      <c r="G56" s="203">
        <f t="shared" si="6"/>
        <v>0</v>
      </c>
      <c r="H56" s="203">
        <f t="shared" si="7"/>
        <v>0</v>
      </c>
      <c r="I56" s="203">
        <f t="shared" si="3"/>
        <v>0</v>
      </c>
      <c r="J56" s="203"/>
      <c r="K56" s="203"/>
      <c r="L56" s="380"/>
    </row>
    <row r="57" spans="2:14" ht="18" hidden="1">
      <c r="B57" s="218"/>
      <c r="C57" s="216"/>
      <c r="D57" s="216"/>
      <c r="E57" s="216"/>
      <c r="F57" s="202">
        <v>0</v>
      </c>
      <c r="G57" s="203">
        <f t="shared" si="6"/>
        <v>0</v>
      </c>
      <c r="H57" s="203">
        <f t="shared" si="7"/>
        <v>0</v>
      </c>
      <c r="I57" s="203">
        <f t="shared" si="3"/>
        <v>0</v>
      </c>
      <c r="J57" s="203">
        <f t="shared" si="4"/>
        <v>0</v>
      </c>
      <c r="K57" s="203">
        <f t="shared" ref="K57:K63" si="24">F57*$K$5</f>
        <v>0</v>
      </c>
      <c r="L57" s="380"/>
    </row>
    <row r="58" spans="2:14" ht="18" hidden="1">
      <c r="B58" s="218"/>
      <c r="C58" s="216"/>
      <c r="D58" s="216"/>
      <c r="E58" s="216"/>
      <c r="F58" s="202">
        <v>0</v>
      </c>
      <c r="G58" s="203">
        <f t="shared" si="6"/>
        <v>0</v>
      </c>
      <c r="H58" s="203">
        <f t="shared" si="7"/>
        <v>0</v>
      </c>
      <c r="I58" s="203">
        <f t="shared" si="3"/>
        <v>0</v>
      </c>
      <c r="J58" s="203">
        <f t="shared" si="4"/>
        <v>0</v>
      </c>
      <c r="K58" s="203">
        <f t="shared" si="24"/>
        <v>0</v>
      </c>
      <c r="L58" s="380"/>
    </row>
    <row r="59" spans="2:14" ht="18" hidden="1">
      <c r="B59" s="208"/>
      <c r="C59" s="202"/>
      <c r="D59" s="202"/>
      <c r="E59" s="202"/>
      <c r="F59" s="202">
        <v>0</v>
      </c>
      <c r="G59" s="203">
        <f t="shared" si="6"/>
        <v>0</v>
      </c>
      <c r="H59" s="203">
        <f t="shared" si="7"/>
        <v>0</v>
      </c>
      <c r="I59" s="203">
        <f t="shared" si="3"/>
        <v>0</v>
      </c>
      <c r="J59" s="203">
        <f t="shared" si="4"/>
        <v>0</v>
      </c>
      <c r="K59" s="203">
        <f t="shared" si="24"/>
        <v>0</v>
      </c>
      <c r="L59" s="380"/>
    </row>
    <row r="60" spans="2:14" ht="18" hidden="1">
      <c r="B60" s="219"/>
      <c r="C60" s="202"/>
      <c r="D60" s="202"/>
      <c r="E60" s="202"/>
      <c r="F60" s="202">
        <v>0</v>
      </c>
      <c r="G60" s="203">
        <f t="shared" si="6"/>
        <v>0</v>
      </c>
      <c r="H60" s="203">
        <f t="shared" si="7"/>
        <v>0</v>
      </c>
      <c r="I60" s="203">
        <f t="shared" si="3"/>
        <v>0</v>
      </c>
      <c r="J60" s="203">
        <f t="shared" si="4"/>
        <v>0</v>
      </c>
      <c r="K60" s="203">
        <f t="shared" si="24"/>
        <v>0</v>
      </c>
      <c r="L60" s="380"/>
    </row>
    <row r="61" spans="2:14" ht="18" hidden="1">
      <c r="B61" s="219"/>
      <c r="C61" s="216"/>
      <c r="D61" s="216"/>
      <c r="E61" s="216"/>
      <c r="F61" s="202">
        <v>0</v>
      </c>
      <c r="G61" s="203">
        <f t="shared" si="6"/>
        <v>0</v>
      </c>
      <c r="H61" s="203">
        <f t="shared" si="7"/>
        <v>0</v>
      </c>
      <c r="I61" s="203">
        <f t="shared" si="3"/>
        <v>0</v>
      </c>
      <c r="J61" s="203">
        <f t="shared" si="4"/>
        <v>0</v>
      </c>
      <c r="K61" s="203">
        <f t="shared" si="24"/>
        <v>0</v>
      </c>
      <c r="L61" s="380"/>
    </row>
    <row r="62" spans="2:14" ht="18" hidden="1">
      <c r="B62" s="201"/>
      <c r="C62" s="232"/>
      <c r="D62" s="232"/>
      <c r="E62" s="232"/>
      <c r="F62" s="202">
        <v>0</v>
      </c>
      <c r="G62" s="203">
        <f t="shared" si="6"/>
        <v>0</v>
      </c>
      <c r="H62" s="203">
        <f t="shared" si="7"/>
        <v>0</v>
      </c>
      <c r="I62" s="203">
        <f t="shared" si="3"/>
        <v>0</v>
      </c>
      <c r="J62" s="203">
        <f t="shared" si="4"/>
        <v>0</v>
      </c>
      <c r="K62" s="203">
        <f t="shared" si="24"/>
        <v>0</v>
      </c>
      <c r="L62" s="912"/>
    </row>
    <row r="63" spans="2:14" ht="18.600000000000001" hidden="1" thickBot="1">
      <c r="B63" s="220"/>
      <c r="C63" s="221"/>
      <c r="D63" s="221"/>
      <c r="E63" s="1581"/>
      <c r="F63" s="221">
        <v>0</v>
      </c>
      <c r="G63" s="209">
        <f t="shared" si="6"/>
        <v>0</v>
      </c>
      <c r="H63" s="209">
        <f t="shared" si="7"/>
        <v>0</v>
      </c>
      <c r="I63" s="209">
        <f t="shared" si="3"/>
        <v>0</v>
      </c>
      <c r="J63" s="209">
        <f t="shared" si="4"/>
        <v>0</v>
      </c>
      <c r="K63" s="209">
        <f t="shared" si="24"/>
        <v>0</v>
      </c>
      <c r="L63" s="214"/>
      <c r="M63" s="2051"/>
    </row>
    <row r="64" spans="2:14" ht="12.6" customHeight="1">
      <c r="E64" s="196"/>
      <c r="K64" s="246"/>
    </row>
    <row r="65" spans="2:11" ht="12.6" customHeight="1">
      <c r="K65" s="246"/>
    </row>
    <row r="66" spans="2:11" ht="24" customHeight="1">
      <c r="B66" s="210" t="str">
        <f>'Вхідні дані'!B13</f>
        <v>Директор підприємства</v>
      </c>
      <c r="C66" s="210"/>
      <c r="D66" s="210"/>
      <c r="E66" s="358" t="s">
        <v>754</v>
      </c>
      <c r="G66" s="2888" t="str">
        <f>'Вхідні дані'!F13</f>
        <v>Сергій НІКУЛЬЧА</v>
      </c>
      <c r="H66" s="2888"/>
      <c r="I66" s="2888"/>
      <c r="K66" s="246"/>
    </row>
    <row r="67" spans="2:11" ht="24" customHeight="1">
      <c r="B67" s="210"/>
      <c r="C67" s="210"/>
      <c r="D67" s="210"/>
      <c r="E67" s="358" t="s">
        <v>196</v>
      </c>
      <c r="G67" s="2889" t="s">
        <v>951</v>
      </c>
      <c r="H67" s="2889"/>
      <c r="I67" s="2889"/>
      <c r="K67" s="246"/>
    </row>
    <row r="68" spans="2:11" ht="24" customHeight="1">
      <c r="B68" s="210" t="str">
        <f>'Вхідні дані'!B16</f>
        <v>Головний бухгалтер</v>
      </c>
      <c r="C68" s="210"/>
      <c r="D68" s="210"/>
      <c r="E68" s="358" t="s">
        <v>754</v>
      </c>
      <c r="G68" s="2888" t="str">
        <f>'Вхідні дані'!F16</f>
        <v>Ольга ПЄТРОВА</v>
      </c>
      <c r="H68" s="2888"/>
      <c r="I68" s="2888"/>
      <c r="K68" s="246"/>
    </row>
    <row r="69" spans="2:11" ht="24" customHeight="1">
      <c r="B69" s="246"/>
      <c r="C69" s="246"/>
      <c r="D69" s="246"/>
      <c r="E69" s="358" t="s">
        <v>196</v>
      </c>
      <c r="G69" s="2889" t="s">
        <v>951</v>
      </c>
      <c r="H69" s="2889"/>
      <c r="I69" s="2889"/>
      <c r="K69" s="246"/>
    </row>
  </sheetData>
  <mergeCells count="10">
    <mergeCell ref="M39:O39"/>
    <mergeCell ref="G66:I66"/>
    <mergeCell ref="G67:I67"/>
    <mergeCell ref="G69:I69"/>
    <mergeCell ref="B4:B5"/>
    <mergeCell ref="G4:H4"/>
    <mergeCell ref="I4:K4"/>
    <mergeCell ref="G68:I68"/>
    <mergeCell ref="B6:B7"/>
    <mergeCell ref="G6:J6"/>
  </mergeCells>
  <conditionalFormatting sqref="B69:I69 K64:K69">
    <cfRule type="expression" dxfId="11" priority="14" stopIfTrue="1">
      <formula>ABS(#REF!-(#REF!+$D64+#REF!+$L64))&gt;отклонение</formula>
    </cfRule>
  </conditionalFormatting>
  <conditionalFormatting sqref="G69:I69 B69:D69">
    <cfRule type="expression" dxfId="10" priority="18" stopIfTrue="1">
      <formula>ABS(#REF!-(#REF!+$D69+#REF!+$L69))&gt;отклонение</formula>
    </cfRule>
  </conditionalFormatting>
  <conditionalFormatting sqref="G69:I69">
    <cfRule type="expression" dxfId="9" priority="13" stopIfTrue="1">
      <formula>ABS(#REF!-(#REF!+#REF!+#REF!+$K69))&gt;отклонение</formula>
    </cfRule>
    <cfRule type="expression" dxfId="8" priority="16" stopIfTrue="1">
      <formula>ABS(#REF!-(#REF!+$D69+#REF!+$L69))&gt;отклонение</formula>
    </cfRule>
    <cfRule type="expression" dxfId="7" priority="17" stopIfTrue="1">
      <formula>ABS(#REF!-(#REF!+$E69+#REF!+$K69))&gt;отклонение</formula>
    </cfRule>
  </conditionalFormatting>
  <pageMargins left="0.70866141732283472" right="0.70866141732283472" top="0.74803149606299213" bottom="0.74803149606299213" header="0.31496062992125984" footer="0.31496062992125984"/>
  <pageSetup paperSize="9" scale="49"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theme="9"/>
    <pageSetUpPr fitToPage="1"/>
  </sheetPr>
  <dimension ref="A1:E42"/>
  <sheetViews>
    <sheetView topLeftCell="A22" workbookViewId="0">
      <selection activeCell="A23" sqref="A23:B23"/>
    </sheetView>
  </sheetViews>
  <sheetFormatPr defaultColWidth="9.109375" defaultRowHeight="13.8"/>
  <cols>
    <col min="1" max="1" width="62" style="9" customWidth="1"/>
    <col min="2" max="2" width="37" style="9" customWidth="1"/>
    <col min="3" max="3" width="15.88671875" style="9" customWidth="1"/>
    <col min="4" max="16384" width="9.109375" style="9"/>
  </cols>
  <sheetData>
    <row r="1" spans="1:3">
      <c r="B1" s="9" t="s">
        <v>429</v>
      </c>
    </row>
    <row r="2" spans="1:3" ht="108.75" customHeight="1">
      <c r="B2" s="86" t="s">
        <v>510</v>
      </c>
    </row>
    <row r="3" spans="1:3">
      <c r="B3" s="86"/>
    </row>
    <row r="4" spans="1:3">
      <c r="B4" s="298" t="s">
        <v>430</v>
      </c>
    </row>
    <row r="5" spans="1:3" ht="27.6">
      <c r="B5" s="658" t="s">
        <v>1249</v>
      </c>
    </row>
    <row r="6" spans="1:3">
      <c r="B6" s="660" t="s">
        <v>431</v>
      </c>
    </row>
    <row r="7" spans="1:3" ht="27.6">
      <c r="B7" s="658" t="s">
        <v>1252</v>
      </c>
    </row>
    <row r="10" spans="1:3" ht="16.8">
      <c r="A10" s="2525" t="s">
        <v>407</v>
      </c>
      <c r="B10" s="2525"/>
    </row>
    <row r="11" spans="1:3" ht="16.8">
      <c r="A11" s="2525" t="s">
        <v>1248</v>
      </c>
      <c r="B11" s="2525"/>
    </row>
    <row r="12" spans="1:3" ht="33.6" customHeight="1">
      <c r="A12" s="2529" t="str">
        <f>'Вхідні дані'!C2</f>
        <v>на теплову енергію, її виробництво та постачання, послуги з постачання теплової енергії</v>
      </c>
      <c r="B12" s="2529"/>
    </row>
    <row r="13" spans="1:3">
      <c r="A13" s="2530" t="s">
        <v>408</v>
      </c>
      <c r="B13" s="2530"/>
    </row>
    <row r="14" spans="1:3" ht="50.4" customHeight="1">
      <c r="A14" s="2529" t="str">
        <f>'Вхідні дані'!F4&amp;" Одеська обл., місто Чорноморськ, вул. Паркова будинок 48"</f>
        <v>Товариство з обмеженою відповідальністю ДП "Моноліт- Сервіс" Одеська обл., місто Чорноморськ, вул. Паркова будинок 48</v>
      </c>
      <c r="B14" s="2529"/>
      <c r="C14" s="1591" t="s">
        <v>1722</v>
      </c>
    </row>
    <row r="15" spans="1:3">
      <c r="A15" s="2528" t="s">
        <v>409</v>
      </c>
      <c r="B15" s="2528"/>
    </row>
    <row r="16" spans="1:3">
      <c r="A16" s="41"/>
    </row>
    <row r="17" spans="1:5" ht="50.4" customHeight="1">
      <c r="A17" s="2527" t="s">
        <v>1859</v>
      </c>
      <c r="B17" s="2527"/>
      <c r="C17" s="148"/>
    </row>
    <row r="18" spans="1:5" ht="67.2" customHeight="1">
      <c r="A18" s="2527" t="s">
        <v>1858</v>
      </c>
      <c r="B18" s="2527"/>
      <c r="C18" s="148"/>
    </row>
    <row r="19" spans="1:5" ht="50.4" customHeight="1">
      <c r="A19" s="2527" t="s">
        <v>1860</v>
      </c>
      <c r="B19" s="2527"/>
      <c r="C19" s="148"/>
    </row>
    <row r="20" spans="1:5">
      <c r="A20" s="2528" t="s">
        <v>410</v>
      </c>
      <c r="B20" s="2528"/>
    </row>
    <row r="21" spans="1:5">
      <c r="A21" s="38"/>
    </row>
    <row r="22" spans="1:5" ht="16.8">
      <c r="A22" s="2527" t="s">
        <v>1198</v>
      </c>
      <c r="B22" s="2527"/>
    </row>
    <row r="23" spans="1:5" ht="37.200000000000003" customHeight="1">
      <c r="A23" s="2531" t="str">
        <f>'Вхідні дані'!C2</f>
        <v>на теплову енергію, її виробництво та постачання, послуги з постачання теплової енергії</v>
      </c>
      <c r="B23" s="2531"/>
    </row>
    <row r="24" spans="1:5" ht="15.6">
      <c r="A24" s="2535" t="s">
        <v>408</v>
      </c>
      <c r="B24" s="2535"/>
    </row>
    <row r="25" spans="1:5">
      <c r="A25" s="38"/>
    </row>
    <row r="26" spans="1:5" ht="36" customHeight="1">
      <c r="A26" s="2531" t="s">
        <v>1201</v>
      </c>
      <c r="B26" s="2531"/>
    </row>
    <row r="27" spans="1:5" ht="16.8" hidden="1">
      <c r="A27" s="2533"/>
      <c r="B27" s="2533"/>
      <c r="D27" s="150"/>
      <c r="E27" s="150"/>
    </row>
    <row r="28" spans="1:5">
      <c r="A28" s="2532" t="s">
        <v>411</v>
      </c>
      <c r="B28" s="2532"/>
    </row>
    <row r="29" spans="1:5">
      <c r="A29" s="42"/>
    </row>
    <row r="30" spans="1:5" ht="19.5" customHeight="1">
      <c r="A30" s="2533" t="s">
        <v>412</v>
      </c>
      <c r="B30" s="2533"/>
    </row>
    <row r="31" spans="1:5">
      <c r="A31" s="38"/>
    </row>
    <row r="32" spans="1:5" ht="16.8">
      <c r="A32" s="2533" t="s">
        <v>1167</v>
      </c>
      <c r="B32" s="2533"/>
    </row>
    <row r="33" spans="1:3" ht="18">
      <c r="A33" s="40"/>
    </row>
    <row r="34" spans="1:3" s="44" customFormat="1" ht="18.75" customHeight="1">
      <c r="A34" s="2539" t="str">
        <f>'Вхідні дані'!B13&amp;"___________________"&amp;'Вхідні дані'!F13</f>
        <v>Директор підприємства___________________Сергій НІКУЛЬЧА</v>
      </c>
      <c r="B34" s="2539"/>
      <c r="C34" s="47"/>
    </row>
    <row r="35" spans="1:3" s="509" customFormat="1" ht="13.2">
      <c r="A35" s="2538" t="s">
        <v>1168</v>
      </c>
      <c r="B35" s="2538"/>
      <c r="C35" s="526"/>
    </row>
    <row r="36" spans="1:3" s="44" customFormat="1" ht="9.6" customHeight="1">
      <c r="A36" s="47"/>
      <c r="B36" s="47"/>
      <c r="C36" s="47"/>
    </row>
    <row r="37" spans="1:3" s="44" customFormat="1" ht="9.6" customHeight="1">
      <c r="A37" s="48"/>
      <c r="B37" s="47"/>
      <c r="C37" s="47"/>
    </row>
    <row r="38" spans="1:3" s="44" customFormat="1" ht="15.6">
      <c r="A38" s="2536" t="s">
        <v>1723</v>
      </c>
      <c r="B38" s="2537"/>
    </row>
    <row r="39" spans="1:3" s="44" customFormat="1" ht="15.6">
      <c r="A39" s="2534" t="s">
        <v>413</v>
      </c>
      <c r="B39" s="2534"/>
    </row>
    <row r="40" spans="1:3">
      <c r="A40" s="38"/>
    </row>
    <row r="41" spans="1:3" ht="27" customHeight="1">
      <c r="A41" s="2526"/>
      <c r="B41" s="2526"/>
    </row>
    <row r="42" spans="1:3" ht="3.6" customHeight="1"/>
  </sheetData>
  <mergeCells count="23">
    <mergeCell ref="A20:B20"/>
    <mergeCell ref="A24:B24"/>
    <mergeCell ref="A38:B38"/>
    <mergeCell ref="A35:B35"/>
    <mergeCell ref="A34:B34"/>
    <mergeCell ref="A32:B32"/>
    <mergeCell ref="A30:B30"/>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s>
  <pageMargins left="0.7" right="0.33" top="0.75" bottom="0.33" header="0.3" footer="0.3"/>
  <pageSetup paperSize="9" scale="93" fitToHeight="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0">
    <tabColor rgb="FF00B050"/>
    <pageSetUpPr fitToPage="1"/>
  </sheetPr>
  <dimension ref="B1:H28"/>
  <sheetViews>
    <sheetView workbookViewId="0">
      <selection activeCell="J14" sqref="J14"/>
    </sheetView>
  </sheetViews>
  <sheetFormatPr defaultColWidth="8.88671875" defaultRowHeight="15.6"/>
  <cols>
    <col min="1" max="1" width="8.88671875" style="3204"/>
    <col min="2" max="2" width="32.109375" style="3204" customWidth="1"/>
    <col min="3" max="3" width="19.44140625" style="3204" customWidth="1"/>
    <col min="4" max="4" width="17.6640625" style="3204" customWidth="1"/>
    <col min="5" max="5" width="12.5546875" style="3204" customWidth="1"/>
    <col min="6" max="6" width="12.88671875" style="3204" customWidth="1"/>
    <col min="7" max="9" width="8.88671875" style="3204"/>
    <col min="10" max="11" width="11.5546875" style="3204" customWidth="1"/>
    <col min="12" max="16384" width="8.88671875" style="3204"/>
  </cols>
  <sheetData>
    <row r="1" spans="2:6" ht="85.2" customHeight="1">
      <c r="B1" s="3205"/>
      <c r="C1" s="3205"/>
      <c r="D1" s="3206"/>
      <c r="E1" s="3109" t="s">
        <v>1549</v>
      </c>
      <c r="F1" s="3109"/>
    </row>
    <row r="3" spans="2:6">
      <c r="B3" s="3207" t="s">
        <v>2056</v>
      </c>
      <c r="C3" s="3207"/>
      <c r="D3" s="3207"/>
      <c r="E3" s="3207"/>
      <c r="F3" s="3207"/>
    </row>
    <row r="4" spans="2:6" ht="47.4" customHeight="1">
      <c r="B4" s="3208" t="str">
        <f>"на послуги з постачання теплової енергії з урахуванням витрат на обслуговування та ремонт індивідуальних теплових пунктів для "&amp; 'Вхідні дані'!F5&amp;" для споживачів категорії «населення» "</f>
        <v xml:space="preserve">на послуги з постачання теплової енергії з урахуванням витрат на обслуговування та ремонт індивідуальних теплових пунктів для ТОВ ДП " Моноліт- Сервіс " для споживачів категорії «населення» </v>
      </c>
      <c r="C4" s="3208"/>
      <c r="D4" s="3208"/>
      <c r="E4" s="3208"/>
      <c r="F4" s="3208"/>
    </row>
    <row r="5" spans="2:6" ht="16.2" thickBot="1"/>
    <row r="6" spans="2:6" s="3209" customFormat="1" ht="47.4" thickBot="1">
      <c r="B6" s="3210" t="s">
        <v>2062</v>
      </c>
      <c r="C6" s="3211" t="s">
        <v>242</v>
      </c>
      <c r="D6" s="3211" t="s">
        <v>1344</v>
      </c>
      <c r="E6" s="3211" t="s">
        <v>1355</v>
      </c>
      <c r="F6" s="3212" t="s">
        <v>1356</v>
      </c>
    </row>
    <row r="7" spans="2:6" ht="18" hidden="1" customHeight="1" thickBot="1">
      <c r="B7" s="3213" t="s">
        <v>2051</v>
      </c>
      <c r="C7" s="3213"/>
      <c r="D7" s="3213"/>
      <c r="E7" s="3213"/>
      <c r="F7" s="3213"/>
    </row>
    <row r="8" spans="2:6" ht="18" hidden="1" customHeight="1">
      <c r="B8" s="3214" t="str">
        <f>B14</f>
        <v>Для споживачів будинків  за адресами:  вул. Парусна № 1-В, №1-Г, №1-Д, №1-О;                 вул. Радісна №21, №21-А,           які  обслуговуються  стаціонарними котельнями</v>
      </c>
      <c r="C8" s="3215"/>
      <c r="D8" s="3216" t="s">
        <v>1346</v>
      </c>
      <c r="E8" s="3217">
        <f>'D1_2023-2024'!D7</f>
        <v>1388.6213226578486</v>
      </c>
      <c r="F8" s="3218">
        <f>E8*1.2</f>
        <v>1666.3455871894182</v>
      </c>
    </row>
    <row r="9" spans="2:6" ht="18" hidden="1" customHeight="1">
      <c r="B9" s="3219" t="str">
        <f>B16</f>
        <v>Для споживачів будинку за адресою:  вул. Парусна № 1-А,   який  обслуговується  САО</v>
      </c>
      <c r="C9" s="3220"/>
      <c r="D9" s="3221" t="s">
        <v>1346</v>
      </c>
      <c r="E9" s="3222">
        <f>'D1_2023-2024'!E7</f>
        <v>1417.8385269681864</v>
      </c>
      <c r="F9" s="3223">
        <f>E9*1.2</f>
        <v>1701.4062323618236</v>
      </c>
    </row>
    <row r="10" spans="2:6" ht="18" hidden="1" customHeight="1">
      <c r="B10" s="3219" t="str">
        <f>B18</f>
        <v>Для споживачів будинку за адресою:  вул. Парусна № 1-Б,   який  обслуговується  САО</v>
      </c>
      <c r="C10" s="3220"/>
      <c r="D10" s="3221" t="s">
        <v>1346</v>
      </c>
      <c r="E10" s="3222">
        <f>'D1_2023-2024'!F7</f>
        <v>1399.1071964116279</v>
      </c>
      <c r="F10" s="3223">
        <f t="shared" ref="F10:F12" si="0">E10*1.2</f>
        <v>1678.9286356939535</v>
      </c>
    </row>
    <row r="11" spans="2:6" ht="18" hidden="1" customHeight="1">
      <c r="B11" s="3219" t="str">
        <f>B20</f>
        <v>Для споживачів будинку за адресою:  вул. Паркова № 50,   який  обслуговується  САО</v>
      </c>
      <c r="C11" s="3220"/>
      <c r="D11" s="3221" t="s">
        <v>1346</v>
      </c>
      <c r="E11" s="3222">
        <f>'D1_2023-2024'!G7</f>
        <v>1380.9434818735265</v>
      </c>
      <c r="F11" s="3223">
        <f t="shared" si="0"/>
        <v>1657.1321782482316</v>
      </c>
    </row>
    <row r="12" spans="2:6" ht="18" hidden="1" customHeight="1" thickBot="1">
      <c r="B12" s="3224" t="str">
        <f>B22</f>
        <v>Для споживачів будинку за адресою:  вул. Паркова № 52,   який  обслуговується  САО</v>
      </c>
      <c r="C12" s="3225"/>
      <c r="D12" s="3226" t="s">
        <v>1346</v>
      </c>
      <c r="E12" s="3227">
        <f>'D1_2023-2024'!H7</f>
        <v>1395.2814632510037</v>
      </c>
      <c r="F12" s="3228">
        <f t="shared" si="0"/>
        <v>1674.3377559012044</v>
      </c>
    </row>
    <row r="13" spans="2:6" ht="18" hidden="1" customHeight="1" thickBot="1">
      <c r="B13" s="3229"/>
      <c r="C13" s="3229"/>
      <c r="D13" s="3229"/>
      <c r="E13" s="3229"/>
      <c r="F13" s="3229"/>
    </row>
    <row r="14" spans="2:6" ht="31.2" customHeight="1">
      <c r="B14" s="3230" t="s">
        <v>2057</v>
      </c>
      <c r="C14" s="3231" t="s">
        <v>1538</v>
      </c>
      <c r="D14" s="3231" t="s">
        <v>1346</v>
      </c>
      <c r="E14" s="3232">
        <f>'D2_2023-2024'!D9</f>
        <v>1068.5536224484338</v>
      </c>
      <c r="F14" s="3233">
        <f>E14*1.2</f>
        <v>1282.2643469381205</v>
      </c>
    </row>
    <row r="15" spans="2:6" ht="78.599999999999994" customHeight="1" thickBot="1">
      <c r="B15" s="3234"/>
      <c r="C15" s="3235" t="s">
        <v>1539</v>
      </c>
      <c r="D15" s="3235" t="s">
        <v>1348</v>
      </c>
      <c r="E15" s="3236">
        <f>'D2_2023-2024'!D10</f>
        <v>45011.654126617032</v>
      </c>
      <c r="F15" s="3237">
        <f t="shared" ref="F15:F23" si="1">E15*1.2</f>
        <v>54013.984951940438</v>
      </c>
    </row>
    <row r="16" spans="2:6" ht="31.2" customHeight="1">
      <c r="B16" s="3230" t="s">
        <v>2058</v>
      </c>
      <c r="C16" s="3231" t="s">
        <v>1538</v>
      </c>
      <c r="D16" s="3231" t="s">
        <v>1346</v>
      </c>
      <c r="E16" s="3232">
        <f>'D2_2023-2024'!E9</f>
        <v>1048.897811587306</v>
      </c>
      <c r="F16" s="3233">
        <f t="shared" si="1"/>
        <v>1258.6773739047671</v>
      </c>
    </row>
    <row r="17" spans="2:8" ht="31.2" customHeight="1" thickBot="1">
      <c r="B17" s="3234"/>
      <c r="C17" s="3235" t="s">
        <v>1539</v>
      </c>
      <c r="D17" s="3235" t="s">
        <v>1348</v>
      </c>
      <c r="E17" s="3236">
        <f>'D2_2023-2024'!E10</f>
        <v>51884.747705205533</v>
      </c>
      <c r="F17" s="3237">
        <f t="shared" si="1"/>
        <v>62261.697246246636</v>
      </c>
    </row>
    <row r="18" spans="2:8" ht="31.2" customHeight="1">
      <c r="B18" s="3230" t="s">
        <v>2059</v>
      </c>
      <c r="C18" s="3231" t="s">
        <v>1538</v>
      </c>
      <c r="D18" s="3231" t="s">
        <v>1346</v>
      </c>
      <c r="E18" s="3232">
        <f>'D2_2023-2024'!F9</f>
        <v>1048.8976454059243</v>
      </c>
      <c r="F18" s="3233">
        <f t="shared" si="1"/>
        <v>1258.6771744871091</v>
      </c>
    </row>
    <row r="19" spans="2:8" ht="31.2" customHeight="1" thickBot="1">
      <c r="B19" s="3234"/>
      <c r="C19" s="3235" t="s">
        <v>1539</v>
      </c>
      <c r="D19" s="3235" t="s">
        <v>1348</v>
      </c>
      <c r="E19" s="3236">
        <f>'D2_2023-2024'!F10</f>
        <v>49250.552840517128</v>
      </c>
      <c r="F19" s="3237">
        <f t="shared" si="1"/>
        <v>59100.663408620552</v>
      </c>
    </row>
    <row r="20" spans="2:8" ht="31.2" customHeight="1">
      <c r="B20" s="3230" t="s">
        <v>2060</v>
      </c>
      <c r="C20" s="3231" t="s">
        <v>1538</v>
      </c>
      <c r="D20" s="3231" t="s">
        <v>1346</v>
      </c>
      <c r="E20" s="3232">
        <f>'D2_2023-2024'!G9</f>
        <v>1068.5520171362859</v>
      </c>
      <c r="F20" s="3233">
        <f t="shared" si="1"/>
        <v>1282.2624205635432</v>
      </c>
    </row>
    <row r="21" spans="2:8" ht="31.2" customHeight="1" thickBot="1">
      <c r="B21" s="3234"/>
      <c r="C21" s="3235" t="s">
        <v>1539</v>
      </c>
      <c r="D21" s="3235" t="s">
        <v>1348</v>
      </c>
      <c r="E21" s="3236">
        <f>'D2_2023-2024'!G10</f>
        <v>43932.132338439427</v>
      </c>
      <c r="F21" s="3237">
        <f t="shared" si="1"/>
        <v>52718.558806127308</v>
      </c>
    </row>
    <row r="22" spans="2:8" ht="31.2" customHeight="1">
      <c r="B22" s="3230" t="s">
        <v>2061</v>
      </c>
      <c r="C22" s="3231" t="s">
        <v>1538</v>
      </c>
      <c r="D22" s="3231" t="s">
        <v>1346</v>
      </c>
      <c r="E22" s="3232">
        <f>'D2_2023-2024'!H9</f>
        <v>1068.5520171362859</v>
      </c>
      <c r="F22" s="3233">
        <f t="shared" si="1"/>
        <v>1282.2624205635432</v>
      </c>
    </row>
    <row r="23" spans="2:8" ht="31.2" customHeight="1" thickBot="1">
      <c r="B23" s="3234"/>
      <c r="C23" s="3235" t="s">
        <v>1539</v>
      </c>
      <c r="D23" s="3235" t="s">
        <v>1348</v>
      </c>
      <c r="E23" s="3236">
        <f>'D2_2023-2024'!H10</f>
        <v>45948.506556189634</v>
      </c>
      <c r="F23" s="3237">
        <f t="shared" si="1"/>
        <v>55138.207867427562</v>
      </c>
    </row>
    <row r="24" spans="2:8" ht="21" customHeight="1">
      <c r="B24" s="3238"/>
      <c r="C24" s="3239"/>
      <c r="D24" s="3239"/>
      <c r="E24" s="3240"/>
      <c r="F24" s="3241"/>
    </row>
    <row r="25" spans="2:8" ht="31.2" customHeight="1">
      <c r="B25" s="3242" t="str">
        <f>'D2_2023-2024'!B131:C131</f>
        <v>Начальник управління економічного
розвитку та торгівлі</v>
      </c>
      <c r="C25" s="3242"/>
      <c r="D25" s="3243"/>
      <c r="E25" s="3244" t="str">
        <f>'D2_2023-2024'!F131</f>
        <v>Наталія ГЄНЧЕВА</v>
      </c>
      <c r="F25" s="3244"/>
    </row>
    <row r="26" spans="2:8" ht="31.2" customHeight="1"/>
    <row r="27" spans="2:8" ht="16.2" customHeight="1"/>
    <row r="28" spans="2:8">
      <c r="G28" s="3243"/>
      <c r="H28" s="3243"/>
    </row>
  </sheetData>
  <mergeCells count="12">
    <mergeCell ref="B22:B23"/>
    <mergeCell ref="B25:C25"/>
    <mergeCell ref="E25:F25"/>
    <mergeCell ref="B18:B19"/>
    <mergeCell ref="B20:B21"/>
    <mergeCell ref="B16:B17"/>
    <mergeCell ref="E1:F1"/>
    <mergeCell ref="B3:F3"/>
    <mergeCell ref="B4:F4"/>
    <mergeCell ref="B7:F7"/>
    <mergeCell ref="B14:B15"/>
    <mergeCell ref="B13:F13"/>
  </mergeCells>
  <pageMargins left="0.70866141732283472" right="0.47244094488188981" top="0.5" bottom="0.6" header="0.31496062992125984" footer="0.31496062992125984"/>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W65"/>
  <sheetViews>
    <sheetView zoomScale="90" zoomScaleNormal="90" workbookViewId="0">
      <selection activeCell="K27" sqref="K27"/>
    </sheetView>
  </sheetViews>
  <sheetFormatPr defaultColWidth="9.109375" defaultRowHeight="13.8"/>
  <cols>
    <col min="1" max="1" width="4.6640625" style="192" customWidth="1"/>
    <col min="2" max="2" width="67" style="192" customWidth="1"/>
    <col min="3" max="3" width="9" style="192" customWidth="1"/>
    <col min="4" max="4" width="8.6640625" style="192" customWidth="1"/>
    <col min="5" max="5" width="10" style="192" customWidth="1"/>
    <col min="6" max="6" width="12.88671875" style="357" customWidth="1"/>
    <col min="7" max="7" width="18.77734375" style="192" customWidth="1"/>
    <col min="8" max="8" width="16.109375" style="192" customWidth="1"/>
    <col min="9" max="9" width="15.77734375" style="192" customWidth="1"/>
    <col min="10" max="10" width="14.5546875" style="192" customWidth="1"/>
    <col min="11" max="11" width="14.88671875" style="192" customWidth="1"/>
    <col min="12" max="12" width="16.33203125" style="1566" customWidth="1"/>
    <col min="13" max="13" width="16.5546875" style="196" customWidth="1"/>
    <col min="14" max="14" width="11" style="196" customWidth="1"/>
    <col min="15" max="15" width="11.33203125" style="192" customWidth="1"/>
    <col min="16" max="16" width="9.109375" style="192" customWidth="1"/>
    <col min="17" max="17" width="10" style="192" customWidth="1"/>
    <col min="18" max="18" width="9.109375" style="192" customWidth="1"/>
    <col min="19" max="19" width="10.44140625" style="192" customWidth="1"/>
    <col min="20" max="16384" width="9.109375" style="192"/>
  </cols>
  <sheetData>
    <row r="1" spans="2:23" ht="17.399999999999999">
      <c r="B1" s="191"/>
      <c r="F1" s="192"/>
      <c r="J1" s="193" t="s">
        <v>620</v>
      </c>
      <c r="L1" s="192"/>
      <c r="O1" s="196"/>
    </row>
    <row r="2" spans="2:23" ht="18" customHeight="1">
      <c r="F2" s="192"/>
      <c r="L2" s="192"/>
      <c r="M2" s="2042"/>
      <c r="O2" s="196"/>
      <c r="P2" s="196"/>
    </row>
    <row r="3" spans="2:23" ht="17.399999999999999">
      <c r="B3" s="194" t="s">
        <v>671</v>
      </c>
      <c r="C3" s="195" t="str">
        <f>'Вхідні дані'!F5</f>
        <v>ТОВ ДП " Моноліт- Сервіс "</v>
      </c>
      <c r="D3" s="195"/>
      <c r="E3" s="195"/>
      <c r="G3" s="195" t="s">
        <v>442</v>
      </c>
      <c r="H3" s="195" t="str">
        <f>'Вхідні дані'!F6</f>
        <v>2023-2024</v>
      </c>
      <c r="I3" s="195" t="s">
        <v>545</v>
      </c>
      <c r="J3" s="195"/>
      <c r="N3" s="192"/>
    </row>
    <row r="4" spans="2:23" ht="17.399999999999999">
      <c r="B4" s="194"/>
      <c r="G4" s="227"/>
      <c r="H4" s="228"/>
      <c r="I4" s="228"/>
      <c r="J4" s="228"/>
      <c r="L4" s="1566">
        <f>ФОП!E44</f>
        <v>5.5</v>
      </c>
      <c r="M4" s="196" t="s">
        <v>138</v>
      </c>
      <c r="N4" s="192"/>
    </row>
    <row r="5" spans="2:23" s="2000" customFormat="1" ht="18.600000000000001" thickBot="1">
      <c r="B5" s="2068" t="s">
        <v>1693</v>
      </c>
      <c r="C5" s="2065"/>
      <c r="D5" s="2066"/>
      <c r="E5" s="2067"/>
      <c r="F5" s="2069">
        <f>SUM(G5:K5)</f>
        <v>1</v>
      </c>
      <c r="G5" s="2070">
        <f>'БАЗИ РОЗПОДІЛУ'!F21</f>
        <v>0.73927459233588744</v>
      </c>
      <c r="H5" s="2070">
        <f>'БАЗИ РОЗПОДІЛУ'!G21</f>
        <v>1.100845345647186E-2</v>
      </c>
      <c r="I5" s="2070">
        <f>'БАЗИ РОЗПОДІЛУ'!H21</f>
        <v>9.0357013024510106E-3</v>
      </c>
      <c r="J5" s="2070">
        <f>'БАЗИ РОЗПОДІЛУ'!I21</f>
        <v>0.24068125290518982</v>
      </c>
      <c r="K5" s="2070">
        <f>'БАЗИ РОЗПОДІЛУ'!J21</f>
        <v>0</v>
      </c>
      <c r="L5" s="2063"/>
      <c r="M5" s="2064"/>
    </row>
    <row r="6" spans="2:23" ht="18" thickBot="1">
      <c r="B6" s="2871" t="s">
        <v>8</v>
      </c>
      <c r="C6" s="1988" t="s">
        <v>673</v>
      </c>
      <c r="D6" s="1988" t="s">
        <v>673</v>
      </c>
      <c r="E6" s="1988" t="s">
        <v>683</v>
      </c>
      <c r="F6" s="2061" t="s">
        <v>674</v>
      </c>
      <c r="G6" s="2904" t="s">
        <v>660</v>
      </c>
      <c r="H6" s="2893"/>
      <c r="I6" s="2893"/>
      <c r="J6" s="2893"/>
      <c r="K6" s="1567"/>
    </row>
    <row r="7" spans="2:23" ht="67.95" customHeight="1" thickBot="1">
      <c r="B7" s="2872"/>
      <c r="C7" s="1988">
        <v>2021</v>
      </c>
      <c r="D7" s="1988">
        <v>2022</v>
      </c>
      <c r="E7" s="1988"/>
      <c r="F7" s="2061" t="s">
        <v>1552</v>
      </c>
      <c r="G7" s="1988" t="s">
        <v>661</v>
      </c>
      <c r="H7" s="1988" t="s">
        <v>662</v>
      </c>
      <c r="I7" s="1988" t="s">
        <v>1694</v>
      </c>
      <c r="J7" s="1988" t="s">
        <v>1839</v>
      </c>
      <c r="K7" s="1568" t="s">
        <v>1695</v>
      </c>
      <c r="L7" s="1569"/>
      <c r="M7" s="2062"/>
    </row>
    <row r="8" spans="2:23" ht="17.399999999999999">
      <c r="B8" s="197" t="s">
        <v>1696</v>
      </c>
      <c r="C8" s="2390">
        <f>C9+C20+C39+C24+C36+C38+C37</f>
        <v>0</v>
      </c>
      <c r="D8" s="2390">
        <f>D9+D20+D39+D24+D36+D38+D37</f>
        <v>0</v>
      </c>
      <c r="E8" s="2390">
        <f>E9+E20+E39+E24+E36+E38+E37</f>
        <v>0</v>
      </c>
      <c r="F8" s="2390">
        <f t="shared" ref="F8:K8" si="0">F9+F20+F39+F24+F36+F38+F37</f>
        <v>1236.4913570624999</v>
      </c>
      <c r="G8" s="2390">
        <f t="shared" si="0"/>
        <v>914.10664391922796</v>
      </c>
      <c r="H8" s="2390">
        <f t="shared" si="0"/>
        <v>13.611857553552259</v>
      </c>
      <c r="I8" s="2390">
        <f t="shared" si="0"/>
        <v>11.172566565479048</v>
      </c>
      <c r="J8" s="2390">
        <f t="shared" si="0"/>
        <v>297.60028902424091</v>
      </c>
      <c r="K8" s="2390">
        <f t="shared" si="0"/>
        <v>0</v>
      </c>
      <c r="L8" s="2051">
        <f>F8-G8-H8-I8-J8-K8</f>
        <v>-2.8421709430404007E-13</v>
      </c>
      <c r="P8" s="196"/>
      <c r="Q8" s="196"/>
      <c r="W8" s="192">
        <v>2019</v>
      </c>
    </row>
    <row r="9" spans="2:23" ht="17.399999999999999">
      <c r="B9" s="199" t="s">
        <v>1697</v>
      </c>
      <c r="C9" s="2391">
        <f>SUM(C10:C19)</f>
        <v>0</v>
      </c>
      <c r="D9" s="2391">
        <f>SUM(D10:D19)</f>
        <v>0</v>
      </c>
      <c r="E9" s="2391">
        <f>SUM(E10:E19)</f>
        <v>0</v>
      </c>
      <c r="F9" s="2391">
        <f>SUM(F10:F19)</f>
        <v>0</v>
      </c>
      <c r="G9" s="2391">
        <f t="shared" ref="G9:K9" si="1">SUM(G10:G19)</f>
        <v>0</v>
      </c>
      <c r="H9" s="2391">
        <f t="shared" si="1"/>
        <v>0</v>
      </c>
      <c r="I9" s="2391">
        <f t="shared" si="1"/>
        <v>0</v>
      </c>
      <c r="J9" s="2391">
        <f t="shared" si="1"/>
        <v>0</v>
      </c>
      <c r="K9" s="2391">
        <f t="shared" si="1"/>
        <v>0</v>
      </c>
      <c r="L9" s="2051">
        <f t="shared" ref="L9:L50" si="2">F9-G9-H9-I9-J9-K9</f>
        <v>0</v>
      </c>
      <c r="P9" s="196"/>
      <c r="Q9" s="196"/>
    </row>
    <row r="10" spans="2:23" ht="19.8" customHeight="1">
      <c r="B10" s="201" t="s">
        <v>1171</v>
      </c>
      <c r="C10" s="231"/>
      <c r="D10" s="231"/>
      <c r="E10" s="231"/>
      <c r="F10" s="2392"/>
      <c r="G10" s="2393">
        <f t="shared" ref="G10:G19" si="3">F10*$G$5</f>
        <v>0</v>
      </c>
      <c r="H10" s="2393">
        <f t="shared" ref="H10:H19" si="4">F10*$H$5</f>
        <v>0</v>
      </c>
      <c r="I10" s="2393">
        <f>F10*$I$5</f>
        <v>0</v>
      </c>
      <c r="J10" s="2393">
        <f>F10*$J$5</f>
        <v>0</v>
      </c>
      <c r="K10" s="2393">
        <f t="shared" ref="K10:K19" si="5">F10*$K$5</f>
        <v>0</v>
      </c>
      <c r="L10" s="2051">
        <f t="shared" si="2"/>
        <v>0</v>
      </c>
      <c r="P10" s="196"/>
      <c r="Q10" s="196"/>
      <c r="W10" s="210">
        <v>114.88186</v>
      </c>
    </row>
    <row r="11" spans="2:23" ht="18">
      <c r="B11" s="201" t="s">
        <v>1848</v>
      </c>
      <c r="C11" s="231"/>
      <c r="D11" s="231"/>
      <c r="E11" s="231"/>
      <c r="F11" s="2392"/>
      <c r="G11" s="2393">
        <f t="shared" si="3"/>
        <v>0</v>
      </c>
      <c r="H11" s="2393">
        <f t="shared" si="4"/>
        <v>0</v>
      </c>
      <c r="I11" s="2393">
        <f t="shared" ref="I11:I19" si="6">F11*$I$5</f>
        <v>0</v>
      </c>
      <c r="J11" s="2393">
        <f t="shared" ref="J11:J19" si="7">F11*$J$5</f>
        <v>0</v>
      </c>
      <c r="K11" s="2393">
        <f t="shared" si="5"/>
        <v>0</v>
      </c>
      <c r="L11" s="2051">
        <f t="shared" si="2"/>
        <v>0</v>
      </c>
      <c r="P11" s="196"/>
      <c r="Q11" s="196"/>
      <c r="W11" s="210">
        <v>4.9000000000000002E-2</v>
      </c>
    </row>
    <row r="12" spans="2:23" ht="18" hidden="1">
      <c r="B12" s="201"/>
      <c r="C12" s="231"/>
      <c r="D12" s="231"/>
      <c r="E12" s="2392"/>
      <c r="F12" s="2392">
        <v>0</v>
      </c>
      <c r="G12" s="2393">
        <f t="shared" si="3"/>
        <v>0</v>
      </c>
      <c r="H12" s="2393">
        <f t="shared" si="4"/>
        <v>0</v>
      </c>
      <c r="I12" s="2393">
        <f t="shared" si="6"/>
        <v>0</v>
      </c>
      <c r="J12" s="2393">
        <f t="shared" si="7"/>
        <v>0</v>
      </c>
      <c r="K12" s="2393">
        <f t="shared" si="5"/>
        <v>0</v>
      </c>
      <c r="L12" s="2051">
        <f t="shared" si="2"/>
        <v>0</v>
      </c>
      <c r="M12" s="380"/>
      <c r="N12" s="380"/>
      <c r="O12" s="214"/>
      <c r="P12" s="196"/>
      <c r="Q12" s="196"/>
      <c r="W12" s="210">
        <v>36.686070000000001</v>
      </c>
    </row>
    <row r="13" spans="2:23" ht="18" hidden="1" customHeight="1">
      <c r="B13" s="201"/>
      <c r="C13" s="231"/>
      <c r="D13" s="231"/>
      <c r="E13" s="231"/>
      <c r="F13" s="2392">
        <v>0</v>
      </c>
      <c r="G13" s="2393">
        <f t="shared" si="3"/>
        <v>0</v>
      </c>
      <c r="H13" s="2393">
        <f t="shared" si="4"/>
        <v>0</v>
      </c>
      <c r="I13" s="2393">
        <f t="shared" si="6"/>
        <v>0</v>
      </c>
      <c r="J13" s="2393">
        <f t="shared" si="7"/>
        <v>0</v>
      </c>
      <c r="K13" s="2393">
        <f t="shared" si="5"/>
        <v>0</v>
      </c>
      <c r="L13" s="2051">
        <f t="shared" si="2"/>
        <v>0</v>
      </c>
      <c r="P13" s="196"/>
      <c r="Q13" s="196"/>
      <c r="W13" s="210">
        <v>0.73777999999999999</v>
      </c>
    </row>
    <row r="14" spans="2:23" ht="18" hidden="1">
      <c r="B14" s="201"/>
      <c r="C14" s="231"/>
      <c r="D14" s="231"/>
      <c r="E14" s="231"/>
      <c r="F14" s="2392">
        <v>0</v>
      </c>
      <c r="G14" s="2393">
        <f t="shared" si="3"/>
        <v>0</v>
      </c>
      <c r="H14" s="2393">
        <f t="shared" si="4"/>
        <v>0</v>
      </c>
      <c r="I14" s="2393">
        <f t="shared" si="6"/>
        <v>0</v>
      </c>
      <c r="J14" s="2393">
        <f t="shared" si="7"/>
        <v>0</v>
      </c>
      <c r="K14" s="2393">
        <f t="shared" si="5"/>
        <v>0</v>
      </c>
      <c r="L14" s="2051">
        <f t="shared" si="2"/>
        <v>0</v>
      </c>
      <c r="P14" s="196"/>
      <c r="Q14" s="196"/>
      <c r="W14" s="210">
        <v>63.283700000000003</v>
      </c>
    </row>
    <row r="15" spans="2:23" ht="18" hidden="1">
      <c r="B15" s="201"/>
      <c r="C15" s="231"/>
      <c r="D15" s="231"/>
      <c r="E15" s="231"/>
      <c r="F15" s="2392">
        <v>0</v>
      </c>
      <c r="G15" s="2393">
        <f t="shared" si="3"/>
        <v>0</v>
      </c>
      <c r="H15" s="2393">
        <f t="shared" si="4"/>
        <v>0</v>
      </c>
      <c r="I15" s="2393">
        <f t="shared" si="6"/>
        <v>0</v>
      </c>
      <c r="J15" s="2393">
        <f t="shared" si="7"/>
        <v>0</v>
      </c>
      <c r="K15" s="2393">
        <f t="shared" si="5"/>
        <v>0</v>
      </c>
      <c r="L15" s="2051">
        <f t="shared" si="2"/>
        <v>0</v>
      </c>
      <c r="P15" s="196"/>
      <c r="Q15" s="196"/>
      <c r="W15" s="210">
        <v>15.47383</v>
      </c>
    </row>
    <row r="16" spans="2:23" ht="18" hidden="1">
      <c r="B16" s="201"/>
      <c r="C16" s="231"/>
      <c r="D16" s="231"/>
      <c r="E16" s="231"/>
      <c r="F16" s="2392">
        <v>0</v>
      </c>
      <c r="G16" s="2393">
        <f t="shared" si="3"/>
        <v>0</v>
      </c>
      <c r="H16" s="2393">
        <f t="shared" si="4"/>
        <v>0</v>
      </c>
      <c r="I16" s="2393">
        <f t="shared" si="6"/>
        <v>0</v>
      </c>
      <c r="J16" s="2393">
        <f t="shared" si="7"/>
        <v>0</v>
      </c>
      <c r="K16" s="2393">
        <f t="shared" si="5"/>
        <v>0</v>
      </c>
      <c r="L16" s="2051">
        <f t="shared" si="2"/>
        <v>0</v>
      </c>
      <c r="P16" s="196"/>
      <c r="Q16" s="196"/>
      <c r="W16" s="210">
        <v>3.7607300000000001</v>
      </c>
    </row>
    <row r="17" spans="2:23" ht="18" hidden="1">
      <c r="B17" s="201"/>
      <c r="C17" s="231"/>
      <c r="D17" s="231"/>
      <c r="E17" s="231"/>
      <c r="F17" s="2392">
        <v>0</v>
      </c>
      <c r="G17" s="2393">
        <f t="shared" si="3"/>
        <v>0</v>
      </c>
      <c r="H17" s="2393">
        <f t="shared" si="4"/>
        <v>0</v>
      </c>
      <c r="I17" s="2393">
        <f t="shared" si="6"/>
        <v>0</v>
      </c>
      <c r="J17" s="2393">
        <f t="shared" si="7"/>
        <v>0</v>
      </c>
      <c r="K17" s="2393">
        <f t="shared" si="5"/>
        <v>0</v>
      </c>
      <c r="L17" s="2051">
        <f t="shared" si="2"/>
        <v>0</v>
      </c>
      <c r="P17" s="196"/>
      <c r="Q17" s="196"/>
      <c r="W17" s="210">
        <v>37.761060000000001</v>
      </c>
    </row>
    <row r="18" spans="2:23" ht="18" hidden="1">
      <c r="B18" s="201"/>
      <c r="C18" s="231"/>
      <c r="D18" s="231"/>
      <c r="E18" s="231"/>
      <c r="F18" s="2392">
        <v>0</v>
      </c>
      <c r="G18" s="2393">
        <f t="shared" si="3"/>
        <v>0</v>
      </c>
      <c r="H18" s="2393">
        <f t="shared" si="4"/>
        <v>0</v>
      </c>
      <c r="I18" s="2393">
        <f t="shared" si="6"/>
        <v>0</v>
      </c>
      <c r="J18" s="2393">
        <f t="shared" si="7"/>
        <v>0</v>
      </c>
      <c r="K18" s="2393">
        <f t="shared" si="5"/>
        <v>0</v>
      </c>
      <c r="L18" s="2051">
        <f t="shared" si="2"/>
        <v>0</v>
      </c>
      <c r="P18" s="196"/>
      <c r="Q18" s="196"/>
      <c r="W18" s="210">
        <v>4.5862800000000004</v>
      </c>
    </row>
    <row r="19" spans="2:23" ht="18" hidden="1">
      <c r="B19" s="201"/>
      <c r="C19" s="231"/>
      <c r="D19" s="231"/>
      <c r="E19" s="231"/>
      <c r="F19" s="2392">
        <v>0</v>
      </c>
      <c r="G19" s="2393">
        <f t="shared" si="3"/>
        <v>0</v>
      </c>
      <c r="H19" s="2393">
        <f t="shared" si="4"/>
        <v>0</v>
      </c>
      <c r="I19" s="2393">
        <f t="shared" si="6"/>
        <v>0</v>
      </c>
      <c r="J19" s="2393">
        <f t="shared" si="7"/>
        <v>0</v>
      </c>
      <c r="K19" s="2393">
        <f t="shared" si="5"/>
        <v>0</v>
      </c>
      <c r="L19" s="2051">
        <f t="shared" si="2"/>
        <v>0</v>
      </c>
      <c r="P19" s="196"/>
      <c r="Q19" s="196"/>
      <c r="W19" s="210">
        <v>2.8382800000000001</v>
      </c>
    </row>
    <row r="20" spans="2:23" ht="18" customHeight="1">
      <c r="B20" s="204" t="s">
        <v>1698</v>
      </c>
      <c r="C20" s="2391">
        <f>C21+C23</f>
        <v>0</v>
      </c>
      <c r="D20" s="2391">
        <f t="shared" ref="D20:K20" si="8">D21+D23</f>
        <v>0</v>
      </c>
      <c r="E20" s="2391">
        <f t="shared" si="8"/>
        <v>0</v>
      </c>
      <c r="F20" s="2391">
        <f t="shared" si="8"/>
        <v>1113.4007999999999</v>
      </c>
      <c r="G20" s="2391">
        <f t="shared" si="8"/>
        <v>823.10892252645101</v>
      </c>
      <c r="H20" s="2391">
        <f t="shared" si="8"/>
        <v>12.256820885198534</v>
      </c>
      <c r="I20" s="2391">
        <f t="shared" si="8"/>
        <v>10.060357058709997</v>
      </c>
      <c r="J20" s="2391">
        <f t="shared" si="8"/>
        <v>267.97469952964065</v>
      </c>
      <c r="K20" s="2391">
        <f t="shared" si="8"/>
        <v>0</v>
      </c>
      <c r="L20" s="2051">
        <f t="shared" si="2"/>
        <v>-2.8421709430404007E-13</v>
      </c>
      <c r="M20" s="1571"/>
      <c r="P20" s="196"/>
      <c r="Q20" s="196"/>
    </row>
    <row r="21" spans="2:23" ht="37.799999999999997" customHeight="1">
      <c r="B21" s="201" t="s">
        <v>1699</v>
      </c>
      <c r="C21" s="231"/>
      <c r="D21" s="231"/>
      <c r="E21" s="231"/>
      <c r="F21" s="231">
        <f>ФОП!F44/1000</f>
        <v>1062</v>
      </c>
      <c r="G21" s="2393">
        <f>F21*$G$5</f>
        <v>785.10961706071248</v>
      </c>
      <c r="H21" s="2393">
        <f>F21*$H$5</f>
        <v>11.690977570773116</v>
      </c>
      <c r="I21" s="2393">
        <f t="shared" ref="I21:I58" si="9">F21*$I$5</f>
        <v>9.5959147832029732</v>
      </c>
      <c r="J21" s="2393">
        <f t="shared" ref="J21:J58" si="10">F21*$J$5</f>
        <v>255.60349058531159</v>
      </c>
      <c r="K21" s="2393">
        <f>F21*$K$5</f>
        <v>0</v>
      </c>
      <c r="L21" s="2051">
        <f t="shared" si="2"/>
        <v>-1.4210854715202004E-13</v>
      </c>
      <c r="M21" s="1571"/>
      <c r="P21" s="196"/>
      <c r="Q21" s="196"/>
    </row>
    <row r="22" spans="2:23" ht="18">
      <c r="B22" s="218" t="s">
        <v>1700</v>
      </c>
      <c r="C22" s="231"/>
      <c r="D22" s="231"/>
      <c r="E22" s="231"/>
      <c r="F22" s="231">
        <f>ФОП!F45/1000</f>
        <v>0</v>
      </c>
      <c r="G22" s="2393">
        <f t="shared" ref="G22:G58" si="11">F22*$G$5</f>
        <v>0</v>
      </c>
      <c r="H22" s="2393">
        <f t="shared" ref="H22:H58" si="12">F22*$H$5</f>
        <v>0</v>
      </c>
      <c r="I22" s="2393">
        <f t="shared" si="9"/>
        <v>0</v>
      </c>
      <c r="J22" s="2393">
        <f t="shared" si="10"/>
        <v>0</v>
      </c>
      <c r="K22" s="2393">
        <f t="shared" ref="K22:K58" si="13">F22*$K$5</f>
        <v>0</v>
      </c>
      <c r="L22" s="2051">
        <f t="shared" si="2"/>
        <v>0</v>
      </c>
      <c r="M22" s="1571"/>
      <c r="P22" s="196"/>
      <c r="Q22" s="196"/>
    </row>
    <row r="23" spans="2:23" ht="58.5" customHeight="1">
      <c r="B23" s="201" t="s">
        <v>1701</v>
      </c>
      <c r="C23" s="231"/>
      <c r="D23" s="231"/>
      <c r="E23" s="231"/>
      <c r="F23" s="231">
        <f>ФОП!F46/1000</f>
        <v>51.400800000000004</v>
      </c>
      <c r="G23" s="2393">
        <f t="shared" si="11"/>
        <v>37.999305465738487</v>
      </c>
      <c r="H23" s="2393">
        <f t="shared" si="12"/>
        <v>0.5658433144254188</v>
      </c>
      <c r="I23" s="2393">
        <f t="shared" si="9"/>
        <v>0.46444227550702394</v>
      </c>
      <c r="J23" s="2393">
        <f t="shared" si="10"/>
        <v>12.371208944329082</v>
      </c>
      <c r="K23" s="2393">
        <f t="shared" si="13"/>
        <v>0</v>
      </c>
      <c r="L23" s="2051">
        <f t="shared" si="2"/>
        <v>-7.1054273576010019E-15</v>
      </c>
      <c r="M23" s="1571"/>
      <c r="P23" s="196"/>
      <c r="Q23" s="196"/>
    </row>
    <row r="24" spans="2:23" s="205" customFormat="1" ht="52.8" customHeight="1">
      <c r="B24" s="204" t="s">
        <v>1702</v>
      </c>
      <c r="C24" s="2391">
        <f>SUM(C25:C35)</f>
        <v>0</v>
      </c>
      <c r="D24" s="2391">
        <f t="shared" ref="D24:K24" si="14">SUM(D25:D35)</f>
        <v>0</v>
      </c>
      <c r="E24" s="2391">
        <f t="shared" si="14"/>
        <v>0</v>
      </c>
      <c r="F24" s="2391">
        <f>SUM(F25:F35)</f>
        <v>108.5712170625</v>
      </c>
      <c r="G24" s="2391">
        <f t="shared" si="14"/>
        <v>80.263942233290834</v>
      </c>
      <c r="H24" s="2391">
        <f t="shared" si="14"/>
        <v>1.1952011897450348</v>
      </c>
      <c r="I24" s="2391">
        <f t="shared" si="14"/>
        <v>0.98101708742032268</v>
      </c>
      <c r="J24" s="2391">
        <f t="shared" si="14"/>
        <v>26.131056552043823</v>
      </c>
      <c r="K24" s="2391">
        <f t="shared" si="14"/>
        <v>0</v>
      </c>
      <c r="L24" s="2051">
        <f t="shared" si="2"/>
        <v>-1.7763568394002505E-14</v>
      </c>
      <c r="M24" s="1572"/>
      <c r="N24" s="1573"/>
      <c r="P24" s="196"/>
      <c r="Q24" s="196"/>
      <c r="R24" s="192"/>
      <c r="S24" s="192"/>
    </row>
    <row r="25" spans="2:23" ht="18" customHeight="1">
      <c r="B25" s="1574" t="s">
        <v>749</v>
      </c>
      <c r="C25" s="2394"/>
      <c r="D25" s="2394"/>
      <c r="E25" s="2394"/>
      <c r="F25" s="2394"/>
      <c r="G25" s="2393">
        <f t="shared" si="11"/>
        <v>0</v>
      </c>
      <c r="H25" s="2393">
        <f t="shared" si="12"/>
        <v>0</v>
      </c>
      <c r="I25" s="2393">
        <f t="shared" si="9"/>
        <v>0</v>
      </c>
      <c r="J25" s="2393">
        <f t="shared" si="10"/>
        <v>0</v>
      </c>
      <c r="K25" s="2393">
        <f t="shared" si="13"/>
        <v>0</v>
      </c>
      <c r="L25" s="2051">
        <f t="shared" si="2"/>
        <v>0</v>
      </c>
      <c r="M25" s="1571"/>
      <c r="N25" s="1573"/>
      <c r="P25" s="196"/>
      <c r="Q25" s="196"/>
    </row>
    <row r="26" spans="2:23" ht="18" customHeight="1">
      <c r="B26" s="1574" t="s">
        <v>1850</v>
      </c>
      <c r="C26" s="2394"/>
      <c r="D26" s="2394"/>
      <c r="E26" s="2394"/>
      <c r="F26" s="231">
        <f>9*12</f>
        <v>108</v>
      </c>
      <c r="G26" s="2393">
        <f t="shared" si="11"/>
        <v>79.841655972275845</v>
      </c>
      <c r="H26" s="2393">
        <f t="shared" si="12"/>
        <v>1.188912973298961</v>
      </c>
      <c r="I26" s="2393">
        <f t="shared" si="9"/>
        <v>0.97585574066470915</v>
      </c>
      <c r="J26" s="2393">
        <f t="shared" si="10"/>
        <v>25.993575313760502</v>
      </c>
      <c r="K26" s="2393">
        <f t="shared" si="13"/>
        <v>0</v>
      </c>
      <c r="L26" s="2051">
        <f t="shared" si="2"/>
        <v>-1.7763568394002505E-14</v>
      </c>
      <c r="M26" s="1571"/>
      <c r="N26" s="1573"/>
      <c r="P26" s="196"/>
      <c r="Q26" s="196"/>
    </row>
    <row r="27" spans="2:23" ht="36">
      <c r="B27" s="1574" t="s">
        <v>751</v>
      </c>
      <c r="C27" s="231"/>
      <c r="D27" s="231"/>
      <c r="E27" s="231"/>
      <c r="F27" s="231">
        <f>ВОДА!T31+ВОДА!U31</f>
        <v>0.57121706250000015</v>
      </c>
      <c r="G27" s="2393">
        <f t="shared" si="11"/>
        <v>0.42228626101499073</v>
      </c>
      <c r="H27" s="2393">
        <f t="shared" si="12"/>
        <v>6.288216446073829E-3</v>
      </c>
      <c r="I27" s="2393">
        <f t="shared" si="9"/>
        <v>5.1613467556134917E-3</v>
      </c>
      <c r="J27" s="2393">
        <f t="shared" si="10"/>
        <v>0.13748123828332215</v>
      </c>
      <c r="K27" s="2393">
        <f t="shared" si="13"/>
        <v>0</v>
      </c>
      <c r="L27" s="2051">
        <f t="shared" si="2"/>
        <v>-5.5511151231257827E-17</v>
      </c>
      <c r="M27" s="380"/>
      <c r="N27" s="1572"/>
      <c r="P27" s="196"/>
      <c r="Q27" s="196"/>
    </row>
    <row r="28" spans="2:23" ht="18">
      <c r="B28" s="1574" t="s">
        <v>665</v>
      </c>
      <c r="C28" s="2393"/>
      <c r="D28" s="2393"/>
      <c r="E28" s="2393"/>
      <c r="F28" s="2393"/>
      <c r="G28" s="2393">
        <f t="shared" si="11"/>
        <v>0</v>
      </c>
      <c r="H28" s="2393">
        <f t="shared" si="12"/>
        <v>0</v>
      </c>
      <c r="I28" s="2393">
        <f t="shared" si="9"/>
        <v>0</v>
      </c>
      <c r="J28" s="2393">
        <f t="shared" si="10"/>
        <v>0</v>
      </c>
      <c r="K28" s="2393">
        <f t="shared" si="13"/>
        <v>0</v>
      </c>
      <c r="L28" s="2051">
        <f t="shared" si="2"/>
        <v>0</v>
      </c>
      <c r="P28" s="196"/>
      <c r="Q28" s="196"/>
    </row>
    <row r="29" spans="2:23" ht="18">
      <c r="B29" s="1574" t="s">
        <v>1849</v>
      </c>
      <c r="C29" s="2393"/>
      <c r="D29" s="2393"/>
      <c r="E29" s="2393"/>
      <c r="F29" s="2393"/>
      <c r="G29" s="2393">
        <f t="shared" si="11"/>
        <v>0</v>
      </c>
      <c r="H29" s="2393">
        <f t="shared" si="12"/>
        <v>0</v>
      </c>
      <c r="I29" s="2393">
        <f t="shared" si="9"/>
        <v>0</v>
      </c>
      <c r="J29" s="2393">
        <f t="shared" si="10"/>
        <v>0</v>
      </c>
      <c r="K29" s="2393">
        <f t="shared" si="13"/>
        <v>0</v>
      </c>
      <c r="L29" s="2051">
        <f t="shared" si="2"/>
        <v>0</v>
      </c>
      <c r="P29" s="196"/>
      <c r="Q29" s="196"/>
    </row>
    <row r="30" spans="2:23" ht="22.8" customHeight="1">
      <c r="B30" s="1574" t="s">
        <v>1851</v>
      </c>
      <c r="C30" s="2393"/>
      <c r="D30" s="2393"/>
      <c r="E30" s="2393"/>
      <c r="F30" s="2393"/>
      <c r="G30" s="2393">
        <f t="shared" si="11"/>
        <v>0</v>
      </c>
      <c r="H30" s="2393">
        <f t="shared" si="12"/>
        <v>0</v>
      </c>
      <c r="I30" s="2393">
        <f t="shared" si="9"/>
        <v>0</v>
      </c>
      <c r="J30" s="2393">
        <f t="shared" si="10"/>
        <v>0</v>
      </c>
      <c r="K30" s="2393">
        <f t="shared" si="13"/>
        <v>0</v>
      </c>
      <c r="L30" s="2051">
        <f t="shared" si="2"/>
        <v>0</v>
      </c>
      <c r="P30" s="196"/>
      <c r="Q30" s="196"/>
    </row>
    <row r="31" spans="2:23" ht="18" hidden="1">
      <c r="B31" s="1574"/>
      <c r="C31" s="2393"/>
      <c r="D31" s="2393"/>
      <c r="E31" s="2393"/>
      <c r="F31" s="2393"/>
      <c r="G31" s="2393">
        <f t="shared" si="11"/>
        <v>0</v>
      </c>
      <c r="H31" s="2393">
        <f t="shared" si="12"/>
        <v>0</v>
      </c>
      <c r="I31" s="2393">
        <f t="shared" si="9"/>
        <v>0</v>
      </c>
      <c r="J31" s="2393">
        <f t="shared" si="10"/>
        <v>0</v>
      </c>
      <c r="K31" s="2393">
        <f t="shared" si="13"/>
        <v>0</v>
      </c>
      <c r="L31" s="2051">
        <f t="shared" si="2"/>
        <v>0</v>
      </c>
      <c r="P31" s="196"/>
      <c r="Q31" s="196"/>
    </row>
    <row r="32" spans="2:23" ht="18" hidden="1">
      <c r="B32" s="1574"/>
      <c r="C32" s="2393"/>
      <c r="D32" s="2393"/>
      <c r="E32" s="2393"/>
      <c r="F32" s="2393"/>
      <c r="G32" s="2393">
        <f t="shared" si="11"/>
        <v>0</v>
      </c>
      <c r="H32" s="2393">
        <f t="shared" si="12"/>
        <v>0</v>
      </c>
      <c r="I32" s="2393">
        <f t="shared" si="9"/>
        <v>0</v>
      </c>
      <c r="J32" s="2393">
        <f t="shared" si="10"/>
        <v>0</v>
      </c>
      <c r="K32" s="2393">
        <f t="shared" si="13"/>
        <v>0</v>
      </c>
      <c r="L32" s="2051">
        <f t="shared" si="2"/>
        <v>0</v>
      </c>
      <c r="P32" s="196"/>
      <c r="Q32" s="196"/>
    </row>
    <row r="33" spans="1:21" ht="18" hidden="1">
      <c r="B33" s="1574"/>
      <c r="C33" s="2393"/>
      <c r="D33" s="2393"/>
      <c r="E33" s="2393"/>
      <c r="F33" s="2393"/>
      <c r="G33" s="2393">
        <f t="shared" si="11"/>
        <v>0</v>
      </c>
      <c r="H33" s="2393">
        <f t="shared" si="12"/>
        <v>0</v>
      </c>
      <c r="I33" s="2393">
        <f t="shared" si="9"/>
        <v>0</v>
      </c>
      <c r="J33" s="2393">
        <f t="shared" si="10"/>
        <v>0</v>
      </c>
      <c r="K33" s="2393">
        <f t="shared" si="13"/>
        <v>0</v>
      </c>
      <c r="L33" s="2051">
        <f t="shared" si="2"/>
        <v>0</v>
      </c>
      <c r="P33" s="196"/>
      <c r="Q33" s="196"/>
    </row>
    <row r="34" spans="1:21" ht="18" hidden="1">
      <c r="B34" s="1574"/>
      <c r="C34" s="2393"/>
      <c r="D34" s="2393"/>
      <c r="E34" s="2393"/>
      <c r="F34" s="2393"/>
      <c r="G34" s="2393">
        <f t="shared" si="11"/>
        <v>0</v>
      </c>
      <c r="H34" s="2393">
        <f t="shared" si="12"/>
        <v>0</v>
      </c>
      <c r="I34" s="2393">
        <f t="shared" si="9"/>
        <v>0</v>
      </c>
      <c r="J34" s="2393">
        <f t="shared" si="10"/>
        <v>0</v>
      </c>
      <c r="K34" s="2393">
        <f t="shared" si="13"/>
        <v>0</v>
      </c>
      <c r="L34" s="2051">
        <f t="shared" si="2"/>
        <v>0</v>
      </c>
      <c r="P34" s="196"/>
      <c r="Q34" s="196"/>
    </row>
    <row r="35" spans="1:21" ht="18" hidden="1">
      <c r="B35" s="1574"/>
      <c r="C35" s="231"/>
      <c r="D35" s="231"/>
      <c r="E35" s="231"/>
      <c r="F35" s="2393"/>
      <c r="G35" s="2393">
        <f t="shared" si="11"/>
        <v>0</v>
      </c>
      <c r="H35" s="2393">
        <f t="shared" si="12"/>
        <v>0</v>
      </c>
      <c r="I35" s="2393">
        <f t="shared" si="9"/>
        <v>0</v>
      </c>
      <c r="J35" s="2393">
        <f t="shared" si="10"/>
        <v>0</v>
      </c>
      <c r="K35" s="2393">
        <f t="shared" si="13"/>
        <v>0</v>
      </c>
      <c r="L35" s="2051">
        <f t="shared" si="2"/>
        <v>0</v>
      </c>
      <c r="P35" s="196"/>
      <c r="Q35" s="196"/>
    </row>
    <row r="36" spans="1:21" s="205" customFormat="1" ht="54" customHeight="1">
      <c r="A36" s="192"/>
      <c r="B36" s="1575" t="s">
        <v>1852</v>
      </c>
      <c r="C36" s="2389"/>
      <c r="D36" s="2389"/>
      <c r="E36" s="2389"/>
      <c r="F36" s="2389">
        <f>Амортизація!G14/1000</f>
        <v>14.519339999999998</v>
      </c>
      <c r="G36" s="2393">
        <f t="shared" si="11"/>
        <v>10.733779159486142</v>
      </c>
      <c r="H36" s="2393">
        <f t="shared" si="12"/>
        <v>0.1598354786086901</v>
      </c>
      <c r="I36" s="2393">
        <f t="shared" si="9"/>
        <v>0.13119241934872905</v>
      </c>
      <c r="J36" s="2393">
        <f t="shared" si="10"/>
        <v>3.4945329425564382</v>
      </c>
      <c r="K36" s="2393">
        <f t="shared" si="13"/>
        <v>0</v>
      </c>
      <c r="L36" s="2051">
        <f t="shared" si="2"/>
        <v>-1.3322676295501878E-15</v>
      </c>
      <c r="M36" s="248"/>
      <c r="N36" s="248"/>
      <c r="O36" s="248"/>
      <c r="P36" s="196"/>
      <c r="Q36" s="196"/>
      <c r="R36" s="192"/>
    </row>
    <row r="37" spans="1:21" s="205" customFormat="1" ht="18" hidden="1">
      <c r="A37" s="192"/>
      <c r="B37" s="1575"/>
      <c r="C37" s="2389"/>
      <c r="D37" s="2389"/>
      <c r="E37" s="2389"/>
      <c r="F37" s="2389"/>
      <c r="G37" s="2393"/>
      <c r="H37" s="2393"/>
      <c r="I37" s="2393"/>
      <c r="J37" s="2393"/>
      <c r="K37" s="2393"/>
      <c r="L37" s="2051">
        <f t="shared" si="2"/>
        <v>0</v>
      </c>
      <c r="M37" s="248"/>
      <c r="N37" s="248"/>
      <c r="O37" s="248"/>
      <c r="P37" s="196"/>
      <c r="Q37" s="196"/>
      <c r="R37" s="192"/>
    </row>
    <row r="38" spans="1:21" s="205" customFormat="1" ht="18" hidden="1">
      <c r="A38" s="192"/>
      <c r="B38" s="1575"/>
      <c r="C38" s="2389"/>
      <c r="D38" s="2389"/>
      <c r="E38" s="2389"/>
      <c r="F38" s="2389"/>
      <c r="G38" s="2393">
        <f t="shared" si="11"/>
        <v>0</v>
      </c>
      <c r="H38" s="2393">
        <f t="shared" si="12"/>
        <v>0</v>
      </c>
      <c r="I38" s="2393">
        <f t="shared" si="9"/>
        <v>0</v>
      </c>
      <c r="J38" s="2393">
        <f t="shared" si="10"/>
        <v>0</v>
      </c>
      <c r="K38" s="2393">
        <f t="shared" si="13"/>
        <v>0</v>
      </c>
      <c r="L38" s="2051">
        <f t="shared" si="2"/>
        <v>0</v>
      </c>
      <c r="M38" s="2905"/>
      <c r="N38" s="2905"/>
      <c r="O38" s="2905"/>
      <c r="P38" s="196"/>
      <c r="Q38" s="196"/>
      <c r="R38" s="192"/>
    </row>
    <row r="39" spans="1:21" ht="18">
      <c r="B39" s="204" t="s">
        <v>1704</v>
      </c>
      <c r="C39" s="2389"/>
      <c r="D39" s="2389"/>
      <c r="E39" s="2389"/>
      <c r="F39" s="2389"/>
      <c r="G39" s="2393">
        <f t="shared" si="11"/>
        <v>0</v>
      </c>
      <c r="H39" s="2393">
        <f t="shared" si="12"/>
        <v>0</v>
      </c>
      <c r="I39" s="2393">
        <f t="shared" si="9"/>
        <v>0</v>
      </c>
      <c r="J39" s="2393">
        <f t="shared" si="10"/>
        <v>0</v>
      </c>
      <c r="K39" s="2393">
        <f t="shared" si="13"/>
        <v>0</v>
      </c>
      <c r="L39" s="2051">
        <f t="shared" si="2"/>
        <v>0</v>
      </c>
      <c r="M39" s="1573"/>
      <c r="N39" s="1573"/>
      <c r="O39" s="1576"/>
      <c r="P39" s="196"/>
      <c r="Q39" s="196"/>
      <c r="R39" s="1576"/>
      <c r="S39" s="1576"/>
      <c r="T39" s="1576"/>
      <c r="U39" s="1576"/>
    </row>
    <row r="40" spans="1:21" ht="18">
      <c r="B40" s="207" t="s">
        <v>1853</v>
      </c>
      <c r="C40" s="231"/>
      <c r="D40" s="231"/>
      <c r="E40" s="231"/>
      <c r="F40" s="231"/>
      <c r="G40" s="2393">
        <f t="shared" si="11"/>
        <v>0</v>
      </c>
      <c r="H40" s="2393">
        <f t="shared" si="12"/>
        <v>0</v>
      </c>
      <c r="I40" s="2393">
        <f t="shared" si="9"/>
        <v>0</v>
      </c>
      <c r="J40" s="2393">
        <f t="shared" si="10"/>
        <v>0</v>
      </c>
      <c r="K40" s="2393">
        <f t="shared" si="13"/>
        <v>0</v>
      </c>
      <c r="L40" s="2051">
        <f t="shared" si="2"/>
        <v>0</v>
      </c>
      <c r="M40" s="1573"/>
      <c r="N40" s="1573"/>
      <c r="O40" s="1576"/>
      <c r="P40" s="196"/>
      <c r="Q40" s="196"/>
      <c r="R40" s="1576"/>
      <c r="S40" s="1576"/>
      <c r="T40" s="1576"/>
      <c r="U40" s="1576"/>
    </row>
    <row r="41" spans="1:21" ht="18">
      <c r="B41" s="207" t="s">
        <v>1854</v>
      </c>
      <c r="C41" s="231"/>
      <c r="D41" s="231"/>
      <c r="E41" s="231"/>
      <c r="F41" s="231"/>
      <c r="G41" s="2393">
        <f t="shared" si="11"/>
        <v>0</v>
      </c>
      <c r="H41" s="2393">
        <f t="shared" si="12"/>
        <v>0</v>
      </c>
      <c r="I41" s="2393">
        <f t="shared" si="9"/>
        <v>0</v>
      </c>
      <c r="J41" s="2393">
        <f t="shared" si="10"/>
        <v>0</v>
      </c>
      <c r="K41" s="2393">
        <f t="shared" si="13"/>
        <v>0</v>
      </c>
      <c r="L41" s="2051">
        <f t="shared" si="2"/>
        <v>0</v>
      </c>
      <c r="P41" s="196"/>
      <c r="Q41" s="196"/>
    </row>
    <row r="42" spans="1:21" ht="18">
      <c r="B42" s="207" t="s">
        <v>1856</v>
      </c>
      <c r="C42" s="231"/>
      <c r="D42" s="231"/>
      <c r="E42" s="231"/>
      <c r="F42" s="231"/>
      <c r="G42" s="2393">
        <f t="shared" si="11"/>
        <v>0</v>
      </c>
      <c r="H42" s="2393">
        <f t="shared" si="12"/>
        <v>0</v>
      </c>
      <c r="I42" s="2393">
        <f t="shared" si="9"/>
        <v>0</v>
      </c>
      <c r="J42" s="2393">
        <f t="shared" si="10"/>
        <v>0</v>
      </c>
      <c r="K42" s="2393">
        <f t="shared" si="13"/>
        <v>0</v>
      </c>
      <c r="L42" s="2051">
        <f t="shared" si="2"/>
        <v>0</v>
      </c>
      <c r="M42" s="1570"/>
      <c r="P42" s="196"/>
      <c r="Q42" s="196"/>
    </row>
    <row r="43" spans="1:21" ht="18">
      <c r="B43" s="207" t="s">
        <v>1855</v>
      </c>
      <c r="C43" s="231"/>
      <c r="D43" s="231"/>
      <c r="E43" s="231"/>
      <c r="F43" s="231"/>
      <c r="G43" s="2393">
        <f t="shared" si="11"/>
        <v>0</v>
      </c>
      <c r="H43" s="2393">
        <f t="shared" si="12"/>
        <v>0</v>
      </c>
      <c r="I43" s="2393">
        <f t="shared" si="9"/>
        <v>0</v>
      </c>
      <c r="J43" s="2393">
        <f t="shared" si="10"/>
        <v>0</v>
      </c>
      <c r="K43" s="2393">
        <f t="shared" si="13"/>
        <v>0</v>
      </c>
      <c r="L43" s="2051">
        <f t="shared" si="2"/>
        <v>0</v>
      </c>
      <c r="M43" s="1570"/>
      <c r="P43" s="196"/>
      <c r="Q43" s="196"/>
    </row>
    <row r="44" spans="1:21" ht="18">
      <c r="B44" s="207" t="s">
        <v>1855</v>
      </c>
      <c r="C44" s="231"/>
      <c r="D44" s="231"/>
      <c r="E44" s="231"/>
      <c r="F44" s="231"/>
      <c r="G44" s="2393">
        <f t="shared" si="11"/>
        <v>0</v>
      </c>
      <c r="H44" s="2393">
        <f t="shared" si="12"/>
        <v>0</v>
      </c>
      <c r="I44" s="2393">
        <f t="shared" si="9"/>
        <v>0</v>
      </c>
      <c r="J44" s="2393">
        <f t="shared" si="10"/>
        <v>0</v>
      </c>
      <c r="K44" s="2393">
        <f t="shared" si="13"/>
        <v>0</v>
      </c>
      <c r="L44" s="2051">
        <f t="shared" si="2"/>
        <v>0</v>
      </c>
      <c r="M44" s="1570"/>
      <c r="P44" s="196"/>
      <c r="Q44" s="196"/>
    </row>
    <row r="45" spans="1:21" ht="18">
      <c r="B45" s="201" t="s">
        <v>767</v>
      </c>
      <c r="C45" s="231"/>
      <c r="D45" s="231"/>
      <c r="E45" s="231"/>
      <c r="F45" s="231"/>
      <c r="G45" s="2393">
        <f t="shared" si="11"/>
        <v>0</v>
      </c>
      <c r="H45" s="2393">
        <f t="shared" si="12"/>
        <v>0</v>
      </c>
      <c r="I45" s="2393">
        <f t="shared" si="9"/>
        <v>0</v>
      </c>
      <c r="J45" s="2393">
        <f t="shared" si="10"/>
        <v>0</v>
      </c>
      <c r="K45" s="2393">
        <f t="shared" si="13"/>
        <v>0</v>
      </c>
      <c r="L45" s="2051">
        <f t="shared" si="2"/>
        <v>0</v>
      </c>
      <c r="M45" s="1570"/>
      <c r="P45" s="196"/>
      <c r="Q45" s="196"/>
    </row>
    <row r="46" spans="1:21" ht="18">
      <c r="B46" s="201" t="s">
        <v>1857</v>
      </c>
      <c r="C46" s="231"/>
      <c r="D46" s="231"/>
      <c r="E46" s="231"/>
      <c r="F46" s="231"/>
      <c r="G46" s="2393">
        <f t="shared" si="11"/>
        <v>0</v>
      </c>
      <c r="H46" s="2393">
        <f t="shared" si="12"/>
        <v>0</v>
      </c>
      <c r="I46" s="2393">
        <f t="shared" si="9"/>
        <v>0</v>
      </c>
      <c r="J46" s="2393">
        <f t="shared" si="10"/>
        <v>0</v>
      </c>
      <c r="K46" s="2393">
        <f t="shared" si="13"/>
        <v>0</v>
      </c>
      <c r="L46" s="2051">
        <f t="shared" si="2"/>
        <v>0</v>
      </c>
      <c r="M46" s="1570"/>
      <c r="P46" s="196"/>
      <c r="Q46" s="196"/>
    </row>
    <row r="47" spans="1:21" ht="18">
      <c r="B47" s="208" t="s">
        <v>1705</v>
      </c>
      <c r="C47" s="231"/>
      <c r="D47" s="231"/>
      <c r="E47" s="231"/>
      <c r="F47" s="231"/>
      <c r="G47" s="2393">
        <f t="shared" si="11"/>
        <v>0</v>
      </c>
      <c r="H47" s="2393">
        <f t="shared" si="12"/>
        <v>0</v>
      </c>
      <c r="I47" s="2393">
        <f t="shared" si="9"/>
        <v>0</v>
      </c>
      <c r="J47" s="2393">
        <f t="shared" si="10"/>
        <v>0</v>
      </c>
      <c r="K47" s="2393">
        <f t="shared" si="13"/>
        <v>0</v>
      </c>
      <c r="L47" s="2051">
        <f t="shared" si="2"/>
        <v>0</v>
      </c>
      <c r="M47" s="1570"/>
      <c r="P47" s="196"/>
      <c r="Q47" s="196"/>
    </row>
    <row r="48" spans="1:21" ht="18">
      <c r="B48" s="219" t="s">
        <v>753</v>
      </c>
      <c r="C48" s="231"/>
      <c r="D48" s="231"/>
      <c r="E48" s="231"/>
      <c r="F48" s="231"/>
      <c r="G48" s="2393">
        <f t="shared" si="11"/>
        <v>0</v>
      </c>
      <c r="H48" s="2393">
        <f t="shared" si="12"/>
        <v>0</v>
      </c>
      <c r="I48" s="2393">
        <f t="shared" si="9"/>
        <v>0</v>
      </c>
      <c r="J48" s="2393">
        <f t="shared" si="10"/>
        <v>0</v>
      </c>
      <c r="K48" s="2393">
        <f t="shared" si="13"/>
        <v>0</v>
      </c>
      <c r="L48" s="2051">
        <f t="shared" si="2"/>
        <v>0</v>
      </c>
      <c r="P48" s="196"/>
      <c r="Q48" s="196"/>
    </row>
    <row r="49" spans="2:17" ht="18">
      <c r="B49" s="201" t="s">
        <v>666</v>
      </c>
      <c r="C49" s="231"/>
      <c r="D49" s="231"/>
      <c r="E49" s="231"/>
      <c r="F49" s="2394"/>
      <c r="G49" s="2393">
        <f t="shared" si="11"/>
        <v>0</v>
      </c>
      <c r="H49" s="2393">
        <f t="shared" si="12"/>
        <v>0</v>
      </c>
      <c r="I49" s="2393">
        <f t="shared" si="9"/>
        <v>0</v>
      </c>
      <c r="J49" s="2393">
        <f t="shared" si="10"/>
        <v>0</v>
      </c>
      <c r="K49" s="2393">
        <f t="shared" si="13"/>
        <v>0</v>
      </c>
      <c r="L49" s="2051">
        <f t="shared" si="2"/>
        <v>0</v>
      </c>
      <c r="P49" s="196"/>
      <c r="Q49" s="196"/>
    </row>
    <row r="50" spans="2:17" ht="18.600000000000001" thickBot="1">
      <c r="B50" s="220" t="s">
        <v>54</v>
      </c>
      <c r="C50" s="2394"/>
      <c r="D50" s="2394"/>
      <c r="E50" s="2394"/>
      <c r="F50" s="2394"/>
      <c r="G50" s="2393">
        <f t="shared" si="11"/>
        <v>0</v>
      </c>
      <c r="H50" s="2393">
        <f t="shared" si="12"/>
        <v>0</v>
      </c>
      <c r="I50" s="2393">
        <f t="shared" si="9"/>
        <v>0</v>
      </c>
      <c r="J50" s="2393">
        <f t="shared" si="10"/>
        <v>0</v>
      </c>
      <c r="K50" s="2393">
        <f t="shared" si="13"/>
        <v>0</v>
      </c>
      <c r="L50" s="2051">
        <f t="shared" si="2"/>
        <v>0</v>
      </c>
      <c r="P50" s="196"/>
      <c r="Q50" s="196"/>
    </row>
    <row r="51" spans="2:17" ht="18" hidden="1">
      <c r="B51" s="218"/>
      <c r="C51" s="216"/>
      <c r="D51" s="216"/>
      <c r="E51" s="216"/>
      <c r="F51" s="216"/>
      <c r="G51" s="203">
        <f t="shared" si="11"/>
        <v>0</v>
      </c>
      <c r="H51" s="203">
        <f t="shared" si="12"/>
        <v>0</v>
      </c>
      <c r="I51" s="203">
        <f t="shared" si="9"/>
        <v>0</v>
      </c>
      <c r="J51" s="203">
        <f t="shared" si="10"/>
        <v>0</v>
      </c>
      <c r="K51" s="203">
        <f t="shared" si="13"/>
        <v>0</v>
      </c>
      <c r="L51" s="248"/>
      <c r="P51" s="196"/>
      <c r="Q51" s="196"/>
    </row>
    <row r="52" spans="2:17" ht="18" hidden="1">
      <c r="B52" s="208"/>
      <c r="C52" s="202"/>
      <c r="D52" s="202"/>
      <c r="E52" s="202"/>
      <c r="F52" s="202"/>
      <c r="G52" s="203">
        <f t="shared" si="11"/>
        <v>0</v>
      </c>
      <c r="H52" s="203">
        <f t="shared" si="12"/>
        <v>0</v>
      </c>
      <c r="I52" s="203">
        <f t="shared" si="9"/>
        <v>0</v>
      </c>
      <c r="J52" s="203">
        <f t="shared" si="10"/>
        <v>0</v>
      </c>
      <c r="K52" s="203">
        <f t="shared" si="13"/>
        <v>0</v>
      </c>
      <c r="L52" s="248"/>
      <c r="P52" s="196"/>
      <c r="Q52" s="196"/>
    </row>
    <row r="53" spans="2:17" ht="18" hidden="1">
      <c r="B53" s="219"/>
      <c r="C53" s="202"/>
      <c r="D53" s="202"/>
      <c r="E53" s="202"/>
      <c r="F53" s="202"/>
      <c r="G53" s="203">
        <f t="shared" si="11"/>
        <v>0</v>
      </c>
      <c r="H53" s="203">
        <f t="shared" si="12"/>
        <v>0</v>
      </c>
      <c r="I53" s="203">
        <f t="shared" si="9"/>
        <v>0</v>
      </c>
      <c r="J53" s="203">
        <f t="shared" si="10"/>
        <v>0</v>
      </c>
      <c r="K53" s="203">
        <f t="shared" si="13"/>
        <v>0</v>
      </c>
      <c r="L53" s="248"/>
      <c r="P53" s="196"/>
      <c r="Q53" s="196"/>
    </row>
    <row r="54" spans="2:17" ht="18" hidden="1">
      <c r="B54" s="201"/>
      <c r="C54" s="216"/>
      <c r="D54" s="216"/>
      <c r="E54" s="216"/>
      <c r="F54" s="202"/>
      <c r="G54" s="203">
        <f t="shared" si="11"/>
        <v>0</v>
      </c>
      <c r="H54" s="203">
        <f t="shared" si="12"/>
        <v>0</v>
      </c>
      <c r="I54" s="203">
        <f t="shared" si="9"/>
        <v>0</v>
      </c>
      <c r="J54" s="203">
        <f t="shared" si="10"/>
        <v>0</v>
      </c>
      <c r="K54" s="203">
        <f t="shared" si="13"/>
        <v>0</v>
      </c>
      <c r="L54" s="912"/>
      <c r="P54" s="196"/>
      <c r="Q54" s="196"/>
    </row>
    <row r="55" spans="2:17" ht="18" hidden="1">
      <c r="B55" s="1577"/>
      <c r="C55" s="232"/>
      <c r="D55" s="232"/>
      <c r="E55" s="232"/>
      <c r="F55" s="1578"/>
      <c r="G55" s="203">
        <f>F55*$G$5</f>
        <v>0</v>
      </c>
      <c r="H55" s="203">
        <f>F55*$H$5</f>
        <v>0</v>
      </c>
      <c r="I55" s="203">
        <f t="shared" si="9"/>
        <v>0</v>
      </c>
      <c r="J55" s="203">
        <f t="shared" si="10"/>
        <v>0</v>
      </c>
      <c r="K55" s="203">
        <f t="shared" si="13"/>
        <v>0</v>
      </c>
      <c r="L55" s="196"/>
      <c r="P55" s="196"/>
      <c r="Q55" s="196"/>
    </row>
    <row r="56" spans="2:17" ht="18" hidden="1">
      <c r="B56" s="1577"/>
      <c r="C56" s="232"/>
      <c r="D56" s="232"/>
      <c r="E56" s="232"/>
      <c r="F56" s="1578"/>
      <c r="G56" s="203">
        <f>F56*$G$5</f>
        <v>0</v>
      </c>
      <c r="H56" s="203">
        <f>F56*$H$5</f>
        <v>0</v>
      </c>
      <c r="I56" s="203">
        <f t="shared" si="9"/>
        <v>0</v>
      </c>
      <c r="J56" s="203">
        <f t="shared" si="10"/>
        <v>0</v>
      </c>
      <c r="K56" s="203">
        <f t="shared" si="13"/>
        <v>0</v>
      </c>
      <c r="L56" s="196"/>
      <c r="P56" s="196"/>
      <c r="Q56" s="196"/>
    </row>
    <row r="57" spans="2:17" ht="18" hidden="1">
      <c r="B57" s="1577"/>
      <c r="C57" s="232"/>
      <c r="D57" s="232"/>
      <c r="E57" s="232"/>
      <c r="F57" s="1578"/>
      <c r="G57" s="203">
        <f>F57*$G$5</f>
        <v>0</v>
      </c>
      <c r="H57" s="203">
        <f>F57*$H$5</f>
        <v>0</v>
      </c>
      <c r="I57" s="203">
        <f t="shared" si="9"/>
        <v>0</v>
      </c>
      <c r="J57" s="203">
        <f t="shared" si="10"/>
        <v>0</v>
      </c>
      <c r="K57" s="203">
        <f t="shared" si="13"/>
        <v>0</v>
      </c>
      <c r="L57" s="196"/>
      <c r="P57" s="196"/>
      <c r="Q57" s="196"/>
    </row>
    <row r="58" spans="2:17" ht="18.600000000000001" hidden="1" thickBot="1">
      <c r="B58" s="220"/>
      <c r="C58" s="221"/>
      <c r="D58" s="221"/>
      <c r="E58" s="221"/>
      <c r="F58" s="221"/>
      <c r="G58" s="209">
        <f t="shared" si="11"/>
        <v>0</v>
      </c>
      <c r="H58" s="209">
        <f t="shared" si="12"/>
        <v>0</v>
      </c>
      <c r="I58" s="209">
        <f t="shared" si="9"/>
        <v>0</v>
      </c>
      <c r="J58" s="209">
        <f t="shared" si="10"/>
        <v>0</v>
      </c>
      <c r="K58" s="209">
        <f t="shared" si="13"/>
        <v>0</v>
      </c>
      <c r="L58" s="192"/>
      <c r="M58" s="192"/>
      <c r="N58" s="1570"/>
      <c r="P58" s="196"/>
      <c r="Q58" s="196"/>
    </row>
    <row r="59" spans="2:17" ht="18">
      <c r="D59" s="210"/>
      <c r="K59" s="246"/>
    </row>
    <row r="60" spans="2:17">
      <c r="C60" s="577"/>
      <c r="D60" s="196"/>
      <c r="K60" s="246"/>
    </row>
    <row r="61" spans="2:17" ht="18">
      <c r="B61" s="210" t="str">
        <f>'Вхідні дані'!B13</f>
        <v>Директор підприємства</v>
      </c>
      <c r="C61" s="210"/>
      <c r="D61" s="210"/>
      <c r="E61" s="358" t="s">
        <v>754</v>
      </c>
      <c r="F61" s="192"/>
      <c r="G61" s="2888" t="str">
        <f>'Вхідні дані'!F13</f>
        <v>Сергій НІКУЛЬЧА</v>
      </c>
      <c r="H61" s="2888"/>
      <c r="I61" s="2888"/>
      <c r="K61" s="246"/>
    </row>
    <row r="62" spans="2:17" ht="18">
      <c r="B62" s="210"/>
      <c r="C62" s="210"/>
      <c r="D62" s="210"/>
      <c r="E62" s="358" t="s">
        <v>196</v>
      </c>
      <c r="F62" s="192"/>
      <c r="G62" s="2889" t="s">
        <v>951</v>
      </c>
      <c r="H62" s="2889"/>
      <c r="I62" s="2889"/>
      <c r="K62" s="246"/>
    </row>
    <row r="63" spans="2:17" ht="18">
      <c r="B63" s="210" t="str">
        <f>'Вхідні дані'!B16</f>
        <v>Головний бухгалтер</v>
      </c>
      <c r="C63" s="210"/>
      <c r="D63" s="210"/>
      <c r="E63" s="358" t="s">
        <v>754</v>
      </c>
      <c r="F63" s="192"/>
      <c r="G63" s="2888" t="str">
        <f>'Вхідні дані'!F16</f>
        <v>Ольга ПЄТРОВА</v>
      </c>
      <c r="H63" s="2888"/>
      <c r="I63" s="2888"/>
      <c r="K63" s="246"/>
    </row>
    <row r="64" spans="2:17" ht="18">
      <c r="B64" s="246"/>
      <c r="C64" s="246"/>
      <c r="D64" s="246"/>
      <c r="E64" s="358" t="s">
        <v>196</v>
      </c>
      <c r="F64" s="192"/>
      <c r="G64" s="2889" t="s">
        <v>951</v>
      </c>
      <c r="H64" s="2889"/>
      <c r="I64" s="2889"/>
      <c r="K64" s="246"/>
    </row>
    <row r="65" spans="6:9" ht="18">
      <c r="F65" s="1579"/>
      <c r="G65" s="210"/>
      <c r="H65" s="210"/>
      <c r="I65" s="210"/>
    </row>
  </sheetData>
  <mergeCells count="7">
    <mergeCell ref="G64:I64"/>
    <mergeCell ref="B6:B7"/>
    <mergeCell ref="G6:J6"/>
    <mergeCell ref="M38:O38"/>
    <mergeCell ref="G61:I61"/>
    <mergeCell ref="G62:I62"/>
    <mergeCell ref="G63:I63"/>
  </mergeCells>
  <conditionalFormatting sqref="G64:I64">
    <cfRule type="expression" dxfId="6" priority="7" stopIfTrue="1">
      <formula>ABS(#REF!-(#REF!+#REF!+#REF!+$K64))&gt;отклонение</formula>
    </cfRule>
  </conditionalFormatting>
  <conditionalFormatting sqref="K59:K64 B64:D64 G64:I64">
    <cfRule type="expression" dxfId="5" priority="4" stopIfTrue="1">
      <formula>ABS(#REF!-(#REF!+$D59+#REF!+$L59))&gt;отклонение</formula>
    </cfRule>
  </conditionalFormatting>
  <pageMargins left="0.70866141732283472" right="0.70866141732283472" top="0.74803149606299213" bottom="0.34" header="0.31496062992125984" footer="0.31496062992125984"/>
  <pageSetup paperSize="9" scale="54" orientation="landscape"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6">
    <tabColor rgb="FF00B050"/>
    <pageSetUpPr fitToPage="1"/>
  </sheetPr>
  <dimension ref="A1:X111"/>
  <sheetViews>
    <sheetView zoomScaleNormal="100" workbookViewId="0">
      <selection activeCell="A3" sqref="A3"/>
    </sheetView>
  </sheetViews>
  <sheetFormatPr defaultColWidth="9.109375" defaultRowHeight="13.8"/>
  <cols>
    <col min="1" max="1" width="7.88671875" style="3106" customWidth="1"/>
    <col min="2" max="2" width="45.6640625" style="3107" customWidth="1"/>
    <col min="3" max="3" width="12.6640625" style="3108" customWidth="1"/>
    <col min="4" max="4" width="11.109375" style="3106" customWidth="1"/>
    <col min="5" max="5" width="13" style="3108" customWidth="1"/>
    <col min="6" max="6" width="12.6640625" style="3108" customWidth="1"/>
    <col min="7" max="8" width="11.6640625" style="3108" customWidth="1"/>
    <col min="9" max="9" width="8.33203125" style="3108" hidden="1" customWidth="1"/>
    <col min="10" max="14" width="9.109375" style="3108" hidden="1" customWidth="1"/>
    <col min="15" max="16" width="10.44140625" style="3108" hidden="1" customWidth="1"/>
    <col min="17" max="19" width="9.109375" style="3108" hidden="1" customWidth="1"/>
    <col min="20" max="21" width="9.5546875" style="3108" hidden="1" customWidth="1"/>
    <col min="22" max="22" width="10.5546875" style="3110" hidden="1" customWidth="1"/>
    <col min="23" max="23" width="0" style="3110" hidden="1" customWidth="1"/>
    <col min="24" max="24" width="0" style="3108" hidden="1" customWidth="1"/>
    <col min="25" max="16384" width="9.109375" style="3108"/>
  </cols>
  <sheetData>
    <row r="1" spans="1:24" ht="85.8" customHeight="1">
      <c r="F1" s="3109" t="s">
        <v>2042</v>
      </c>
      <c r="G1" s="3109"/>
      <c r="H1" s="3109"/>
    </row>
    <row r="2" spans="1:24" ht="42" customHeight="1">
      <c r="A2" s="3111" t="str">
        <f>"Одноставкові тарифи та їх структура на теплову енергію, її виробництво та постачання  з урахуванням витрат на утримання та ремонт індивідуальних теплових пунктів "&amp;'Вхідні дані'!F5</f>
        <v>Одноставкові тарифи та їх структура на теплову енергію, її виробництво та постачання  з урахуванням витрат на утримання та ремонт індивідуальних теплових пунктів ТОВ ДП " Моноліт- Сервіс "</v>
      </c>
      <c r="B2" s="3111"/>
      <c r="C2" s="3111"/>
      <c r="D2" s="3111"/>
      <c r="E2" s="3111"/>
      <c r="F2" s="3111"/>
      <c r="G2" s="3111"/>
      <c r="H2" s="3111"/>
    </row>
    <row r="3" spans="1:24" ht="14.4" thickBot="1">
      <c r="H3" s="3108" t="s">
        <v>792</v>
      </c>
    </row>
    <row r="4" spans="1:24" ht="14.4" thickBot="1">
      <c r="A4" s="3112" t="s">
        <v>7</v>
      </c>
      <c r="B4" s="3112" t="s">
        <v>534</v>
      </c>
      <c r="C4" s="3112" t="s">
        <v>1266</v>
      </c>
      <c r="D4" s="3113" t="s">
        <v>2041</v>
      </c>
      <c r="E4" s="3114"/>
      <c r="F4" s="3114"/>
      <c r="G4" s="3115"/>
      <c r="H4" s="3116"/>
      <c r="I4" s="3107"/>
    </row>
    <row r="5" spans="1:24" ht="40.799999999999997" customHeight="1" thickBot="1">
      <c r="A5" s="3117"/>
      <c r="B5" s="3118"/>
      <c r="C5" s="3118"/>
      <c r="D5" s="3119" t="str">
        <f>Виробництво_1ст!G8</f>
        <v>котельні</v>
      </c>
      <c r="E5" s="3119" t="str">
        <f>Виробництво_1ст!H8</f>
        <v>САО Парусна, 1-А</v>
      </c>
      <c r="F5" s="3119" t="str">
        <f>Виробництво_1ст!I8</f>
        <v>САО Парусна, 1-Б</v>
      </c>
      <c r="G5" s="3119" t="str">
        <f>Виробництво_1ст!J8</f>
        <v>САО Паркова, 50</v>
      </c>
      <c r="H5" s="3119" t="str">
        <f>Виробництво_1ст!K8</f>
        <v>САО Паркова, 52</v>
      </c>
    </row>
    <row r="6" spans="1:24" ht="14.4" thickBot="1">
      <c r="A6" s="3120">
        <v>1</v>
      </c>
      <c r="B6" s="3121">
        <v>2</v>
      </c>
      <c r="C6" s="3122">
        <v>3</v>
      </c>
      <c r="D6" s="3120">
        <v>4</v>
      </c>
      <c r="E6" s="3122">
        <v>5</v>
      </c>
      <c r="F6" s="3123">
        <v>6</v>
      </c>
      <c r="G6" s="3124"/>
      <c r="H6" s="3124">
        <v>7</v>
      </c>
    </row>
    <row r="7" spans="1:24" s="3129" customFormat="1" ht="70.8" thickBot="1">
      <c r="A7" s="3125"/>
      <c r="B7" s="3126" t="s">
        <v>1540</v>
      </c>
      <c r="C7" s="3127" t="s">
        <v>300</v>
      </c>
      <c r="D7" s="3128">
        <f>'Д 5 Т на ТЕ з IТП'!E23</f>
        <v>1388.6213226578486</v>
      </c>
      <c r="E7" s="3128">
        <f>'Д 5 Т на ТЕ з IТП'!F23</f>
        <v>1417.8385269681864</v>
      </c>
      <c r="F7" s="3128">
        <f>'Д 5 Т на ТЕ з IТП'!G23</f>
        <v>1399.1071964116279</v>
      </c>
      <c r="G7" s="3128">
        <f>'Д 5 Т на ТЕ з IТП'!H23</f>
        <v>1380.9434818735265</v>
      </c>
      <c r="H7" s="3128">
        <f>'Д 5 Т на ТЕ з IТП'!I23</f>
        <v>1395.2814632510037</v>
      </c>
      <c r="V7" s="3130"/>
      <c r="W7" s="3130"/>
    </row>
    <row r="8" spans="1:24" ht="14.4" thickBot="1">
      <c r="A8" s="3131" t="s">
        <v>1273</v>
      </c>
      <c r="B8" s="3132" t="s">
        <v>1534</v>
      </c>
      <c r="C8" s="3133">
        <f>'Д 2_Т на В'!H51</f>
        <v>11700.843562650281</v>
      </c>
      <c r="D8" s="3133">
        <f>'Д 5 Т на ТЕ з IТП'!E11</f>
        <v>1368.2089020646943</v>
      </c>
      <c r="E8" s="3133">
        <f>'Д 5 Т на ТЕ з IТП'!F11</f>
        <v>1397.4261063750321</v>
      </c>
      <c r="F8" s="3133">
        <f>'Д 5 Т на ТЕ з IТП'!G11</f>
        <v>1378.6947758184738</v>
      </c>
      <c r="G8" s="3133">
        <f>'Д 5 Т на ТЕ з IТП'!H11</f>
        <v>1360.5310612803723</v>
      </c>
      <c r="H8" s="3133">
        <f>'Д 5 Т на ТЕ з IТП'!I11</f>
        <v>1374.8690426578494</v>
      </c>
      <c r="I8" s="3134" t="e">
        <f>J8+O8</f>
        <v>#REF!</v>
      </c>
      <c r="J8" s="3135" t="e">
        <f>'Д 7_РП'!#REF!/1000</f>
        <v>#REF!</v>
      </c>
      <c r="K8" s="3135" t="e">
        <f>'Д 7_РП'!#REF!/1000</f>
        <v>#REF!</v>
      </c>
      <c r="L8" s="3135" t="e">
        <f>'Д 7_РП'!#REF!/1000</f>
        <v>#REF!</v>
      </c>
      <c r="M8" s="3135" t="e">
        <f>'Д 7_РП'!#REF!/1000</f>
        <v>#REF!</v>
      </c>
      <c r="N8" s="3135" t="e">
        <f>'Д 7_РП'!#REF!/1000</f>
        <v>#REF!</v>
      </c>
      <c r="O8" s="3135" t="e">
        <f>'Д 7_РП'!#REF!/1000</f>
        <v>#REF!</v>
      </c>
      <c r="P8" s="3135" t="e">
        <f>'Д 7_РП'!#REF!/1000</f>
        <v>#REF!</v>
      </c>
      <c r="Q8" s="3135" t="e">
        <f>'Д 7_РП'!#REF!/1000</f>
        <v>#REF!</v>
      </c>
      <c r="R8" s="3135" t="e">
        <f>'Д 7_РП'!#REF!/1000</f>
        <v>#REF!</v>
      </c>
      <c r="S8" s="3135" t="e">
        <f>'Д 7_РП'!#REF!/1000</f>
        <v>#REF!</v>
      </c>
      <c r="V8" s="3134">
        <f>C10+C26+C31+C32+C34+C35+C36</f>
        <v>11700.836194846601</v>
      </c>
    </row>
    <row r="9" spans="1:24" ht="14.4" thickBot="1">
      <c r="A9" s="3136"/>
      <c r="B9" s="3137" t="s">
        <v>1537</v>
      </c>
      <c r="C9" s="3138"/>
      <c r="D9" s="3138"/>
      <c r="E9" s="3138"/>
      <c r="F9" s="3138"/>
      <c r="G9" s="3138"/>
      <c r="H9" s="3139"/>
      <c r="I9" s="3110"/>
    </row>
    <row r="10" spans="1:24" s="3147" customFormat="1" ht="27.6">
      <c r="A10" s="3140" t="s">
        <v>804</v>
      </c>
      <c r="B10" s="3141" t="s">
        <v>1323</v>
      </c>
      <c r="C10" s="3142">
        <f t="shared" ref="C10:H10" si="0">C11+C16+C17+C21</f>
        <v>10255.499550927374</v>
      </c>
      <c r="D10" s="3142">
        <f t="shared" si="0"/>
        <v>1198.9988161959445</v>
      </c>
      <c r="E10" s="3142">
        <f t="shared" si="0"/>
        <v>1226.8895118123321</v>
      </c>
      <c r="F10" s="3142">
        <f t="shared" si="0"/>
        <v>1209.0086141914032</v>
      </c>
      <c r="G10" s="3142">
        <f t="shared" si="0"/>
        <v>1191.6695618965916</v>
      </c>
      <c r="H10" s="3142">
        <f t="shared" si="0"/>
        <v>1205.3565755514589</v>
      </c>
      <c r="I10" s="3143" t="e">
        <f t="shared" ref="I10:I32" si="1">J10+O10-C10</f>
        <v>#REF!</v>
      </c>
      <c r="J10" s="3144" t="e">
        <f>J11+J16+J17+J21</f>
        <v>#REF!</v>
      </c>
      <c r="K10" s="3144" t="e">
        <f t="shared" ref="K10:S10" si="2">K11+K16+K17+K21</f>
        <v>#REF!</v>
      </c>
      <c r="L10" s="3144" t="e">
        <f t="shared" si="2"/>
        <v>#REF!</v>
      </c>
      <c r="M10" s="3144" t="e">
        <f t="shared" si="2"/>
        <v>#REF!</v>
      </c>
      <c r="N10" s="3144" t="e">
        <f t="shared" si="2"/>
        <v>#REF!</v>
      </c>
      <c r="O10" s="3144" t="e">
        <f t="shared" si="2"/>
        <v>#REF!</v>
      </c>
      <c r="P10" s="3144" t="e">
        <f t="shared" si="2"/>
        <v>#REF!</v>
      </c>
      <c r="Q10" s="3144" t="e">
        <f t="shared" si="2"/>
        <v>#REF!</v>
      </c>
      <c r="R10" s="3144" t="e">
        <f t="shared" si="2"/>
        <v>#REF!</v>
      </c>
      <c r="S10" s="3144" t="e">
        <f t="shared" si="2"/>
        <v>#REF!</v>
      </c>
      <c r="T10" s="3145">
        <f>ROUND(C11,2)+ROUND(C16,2)+ROUND(C17,2)+ROUND(C21,2)</f>
        <v>10255.5</v>
      </c>
      <c r="U10" s="3145">
        <f>ROUND(D11,2)+ROUND(D16,2)+ROUND(D17,2)+ROUND(D21,2)</f>
        <v>1199</v>
      </c>
      <c r="V10" s="3146">
        <f t="shared" ref="V10:V40" si="3">C10/C$41</f>
        <v>1201.4719197843976</v>
      </c>
      <c r="W10" s="3143">
        <f t="shared" ref="W10:W40" si="4">D10-V10</f>
        <v>-2.4731035884531138</v>
      </c>
      <c r="X10" s="3145">
        <f t="shared" ref="X10:X40" si="5">D10+E10-F10-H10</f>
        <v>11.523138265414218</v>
      </c>
    </row>
    <row r="11" spans="1:24">
      <c r="A11" s="3148" t="s">
        <v>806</v>
      </c>
      <c r="B11" s="3149" t="s">
        <v>1280</v>
      </c>
      <c r="C11" s="3150">
        <f t="shared" ref="C11:H11" si="6">SUM(C12:C15)</f>
        <v>9714.0286569070067</v>
      </c>
      <c r="D11" s="3150">
        <f t="shared" si="6"/>
        <v>1135.5633812553622</v>
      </c>
      <c r="E11" s="3150">
        <f t="shared" si="6"/>
        <v>1163.4540768717497</v>
      </c>
      <c r="F11" s="3150">
        <f t="shared" si="6"/>
        <v>1145.5731792508209</v>
      </c>
      <c r="G11" s="3150">
        <f t="shared" si="6"/>
        <v>1128.2341269560093</v>
      </c>
      <c r="H11" s="3150">
        <f t="shared" si="6"/>
        <v>1141.9211406108766</v>
      </c>
      <c r="I11" s="3143" t="e">
        <f t="shared" si="1"/>
        <v>#REF!</v>
      </c>
      <c r="J11" s="3151" t="e">
        <f>SUM(J12:J15)</f>
        <v>#REF!</v>
      </c>
      <c r="K11" s="3151" t="e">
        <f t="shared" ref="K11:S11" si="7">SUM(K12:K15)</f>
        <v>#REF!</v>
      </c>
      <c r="L11" s="3151" t="e">
        <f t="shared" si="7"/>
        <v>#REF!</v>
      </c>
      <c r="M11" s="3151" t="e">
        <f t="shared" si="7"/>
        <v>#REF!</v>
      </c>
      <c r="N11" s="3151" t="e">
        <f t="shared" si="7"/>
        <v>#REF!</v>
      </c>
      <c r="O11" s="3151" t="e">
        <f t="shared" si="7"/>
        <v>#REF!</v>
      </c>
      <c r="P11" s="3151" t="e">
        <f t="shared" si="7"/>
        <v>#REF!</v>
      </c>
      <c r="Q11" s="3151" t="e">
        <f t="shared" si="7"/>
        <v>#REF!</v>
      </c>
      <c r="R11" s="3151" t="e">
        <f t="shared" si="7"/>
        <v>#REF!</v>
      </c>
      <c r="S11" s="3151" t="e">
        <f t="shared" si="7"/>
        <v>#REF!</v>
      </c>
      <c r="T11" s="3145">
        <f>ROUND(C12,2)+ROUND(C13,2)+ROUND(C14,2)+ROUND(C15,2)</f>
        <v>9714.0300000000007</v>
      </c>
      <c r="U11" s="3145">
        <f>ROUND(D12,2)+ROUND(D13,2)+ROUND(D14,2)+ROUND(D15,2)</f>
        <v>1135.5700000000002</v>
      </c>
      <c r="V11" s="3146">
        <f t="shared" si="3"/>
        <v>1138.0364848438153</v>
      </c>
      <c r="W11" s="3143">
        <f t="shared" si="4"/>
        <v>-2.4731035884531138</v>
      </c>
      <c r="X11" s="3145">
        <f t="shared" si="5"/>
        <v>11.523138265414673</v>
      </c>
    </row>
    <row r="12" spans="1:24" ht="27.6">
      <c r="A12" s="3148" t="s">
        <v>1281</v>
      </c>
      <c r="B12" s="3149" t="s">
        <v>1282</v>
      </c>
      <c r="C12" s="3150">
        <f>'Д 2_Т на В'!H14</f>
        <v>8302.6957517161845</v>
      </c>
      <c r="D12" s="3150">
        <f>'Д 2_Т на В'!L14/'Д 2_Т на В'!L$58*1000</f>
        <v>970.03517428698422</v>
      </c>
      <c r="E12" s="3150">
        <f>'Д 2_Т на В'!P14/'Д 2_Т на В'!P$58*1000</f>
        <v>998.75361828332927</v>
      </c>
      <c r="F12" s="3150">
        <f>'Д 2_Т на В'!T14/'Д 2_Т на В'!T$58*1000</f>
        <v>980.6867487119747</v>
      </c>
      <c r="G12" s="3150">
        <f>'Д 2_Т на В'!X14/'Д 2_Т на В'!X$58*1000</f>
        <v>963.54078571696164</v>
      </c>
      <c r="H12" s="3150">
        <f>'Д 2_Т на В'!AB14/'Д 2_Т на В'!AB$58*1000</f>
        <v>977.23766384197324</v>
      </c>
      <c r="I12" s="3143" t="e">
        <f t="shared" si="1"/>
        <v>#REF!</v>
      </c>
      <c r="J12" s="3152" t="e">
        <f>SUM(K12:N12)</f>
        <v>#REF!</v>
      </c>
      <c r="K12" s="3153" t="e">
        <f t="shared" ref="K12:K32" si="8">K$8*D12</f>
        <v>#REF!</v>
      </c>
      <c r="L12" s="3153" t="e">
        <f t="shared" ref="L12:L32" si="9">L$8*E12</f>
        <v>#REF!</v>
      </c>
      <c r="M12" s="3153" t="e">
        <f t="shared" ref="M12:M32" si="10">M$8*F12</f>
        <v>#REF!</v>
      </c>
      <c r="N12" s="3153" t="e">
        <f t="shared" ref="N12:N27" si="11">N$8*H12</f>
        <v>#REF!</v>
      </c>
      <c r="O12" s="3152" t="e">
        <f>SUM(P12:S12)</f>
        <v>#REF!</v>
      </c>
      <c r="P12" s="3153" t="e">
        <f t="shared" ref="P12:P32" si="12">P$8*D12</f>
        <v>#REF!</v>
      </c>
      <c r="Q12" s="3153" t="e">
        <f t="shared" ref="Q12:Q32" si="13">Q$8*E12</f>
        <v>#REF!</v>
      </c>
      <c r="R12" s="3153" t="e">
        <f t="shared" ref="R12:R32" si="14">R$8*F12</f>
        <v>#REF!</v>
      </c>
      <c r="S12" s="3153" t="e">
        <f t="shared" ref="S12:S27" si="15">S$8*H12</f>
        <v>#REF!</v>
      </c>
      <c r="V12" s="3146">
        <f t="shared" si="3"/>
        <v>972.69331002975434</v>
      </c>
      <c r="W12" s="3143">
        <f t="shared" si="4"/>
        <v>-2.6581357427701278</v>
      </c>
      <c r="X12" s="3145">
        <f t="shared" si="5"/>
        <v>10.864380016365544</v>
      </c>
    </row>
    <row r="13" spans="1:24" ht="27.6">
      <c r="A13" s="3148" t="s">
        <v>1283</v>
      </c>
      <c r="B13" s="3149" t="s">
        <v>1284</v>
      </c>
      <c r="C13" s="3150">
        <f>'Д 2_Т на В'!H18</f>
        <v>1403.2600406893609</v>
      </c>
      <c r="D13" s="3150">
        <f>'Д 2_Т на В'!L18/'Д 2_Т на В'!L$58*1000</f>
        <v>164.39740713472321</v>
      </c>
      <c r="E13" s="3150">
        <f>'Д 2_Т на В'!P18/'Д 2_Т на В'!P$58*1000</f>
        <v>164.39740713472321</v>
      </c>
      <c r="F13" s="3150">
        <f>'Д 2_Т на В'!T18/'Д 2_Т на В'!T$58*1000</f>
        <v>164.39740713472318</v>
      </c>
      <c r="G13" s="3150">
        <f>'Д 2_Т на В'!X18/'Д 2_Т на В'!X$58*1000</f>
        <v>164.39740713472321</v>
      </c>
      <c r="H13" s="3150">
        <f>'Д 2_Т на В'!AB18/'Д 2_Т на В'!AB$58*1000</f>
        <v>164.39740713472324</v>
      </c>
      <c r="I13" s="3143" t="e">
        <f t="shared" si="1"/>
        <v>#REF!</v>
      </c>
      <c r="J13" s="3152" t="e">
        <f t="shared" ref="J13:J40" si="16">SUM(K13:N13)</f>
        <v>#REF!</v>
      </c>
      <c r="K13" s="3153" t="e">
        <f t="shared" si="8"/>
        <v>#REF!</v>
      </c>
      <c r="L13" s="3153" t="e">
        <f t="shared" si="9"/>
        <v>#REF!</v>
      </c>
      <c r="M13" s="3153" t="e">
        <f t="shared" si="10"/>
        <v>#REF!</v>
      </c>
      <c r="N13" s="3153" t="e">
        <f t="shared" si="11"/>
        <v>#REF!</v>
      </c>
      <c r="O13" s="3152" t="e">
        <f t="shared" ref="O13:O40" si="17">SUM(P13:S13)</f>
        <v>#REF!</v>
      </c>
      <c r="P13" s="3153" t="e">
        <f t="shared" si="12"/>
        <v>#REF!</v>
      </c>
      <c r="Q13" s="3153" t="e">
        <f t="shared" si="13"/>
        <v>#REF!</v>
      </c>
      <c r="R13" s="3153" t="e">
        <f t="shared" si="14"/>
        <v>#REF!</v>
      </c>
      <c r="S13" s="3153" t="e">
        <f t="shared" si="15"/>
        <v>#REF!</v>
      </c>
      <c r="V13" s="3146">
        <f t="shared" si="3"/>
        <v>164.39740713472321</v>
      </c>
      <c r="W13" s="3143">
        <f t="shared" si="4"/>
        <v>0</v>
      </c>
      <c r="X13" s="3145">
        <f t="shared" si="5"/>
        <v>0</v>
      </c>
    </row>
    <row r="14" spans="1:24" ht="27.6">
      <c r="A14" s="3148" t="s">
        <v>1285</v>
      </c>
      <c r="B14" s="3149" t="s">
        <v>1286</v>
      </c>
      <c r="C14" s="3150">
        <f>'Д 2_Т на В'!H22</f>
        <v>8.0728645014612006</v>
      </c>
      <c r="D14" s="3150">
        <f>'Д 2_Т на В'!L22/'Д 2_Т на В'!L$58*1000</f>
        <v>1.1307998336546372</v>
      </c>
      <c r="E14" s="3150">
        <f>'Д 2_Т на В'!P22/'Д 2_Т на В'!P$58*1000</f>
        <v>0.30305145369711389</v>
      </c>
      <c r="F14" s="3150">
        <f>'Д 2_Т на В'!T22/'Д 2_Т на В'!T$58*1000</f>
        <v>0.48902340412295114</v>
      </c>
      <c r="G14" s="3150">
        <f>'Д 2_Т на В'!X22/'Д 2_Т на В'!X$58*1000</f>
        <v>0.29593410432445399</v>
      </c>
      <c r="H14" s="3150">
        <f>'Д 2_Т на В'!AB22/'Д 2_Т на В'!AB$58*1000</f>
        <v>0.28606963418030551</v>
      </c>
      <c r="I14" s="3143" t="e">
        <f t="shared" si="1"/>
        <v>#REF!</v>
      </c>
      <c r="J14" s="3152" t="e">
        <f t="shared" si="16"/>
        <v>#REF!</v>
      </c>
      <c r="K14" s="3153" t="e">
        <f t="shared" si="8"/>
        <v>#REF!</v>
      </c>
      <c r="L14" s="3153" t="e">
        <f t="shared" si="9"/>
        <v>#REF!</v>
      </c>
      <c r="M14" s="3153" t="e">
        <f t="shared" si="10"/>
        <v>#REF!</v>
      </c>
      <c r="N14" s="3153" t="e">
        <f t="shared" si="11"/>
        <v>#REF!</v>
      </c>
      <c r="O14" s="3152" t="e">
        <f t="shared" si="17"/>
        <v>#REF!</v>
      </c>
      <c r="P14" s="3153" t="e">
        <f t="shared" si="12"/>
        <v>#REF!</v>
      </c>
      <c r="Q14" s="3153" t="e">
        <f t="shared" si="13"/>
        <v>#REF!</v>
      </c>
      <c r="R14" s="3153" t="e">
        <f t="shared" si="14"/>
        <v>#REF!</v>
      </c>
      <c r="S14" s="3153" t="e">
        <f t="shared" si="15"/>
        <v>#REF!</v>
      </c>
      <c r="V14" s="3146">
        <f t="shared" si="3"/>
        <v>0.94576767933774841</v>
      </c>
      <c r="W14" s="3143">
        <f t="shared" si="4"/>
        <v>0.1850321543168888</v>
      </c>
      <c r="X14" s="3145">
        <f t="shared" si="5"/>
        <v>0.65875824904849445</v>
      </c>
    </row>
    <row r="15" spans="1:24" ht="27.6">
      <c r="A15" s="3148" t="s">
        <v>1287</v>
      </c>
      <c r="B15" s="3149" t="s">
        <v>1171</v>
      </c>
      <c r="C15" s="3150">
        <f>'Д 2_Т на В'!H23</f>
        <v>0</v>
      </c>
      <c r="D15" s="3150">
        <f>'Д 2_Т на В'!L23/'Д 2_Т на В'!L$58*1000</f>
        <v>0</v>
      </c>
      <c r="E15" s="3150">
        <f>'Д 2_Т на В'!P23/'Д 2_Т на В'!P$58*1000</f>
        <v>0</v>
      </c>
      <c r="F15" s="3150">
        <f>'Д 2_Т на В'!T23/'Д 2_Т на В'!T$58*1000</f>
        <v>0</v>
      </c>
      <c r="G15" s="3150">
        <f>'Д 2_Т на В'!X23/'Д 2_Т на В'!X$58*1000</f>
        <v>0</v>
      </c>
      <c r="H15" s="3150">
        <f>'Д 2_Т на В'!AB23/'Д 2_Т на В'!AB$58*1000</f>
        <v>0</v>
      </c>
      <c r="I15" s="3143" t="e">
        <f t="shared" si="1"/>
        <v>#REF!</v>
      </c>
      <c r="J15" s="3152" t="e">
        <f t="shared" si="16"/>
        <v>#REF!</v>
      </c>
      <c r="K15" s="3153" t="e">
        <f t="shared" si="8"/>
        <v>#REF!</v>
      </c>
      <c r="L15" s="3153" t="e">
        <f t="shared" si="9"/>
        <v>#REF!</v>
      </c>
      <c r="M15" s="3153" t="e">
        <f t="shared" si="10"/>
        <v>#REF!</v>
      </c>
      <c r="N15" s="3153" t="e">
        <f t="shared" si="11"/>
        <v>#REF!</v>
      </c>
      <c r="O15" s="3152" t="e">
        <f t="shared" si="17"/>
        <v>#REF!</v>
      </c>
      <c r="P15" s="3153" t="e">
        <f t="shared" si="12"/>
        <v>#REF!</v>
      </c>
      <c r="Q15" s="3153" t="e">
        <f t="shared" si="13"/>
        <v>#REF!</v>
      </c>
      <c r="R15" s="3153" t="e">
        <f t="shared" si="14"/>
        <v>#REF!</v>
      </c>
      <c r="S15" s="3153" t="e">
        <f t="shared" si="15"/>
        <v>#REF!</v>
      </c>
      <c r="V15" s="3146">
        <f t="shared" si="3"/>
        <v>0</v>
      </c>
      <c r="W15" s="3143">
        <f t="shared" si="4"/>
        <v>0</v>
      </c>
      <c r="X15" s="3145">
        <f t="shared" si="5"/>
        <v>0</v>
      </c>
    </row>
    <row r="16" spans="1:24">
      <c r="A16" s="3148" t="s">
        <v>808</v>
      </c>
      <c r="B16" s="3149" t="s">
        <v>1288</v>
      </c>
      <c r="C16" s="3150">
        <f>'Д 2_Т на В'!H24</f>
        <v>216</v>
      </c>
      <c r="D16" s="3150">
        <f>'Д 2_Т на В'!L24/'Д 2_Т на В'!L$58*1000</f>
        <v>25.305245579184138</v>
      </c>
      <c r="E16" s="3150">
        <f>'Д 2_Т на В'!P24/'Д 2_Т на В'!P$58*1000</f>
        <v>25.305245579184138</v>
      </c>
      <c r="F16" s="3150">
        <f>'Д 2_Т на В'!T24/'Д 2_Т на В'!T$58*1000</f>
        <v>25.305245579184142</v>
      </c>
      <c r="G16" s="3150">
        <f>'Д 2_Т на В'!X24/'Д 2_Т на В'!X$58*1000</f>
        <v>25.305245579184138</v>
      </c>
      <c r="H16" s="3150">
        <f>'Д 2_Т на В'!AB24/'Д 2_Т на В'!AB$58*1000</f>
        <v>25.305245579184142</v>
      </c>
      <c r="I16" s="3143" t="e">
        <f t="shared" si="1"/>
        <v>#REF!</v>
      </c>
      <c r="J16" s="3152" t="e">
        <f t="shared" si="16"/>
        <v>#REF!</v>
      </c>
      <c r="K16" s="3153" t="e">
        <f t="shared" si="8"/>
        <v>#REF!</v>
      </c>
      <c r="L16" s="3153" t="e">
        <f t="shared" si="9"/>
        <v>#REF!</v>
      </c>
      <c r="M16" s="3153" t="e">
        <f t="shared" si="10"/>
        <v>#REF!</v>
      </c>
      <c r="N16" s="3153" t="e">
        <f t="shared" si="11"/>
        <v>#REF!</v>
      </c>
      <c r="O16" s="3152" t="e">
        <f t="shared" si="17"/>
        <v>#REF!</v>
      </c>
      <c r="P16" s="3153" t="e">
        <f t="shared" si="12"/>
        <v>#REF!</v>
      </c>
      <c r="Q16" s="3153" t="e">
        <f t="shared" si="13"/>
        <v>#REF!</v>
      </c>
      <c r="R16" s="3153" t="e">
        <f t="shared" si="14"/>
        <v>#REF!</v>
      </c>
      <c r="S16" s="3153" t="e">
        <f t="shared" si="15"/>
        <v>#REF!</v>
      </c>
      <c r="T16" s="3154">
        <f>ROUND(C16,2)</f>
        <v>216</v>
      </c>
      <c r="U16" s="3154">
        <f>ROUND(D16,2)</f>
        <v>25.31</v>
      </c>
      <c r="V16" s="3146">
        <f t="shared" si="3"/>
        <v>25.305245579184142</v>
      </c>
      <c r="W16" s="3143">
        <f t="shared" si="4"/>
        <v>0</v>
      </c>
      <c r="X16" s="3145">
        <f t="shared" si="5"/>
        <v>0</v>
      </c>
    </row>
    <row r="17" spans="1:24">
      <c r="A17" s="3148" t="s">
        <v>810</v>
      </c>
      <c r="B17" s="3149" t="s">
        <v>1289</v>
      </c>
      <c r="C17" s="3150">
        <f>'Д 2_Т на В'!H25</f>
        <v>217.59439999999998</v>
      </c>
      <c r="D17" s="3150">
        <f>'Д 2_Т на В'!L25/'Д 2_Т на В'!L$58*1000</f>
        <v>25.492035780811229</v>
      </c>
      <c r="E17" s="3150">
        <f>'Д 2_Т на В'!P25/'Д 2_Т на В'!P$58*1000</f>
        <v>25.492035780811229</v>
      </c>
      <c r="F17" s="3150">
        <f>'Д 2_Т на В'!T25/'Д 2_Т на В'!T$58*1000</f>
        <v>25.492035780811225</v>
      </c>
      <c r="G17" s="3150">
        <f>'Д 2_Т на В'!X25/'Д 2_Т на В'!X$58*1000</f>
        <v>25.492035780811229</v>
      </c>
      <c r="H17" s="3150">
        <f>'Д 2_Т на В'!AB25/'Д 2_Т на В'!AB$58*1000</f>
        <v>25.492035780811229</v>
      </c>
      <c r="I17" s="3143" t="e">
        <f t="shared" si="1"/>
        <v>#REF!</v>
      </c>
      <c r="J17" s="3152" t="e">
        <f t="shared" si="16"/>
        <v>#REF!</v>
      </c>
      <c r="K17" s="3153" t="e">
        <f t="shared" si="8"/>
        <v>#REF!</v>
      </c>
      <c r="L17" s="3153" t="e">
        <f t="shared" si="9"/>
        <v>#REF!</v>
      </c>
      <c r="M17" s="3153" t="e">
        <f t="shared" si="10"/>
        <v>#REF!</v>
      </c>
      <c r="N17" s="3153" t="e">
        <f t="shared" si="11"/>
        <v>#REF!</v>
      </c>
      <c r="O17" s="3152" t="e">
        <f t="shared" si="17"/>
        <v>#REF!</v>
      </c>
      <c r="P17" s="3153" t="e">
        <f t="shared" si="12"/>
        <v>#REF!</v>
      </c>
      <c r="Q17" s="3153" t="e">
        <f t="shared" si="13"/>
        <v>#REF!</v>
      </c>
      <c r="R17" s="3153" t="e">
        <f t="shared" si="14"/>
        <v>#REF!</v>
      </c>
      <c r="S17" s="3153" t="e">
        <f t="shared" si="15"/>
        <v>#REF!</v>
      </c>
      <c r="T17" s="3145">
        <f>ROUND(C18,2)+ROUND(C19,2)+ROUND(C20,2)</f>
        <v>217.58999999999997</v>
      </c>
      <c r="U17" s="3145">
        <f>ROUND(D18,2)+ROUND(D19,2)+ROUND(D20,2)</f>
        <v>25.49</v>
      </c>
      <c r="V17" s="3146">
        <f t="shared" si="3"/>
        <v>25.492035780811229</v>
      </c>
      <c r="W17" s="3143">
        <f t="shared" si="4"/>
        <v>0</v>
      </c>
      <c r="X17" s="3145">
        <f t="shared" si="5"/>
        <v>0</v>
      </c>
    </row>
    <row r="18" spans="1:24">
      <c r="A18" s="3148" t="s">
        <v>1290</v>
      </c>
      <c r="B18" s="3149" t="s">
        <v>1304</v>
      </c>
      <c r="C18" s="3150">
        <f>'Д 2_Т на В'!H26</f>
        <v>10.454399999999998</v>
      </c>
      <c r="D18" s="3150">
        <f>'Д 2_Т на В'!L26/'Д 2_Т на В'!L$58*1000</f>
        <v>1.2247738860325124</v>
      </c>
      <c r="E18" s="3150">
        <f>'Д 2_Т на В'!P26/'Д 2_Т на В'!P$58*1000</f>
        <v>1.2247738860325124</v>
      </c>
      <c r="F18" s="3150">
        <f>'Д 2_Т на В'!T26/'Д 2_Т на В'!T$58*1000</f>
        <v>1.2247738860325124</v>
      </c>
      <c r="G18" s="3150">
        <f>'Д 2_Т на В'!X26/'Д 2_Т на В'!X$58*1000</f>
        <v>1.2247738860325124</v>
      </c>
      <c r="H18" s="3150">
        <f>'Д 2_Т на В'!AB26/'Д 2_Т на В'!AB$58*1000</f>
        <v>1.2247738860325126</v>
      </c>
      <c r="I18" s="3143" t="e">
        <f t="shared" si="1"/>
        <v>#REF!</v>
      </c>
      <c r="J18" s="3152" t="e">
        <f t="shared" si="16"/>
        <v>#REF!</v>
      </c>
      <c r="K18" s="3153" t="e">
        <f t="shared" si="8"/>
        <v>#REF!</v>
      </c>
      <c r="L18" s="3153" t="e">
        <f t="shared" si="9"/>
        <v>#REF!</v>
      </c>
      <c r="M18" s="3153" t="e">
        <f t="shared" si="10"/>
        <v>#REF!</v>
      </c>
      <c r="N18" s="3153" t="e">
        <f t="shared" si="11"/>
        <v>#REF!</v>
      </c>
      <c r="O18" s="3152" t="e">
        <f t="shared" si="17"/>
        <v>#REF!</v>
      </c>
      <c r="P18" s="3153" t="e">
        <f t="shared" si="12"/>
        <v>#REF!</v>
      </c>
      <c r="Q18" s="3153" t="e">
        <f t="shared" si="13"/>
        <v>#REF!</v>
      </c>
      <c r="R18" s="3153" t="e">
        <f t="shared" si="14"/>
        <v>#REF!</v>
      </c>
      <c r="S18" s="3153" t="e">
        <f t="shared" si="15"/>
        <v>#REF!</v>
      </c>
      <c r="T18" s="3145"/>
      <c r="V18" s="3146">
        <f t="shared" si="3"/>
        <v>1.2247738860325124</v>
      </c>
      <c r="W18" s="3143">
        <f t="shared" si="4"/>
        <v>0</v>
      </c>
      <c r="X18" s="3145">
        <f t="shared" si="5"/>
        <v>0</v>
      </c>
    </row>
    <row r="19" spans="1:24">
      <c r="A19" s="3148" t="s">
        <v>1292</v>
      </c>
      <c r="B19" s="3149" t="s">
        <v>1293</v>
      </c>
      <c r="C19" s="3150">
        <f>'Д 2_Т на В'!H27</f>
        <v>0</v>
      </c>
      <c r="D19" s="3150">
        <f>'Д 2_Т на В'!L27/'Д 2_Т на В'!L$58*1000</f>
        <v>0</v>
      </c>
      <c r="E19" s="3150">
        <f>'Д 2_Т на В'!P27/'Д 2_Т на В'!P$58*1000</f>
        <v>0</v>
      </c>
      <c r="F19" s="3150">
        <f>'Д 2_Т на В'!T27/'Д 2_Т на В'!T$58*1000</f>
        <v>0</v>
      </c>
      <c r="G19" s="3150">
        <f>'Д 2_Т на В'!X27/'Д 2_Т на В'!X$58*1000</f>
        <v>0</v>
      </c>
      <c r="H19" s="3150">
        <f>'Д 2_Т на В'!AB27/'Д 2_Т на В'!AB$58*1000</f>
        <v>0</v>
      </c>
      <c r="I19" s="3143" t="e">
        <f t="shared" si="1"/>
        <v>#REF!</v>
      </c>
      <c r="J19" s="3152" t="e">
        <f t="shared" si="16"/>
        <v>#REF!</v>
      </c>
      <c r="K19" s="3153" t="e">
        <f t="shared" si="8"/>
        <v>#REF!</v>
      </c>
      <c r="L19" s="3153" t="e">
        <f t="shared" si="9"/>
        <v>#REF!</v>
      </c>
      <c r="M19" s="3153" t="e">
        <f t="shared" si="10"/>
        <v>#REF!</v>
      </c>
      <c r="N19" s="3153" t="e">
        <f t="shared" si="11"/>
        <v>#REF!</v>
      </c>
      <c r="O19" s="3152" t="e">
        <f t="shared" si="17"/>
        <v>#REF!</v>
      </c>
      <c r="P19" s="3153" t="e">
        <f t="shared" si="12"/>
        <v>#REF!</v>
      </c>
      <c r="Q19" s="3153" t="e">
        <f t="shared" si="13"/>
        <v>#REF!</v>
      </c>
      <c r="R19" s="3153" t="e">
        <f t="shared" si="14"/>
        <v>#REF!</v>
      </c>
      <c r="S19" s="3153" t="e">
        <f t="shared" si="15"/>
        <v>#REF!</v>
      </c>
      <c r="V19" s="3146">
        <f t="shared" si="3"/>
        <v>0</v>
      </c>
      <c r="W19" s="3143">
        <f t="shared" si="4"/>
        <v>0</v>
      </c>
      <c r="X19" s="3145">
        <f t="shared" si="5"/>
        <v>0</v>
      </c>
    </row>
    <row r="20" spans="1:24">
      <c r="A20" s="3148" t="s">
        <v>1294</v>
      </c>
      <c r="B20" s="3149" t="s">
        <v>77</v>
      </c>
      <c r="C20" s="3150">
        <f>'Д 2_Т на В'!H28</f>
        <v>207.14000000000001</v>
      </c>
      <c r="D20" s="3150">
        <f>'Д 2_Т на В'!L28/'Д 2_Т на В'!L$58*1000</f>
        <v>24.267261894778716</v>
      </c>
      <c r="E20" s="3150">
        <f>'Д 2_Т на В'!P28/'Д 2_Т на В'!P$58*1000</f>
        <v>24.267261894778716</v>
      </c>
      <c r="F20" s="3150">
        <f>'Д 2_Т на В'!T28/'Д 2_Т на В'!T$58*1000</f>
        <v>24.267261894778713</v>
      </c>
      <c r="G20" s="3150">
        <f>'Д 2_Т на В'!X28/'Д 2_Т на В'!X$58*1000</f>
        <v>24.267261894778713</v>
      </c>
      <c r="H20" s="3150">
        <f>'Д 2_Т на В'!AB28/'Д 2_Т на В'!AB$58*1000</f>
        <v>24.267261894778716</v>
      </c>
      <c r="I20" s="3143" t="e">
        <f t="shared" si="1"/>
        <v>#REF!</v>
      </c>
      <c r="J20" s="3152" t="e">
        <f t="shared" si="16"/>
        <v>#REF!</v>
      </c>
      <c r="K20" s="3153" t="e">
        <f t="shared" si="8"/>
        <v>#REF!</v>
      </c>
      <c r="L20" s="3153" t="e">
        <f t="shared" si="9"/>
        <v>#REF!</v>
      </c>
      <c r="M20" s="3153" t="e">
        <f t="shared" si="10"/>
        <v>#REF!</v>
      </c>
      <c r="N20" s="3153" t="e">
        <f t="shared" si="11"/>
        <v>#REF!</v>
      </c>
      <c r="O20" s="3152" t="e">
        <f t="shared" si="17"/>
        <v>#REF!</v>
      </c>
      <c r="P20" s="3153" t="e">
        <f t="shared" si="12"/>
        <v>#REF!</v>
      </c>
      <c r="Q20" s="3153" t="e">
        <f t="shared" si="13"/>
        <v>#REF!</v>
      </c>
      <c r="R20" s="3153" t="e">
        <f t="shared" si="14"/>
        <v>#REF!</v>
      </c>
      <c r="S20" s="3153" t="e">
        <f t="shared" si="15"/>
        <v>#REF!</v>
      </c>
      <c r="V20" s="3146">
        <f t="shared" si="3"/>
        <v>24.26726189477872</v>
      </c>
      <c r="W20" s="3143">
        <f t="shared" si="4"/>
        <v>0</v>
      </c>
      <c r="X20" s="3145">
        <f t="shared" si="5"/>
        <v>0</v>
      </c>
    </row>
    <row r="21" spans="1:24" s="3147" customFormat="1">
      <c r="A21" s="3155" t="s">
        <v>812</v>
      </c>
      <c r="B21" s="3141" t="s">
        <v>1295</v>
      </c>
      <c r="C21" s="3142">
        <f t="shared" ref="C21:H21" si="18">C22+C23+C24+C25</f>
        <v>107.87649402036686</v>
      </c>
      <c r="D21" s="3156">
        <f t="shared" si="18"/>
        <v>12.638153580586911</v>
      </c>
      <c r="E21" s="3156">
        <f t="shared" si="18"/>
        <v>12.638153580586911</v>
      </c>
      <c r="F21" s="3156">
        <f t="shared" si="18"/>
        <v>12.638153580586911</v>
      </c>
      <c r="G21" s="3156">
        <f t="shared" si="18"/>
        <v>12.638153580586911</v>
      </c>
      <c r="H21" s="3156">
        <f t="shared" si="18"/>
        <v>12.638153580586911</v>
      </c>
      <c r="I21" s="3143" t="e">
        <f t="shared" si="1"/>
        <v>#REF!</v>
      </c>
      <c r="J21" s="3152" t="e">
        <f t="shared" si="16"/>
        <v>#REF!</v>
      </c>
      <c r="K21" s="3153" t="e">
        <f t="shared" si="8"/>
        <v>#REF!</v>
      </c>
      <c r="L21" s="3153" t="e">
        <f t="shared" si="9"/>
        <v>#REF!</v>
      </c>
      <c r="M21" s="3153" t="e">
        <f t="shared" si="10"/>
        <v>#REF!</v>
      </c>
      <c r="N21" s="3153" t="e">
        <f t="shared" si="11"/>
        <v>#REF!</v>
      </c>
      <c r="O21" s="3152" t="e">
        <f t="shared" si="17"/>
        <v>#REF!</v>
      </c>
      <c r="P21" s="3153" t="e">
        <f t="shared" si="12"/>
        <v>#REF!</v>
      </c>
      <c r="Q21" s="3153" t="e">
        <f t="shared" si="13"/>
        <v>#REF!</v>
      </c>
      <c r="R21" s="3153" t="e">
        <f t="shared" si="14"/>
        <v>#REF!</v>
      </c>
      <c r="S21" s="3153" t="e">
        <f t="shared" si="15"/>
        <v>#REF!</v>
      </c>
      <c r="T21" s="3145">
        <f>ROUND(C22,2)+ROUND(C23,2)+ROUND(C24,2)+ROUND(C25,2)</f>
        <v>107.88000000000001</v>
      </c>
      <c r="U21" s="3145">
        <f>ROUND(D22,2)+ROUND(D23,2)+ROUND(D24,2)+ROUND(D25,2)</f>
        <v>12.64</v>
      </c>
      <c r="V21" s="3146">
        <f t="shared" si="3"/>
        <v>12.638153580586913</v>
      </c>
      <c r="W21" s="3143">
        <f t="shared" si="4"/>
        <v>0</v>
      </c>
      <c r="X21" s="3145">
        <f t="shared" si="5"/>
        <v>0</v>
      </c>
    </row>
    <row r="22" spans="1:24">
      <c r="A22" s="3157" t="s">
        <v>1296</v>
      </c>
      <c r="B22" s="3149" t="s">
        <v>1297</v>
      </c>
      <c r="C22" s="3150">
        <f>'Д 2_Т на В'!H30</f>
        <v>102.22995734234222</v>
      </c>
      <c r="D22" s="3150">
        <f>'Д 2_Т на В'!L30/'Д 2_Т на В'!L$58*1000</f>
        <v>11.976639704155039</v>
      </c>
      <c r="E22" s="3150">
        <f>'Д 2_Т на В'!P30/'Д 2_Т на В'!P$58*1000</f>
        <v>11.976639704155039</v>
      </c>
      <c r="F22" s="3150">
        <f>'Д 2_Т на В'!T30/'Д 2_Т на В'!T$58*1000</f>
        <v>11.976639704155039</v>
      </c>
      <c r="G22" s="3150">
        <f>'Д 2_Т на В'!X30/'Д 2_Т на В'!X$58*1000</f>
        <v>11.976639704155039</v>
      </c>
      <c r="H22" s="3150">
        <f>'Д 2_Т на В'!X30/'Д 2_Т на В'!X$58*1000</f>
        <v>11.976639704155039</v>
      </c>
      <c r="I22" s="3143" t="e">
        <f t="shared" si="1"/>
        <v>#REF!</v>
      </c>
      <c r="J22" s="3152" t="e">
        <f t="shared" si="16"/>
        <v>#REF!</v>
      </c>
      <c r="K22" s="3153" t="e">
        <f t="shared" si="8"/>
        <v>#REF!</v>
      </c>
      <c r="L22" s="3153" t="e">
        <f t="shared" si="9"/>
        <v>#REF!</v>
      </c>
      <c r="M22" s="3153" t="e">
        <f t="shared" si="10"/>
        <v>#REF!</v>
      </c>
      <c r="N22" s="3153" t="e">
        <f t="shared" si="11"/>
        <v>#REF!</v>
      </c>
      <c r="O22" s="3152" t="e">
        <f t="shared" si="17"/>
        <v>#REF!</v>
      </c>
      <c r="P22" s="3153" t="e">
        <f t="shared" si="12"/>
        <v>#REF!</v>
      </c>
      <c r="Q22" s="3153" t="e">
        <f t="shared" si="13"/>
        <v>#REF!</v>
      </c>
      <c r="R22" s="3153" t="e">
        <f t="shared" si="14"/>
        <v>#REF!</v>
      </c>
      <c r="S22" s="3153" t="e">
        <f t="shared" si="15"/>
        <v>#REF!</v>
      </c>
      <c r="V22" s="3146">
        <f t="shared" si="3"/>
        <v>11.976639704155041</v>
      </c>
      <c r="W22" s="3143">
        <f t="shared" si="4"/>
        <v>0</v>
      </c>
      <c r="X22" s="3145">
        <f t="shared" si="5"/>
        <v>0</v>
      </c>
    </row>
    <row r="23" spans="1:24">
      <c r="A23" s="3157" t="s">
        <v>1298</v>
      </c>
      <c r="B23" s="3149" t="s">
        <v>1172</v>
      </c>
      <c r="C23" s="3150">
        <f>'Д 2_Т на В'!H31</f>
        <v>4.9479299353693627</v>
      </c>
      <c r="D23" s="3150">
        <f>'Д 2_Т на В'!L31/'Д 2_Т на В'!L$58*1000</f>
        <v>0.57966936168110383</v>
      </c>
      <c r="E23" s="3150">
        <f>'Д 2_Т на В'!P31/'Д 2_Т на В'!P$58*1000</f>
        <v>0.57966936168110383</v>
      </c>
      <c r="F23" s="3150">
        <f>'Д 2_Т на В'!T31/'Д 2_Т на В'!T$58*1000</f>
        <v>0.57966936168110383</v>
      </c>
      <c r="G23" s="3150">
        <f>'Д 2_Т на В'!X31/'Д 2_Т на В'!X$58*1000</f>
        <v>0.57966936168110383</v>
      </c>
      <c r="H23" s="3150">
        <f>'Д 2_Т на В'!X31/'Д 2_Т на В'!X$58*1000</f>
        <v>0.57966936168110383</v>
      </c>
      <c r="I23" s="3143" t="e">
        <f t="shared" si="1"/>
        <v>#REF!</v>
      </c>
      <c r="J23" s="3152" t="e">
        <f t="shared" si="16"/>
        <v>#REF!</v>
      </c>
      <c r="K23" s="3153" t="e">
        <f t="shared" si="8"/>
        <v>#REF!</v>
      </c>
      <c r="L23" s="3153" t="e">
        <f t="shared" si="9"/>
        <v>#REF!</v>
      </c>
      <c r="M23" s="3153" t="e">
        <f t="shared" si="10"/>
        <v>#REF!</v>
      </c>
      <c r="N23" s="3153" t="e">
        <f t="shared" si="11"/>
        <v>#REF!</v>
      </c>
      <c r="O23" s="3152" t="e">
        <f t="shared" si="17"/>
        <v>#REF!</v>
      </c>
      <c r="P23" s="3153" t="e">
        <f t="shared" si="12"/>
        <v>#REF!</v>
      </c>
      <c r="Q23" s="3153" t="e">
        <f t="shared" si="13"/>
        <v>#REF!</v>
      </c>
      <c r="R23" s="3153" t="e">
        <f t="shared" si="14"/>
        <v>#REF!</v>
      </c>
      <c r="S23" s="3153" t="e">
        <f t="shared" si="15"/>
        <v>#REF!</v>
      </c>
      <c r="V23" s="3146">
        <f t="shared" si="3"/>
        <v>0.57966936168110395</v>
      </c>
      <c r="W23" s="3143">
        <f t="shared" si="4"/>
        <v>0</v>
      </c>
      <c r="X23" s="3145">
        <f t="shared" si="5"/>
        <v>0</v>
      </c>
    </row>
    <row r="24" spans="1:24">
      <c r="A24" s="3157" t="s">
        <v>1299</v>
      </c>
      <c r="B24" s="3149" t="s">
        <v>1293</v>
      </c>
      <c r="C24" s="3150">
        <f>ЗВВ_1ст!G37</f>
        <v>0.53013968383227672</v>
      </c>
      <c r="D24" s="3150">
        <f t="shared" ref="D24:D34" si="19">C24/$C$41</f>
        <v>6.2107939308549999E-2</v>
      </c>
      <c r="E24" s="3150">
        <f>C24/$C$41</f>
        <v>6.2107939308549999E-2</v>
      </c>
      <c r="F24" s="3150">
        <f>C24/$C$41</f>
        <v>6.2107939308549999E-2</v>
      </c>
      <c r="G24" s="3150">
        <f>C24/$C$41</f>
        <v>6.2107939308549999E-2</v>
      </c>
      <c r="H24" s="3150">
        <f>C24/$C$41</f>
        <v>6.2107939308549999E-2</v>
      </c>
      <c r="I24" s="3143" t="e">
        <f t="shared" si="1"/>
        <v>#REF!</v>
      </c>
      <c r="J24" s="3152" t="e">
        <f t="shared" si="16"/>
        <v>#REF!</v>
      </c>
      <c r="K24" s="3153" t="e">
        <f t="shared" si="8"/>
        <v>#REF!</v>
      </c>
      <c r="L24" s="3153" t="e">
        <f t="shared" si="9"/>
        <v>#REF!</v>
      </c>
      <c r="M24" s="3153" t="e">
        <f t="shared" si="10"/>
        <v>#REF!</v>
      </c>
      <c r="N24" s="3153" t="e">
        <f t="shared" si="11"/>
        <v>#REF!</v>
      </c>
      <c r="O24" s="3152" t="e">
        <f t="shared" si="17"/>
        <v>#REF!</v>
      </c>
      <c r="P24" s="3153" t="e">
        <f t="shared" si="12"/>
        <v>#REF!</v>
      </c>
      <c r="Q24" s="3153" t="e">
        <f t="shared" si="13"/>
        <v>#REF!</v>
      </c>
      <c r="R24" s="3153" t="e">
        <f t="shared" si="14"/>
        <v>#REF!</v>
      </c>
      <c r="S24" s="3153" t="e">
        <f t="shared" si="15"/>
        <v>#REF!</v>
      </c>
      <c r="V24" s="3146">
        <f t="shared" si="3"/>
        <v>6.2107939308549999E-2</v>
      </c>
      <c r="W24" s="3143">
        <f t="shared" si="4"/>
        <v>0</v>
      </c>
      <c r="X24" s="3145">
        <f t="shared" si="5"/>
        <v>0</v>
      </c>
    </row>
    <row r="25" spans="1:24">
      <c r="A25" s="3157" t="s">
        <v>1300</v>
      </c>
      <c r="B25" s="3149" t="s">
        <v>54</v>
      </c>
      <c r="C25" s="3150">
        <f>'Д 2_Т на В'!H32-C24</f>
        <v>0.16846705882300972</v>
      </c>
      <c r="D25" s="3150">
        <f t="shared" si="19"/>
        <v>1.9736575442218157E-2</v>
      </c>
      <c r="E25" s="3150">
        <f>C25/$C$41</f>
        <v>1.9736575442218157E-2</v>
      </c>
      <c r="F25" s="3150">
        <f>C25/$C$41</f>
        <v>1.9736575442218157E-2</v>
      </c>
      <c r="G25" s="3150">
        <f>C25/$C$41</f>
        <v>1.9736575442218157E-2</v>
      </c>
      <c r="H25" s="3150">
        <f>C25/$C$41</f>
        <v>1.9736575442218157E-2</v>
      </c>
      <c r="I25" s="3143" t="e">
        <f t="shared" si="1"/>
        <v>#REF!</v>
      </c>
      <c r="J25" s="3152" t="e">
        <f t="shared" si="16"/>
        <v>#REF!</v>
      </c>
      <c r="K25" s="3153" t="e">
        <f t="shared" si="8"/>
        <v>#REF!</v>
      </c>
      <c r="L25" s="3153" t="e">
        <f t="shared" si="9"/>
        <v>#REF!</v>
      </c>
      <c r="M25" s="3153" t="e">
        <f t="shared" si="10"/>
        <v>#REF!</v>
      </c>
      <c r="N25" s="3153" t="e">
        <f t="shared" si="11"/>
        <v>#REF!</v>
      </c>
      <c r="O25" s="3152" t="e">
        <f t="shared" si="17"/>
        <v>#REF!</v>
      </c>
      <c r="P25" s="3153" t="e">
        <f t="shared" si="12"/>
        <v>#REF!</v>
      </c>
      <c r="Q25" s="3153" t="e">
        <f t="shared" si="13"/>
        <v>#REF!</v>
      </c>
      <c r="R25" s="3153" t="e">
        <f t="shared" si="14"/>
        <v>#REF!</v>
      </c>
      <c r="S25" s="3153" t="e">
        <f t="shared" si="15"/>
        <v>#REF!</v>
      </c>
      <c r="V25" s="3146">
        <f t="shared" si="3"/>
        <v>1.9736575442218157E-2</v>
      </c>
      <c r="W25" s="3143">
        <f t="shared" si="4"/>
        <v>0</v>
      </c>
      <c r="X25" s="3145">
        <f t="shared" si="5"/>
        <v>0</v>
      </c>
    </row>
    <row r="26" spans="1:24" s="3147" customFormat="1">
      <c r="A26" s="3140" t="s">
        <v>821</v>
      </c>
      <c r="B26" s="3141" t="s">
        <v>1301</v>
      </c>
      <c r="C26" s="3142">
        <f t="shared" ref="C26:H26" si="20">C27+C28+C29+C30</f>
        <v>914.10664391922796</v>
      </c>
      <c r="D26" s="3156">
        <f t="shared" si="20"/>
        <v>107.09117180527728</v>
      </c>
      <c r="E26" s="3156">
        <f t="shared" si="20"/>
        <v>107.09117180527728</v>
      </c>
      <c r="F26" s="3156">
        <f t="shared" si="20"/>
        <v>107.09117180527728</v>
      </c>
      <c r="G26" s="3156">
        <f t="shared" si="20"/>
        <v>107.09117180527727</v>
      </c>
      <c r="H26" s="3156">
        <f t="shared" si="20"/>
        <v>107.09117180527727</v>
      </c>
      <c r="I26" s="3143" t="e">
        <f t="shared" si="1"/>
        <v>#REF!</v>
      </c>
      <c r="J26" s="3152" t="e">
        <f t="shared" si="16"/>
        <v>#REF!</v>
      </c>
      <c r="K26" s="3153" t="e">
        <f t="shared" si="8"/>
        <v>#REF!</v>
      </c>
      <c r="L26" s="3153" t="e">
        <f t="shared" si="9"/>
        <v>#REF!</v>
      </c>
      <c r="M26" s="3153" t="e">
        <f t="shared" si="10"/>
        <v>#REF!</v>
      </c>
      <c r="N26" s="3153" t="e">
        <f t="shared" si="11"/>
        <v>#REF!</v>
      </c>
      <c r="O26" s="3152" t="e">
        <f t="shared" si="17"/>
        <v>#REF!</v>
      </c>
      <c r="P26" s="3153" t="e">
        <f t="shared" si="12"/>
        <v>#REF!</v>
      </c>
      <c r="Q26" s="3153" t="e">
        <f t="shared" si="13"/>
        <v>#REF!</v>
      </c>
      <c r="R26" s="3153" t="e">
        <f t="shared" si="14"/>
        <v>#REF!</v>
      </c>
      <c r="S26" s="3153" t="e">
        <f t="shared" si="15"/>
        <v>#REF!</v>
      </c>
      <c r="T26" s="3145">
        <f>ROUND(C27,2)+ROUND(C28,2)+ROUND(C29,2)+ROUND(C30,2)</f>
        <v>914.1</v>
      </c>
      <c r="U26" s="3145">
        <f>ROUND(D27,2)+ROUND(D28,2)+ROUND(D29,2)+ROUND(D30,2)</f>
        <v>107.09000000000002</v>
      </c>
      <c r="V26" s="3146">
        <f t="shared" si="3"/>
        <v>107.0911718052773</v>
      </c>
      <c r="W26" s="3143">
        <f t="shared" si="4"/>
        <v>0</v>
      </c>
      <c r="X26" s="3145">
        <f t="shared" si="5"/>
        <v>0</v>
      </c>
    </row>
    <row r="27" spans="1:24">
      <c r="A27" s="3157" t="s">
        <v>1302</v>
      </c>
      <c r="B27" s="3149" t="s">
        <v>51</v>
      </c>
      <c r="C27" s="3150">
        <f>'Д 2_Т на В'!H34</f>
        <v>785.10961706071248</v>
      </c>
      <c r="D27" s="3150">
        <f>'Д 2_Т на В'!L34/'Д 2_Т на В'!L$58*1000</f>
        <v>91.978665121761793</v>
      </c>
      <c r="E27" s="3150">
        <f>'Д 2_Т на В'!P34/'Д 2_Т на В'!P$58*1000</f>
        <v>91.978665121761793</v>
      </c>
      <c r="F27" s="3150">
        <f>'Д 2_Т на В'!T34/'Д 2_Т на В'!T$58*1000</f>
        <v>91.978665121761793</v>
      </c>
      <c r="G27" s="3150">
        <f>'Д 2_Т на В'!X34/'Д 2_Т на В'!X$58*1000</f>
        <v>91.978665121761779</v>
      </c>
      <c r="H27" s="3150">
        <f>'Д 2_Т на В'!X34/'Д 2_Т на В'!X$58*1000</f>
        <v>91.978665121761779</v>
      </c>
      <c r="I27" s="3143" t="e">
        <f t="shared" si="1"/>
        <v>#REF!</v>
      </c>
      <c r="J27" s="3152" t="e">
        <f t="shared" si="16"/>
        <v>#REF!</v>
      </c>
      <c r="K27" s="3153" t="e">
        <f t="shared" si="8"/>
        <v>#REF!</v>
      </c>
      <c r="L27" s="3153" t="e">
        <f t="shared" si="9"/>
        <v>#REF!</v>
      </c>
      <c r="M27" s="3153" t="e">
        <f t="shared" si="10"/>
        <v>#REF!</v>
      </c>
      <c r="N27" s="3153" t="e">
        <f t="shared" si="11"/>
        <v>#REF!</v>
      </c>
      <c r="O27" s="3152" t="e">
        <f t="shared" si="17"/>
        <v>#REF!</v>
      </c>
      <c r="P27" s="3153" t="e">
        <f t="shared" si="12"/>
        <v>#REF!</v>
      </c>
      <c r="Q27" s="3153" t="e">
        <f t="shared" si="13"/>
        <v>#REF!</v>
      </c>
      <c r="R27" s="3153" t="e">
        <f t="shared" si="14"/>
        <v>#REF!</v>
      </c>
      <c r="S27" s="3153" t="e">
        <f t="shared" si="15"/>
        <v>#REF!</v>
      </c>
      <c r="V27" s="3146">
        <f t="shared" si="3"/>
        <v>91.978665121761807</v>
      </c>
      <c r="W27" s="3143">
        <f t="shared" si="4"/>
        <v>0</v>
      </c>
      <c r="X27" s="3145">
        <f t="shared" si="5"/>
        <v>0</v>
      </c>
    </row>
    <row r="28" spans="1:24">
      <c r="A28" s="3157" t="s">
        <v>1303</v>
      </c>
      <c r="B28" s="3149" t="s">
        <v>1304</v>
      </c>
      <c r="C28" s="3150">
        <f>'Д 2_Т на В'!H35</f>
        <v>37.999305465738487</v>
      </c>
      <c r="D28" s="3150">
        <f>'Д 2_Т на В'!L35/'Д 2_Т на В'!L$58*1000</f>
        <v>4.451767391893271</v>
      </c>
      <c r="E28" s="3150">
        <f>'Д 2_Т на В'!P35/'Д 2_Т на В'!P$58*1000</f>
        <v>4.451767391893271</v>
      </c>
      <c r="F28" s="3150">
        <f>'Д 2_Т на В'!T35/'Д 2_Т на В'!T$58*1000</f>
        <v>4.451767391893271</v>
      </c>
      <c r="G28" s="3150">
        <f>'Д 2_Т на В'!X35/'Д 2_Т на В'!X$58*1000</f>
        <v>4.451767391893271</v>
      </c>
      <c r="H28" s="3150">
        <f>'Д 2_Т на В'!X35/'Д 2_Т на В'!X$58*1000</f>
        <v>4.451767391893271</v>
      </c>
      <c r="I28" s="3143" t="e">
        <f t="shared" si="1"/>
        <v>#REF!</v>
      </c>
      <c r="J28" s="3152" t="e">
        <f t="shared" si="16"/>
        <v>#REF!</v>
      </c>
      <c r="K28" s="3153" t="e">
        <f t="shared" si="8"/>
        <v>#REF!</v>
      </c>
      <c r="L28" s="3153" t="e">
        <f t="shared" si="9"/>
        <v>#REF!</v>
      </c>
      <c r="M28" s="3153" t="e">
        <f t="shared" si="10"/>
        <v>#REF!</v>
      </c>
      <c r="N28" s="3153" t="e">
        <f t="shared" ref="N28:N40" si="21">N$8*H28</f>
        <v>#REF!</v>
      </c>
      <c r="O28" s="3152" t="e">
        <f t="shared" si="17"/>
        <v>#REF!</v>
      </c>
      <c r="P28" s="3153" t="e">
        <f t="shared" si="12"/>
        <v>#REF!</v>
      </c>
      <c r="Q28" s="3153" t="e">
        <f t="shared" si="13"/>
        <v>#REF!</v>
      </c>
      <c r="R28" s="3153" t="e">
        <f t="shared" si="14"/>
        <v>#REF!</v>
      </c>
      <c r="S28" s="3153" t="e">
        <f t="shared" ref="S28:S40" si="22">S$8*H28</f>
        <v>#REF!</v>
      </c>
      <c r="V28" s="3146">
        <f t="shared" si="3"/>
        <v>4.4517673918932719</v>
      </c>
      <c r="W28" s="3143">
        <f t="shared" si="4"/>
        <v>0</v>
      </c>
      <c r="X28" s="3145">
        <f t="shared" si="5"/>
        <v>0</v>
      </c>
    </row>
    <row r="29" spans="1:24">
      <c r="A29" s="3157" t="s">
        <v>1305</v>
      </c>
      <c r="B29" s="3149" t="s">
        <v>1293</v>
      </c>
      <c r="C29" s="3150">
        <f>Амортизація!G14*'БАЗИ РОЗПОДІЛУ'!F21/1000</f>
        <v>10.733779159486144</v>
      </c>
      <c r="D29" s="3150">
        <f t="shared" si="19"/>
        <v>1.2575042482570631</v>
      </c>
      <c r="E29" s="3150">
        <f>C29/$C$41</f>
        <v>1.2575042482570631</v>
      </c>
      <c r="F29" s="3150">
        <f>C29/$C$41</f>
        <v>1.2575042482570631</v>
      </c>
      <c r="G29" s="3150">
        <f>C29/$C$41</f>
        <v>1.2575042482570631</v>
      </c>
      <c r="H29" s="3150">
        <f>C29/$C$41</f>
        <v>1.2575042482570631</v>
      </c>
      <c r="I29" s="3143" t="e">
        <f t="shared" si="1"/>
        <v>#REF!</v>
      </c>
      <c r="J29" s="3152" t="e">
        <f t="shared" si="16"/>
        <v>#REF!</v>
      </c>
      <c r="K29" s="3153" t="e">
        <f t="shared" si="8"/>
        <v>#REF!</v>
      </c>
      <c r="L29" s="3153" t="e">
        <f t="shared" si="9"/>
        <v>#REF!</v>
      </c>
      <c r="M29" s="3153" t="e">
        <f t="shared" si="10"/>
        <v>#REF!</v>
      </c>
      <c r="N29" s="3153" t="e">
        <f t="shared" si="21"/>
        <v>#REF!</v>
      </c>
      <c r="O29" s="3152" t="e">
        <f t="shared" si="17"/>
        <v>#REF!</v>
      </c>
      <c r="P29" s="3153" t="e">
        <f t="shared" si="12"/>
        <v>#REF!</v>
      </c>
      <c r="Q29" s="3153" t="e">
        <f t="shared" si="13"/>
        <v>#REF!</v>
      </c>
      <c r="R29" s="3153" t="e">
        <f t="shared" si="14"/>
        <v>#REF!</v>
      </c>
      <c r="S29" s="3153" t="e">
        <f t="shared" si="22"/>
        <v>#REF!</v>
      </c>
      <c r="V29" s="3146">
        <f t="shared" si="3"/>
        <v>1.2575042482570631</v>
      </c>
      <c r="W29" s="3143">
        <f t="shared" si="4"/>
        <v>0</v>
      </c>
      <c r="X29" s="3145">
        <f t="shared" si="5"/>
        <v>0</v>
      </c>
    </row>
    <row r="30" spans="1:24">
      <c r="A30" s="3157" t="s">
        <v>1306</v>
      </c>
      <c r="B30" s="3149" t="s">
        <v>1307</v>
      </c>
      <c r="C30" s="3150">
        <f>'Д 2_Т на В'!H36-C29</f>
        <v>80.263942233290805</v>
      </c>
      <c r="D30" s="3150">
        <f t="shared" si="19"/>
        <v>9.4032350433651555</v>
      </c>
      <c r="E30" s="3150">
        <f>C30/$C$41</f>
        <v>9.4032350433651555</v>
      </c>
      <c r="F30" s="3150">
        <f>C30/$C$41</f>
        <v>9.4032350433651555</v>
      </c>
      <c r="G30" s="3150">
        <f>C30/$C$41</f>
        <v>9.4032350433651555</v>
      </c>
      <c r="H30" s="3150">
        <f>C30/$C$41</f>
        <v>9.4032350433651555</v>
      </c>
      <c r="I30" s="3143" t="e">
        <f t="shared" si="1"/>
        <v>#REF!</v>
      </c>
      <c r="J30" s="3152" t="e">
        <f t="shared" si="16"/>
        <v>#REF!</v>
      </c>
      <c r="K30" s="3153" t="e">
        <f t="shared" si="8"/>
        <v>#REF!</v>
      </c>
      <c r="L30" s="3153" t="e">
        <f t="shared" si="9"/>
        <v>#REF!</v>
      </c>
      <c r="M30" s="3153" t="e">
        <f t="shared" si="10"/>
        <v>#REF!</v>
      </c>
      <c r="N30" s="3153" t="e">
        <f t="shared" si="21"/>
        <v>#REF!</v>
      </c>
      <c r="O30" s="3152" t="e">
        <f t="shared" si="17"/>
        <v>#REF!</v>
      </c>
      <c r="P30" s="3153" t="e">
        <f t="shared" si="12"/>
        <v>#REF!</v>
      </c>
      <c r="Q30" s="3153" t="e">
        <f t="shared" si="13"/>
        <v>#REF!</v>
      </c>
      <c r="R30" s="3153" t="e">
        <f t="shared" si="14"/>
        <v>#REF!</v>
      </c>
      <c r="S30" s="3153" t="e">
        <f t="shared" si="22"/>
        <v>#REF!</v>
      </c>
      <c r="V30" s="3146">
        <f t="shared" si="3"/>
        <v>9.4032350433651555</v>
      </c>
      <c r="W30" s="3143">
        <f t="shared" si="4"/>
        <v>0</v>
      </c>
      <c r="X30" s="3145">
        <f t="shared" si="5"/>
        <v>0</v>
      </c>
    </row>
    <row r="31" spans="1:24" s="3147" customFormat="1">
      <c r="A31" s="3140" t="s">
        <v>823</v>
      </c>
      <c r="B31" s="3141" t="s">
        <v>1308</v>
      </c>
      <c r="C31" s="3142">
        <v>0</v>
      </c>
      <c r="D31" s="3142">
        <v>0</v>
      </c>
      <c r="E31" s="3142">
        <v>0</v>
      </c>
      <c r="F31" s="3142">
        <v>0</v>
      </c>
      <c r="G31" s="3142">
        <v>0</v>
      </c>
      <c r="H31" s="3142">
        <v>0</v>
      </c>
      <c r="I31" s="3143" t="e">
        <f t="shared" si="1"/>
        <v>#REF!</v>
      </c>
      <c r="J31" s="3152" t="e">
        <f t="shared" si="16"/>
        <v>#REF!</v>
      </c>
      <c r="K31" s="3153" t="e">
        <f t="shared" si="8"/>
        <v>#REF!</v>
      </c>
      <c r="L31" s="3153" t="e">
        <f t="shared" si="9"/>
        <v>#REF!</v>
      </c>
      <c r="M31" s="3153" t="e">
        <f t="shared" si="10"/>
        <v>#REF!</v>
      </c>
      <c r="N31" s="3153" t="e">
        <f t="shared" si="21"/>
        <v>#REF!</v>
      </c>
      <c r="O31" s="3152" t="e">
        <f t="shared" si="17"/>
        <v>#REF!</v>
      </c>
      <c r="P31" s="3153" t="e">
        <f t="shared" si="12"/>
        <v>#REF!</v>
      </c>
      <c r="Q31" s="3153" t="e">
        <f t="shared" si="13"/>
        <v>#REF!</v>
      </c>
      <c r="R31" s="3153" t="e">
        <f t="shared" si="14"/>
        <v>#REF!</v>
      </c>
      <c r="S31" s="3153" t="e">
        <f t="shared" si="22"/>
        <v>#REF!</v>
      </c>
      <c r="V31" s="3146">
        <f t="shared" si="3"/>
        <v>0</v>
      </c>
      <c r="W31" s="3143">
        <f t="shared" si="4"/>
        <v>0</v>
      </c>
      <c r="X31" s="3145">
        <f t="shared" si="5"/>
        <v>0</v>
      </c>
    </row>
    <row r="32" spans="1:24" s="3147" customFormat="1">
      <c r="A32" s="3140" t="s">
        <v>826</v>
      </c>
      <c r="B32" s="3141" t="s">
        <v>1310</v>
      </c>
      <c r="C32" s="3142">
        <f>'ТЕ_2ст_тариф_з ІТП'!E68</f>
        <v>0</v>
      </c>
      <c r="D32" s="3142">
        <f t="shared" si="19"/>
        <v>0</v>
      </c>
      <c r="E32" s="3142">
        <f>C32/$C$41</f>
        <v>0</v>
      </c>
      <c r="F32" s="3142">
        <f>C32/$C$41</f>
        <v>0</v>
      </c>
      <c r="G32" s="3142">
        <f>C32/$C$41</f>
        <v>0</v>
      </c>
      <c r="H32" s="3142">
        <f>C32/$C$41</f>
        <v>0</v>
      </c>
      <c r="I32" s="3143" t="e">
        <f t="shared" si="1"/>
        <v>#REF!</v>
      </c>
      <c r="J32" s="3152" t="e">
        <f t="shared" si="16"/>
        <v>#REF!</v>
      </c>
      <c r="K32" s="3153" t="e">
        <f t="shared" si="8"/>
        <v>#REF!</v>
      </c>
      <c r="L32" s="3153" t="e">
        <f t="shared" si="9"/>
        <v>#REF!</v>
      </c>
      <c r="M32" s="3153" t="e">
        <f t="shared" si="10"/>
        <v>#REF!</v>
      </c>
      <c r="N32" s="3153" t="e">
        <f t="shared" si="21"/>
        <v>#REF!</v>
      </c>
      <c r="O32" s="3152" t="e">
        <f t="shared" si="17"/>
        <v>#REF!</v>
      </c>
      <c r="P32" s="3153" t="e">
        <f t="shared" si="12"/>
        <v>#REF!</v>
      </c>
      <c r="Q32" s="3153" t="e">
        <f t="shared" si="13"/>
        <v>#REF!</v>
      </c>
      <c r="R32" s="3153" t="e">
        <f t="shared" si="14"/>
        <v>#REF!</v>
      </c>
      <c r="S32" s="3153" t="e">
        <f t="shared" si="22"/>
        <v>#REF!</v>
      </c>
      <c r="V32" s="3146">
        <f t="shared" si="3"/>
        <v>0</v>
      </c>
      <c r="W32" s="3143">
        <f t="shared" si="4"/>
        <v>0</v>
      </c>
      <c r="X32" s="3145">
        <f t="shared" si="5"/>
        <v>0</v>
      </c>
    </row>
    <row r="33" spans="1:24" s="3147" customFormat="1">
      <c r="A33" s="3140" t="s">
        <v>891</v>
      </c>
      <c r="B33" s="3141" t="s">
        <v>1221</v>
      </c>
      <c r="C33" s="3142">
        <f t="shared" ref="C33:H33" si="23">C10+C26+C31+C32</f>
        <v>11169.606194846601</v>
      </c>
      <c r="D33" s="3142">
        <f t="shared" si="23"/>
        <v>1306.0899880012219</v>
      </c>
      <c r="E33" s="3142">
        <f t="shared" si="23"/>
        <v>1333.9806836176094</v>
      </c>
      <c r="F33" s="3142">
        <f t="shared" si="23"/>
        <v>1316.0997859966806</v>
      </c>
      <c r="G33" s="3142">
        <f t="shared" si="23"/>
        <v>1298.760733701869</v>
      </c>
      <c r="H33" s="3142">
        <f t="shared" si="23"/>
        <v>1312.4477473567363</v>
      </c>
      <c r="I33" s="3143"/>
      <c r="J33" s="3152"/>
      <c r="K33" s="3153"/>
      <c r="L33" s="3153"/>
      <c r="M33" s="3153"/>
      <c r="N33" s="3153"/>
      <c r="O33" s="3152"/>
      <c r="P33" s="3153"/>
      <c r="Q33" s="3153"/>
      <c r="R33" s="3153"/>
      <c r="S33" s="3153"/>
      <c r="T33" s="3145">
        <f>T10+T26+T31+T32</f>
        <v>11169.6</v>
      </c>
      <c r="U33" s="3145">
        <f>ROUND(D10,2)+ROUND(D26,2)+ROUND(D31,2)+ROUND(D32,2)</f>
        <v>1306.0899999999999</v>
      </c>
      <c r="V33" s="3146">
        <f t="shared" si="3"/>
        <v>1308.563091589675</v>
      </c>
      <c r="W33" s="3143">
        <f t="shared" si="4"/>
        <v>-2.4731035884531138</v>
      </c>
      <c r="X33" s="3145">
        <f t="shared" si="5"/>
        <v>11.523138265414673</v>
      </c>
    </row>
    <row r="34" spans="1:24" s="3147" customFormat="1">
      <c r="A34" s="3140" t="s">
        <v>897</v>
      </c>
      <c r="B34" s="3141" t="s">
        <v>1311</v>
      </c>
      <c r="C34" s="3142">
        <v>0</v>
      </c>
      <c r="D34" s="3142">
        <f t="shared" si="19"/>
        <v>0</v>
      </c>
      <c r="E34" s="3142">
        <f>C34/$C$41</f>
        <v>0</v>
      </c>
      <c r="F34" s="3142">
        <f>C34/$C$41</f>
        <v>0</v>
      </c>
      <c r="G34" s="3142">
        <f>C34/$C$41</f>
        <v>0</v>
      </c>
      <c r="H34" s="3142">
        <f>C34/$C$41</f>
        <v>0</v>
      </c>
      <c r="I34" s="3143" t="e">
        <f t="shared" ref="I34:I40" si="24">J34+O34-C34</f>
        <v>#REF!</v>
      </c>
      <c r="J34" s="3152" t="e">
        <f t="shared" si="16"/>
        <v>#REF!</v>
      </c>
      <c r="K34" s="3153" t="e">
        <f t="shared" ref="K34:M40" si="25">K$8*D34</f>
        <v>#REF!</v>
      </c>
      <c r="L34" s="3153" t="e">
        <f t="shared" si="25"/>
        <v>#REF!</v>
      </c>
      <c r="M34" s="3153" t="e">
        <f t="shared" si="25"/>
        <v>#REF!</v>
      </c>
      <c r="N34" s="3153" t="e">
        <f t="shared" si="21"/>
        <v>#REF!</v>
      </c>
      <c r="O34" s="3152" t="e">
        <f t="shared" si="17"/>
        <v>#REF!</v>
      </c>
      <c r="P34" s="3153" t="e">
        <f t="shared" ref="P34:R40" si="26">P$8*D34</f>
        <v>#REF!</v>
      </c>
      <c r="Q34" s="3153" t="e">
        <f t="shared" si="26"/>
        <v>#REF!</v>
      </c>
      <c r="R34" s="3153" t="e">
        <f t="shared" si="26"/>
        <v>#REF!</v>
      </c>
      <c r="S34" s="3153" t="e">
        <f t="shared" si="22"/>
        <v>#REF!</v>
      </c>
      <c r="V34" s="3146">
        <f t="shared" si="3"/>
        <v>0</v>
      </c>
      <c r="W34" s="3143">
        <f t="shared" si="4"/>
        <v>0</v>
      </c>
      <c r="X34" s="3145">
        <f t="shared" si="5"/>
        <v>0</v>
      </c>
    </row>
    <row r="35" spans="1:24" s="3147" customFormat="1">
      <c r="A35" s="3140" t="s">
        <v>903</v>
      </c>
      <c r="B35" s="3141" t="s">
        <v>1312</v>
      </c>
      <c r="C35" s="3158">
        <f>'ТЕ_2ст_тариф_з ІТП'!E70</f>
        <v>0</v>
      </c>
      <c r="D35" s="3159">
        <f>'Д 2_Т на В'!L44/'D1_2023-2024'!D41</f>
        <v>0</v>
      </c>
      <c r="E35" s="3159">
        <f>'Д 2_Т на В'!P44/'D1_2023-2024'!E41</f>
        <v>0</v>
      </c>
      <c r="F35" s="3159">
        <f>'Д 2_Т на В'!T44/'D1_2023-2024'!F41</f>
        <v>0</v>
      </c>
      <c r="G35" s="3159">
        <f>'Д 2_Т на В'!U44/'D1_2023-2024'!G41</f>
        <v>0</v>
      </c>
      <c r="H35" s="3159">
        <f>'Д 2_Т на В'!AB44/'D1_2023-2024'!H41</f>
        <v>0</v>
      </c>
      <c r="I35" s="3143" t="e">
        <f t="shared" si="24"/>
        <v>#REF!</v>
      </c>
      <c r="J35" s="3152" t="e">
        <f t="shared" si="16"/>
        <v>#REF!</v>
      </c>
      <c r="K35" s="3153" t="e">
        <f t="shared" si="25"/>
        <v>#REF!</v>
      </c>
      <c r="L35" s="3153" t="e">
        <f t="shared" si="25"/>
        <v>#REF!</v>
      </c>
      <c r="M35" s="3153" t="e">
        <f t="shared" si="25"/>
        <v>#REF!</v>
      </c>
      <c r="N35" s="3153" t="e">
        <f t="shared" si="21"/>
        <v>#REF!</v>
      </c>
      <c r="O35" s="3152" t="e">
        <f t="shared" si="17"/>
        <v>#REF!</v>
      </c>
      <c r="P35" s="3153" t="e">
        <f t="shared" si="26"/>
        <v>#REF!</v>
      </c>
      <c r="Q35" s="3153" t="e">
        <f t="shared" si="26"/>
        <v>#REF!</v>
      </c>
      <c r="R35" s="3153" t="e">
        <f t="shared" si="26"/>
        <v>#REF!</v>
      </c>
      <c r="S35" s="3153" t="e">
        <f t="shared" si="22"/>
        <v>#REF!</v>
      </c>
      <c r="V35" s="3146">
        <f t="shared" si="3"/>
        <v>0</v>
      </c>
      <c r="W35" s="3143">
        <f t="shared" si="4"/>
        <v>0</v>
      </c>
      <c r="X35" s="3145">
        <f t="shared" si="5"/>
        <v>0</v>
      </c>
    </row>
    <row r="36" spans="1:24" s="3147" customFormat="1">
      <c r="A36" s="3140" t="s">
        <v>905</v>
      </c>
      <c r="B36" s="3141" t="s">
        <v>1313</v>
      </c>
      <c r="C36" s="3142">
        <f>SUM(C37:C40)</f>
        <v>531.23</v>
      </c>
      <c r="D36" s="3142">
        <f>'Д 2_Т на В'!L45/'Д 2_Т на В'!L$58*1000</f>
        <v>62.118914063472729</v>
      </c>
      <c r="E36" s="3142">
        <f>'Д 2_Т на В'!P45/'Д 2_Т на В'!P$58*1000</f>
        <v>63.445422757422875</v>
      </c>
      <c r="F36" s="3142">
        <f>'Д 2_Т на В'!T45/'Д 2_Т на В'!T$58*1000</f>
        <v>62.59498982179332</v>
      </c>
      <c r="G36" s="3142">
        <f>'Д 2_Т на В'!X45/'Д 2_Т на В'!X$58*1000</f>
        <v>61.770327578503512</v>
      </c>
      <c r="H36" s="3142">
        <f>'Д 2_Т на В'!AB45/'Д 2_Т на В'!AB$58*1000</f>
        <v>62.421295301113055</v>
      </c>
      <c r="I36" s="3143" t="e">
        <f t="shared" si="24"/>
        <v>#REF!</v>
      </c>
      <c r="J36" s="3152" t="e">
        <f t="shared" si="16"/>
        <v>#REF!</v>
      </c>
      <c r="K36" s="3153" t="e">
        <f t="shared" si="25"/>
        <v>#REF!</v>
      </c>
      <c r="L36" s="3153" t="e">
        <f t="shared" si="25"/>
        <v>#REF!</v>
      </c>
      <c r="M36" s="3153" t="e">
        <f t="shared" si="25"/>
        <v>#REF!</v>
      </c>
      <c r="N36" s="3153" t="e">
        <f t="shared" si="21"/>
        <v>#REF!</v>
      </c>
      <c r="O36" s="3152" t="e">
        <f t="shared" si="17"/>
        <v>#REF!</v>
      </c>
      <c r="P36" s="3153" t="e">
        <f t="shared" si="26"/>
        <v>#REF!</v>
      </c>
      <c r="Q36" s="3153" t="e">
        <f t="shared" si="26"/>
        <v>#REF!</v>
      </c>
      <c r="R36" s="3153" t="e">
        <f t="shared" si="26"/>
        <v>#REF!</v>
      </c>
      <c r="S36" s="3153" t="e">
        <f t="shared" si="22"/>
        <v>#REF!</v>
      </c>
      <c r="V36" s="3146">
        <f t="shared" si="3"/>
        <v>62.235674115879597</v>
      </c>
      <c r="W36" s="3143">
        <f t="shared" si="4"/>
        <v>-0.11676005240686749</v>
      </c>
      <c r="X36" s="3145">
        <f t="shared" si="5"/>
        <v>0.54805169798923004</v>
      </c>
    </row>
    <row r="37" spans="1:24">
      <c r="A37" s="3157" t="s">
        <v>734</v>
      </c>
      <c r="B37" s="3149" t="s">
        <v>61</v>
      </c>
      <c r="C37" s="3150">
        <f>ROUND('ТЕ_2ст_тариф_з ІТП'!E72,2)</f>
        <v>95.62</v>
      </c>
      <c r="D37" s="3150">
        <f>'Д 2_Т на В'!L46/'Д 2_Т на В'!L$58*1000</f>
        <v>11.181404531425086</v>
      </c>
      <c r="E37" s="3150">
        <f>'Д 2_Т на В'!P46/'Д 2_Т на В'!P$58*1000</f>
        <v>11.420176096336112</v>
      </c>
      <c r="F37" s="3150">
        <f>'Д 2_Т на В'!T46/'Д 2_Т на В'!T$58*1000</f>
        <v>11.267098167922793</v>
      </c>
      <c r="G37" s="3150">
        <f>'Д 2_Т на В'!X46/'Д 2_Т на В'!X$58*1000</f>
        <v>11.118658964130626</v>
      </c>
      <c r="H37" s="3150">
        <f>'Д 2_Т на В'!AB46/'Д 2_Т на В'!AB$58*1000</f>
        <v>11.235833154200344</v>
      </c>
      <c r="I37" s="3143" t="e">
        <f t="shared" si="24"/>
        <v>#REF!</v>
      </c>
      <c r="J37" s="3152" t="e">
        <f t="shared" si="16"/>
        <v>#REF!</v>
      </c>
      <c r="K37" s="3153" t="e">
        <f t="shared" si="25"/>
        <v>#REF!</v>
      </c>
      <c r="L37" s="3153" t="e">
        <f t="shared" si="25"/>
        <v>#REF!</v>
      </c>
      <c r="M37" s="3153" t="e">
        <f t="shared" si="25"/>
        <v>#REF!</v>
      </c>
      <c r="N37" s="3153" t="e">
        <f t="shared" si="21"/>
        <v>#REF!</v>
      </c>
      <c r="O37" s="3152" t="e">
        <f t="shared" si="17"/>
        <v>#REF!</v>
      </c>
      <c r="P37" s="3153" t="e">
        <f t="shared" si="26"/>
        <v>#REF!</v>
      </c>
      <c r="Q37" s="3153" t="e">
        <f t="shared" si="26"/>
        <v>#REF!</v>
      </c>
      <c r="R37" s="3153" t="e">
        <f t="shared" si="26"/>
        <v>#REF!</v>
      </c>
      <c r="S37" s="3153" t="e">
        <f t="shared" si="22"/>
        <v>#REF!</v>
      </c>
      <c r="V37" s="3146">
        <f t="shared" si="3"/>
        <v>11.202257325377721</v>
      </c>
      <c r="W37" s="3143">
        <f t="shared" si="4"/>
        <v>-2.085279395263484E-2</v>
      </c>
      <c r="X37" s="3145">
        <f t="shared" si="5"/>
        <v>9.8649305638060625E-2</v>
      </c>
    </row>
    <row r="38" spans="1:24">
      <c r="A38" s="3157" t="s">
        <v>1314</v>
      </c>
      <c r="B38" s="3149" t="s">
        <v>80</v>
      </c>
      <c r="C38" s="3150">
        <f>ROUND('ТЕ_2ст_тариф_з ІТП'!E73,2)</f>
        <v>0</v>
      </c>
      <c r="D38" s="3150">
        <f>'Д 2_Т на В'!L47/'Д 2_Т на В'!L$58*1000</f>
        <v>0</v>
      </c>
      <c r="E38" s="3150">
        <f>'Д 2_Т на В'!P47/'Д 2_Т на В'!P$58*1000</f>
        <v>0</v>
      </c>
      <c r="F38" s="3150">
        <f>'Д 2_Т на В'!T47/'Д 2_Т на В'!T$58*1000</f>
        <v>0</v>
      </c>
      <c r="G38" s="3150">
        <f>'Д 2_Т на В'!X47/'Д 2_Т на В'!X$58*1000</f>
        <v>0</v>
      </c>
      <c r="H38" s="3150">
        <f>'Д 2_Т на В'!AB47/'Д 2_Т на В'!AB$58*1000</f>
        <v>0</v>
      </c>
      <c r="I38" s="3143" t="e">
        <f t="shared" si="24"/>
        <v>#REF!</v>
      </c>
      <c r="J38" s="3152" t="e">
        <f t="shared" si="16"/>
        <v>#REF!</v>
      </c>
      <c r="K38" s="3153" t="e">
        <f t="shared" si="25"/>
        <v>#REF!</v>
      </c>
      <c r="L38" s="3153" t="e">
        <f t="shared" si="25"/>
        <v>#REF!</v>
      </c>
      <c r="M38" s="3153" t="e">
        <f t="shared" si="25"/>
        <v>#REF!</v>
      </c>
      <c r="N38" s="3153" t="e">
        <f t="shared" si="21"/>
        <v>#REF!</v>
      </c>
      <c r="O38" s="3152" t="e">
        <f t="shared" si="17"/>
        <v>#REF!</v>
      </c>
      <c r="P38" s="3153" t="e">
        <f t="shared" si="26"/>
        <v>#REF!</v>
      </c>
      <c r="Q38" s="3153" t="e">
        <f t="shared" si="26"/>
        <v>#REF!</v>
      </c>
      <c r="R38" s="3153" t="e">
        <f t="shared" si="26"/>
        <v>#REF!</v>
      </c>
      <c r="S38" s="3153" t="e">
        <f t="shared" si="22"/>
        <v>#REF!</v>
      </c>
      <c r="V38" s="3146">
        <f t="shared" si="3"/>
        <v>0</v>
      </c>
      <c r="W38" s="3143">
        <f t="shared" si="4"/>
        <v>0</v>
      </c>
      <c r="X38" s="3145">
        <f t="shared" si="5"/>
        <v>0</v>
      </c>
    </row>
    <row r="39" spans="1:24">
      <c r="A39" s="3157" t="s">
        <v>1315</v>
      </c>
      <c r="B39" s="3149" t="s">
        <v>67</v>
      </c>
      <c r="C39" s="3150">
        <f>ROUND('ТЕ_2ст_тариф_з ІТП'!E74,2)</f>
        <v>0</v>
      </c>
      <c r="D39" s="3150">
        <f>'Д 2_Т на В'!L48/'Д 2_Т на В'!L$58*1000</f>
        <v>0</v>
      </c>
      <c r="E39" s="3150">
        <f>'Д 2_Т на В'!P48/'Д 2_Т на В'!P$58*1000</f>
        <v>0</v>
      </c>
      <c r="F39" s="3150">
        <f>'Д 2_Т на В'!T48/'Д 2_Т на В'!T$58*1000</f>
        <v>0</v>
      </c>
      <c r="G39" s="3150">
        <f>'Д 2_Т на В'!X48/'Д 2_Т на В'!X$58*1000</f>
        <v>0</v>
      </c>
      <c r="H39" s="3150">
        <f>'Д 2_Т на В'!AB48/'Д 2_Т на В'!AB$58*1000</f>
        <v>0</v>
      </c>
      <c r="I39" s="3143" t="e">
        <f t="shared" si="24"/>
        <v>#REF!</v>
      </c>
      <c r="J39" s="3152" t="e">
        <f t="shared" si="16"/>
        <v>#REF!</v>
      </c>
      <c r="K39" s="3153" t="e">
        <f t="shared" si="25"/>
        <v>#REF!</v>
      </c>
      <c r="L39" s="3153" t="e">
        <f t="shared" si="25"/>
        <v>#REF!</v>
      </c>
      <c r="M39" s="3153" t="e">
        <f t="shared" si="25"/>
        <v>#REF!</v>
      </c>
      <c r="N39" s="3153" t="e">
        <f t="shared" si="21"/>
        <v>#REF!</v>
      </c>
      <c r="O39" s="3152" t="e">
        <f t="shared" si="17"/>
        <v>#REF!</v>
      </c>
      <c r="P39" s="3153" t="e">
        <f t="shared" si="26"/>
        <v>#REF!</v>
      </c>
      <c r="Q39" s="3153" t="e">
        <f t="shared" si="26"/>
        <v>#REF!</v>
      </c>
      <c r="R39" s="3153" t="e">
        <f t="shared" si="26"/>
        <v>#REF!</v>
      </c>
      <c r="S39" s="3153" t="e">
        <f t="shared" si="22"/>
        <v>#REF!</v>
      </c>
      <c r="V39" s="3146">
        <f t="shared" si="3"/>
        <v>0</v>
      </c>
      <c r="W39" s="3143">
        <f t="shared" si="4"/>
        <v>0</v>
      </c>
      <c r="X39" s="3145">
        <f t="shared" si="5"/>
        <v>0</v>
      </c>
    </row>
    <row r="40" spans="1:24">
      <c r="A40" s="3157" t="s">
        <v>1316</v>
      </c>
      <c r="B40" s="3149" t="s">
        <v>1222</v>
      </c>
      <c r="C40" s="3150">
        <f>ROUND('ТЕ_2ст_тариф_з ІТП'!E76,2)</f>
        <v>435.61</v>
      </c>
      <c r="D40" s="3150">
        <f>'Д 2_Т на В'!L50/'Д 2_Т на В'!L$58*1000</f>
        <v>50.937509532047642</v>
      </c>
      <c r="E40" s="3150">
        <f>'Д 2_Т на В'!P50/'Д 2_Т на В'!P$58*1000</f>
        <v>52.025246661086761</v>
      </c>
      <c r="F40" s="3150">
        <f>'Д 2_Т на В'!T50/'Д 2_Т на В'!T$58*1000</f>
        <v>51.32789165387053</v>
      </c>
      <c r="G40" s="3150">
        <f>'Д 2_Т на В'!X50/'Д 2_Т на В'!X$58*1000</f>
        <v>50.65166861437288</v>
      </c>
      <c r="H40" s="3150">
        <f>'Д 2_Т на В'!AB50/'Д 2_Т на В'!AB$58*1000</f>
        <v>51.185462146912712</v>
      </c>
      <c r="I40" s="3143" t="e">
        <f t="shared" si="24"/>
        <v>#REF!</v>
      </c>
      <c r="J40" s="3152" t="e">
        <f t="shared" si="16"/>
        <v>#REF!</v>
      </c>
      <c r="K40" s="3153" t="e">
        <f t="shared" si="25"/>
        <v>#REF!</v>
      </c>
      <c r="L40" s="3153" t="e">
        <f t="shared" si="25"/>
        <v>#REF!</v>
      </c>
      <c r="M40" s="3153" t="e">
        <f t="shared" si="25"/>
        <v>#REF!</v>
      </c>
      <c r="N40" s="3153" t="e">
        <f t="shared" si="21"/>
        <v>#REF!</v>
      </c>
      <c r="O40" s="3152" t="e">
        <f t="shared" si="17"/>
        <v>#REF!</v>
      </c>
      <c r="P40" s="3153" t="e">
        <f t="shared" si="26"/>
        <v>#REF!</v>
      </c>
      <c r="Q40" s="3153" t="e">
        <f t="shared" si="26"/>
        <v>#REF!</v>
      </c>
      <c r="R40" s="3153" t="e">
        <f t="shared" si="26"/>
        <v>#REF!</v>
      </c>
      <c r="S40" s="3153" t="e">
        <f t="shared" si="22"/>
        <v>#REF!</v>
      </c>
      <c r="V40" s="3146">
        <f t="shared" si="3"/>
        <v>51.033416790501875</v>
      </c>
      <c r="W40" s="3143">
        <f t="shared" si="4"/>
        <v>-9.5907258454232647E-2</v>
      </c>
      <c r="X40" s="3145">
        <f t="shared" si="5"/>
        <v>0.44940239235115342</v>
      </c>
    </row>
    <row r="41" spans="1:24" s="3147" customFormat="1" ht="33.75" customHeight="1" thickBot="1">
      <c r="A41" s="3160" t="s">
        <v>907</v>
      </c>
      <c r="B41" s="3161" t="s">
        <v>1425</v>
      </c>
      <c r="C41" s="3162">
        <f>'ТЕ_2ст_тариф_з ІТП'!E31</f>
        <v>8.5357796399999994</v>
      </c>
      <c r="D41" s="3163">
        <f>'Д 2_Т на В'!L58/1000</f>
        <v>6.4600562400000001</v>
      </c>
      <c r="E41" s="3163">
        <f>'Д 2_Т на В'!P58/1000</f>
        <v>0.48096030000000001</v>
      </c>
      <c r="F41" s="3163">
        <f>'Д 2_Т на В'!T58/1000</f>
        <v>0.79822534000000001</v>
      </c>
      <c r="G41" s="3163">
        <f>'Д 2_Т на В'!X58/1000</f>
        <v>0.39151855999999996</v>
      </c>
      <c r="H41" s="3163">
        <f>'Д 2_Т на В'!AB58/1000</f>
        <v>0.40501920000000002</v>
      </c>
      <c r="I41" s="3146"/>
      <c r="V41" s="3146"/>
      <c r="W41" s="3143"/>
      <c r="X41" s="3145"/>
    </row>
    <row r="42" spans="1:24" ht="42" hidden="1" thickBot="1">
      <c r="A42" s="3136" t="s">
        <v>1278</v>
      </c>
      <c r="B42" s="3164" t="s">
        <v>1535</v>
      </c>
      <c r="C42" s="3133" t="e">
        <f>#REF!</f>
        <v>#REF!</v>
      </c>
      <c r="D42" s="3165" t="e">
        <f>#REF!</f>
        <v>#REF!</v>
      </c>
      <c r="E42" s="3165" t="e">
        <f>#REF!</f>
        <v>#REF!</v>
      </c>
      <c r="F42" s="3165" t="e">
        <f>#REF!</f>
        <v>#REF!</v>
      </c>
      <c r="G42" s="3165"/>
      <c r="H42" s="3165" t="e">
        <f>#REF!</f>
        <v>#REF!</v>
      </c>
      <c r="V42" s="3110" t="e">
        <f>C42/C$75</f>
        <v>#REF!</v>
      </c>
      <c r="W42" s="3143" t="e">
        <f t="shared" ref="W42:W74" si="27">D42-V42</f>
        <v>#REF!</v>
      </c>
      <c r="X42" s="3145" t="e">
        <f t="shared" ref="X42:X74" si="28">D42+E42-F42-H42</f>
        <v>#REF!</v>
      </c>
    </row>
    <row r="43" spans="1:24" ht="31.8" hidden="1" customHeight="1" thickBot="1">
      <c r="A43" s="3136"/>
      <c r="B43" s="3166" t="s">
        <v>1337</v>
      </c>
      <c r="C43" s="3167"/>
      <c r="D43" s="3167"/>
      <c r="E43" s="3167"/>
      <c r="F43" s="3167"/>
      <c r="G43" s="3167"/>
      <c r="H43" s="3168"/>
      <c r="V43" s="3110" t="e">
        <f t="shared" ref="V43:V75" si="29">C43/C$75</f>
        <v>#REF!</v>
      </c>
      <c r="W43" s="3143" t="e">
        <f t="shared" si="27"/>
        <v>#REF!</v>
      </c>
      <c r="X43" s="3145">
        <f t="shared" si="28"/>
        <v>0</v>
      </c>
    </row>
    <row r="44" spans="1:24" s="3147" customFormat="1" hidden="1">
      <c r="A44" s="3140" t="s">
        <v>804</v>
      </c>
      <c r="B44" s="3141" t="s">
        <v>1279</v>
      </c>
      <c r="C44" s="3142" t="e">
        <f>C45+C50+C51+C55</f>
        <v>#REF!</v>
      </c>
      <c r="D44" s="3142" t="e">
        <f>D45+D50+D51+D55</f>
        <v>#REF!</v>
      </c>
      <c r="E44" s="3142" t="e">
        <f>E45+E50+E51+E55</f>
        <v>#REF!</v>
      </c>
      <c r="F44" s="3142" t="e">
        <f>F45+F50+F51+F55</f>
        <v>#REF!</v>
      </c>
      <c r="G44" s="3142"/>
      <c r="H44" s="3142" t="e">
        <f>H45+H50+H51+H55</f>
        <v>#REF!</v>
      </c>
      <c r="T44" s="3145" t="e">
        <f>ROUND(C45,2)+ROUND(C50,2)+ROUND(C51,2)+ROUND(C55,2)</f>
        <v>#REF!</v>
      </c>
      <c r="V44" s="3110" t="e">
        <f t="shared" si="29"/>
        <v>#REF!</v>
      </c>
      <c r="W44" s="3143" t="e">
        <f t="shared" si="27"/>
        <v>#REF!</v>
      </c>
      <c r="X44" s="3145" t="e">
        <f t="shared" si="28"/>
        <v>#REF!</v>
      </c>
    </row>
    <row r="45" spans="1:24" hidden="1">
      <c r="A45" s="3148" t="s">
        <v>806</v>
      </c>
      <c r="B45" s="3149" t="s">
        <v>1332</v>
      </c>
      <c r="C45" s="3150" t="e">
        <f>SUM(C46:C49)</f>
        <v>#REF!</v>
      </c>
      <c r="D45" s="3150" t="e">
        <f>SUM(D46:D49)</f>
        <v>#REF!</v>
      </c>
      <c r="E45" s="3150" t="e">
        <f>SUM(E46:E49)</f>
        <v>#REF!</v>
      </c>
      <c r="F45" s="3150" t="e">
        <f>SUM(F46:F49)</f>
        <v>#REF!</v>
      </c>
      <c r="G45" s="3150"/>
      <c r="H45" s="3150" t="e">
        <f>SUM(H46:H49)</f>
        <v>#REF!</v>
      </c>
      <c r="V45" s="3110" t="e">
        <f t="shared" si="29"/>
        <v>#REF!</v>
      </c>
      <c r="W45" s="3143" t="e">
        <f t="shared" si="27"/>
        <v>#REF!</v>
      </c>
      <c r="X45" s="3145" t="e">
        <f t="shared" si="28"/>
        <v>#REF!</v>
      </c>
    </row>
    <row r="46" spans="1:24" ht="27.6" hidden="1">
      <c r="A46" s="3148" t="s">
        <v>1281</v>
      </c>
      <c r="B46" s="3149" t="s">
        <v>1284</v>
      </c>
      <c r="C46" s="3150" t="e">
        <f>#REF!</f>
        <v>#REF!</v>
      </c>
      <c r="D46" s="3150" t="e">
        <f>#REF!</f>
        <v>#REF!</v>
      </c>
      <c r="E46" s="3150" t="e">
        <f>#REF!</f>
        <v>#REF!</v>
      </c>
      <c r="F46" s="3150" t="e">
        <f>#REF!</f>
        <v>#REF!</v>
      </c>
      <c r="G46" s="3150"/>
      <c r="H46" s="3150" t="e">
        <f>#REF!</f>
        <v>#REF!</v>
      </c>
      <c r="V46" s="3110" t="e">
        <f t="shared" si="29"/>
        <v>#REF!</v>
      </c>
      <c r="W46" s="3143" t="e">
        <f t="shared" si="27"/>
        <v>#REF!</v>
      </c>
      <c r="X46" s="3145" t="e">
        <f t="shared" si="28"/>
        <v>#REF!</v>
      </c>
    </row>
    <row r="47" spans="1:24" ht="27.6" hidden="1">
      <c r="A47" s="3148" t="s">
        <v>1283</v>
      </c>
      <c r="B47" s="3149" t="s">
        <v>1286</v>
      </c>
      <c r="C47" s="3150" t="e">
        <f>#REF!</f>
        <v>#REF!</v>
      </c>
      <c r="D47" s="3150" t="e">
        <f>#REF!</f>
        <v>#REF!</v>
      </c>
      <c r="E47" s="3150" t="e">
        <f>#REF!</f>
        <v>#REF!</v>
      </c>
      <c r="F47" s="3150" t="e">
        <f>#REF!</f>
        <v>#REF!</v>
      </c>
      <c r="G47" s="3150"/>
      <c r="H47" s="3150" t="e">
        <f>#REF!</f>
        <v>#REF!</v>
      </c>
      <c r="V47" s="3110" t="e">
        <f t="shared" si="29"/>
        <v>#REF!</v>
      </c>
      <c r="W47" s="3143" t="e">
        <f t="shared" si="27"/>
        <v>#REF!</v>
      </c>
      <c r="X47" s="3145" t="e">
        <f t="shared" si="28"/>
        <v>#REF!</v>
      </c>
    </row>
    <row r="48" spans="1:24" hidden="1">
      <c r="A48" s="3148" t="s">
        <v>1285</v>
      </c>
      <c r="B48" s="3169" t="s">
        <v>533</v>
      </c>
      <c r="C48" s="3150" t="e">
        <f>#REF!-#REF!</f>
        <v>#REF!</v>
      </c>
      <c r="D48" s="3150" t="e">
        <f>#REF!-#REF!</f>
        <v>#REF!</v>
      </c>
      <c r="E48" s="3150" t="e">
        <f>#REF!-#REF!</f>
        <v>#REF!</v>
      </c>
      <c r="F48" s="3150" t="e">
        <f>#REF!-#REF!</f>
        <v>#REF!</v>
      </c>
      <c r="G48" s="3150"/>
      <c r="H48" s="3150" t="e">
        <f>#REF!-#REF!</f>
        <v>#REF!</v>
      </c>
      <c r="V48" s="3110" t="e">
        <f t="shared" si="29"/>
        <v>#REF!</v>
      </c>
      <c r="W48" s="3143" t="e">
        <f t="shared" si="27"/>
        <v>#REF!</v>
      </c>
      <c r="X48" s="3145" t="e">
        <f t="shared" si="28"/>
        <v>#REF!</v>
      </c>
    </row>
    <row r="49" spans="1:24" ht="27.6" hidden="1">
      <c r="A49" s="3148" t="s">
        <v>1287</v>
      </c>
      <c r="B49" s="3169" t="s">
        <v>1202</v>
      </c>
      <c r="C49" s="3150" t="e">
        <f>#REF!</f>
        <v>#REF!</v>
      </c>
      <c r="D49" s="3150" t="e">
        <f>#REF!</f>
        <v>#REF!</v>
      </c>
      <c r="E49" s="3150" t="e">
        <f>#REF!</f>
        <v>#REF!</v>
      </c>
      <c r="F49" s="3150" t="e">
        <f>#REF!</f>
        <v>#REF!</v>
      </c>
      <c r="G49" s="3150"/>
      <c r="H49" s="3150" t="e">
        <f>#REF!</f>
        <v>#REF!</v>
      </c>
      <c r="V49" s="3110" t="e">
        <f t="shared" si="29"/>
        <v>#REF!</v>
      </c>
      <c r="W49" s="3143" t="e">
        <f t="shared" si="27"/>
        <v>#REF!</v>
      </c>
      <c r="X49" s="3145" t="e">
        <f t="shared" si="28"/>
        <v>#REF!</v>
      </c>
    </row>
    <row r="50" spans="1:24" hidden="1">
      <c r="A50" s="3148" t="s">
        <v>808</v>
      </c>
      <c r="B50" s="3149" t="s">
        <v>1288</v>
      </c>
      <c r="C50" s="3150" t="e">
        <f>#REF!</f>
        <v>#REF!</v>
      </c>
      <c r="D50" s="3150" t="e">
        <f>#REF!</f>
        <v>#REF!</v>
      </c>
      <c r="E50" s="3150" t="e">
        <f>#REF!</f>
        <v>#REF!</v>
      </c>
      <c r="F50" s="3150" t="e">
        <f>#REF!</f>
        <v>#REF!</v>
      </c>
      <c r="G50" s="3150"/>
      <c r="H50" s="3150" t="e">
        <f>#REF!</f>
        <v>#REF!</v>
      </c>
      <c r="T50" s="3154" t="e">
        <f>ROUND(C50,2)</f>
        <v>#REF!</v>
      </c>
      <c r="V50" s="3110" t="e">
        <f t="shared" si="29"/>
        <v>#REF!</v>
      </c>
      <c r="W50" s="3143" t="e">
        <f t="shared" si="27"/>
        <v>#REF!</v>
      </c>
      <c r="X50" s="3145" t="e">
        <f t="shared" si="28"/>
        <v>#REF!</v>
      </c>
    </row>
    <row r="51" spans="1:24" hidden="1">
      <c r="A51" s="3148" t="s">
        <v>810</v>
      </c>
      <c r="B51" s="3149" t="s">
        <v>1289</v>
      </c>
      <c r="C51" s="3150" t="e">
        <f>#REF!</f>
        <v>#REF!</v>
      </c>
      <c r="D51" s="3150" t="e">
        <f>#REF!</f>
        <v>#REF!</v>
      </c>
      <c r="E51" s="3150" t="e">
        <f>#REF!</f>
        <v>#REF!</v>
      </c>
      <c r="F51" s="3150" t="e">
        <f>#REF!</f>
        <v>#REF!</v>
      </c>
      <c r="G51" s="3150"/>
      <c r="H51" s="3150" t="e">
        <f>#REF!</f>
        <v>#REF!</v>
      </c>
      <c r="T51" s="3145" t="e">
        <f>ROUND(C52,2)+ROUND(C53,2)+ROUND(C54,2)</f>
        <v>#REF!</v>
      </c>
      <c r="V51" s="3110" t="e">
        <f t="shared" si="29"/>
        <v>#REF!</v>
      </c>
      <c r="W51" s="3143" t="e">
        <f t="shared" si="27"/>
        <v>#REF!</v>
      </c>
      <c r="X51" s="3145" t="e">
        <f t="shared" si="28"/>
        <v>#REF!</v>
      </c>
    </row>
    <row r="52" spans="1:24" hidden="1">
      <c r="A52" s="3148" t="s">
        <v>1290</v>
      </c>
      <c r="B52" s="3149" t="s">
        <v>1304</v>
      </c>
      <c r="C52" s="3150" t="e">
        <f>#REF!</f>
        <v>#REF!</v>
      </c>
      <c r="D52" s="3150" t="e">
        <f>#REF!</f>
        <v>#REF!</v>
      </c>
      <c r="E52" s="3150" t="e">
        <f>#REF!</f>
        <v>#REF!</v>
      </c>
      <c r="F52" s="3150" t="e">
        <f>#REF!</f>
        <v>#REF!</v>
      </c>
      <c r="G52" s="3150"/>
      <c r="H52" s="3150" t="e">
        <f>#REF!</f>
        <v>#REF!</v>
      </c>
      <c r="T52" s="3145"/>
      <c r="V52" s="3110" t="e">
        <f t="shared" si="29"/>
        <v>#REF!</v>
      </c>
      <c r="W52" s="3143" t="e">
        <f t="shared" si="27"/>
        <v>#REF!</v>
      </c>
      <c r="X52" s="3145" t="e">
        <f t="shared" si="28"/>
        <v>#REF!</v>
      </c>
    </row>
    <row r="53" spans="1:24" hidden="1">
      <c r="A53" s="3148" t="s">
        <v>1292</v>
      </c>
      <c r="B53" s="3149" t="s">
        <v>1293</v>
      </c>
      <c r="C53" s="3150" t="e">
        <f>#REF!</f>
        <v>#REF!</v>
      </c>
      <c r="D53" s="3150" t="e">
        <f>#REF!</f>
        <v>#REF!</v>
      </c>
      <c r="E53" s="3150" t="e">
        <f>#REF!</f>
        <v>#REF!</v>
      </c>
      <c r="F53" s="3150" t="e">
        <f>#REF!</f>
        <v>#REF!</v>
      </c>
      <c r="G53" s="3150"/>
      <c r="H53" s="3150" t="e">
        <f>#REF!</f>
        <v>#REF!</v>
      </c>
      <c r="V53" s="3110" t="e">
        <f t="shared" si="29"/>
        <v>#REF!</v>
      </c>
      <c r="W53" s="3143" t="e">
        <f t="shared" si="27"/>
        <v>#REF!</v>
      </c>
      <c r="X53" s="3145" t="e">
        <f t="shared" si="28"/>
        <v>#REF!</v>
      </c>
    </row>
    <row r="54" spans="1:24" hidden="1">
      <c r="A54" s="3148" t="s">
        <v>1294</v>
      </c>
      <c r="B54" s="3149" t="s">
        <v>77</v>
      </c>
      <c r="C54" s="3150" t="e">
        <f>#REF!</f>
        <v>#REF!</v>
      </c>
      <c r="D54" s="3150" t="e">
        <f>#REF!</f>
        <v>#REF!</v>
      </c>
      <c r="E54" s="3150" t="e">
        <f>#REF!</f>
        <v>#REF!</v>
      </c>
      <c r="F54" s="3150" t="e">
        <f>#REF!</f>
        <v>#REF!</v>
      </c>
      <c r="G54" s="3150"/>
      <c r="H54" s="3150" t="e">
        <f>#REF!</f>
        <v>#REF!</v>
      </c>
      <c r="V54" s="3110" t="e">
        <f t="shared" si="29"/>
        <v>#REF!</v>
      </c>
      <c r="W54" s="3143" t="e">
        <f t="shared" si="27"/>
        <v>#REF!</v>
      </c>
      <c r="X54" s="3145" t="e">
        <f t="shared" si="28"/>
        <v>#REF!</v>
      </c>
    </row>
    <row r="55" spans="1:24" s="3147" customFormat="1" hidden="1">
      <c r="A55" s="3155" t="s">
        <v>812</v>
      </c>
      <c r="B55" s="3141" t="s">
        <v>1295</v>
      </c>
      <c r="C55" s="3142" t="e">
        <f>SUM(C56:C59)</f>
        <v>#REF!</v>
      </c>
      <c r="D55" s="3142" t="e">
        <f>#REF!</f>
        <v>#REF!</v>
      </c>
      <c r="E55" s="3142" t="e">
        <f>#REF!</f>
        <v>#REF!</v>
      </c>
      <c r="F55" s="3142" t="e">
        <f>#REF!</f>
        <v>#REF!</v>
      </c>
      <c r="G55" s="3142"/>
      <c r="H55" s="3142" t="e">
        <f>#REF!</f>
        <v>#REF!</v>
      </c>
      <c r="T55" s="3145" t="e">
        <f>ROUND(C56,2)+ROUND(C57,2)+ROUND(C58,2)+ROUND(C59,2)</f>
        <v>#REF!</v>
      </c>
      <c r="V55" s="3110" t="e">
        <f t="shared" si="29"/>
        <v>#REF!</v>
      </c>
      <c r="W55" s="3143" t="e">
        <f t="shared" si="27"/>
        <v>#REF!</v>
      </c>
      <c r="X55" s="3145" t="e">
        <f t="shared" si="28"/>
        <v>#REF!</v>
      </c>
    </row>
    <row r="56" spans="1:24" hidden="1">
      <c r="A56" s="3157" t="s">
        <v>1296</v>
      </c>
      <c r="B56" s="3149" t="s">
        <v>1297</v>
      </c>
      <c r="C56" s="3150" t="e">
        <f>#REF!</f>
        <v>#REF!</v>
      </c>
      <c r="D56" s="3150" t="e">
        <f>#REF!</f>
        <v>#REF!</v>
      </c>
      <c r="E56" s="3150" t="e">
        <f>#REF!</f>
        <v>#REF!</v>
      </c>
      <c r="F56" s="3150" t="e">
        <f>#REF!</f>
        <v>#REF!</v>
      </c>
      <c r="G56" s="3150"/>
      <c r="H56" s="3150" t="e">
        <f>#REF!</f>
        <v>#REF!</v>
      </c>
      <c r="V56" s="3110" t="e">
        <f t="shared" si="29"/>
        <v>#REF!</v>
      </c>
      <c r="W56" s="3143" t="e">
        <f t="shared" si="27"/>
        <v>#REF!</v>
      </c>
      <c r="X56" s="3145" t="e">
        <f t="shared" si="28"/>
        <v>#REF!</v>
      </c>
    </row>
    <row r="57" spans="1:24" hidden="1">
      <c r="A57" s="3157" t="s">
        <v>1298</v>
      </c>
      <c r="B57" s="3149" t="s">
        <v>1172</v>
      </c>
      <c r="C57" s="3150" t="e">
        <f>#REF!</f>
        <v>#REF!</v>
      </c>
      <c r="D57" s="3150" t="e">
        <f>#REF!</f>
        <v>#REF!</v>
      </c>
      <c r="E57" s="3150" t="e">
        <f>#REF!</f>
        <v>#REF!</v>
      </c>
      <c r="F57" s="3150" t="e">
        <f>#REF!</f>
        <v>#REF!</v>
      </c>
      <c r="G57" s="3150"/>
      <c r="H57" s="3150" t="e">
        <f>#REF!</f>
        <v>#REF!</v>
      </c>
      <c r="V57" s="3110" t="e">
        <f t="shared" si="29"/>
        <v>#REF!</v>
      </c>
      <c r="W57" s="3143" t="e">
        <f t="shared" si="27"/>
        <v>#REF!</v>
      </c>
      <c r="X57" s="3145" t="e">
        <f t="shared" si="28"/>
        <v>#REF!</v>
      </c>
    </row>
    <row r="58" spans="1:24" hidden="1">
      <c r="A58" s="3157" t="s">
        <v>1299</v>
      </c>
      <c r="B58" s="3149" t="s">
        <v>1293</v>
      </c>
      <c r="C58" s="3150" t="e">
        <f>#REF!</f>
        <v>#REF!</v>
      </c>
      <c r="D58" s="3150" t="e">
        <f>#REF!</f>
        <v>#REF!</v>
      </c>
      <c r="E58" s="3150" t="e">
        <f>#REF!</f>
        <v>#REF!</v>
      </c>
      <c r="F58" s="3150" t="e">
        <f>#REF!</f>
        <v>#REF!</v>
      </c>
      <c r="G58" s="3150"/>
      <c r="H58" s="3150" t="e">
        <f>#REF!</f>
        <v>#REF!</v>
      </c>
      <c r="V58" s="3110" t="e">
        <f t="shared" si="29"/>
        <v>#REF!</v>
      </c>
      <c r="W58" s="3143" t="e">
        <f t="shared" si="27"/>
        <v>#REF!</v>
      </c>
      <c r="X58" s="3145" t="e">
        <f t="shared" si="28"/>
        <v>#REF!</v>
      </c>
    </row>
    <row r="59" spans="1:24" hidden="1">
      <c r="A59" s="3157" t="s">
        <v>1300</v>
      </c>
      <c r="B59" s="3149" t="s">
        <v>54</v>
      </c>
      <c r="C59" s="3150" t="e">
        <f>#REF!-C58</f>
        <v>#REF!</v>
      </c>
      <c r="D59" s="3150" t="e">
        <f>#REF!-D58</f>
        <v>#REF!</v>
      </c>
      <c r="E59" s="3150" t="e">
        <f>#REF!-E58</f>
        <v>#REF!</v>
      </c>
      <c r="F59" s="3150" t="e">
        <f>#REF!-F58</f>
        <v>#REF!</v>
      </c>
      <c r="G59" s="3150"/>
      <c r="H59" s="3150" t="e">
        <f>#REF!-H58</f>
        <v>#REF!</v>
      </c>
      <c r="V59" s="3110" t="e">
        <f t="shared" si="29"/>
        <v>#REF!</v>
      </c>
      <c r="W59" s="3143" t="e">
        <f t="shared" si="27"/>
        <v>#REF!</v>
      </c>
      <c r="X59" s="3145" t="e">
        <f t="shared" si="28"/>
        <v>#REF!</v>
      </c>
    </row>
    <row r="60" spans="1:24" s="3147" customFormat="1" hidden="1">
      <c r="A60" s="3140" t="s">
        <v>821</v>
      </c>
      <c r="B60" s="3141" t="s">
        <v>1301</v>
      </c>
      <c r="C60" s="3142" t="e">
        <f>#REF!</f>
        <v>#REF!</v>
      </c>
      <c r="D60" s="3142" t="e">
        <f>#REF!</f>
        <v>#REF!</v>
      </c>
      <c r="E60" s="3142" t="e">
        <f>#REF!</f>
        <v>#REF!</v>
      </c>
      <c r="F60" s="3142" t="e">
        <f>#REF!</f>
        <v>#REF!</v>
      </c>
      <c r="G60" s="3142"/>
      <c r="H60" s="3142" t="e">
        <f>#REF!</f>
        <v>#REF!</v>
      </c>
      <c r="J60" s="3170"/>
      <c r="T60" s="3145" t="e">
        <f>ROUND(C61,2)+ROUND(C62,2)+ROUND(C63,2)+ROUND(C64,2)</f>
        <v>#REF!</v>
      </c>
      <c r="V60" s="3110" t="e">
        <f t="shared" si="29"/>
        <v>#REF!</v>
      </c>
      <c r="W60" s="3143" t="e">
        <f t="shared" si="27"/>
        <v>#REF!</v>
      </c>
      <c r="X60" s="3145" t="e">
        <f t="shared" si="28"/>
        <v>#REF!</v>
      </c>
    </row>
    <row r="61" spans="1:24" hidden="1">
      <c r="A61" s="3157" t="s">
        <v>1302</v>
      </c>
      <c r="B61" s="3149" t="s">
        <v>51</v>
      </c>
      <c r="C61" s="3150" t="e">
        <f>#REF!</f>
        <v>#REF!</v>
      </c>
      <c r="D61" s="3150" t="e">
        <f>#REF!</f>
        <v>#REF!</v>
      </c>
      <c r="E61" s="3150" t="e">
        <f>#REF!</f>
        <v>#REF!</v>
      </c>
      <c r="F61" s="3150" t="e">
        <f>#REF!</f>
        <v>#REF!</v>
      </c>
      <c r="G61" s="3150"/>
      <c r="H61" s="3150" t="e">
        <f>#REF!</f>
        <v>#REF!</v>
      </c>
      <c r="V61" s="3110" t="e">
        <f t="shared" si="29"/>
        <v>#REF!</v>
      </c>
      <c r="W61" s="3143" t="e">
        <f t="shared" si="27"/>
        <v>#REF!</v>
      </c>
      <c r="X61" s="3145" t="e">
        <f t="shared" si="28"/>
        <v>#REF!</v>
      </c>
    </row>
    <row r="62" spans="1:24" hidden="1">
      <c r="A62" s="3157" t="s">
        <v>1303</v>
      </c>
      <c r="B62" s="3149" t="s">
        <v>1304</v>
      </c>
      <c r="C62" s="3150" t="e">
        <f>#REF!</f>
        <v>#REF!</v>
      </c>
      <c r="D62" s="3150" t="e">
        <f>#REF!</f>
        <v>#REF!</v>
      </c>
      <c r="E62" s="3150" t="e">
        <f>#REF!</f>
        <v>#REF!</v>
      </c>
      <c r="F62" s="3150" t="e">
        <f>#REF!</f>
        <v>#REF!</v>
      </c>
      <c r="G62" s="3150"/>
      <c r="H62" s="3150" t="e">
        <f>#REF!</f>
        <v>#REF!</v>
      </c>
      <c r="V62" s="3110" t="e">
        <f t="shared" si="29"/>
        <v>#REF!</v>
      </c>
      <c r="W62" s="3143" t="e">
        <f t="shared" si="27"/>
        <v>#REF!</v>
      </c>
      <c r="X62" s="3145" t="e">
        <f t="shared" si="28"/>
        <v>#REF!</v>
      </c>
    </row>
    <row r="63" spans="1:24" hidden="1">
      <c r="A63" s="3157" t="s">
        <v>1305</v>
      </c>
      <c r="B63" s="3149" t="s">
        <v>1293</v>
      </c>
      <c r="C63" s="3150" t="e">
        <f>#REF!</f>
        <v>#REF!</v>
      </c>
      <c r="D63" s="3150" t="e">
        <f>#REF!</f>
        <v>#REF!</v>
      </c>
      <c r="E63" s="3150" t="e">
        <f>#REF!</f>
        <v>#REF!</v>
      </c>
      <c r="F63" s="3150" t="e">
        <f>#REF!</f>
        <v>#REF!</v>
      </c>
      <c r="G63" s="3150"/>
      <c r="H63" s="3150" t="e">
        <f>#REF!</f>
        <v>#REF!</v>
      </c>
      <c r="V63" s="3110" t="e">
        <f t="shared" si="29"/>
        <v>#REF!</v>
      </c>
      <c r="W63" s="3143" t="e">
        <f t="shared" si="27"/>
        <v>#REF!</v>
      </c>
      <c r="X63" s="3145" t="e">
        <f t="shared" si="28"/>
        <v>#REF!</v>
      </c>
    </row>
    <row r="64" spans="1:24" hidden="1">
      <c r="A64" s="3157" t="s">
        <v>1306</v>
      </c>
      <c r="B64" s="3149" t="s">
        <v>1307</v>
      </c>
      <c r="C64" s="3150" t="e">
        <f>#REF!-C63</f>
        <v>#REF!</v>
      </c>
      <c r="D64" s="3150" t="e">
        <f>#REF!</f>
        <v>#REF!</v>
      </c>
      <c r="E64" s="3150" t="e">
        <f>#REF!</f>
        <v>#REF!</v>
      </c>
      <c r="F64" s="3150" t="e">
        <f>#REF!</f>
        <v>#REF!</v>
      </c>
      <c r="G64" s="3150"/>
      <c r="H64" s="3150" t="e">
        <f>#REF!</f>
        <v>#REF!</v>
      </c>
      <c r="V64" s="3110" t="e">
        <f t="shared" si="29"/>
        <v>#REF!</v>
      </c>
      <c r="W64" s="3143" t="e">
        <f t="shared" si="27"/>
        <v>#REF!</v>
      </c>
      <c r="X64" s="3145" t="e">
        <f t="shared" si="28"/>
        <v>#REF!</v>
      </c>
    </row>
    <row r="65" spans="1:24" s="3147" customFormat="1" hidden="1">
      <c r="A65" s="3140" t="s">
        <v>823</v>
      </c>
      <c r="B65" s="3141" t="s">
        <v>1308</v>
      </c>
      <c r="C65" s="3142">
        <v>0</v>
      </c>
      <c r="D65" s="3142" t="e">
        <f>#REF!</f>
        <v>#REF!</v>
      </c>
      <c r="E65" s="3142" t="e">
        <f>#REF!</f>
        <v>#REF!</v>
      </c>
      <c r="F65" s="3142" t="e">
        <f>#REF!</f>
        <v>#REF!</v>
      </c>
      <c r="G65" s="3142"/>
      <c r="H65" s="3142" t="e">
        <f>#REF!</f>
        <v>#REF!</v>
      </c>
      <c r="V65" s="3110" t="e">
        <f t="shared" si="29"/>
        <v>#REF!</v>
      </c>
      <c r="W65" s="3143" t="e">
        <f t="shared" si="27"/>
        <v>#REF!</v>
      </c>
      <c r="X65" s="3145" t="e">
        <f t="shared" si="28"/>
        <v>#REF!</v>
      </c>
    </row>
    <row r="66" spans="1:24" s="3147" customFormat="1" hidden="1">
      <c r="A66" s="3140" t="s">
        <v>826</v>
      </c>
      <c r="B66" s="3141" t="s">
        <v>1310</v>
      </c>
      <c r="C66" s="3142">
        <v>0</v>
      </c>
      <c r="D66" s="3142">
        <v>0</v>
      </c>
      <c r="E66" s="3142">
        <v>0</v>
      </c>
      <c r="F66" s="3142">
        <v>0</v>
      </c>
      <c r="G66" s="3142"/>
      <c r="H66" s="3142">
        <v>0</v>
      </c>
      <c r="J66" s="3145"/>
      <c r="V66" s="3110" t="e">
        <f t="shared" si="29"/>
        <v>#REF!</v>
      </c>
      <c r="W66" s="3143" t="e">
        <f t="shared" si="27"/>
        <v>#REF!</v>
      </c>
      <c r="X66" s="3145">
        <f t="shared" si="28"/>
        <v>0</v>
      </c>
    </row>
    <row r="67" spans="1:24" s="3147" customFormat="1" hidden="1">
      <c r="A67" s="3140">
        <v>5</v>
      </c>
      <c r="B67" s="3141" t="s">
        <v>1221</v>
      </c>
      <c r="C67" s="3142" t="e">
        <f>C44+C60+C65</f>
        <v>#REF!</v>
      </c>
      <c r="D67" s="3142" t="e">
        <f>D44+D60+D65</f>
        <v>#REF!</v>
      </c>
      <c r="E67" s="3142" t="e">
        <f>E44+E60+E65</f>
        <v>#REF!</v>
      </c>
      <c r="F67" s="3142" t="e">
        <f>F44+F60+F65</f>
        <v>#REF!</v>
      </c>
      <c r="G67" s="3142"/>
      <c r="H67" s="3142" t="e">
        <f>H44+H60+H65</f>
        <v>#REF!</v>
      </c>
      <c r="T67" s="3145" t="e">
        <f>T44+T60+T65+T66</f>
        <v>#REF!</v>
      </c>
      <c r="V67" s="3110" t="e">
        <f t="shared" si="29"/>
        <v>#REF!</v>
      </c>
      <c r="W67" s="3143" t="e">
        <f t="shared" si="27"/>
        <v>#REF!</v>
      </c>
      <c r="X67" s="3145" t="e">
        <f t="shared" si="28"/>
        <v>#REF!</v>
      </c>
    </row>
    <row r="68" spans="1:24" s="3147" customFormat="1" hidden="1">
      <c r="A68" s="3140">
        <v>6</v>
      </c>
      <c r="B68" s="3141" t="s">
        <v>1311</v>
      </c>
      <c r="C68" s="3142">
        <v>0</v>
      </c>
      <c r="D68" s="3142">
        <v>0</v>
      </c>
      <c r="E68" s="3142">
        <v>0</v>
      </c>
      <c r="F68" s="3142">
        <v>0</v>
      </c>
      <c r="G68" s="3142"/>
      <c r="H68" s="3142">
        <v>0</v>
      </c>
      <c r="V68" s="3110" t="e">
        <f t="shared" si="29"/>
        <v>#REF!</v>
      </c>
      <c r="W68" s="3143" t="e">
        <f t="shared" si="27"/>
        <v>#REF!</v>
      </c>
      <c r="X68" s="3145">
        <f t="shared" si="28"/>
        <v>0</v>
      </c>
    </row>
    <row r="69" spans="1:24" s="3147" customFormat="1" hidden="1">
      <c r="A69" s="3140">
        <v>7</v>
      </c>
      <c r="B69" s="3141" t="s">
        <v>1312</v>
      </c>
      <c r="C69" s="3142" t="e">
        <f>#REF!</f>
        <v>#REF!</v>
      </c>
      <c r="D69" s="3142" t="e">
        <f>#REF!</f>
        <v>#REF!</v>
      </c>
      <c r="E69" s="3142" t="e">
        <f>#REF!</f>
        <v>#REF!</v>
      </c>
      <c r="F69" s="3142" t="e">
        <f>#REF!</f>
        <v>#REF!</v>
      </c>
      <c r="G69" s="3142"/>
      <c r="H69" s="3142" t="e">
        <f>#REF!</f>
        <v>#REF!</v>
      </c>
      <c r="V69" s="3110" t="e">
        <f t="shared" si="29"/>
        <v>#REF!</v>
      </c>
      <c r="W69" s="3143" t="e">
        <f t="shared" si="27"/>
        <v>#REF!</v>
      </c>
      <c r="X69" s="3145" t="e">
        <f t="shared" si="28"/>
        <v>#REF!</v>
      </c>
    </row>
    <row r="70" spans="1:24" s="3147" customFormat="1" hidden="1">
      <c r="A70" s="3140">
        <v>8</v>
      </c>
      <c r="B70" s="3141" t="s">
        <v>1313</v>
      </c>
      <c r="C70" s="3142" t="e">
        <f>SUM(C71:C74)</f>
        <v>#REF!</v>
      </c>
      <c r="D70" s="3142" t="e">
        <f>#REF!</f>
        <v>#REF!</v>
      </c>
      <c r="E70" s="3142" t="e">
        <f>#REF!</f>
        <v>#REF!</v>
      </c>
      <c r="F70" s="3142" t="e">
        <f>#REF!</f>
        <v>#REF!</v>
      </c>
      <c r="G70" s="3142"/>
      <c r="H70" s="3142" t="e">
        <f>#REF!</f>
        <v>#REF!</v>
      </c>
      <c r="J70" s="3170"/>
      <c r="V70" s="3110" t="e">
        <f t="shared" si="29"/>
        <v>#REF!</v>
      </c>
      <c r="W70" s="3143" t="e">
        <f t="shared" si="27"/>
        <v>#REF!</v>
      </c>
      <c r="X70" s="3145" t="e">
        <f t="shared" si="28"/>
        <v>#REF!</v>
      </c>
    </row>
    <row r="71" spans="1:24" hidden="1">
      <c r="A71" s="3157" t="s">
        <v>734</v>
      </c>
      <c r="B71" s="3149" t="s">
        <v>61</v>
      </c>
      <c r="C71" s="3150" t="e">
        <f>#REF!</f>
        <v>#REF!</v>
      </c>
      <c r="D71" s="3150" t="e">
        <f>#REF!</f>
        <v>#REF!</v>
      </c>
      <c r="E71" s="3150" t="e">
        <f>#REF!</f>
        <v>#REF!</v>
      </c>
      <c r="F71" s="3150" t="e">
        <f>#REF!</f>
        <v>#REF!</v>
      </c>
      <c r="G71" s="3150"/>
      <c r="H71" s="3150" t="e">
        <f>#REF!</f>
        <v>#REF!</v>
      </c>
      <c r="V71" s="3110" t="e">
        <f t="shared" si="29"/>
        <v>#REF!</v>
      </c>
      <c r="W71" s="3143" t="e">
        <f t="shared" si="27"/>
        <v>#REF!</v>
      </c>
      <c r="X71" s="3145" t="e">
        <f t="shared" si="28"/>
        <v>#REF!</v>
      </c>
    </row>
    <row r="72" spans="1:24" hidden="1">
      <c r="A72" s="3157" t="s">
        <v>1314</v>
      </c>
      <c r="B72" s="3149" t="s">
        <v>80</v>
      </c>
      <c r="C72" s="3150" t="e">
        <f>#REF!</f>
        <v>#REF!</v>
      </c>
      <c r="D72" s="3150" t="e">
        <f>#REF!</f>
        <v>#REF!</v>
      </c>
      <c r="E72" s="3150" t="e">
        <f>#REF!</f>
        <v>#REF!</v>
      </c>
      <c r="F72" s="3150" t="e">
        <f>#REF!</f>
        <v>#REF!</v>
      </c>
      <c r="G72" s="3150"/>
      <c r="H72" s="3150" t="e">
        <f>#REF!</f>
        <v>#REF!</v>
      </c>
      <c r="V72" s="3110" t="e">
        <f t="shared" si="29"/>
        <v>#REF!</v>
      </c>
      <c r="W72" s="3143" t="e">
        <f t="shared" si="27"/>
        <v>#REF!</v>
      </c>
      <c r="X72" s="3145" t="e">
        <f t="shared" si="28"/>
        <v>#REF!</v>
      </c>
    </row>
    <row r="73" spans="1:24" hidden="1">
      <c r="A73" s="3157" t="s">
        <v>1315</v>
      </c>
      <c r="B73" s="3149" t="s">
        <v>67</v>
      </c>
      <c r="C73" s="3150" t="e">
        <f>#REF!</f>
        <v>#REF!</v>
      </c>
      <c r="D73" s="3150" t="e">
        <f>#REF!</f>
        <v>#REF!</v>
      </c>
      <c r="E73" s="3150" t="e">
        <f>#REF!</f>
        <v>#REF!</v>
      </c>
      <c r="F73" s="3150" t="e">
        <f>#REF!</f>
        <v>#REF!</v>
      </c>
      <c r="G73" s="3150"/>
      <c r="H73" s="3150" t="e">
        <f>#REF!</f>
        <v>#REF!</v>
      </c>
      <c r="V73" s="3110" t="e">
        <f t="shared" si="29"/>
        <v>#REF!</v>
      </c>
      <c r="W73" s="3143" t="e">
        <f t="shared" si="27"/>
        <v>#REF!</v>
      </c>
      <c r="X73" s="3145" t="e">
        <f t="shared" si="28"/>
        <v>#REF!</v>
      </c>
    </row>
    <row r="74" spans="1:24" hidden="1">
      <c r="A74" s="3157" t="s">
        <v>1316</v>
      </c>
      <c r="B74" s="3149" t="s">
        <v>1222</v>
      </c>
      <c r="C74" s="3150" t="e">
        <f>#REF!</f>
        <v>#REF!</v>
      </c>
      <c r="D74" s="3150" t="e">
        <f>#REF!</f>
        <v>#REF!</v>
      </c>
      <c r="E74" s="3150" t="e">
        <f>#REF!</f>
        <v>#REF!</v>
      </c>
      <c r="F74" s="3150" t="e">
        <f>#REF!</f>
        <v>#REF!</v>
      </c>
      <c r="G74" s="3150"/>
      <c r="H74" s="3150" t="e">
        <f>#REF!</f>
        <v>#REF!</v>
      </c>
      <c r="V74" s="3110" t="e">
        <f t="shared" si="29"/>
        <v>#REF!</v>
      </c>
      <c r="W74" s="3143" t="e">
        <f t="shared" si="27"/>
        <v>#REF!</v>
      </c>
      <c r="X74" s="3145" t="e">
        <f t="shared" si="28"/>
        <v>#REF!</v>
      </c>
    </row>
    <row r="75" spans="1:24" s="3147" customFormat="1" ht="28.2" hidden="1" thickBot="1">
      <c r="A75" s="3160" t="s">
        <v>907</v>
      </c>
      <c r="B75" s="3171" t="s">
        <v>1424</v>
      </c>
      <c r="C75" s="3162" t="e">
        <f>#REF!/1000</f>
        <v>#REF!</v>
      </c>
      <c r="D75" s="3172" t="e">
        <f>#REF!/1000</f>
        <v>#REF!</v>
      </c>
      <c r="E75" s="3172" t="e">
        <f>#REF!</f>
        <v>#REF!</v>
      </c>
      <c r="F75" s="3172" t="e">
        <f>#REF!/1000</f>
        <v>#REF!</v>
      </c>
      <c r="G75" s="3172"/>
      <c r="H75" s="3172" t="e">
        <f>#REF!/1000</f>
        <v>#REF!</v>
      </c>
      <c r="V75" s="3110" t="e">
        <f t="shared" si="29"/>
        <v>#REF!</v>
      </c>
      <c r="W75" s="3143"/>
      <c r="X75" s="3145" t="e">
        <f>C75-D75-E75-F75-H75</f>
        <v>#REF!</v>
      </c>
    </row>
    <row r="76" spans="1:24" ht="22.2" customHeight="1" thickBot="1">
      <c r="A76" s="3131" t="s">
        <v>1278</v>
      </c>
      <c r="B76" s="3173" t="s">
        <v>1536</v>
      </c>
      <c r="C76" s="3133">
        <f>'Д 4_Т на П'!G41</f>
        <v>174.23592410216412</v>
      </c>
      <c r="D76" s="3165">
        <f>'Д 4_Т на П'!H42</f>
        <v>20.412420593154408</v>
      </c>
      <c r="E76" s="3165">
        <f>'Д 4_Т на П'!I42</f>
        <v>20.412420593154408</v>
      </c>
      <c r="F76" s="3165">
        <f>'Д 4_Т на П'!J42</f>
        <v>20.412420593154405</v>
      </c>
      <c r="G76" s="3165">
        <f>'Д 4_Т на П'!K42</f>
        <v>20.412420593154408</v>
      </c>
      <c r="H76" s="3165">
        <f>'Д 4_Т на П'!L42</f>
        <v>20.412420593154408</v>
      </c>
      <c r="I76" s="3165">
        <f>'Д 4_Т на П'!M42</f>
        <v>0</v>
      </c>
      <c r="J76" s="3165">
        <f>'Д 4_Т на П'!N42</f>
        <v>0</v>
      </c>
      <c r="K76" s="3165">
        <f>'Д 4_Т на П'!O42</f>
        <v>0</v>
      </c>
      <c r="L76" s="3165">
        <f>'Д 4_Т на П'!P42</f>
        <v>0</v>
      </c>
      <c r="M76" s="3165">
        <f>'Д 4_Т на П'!Q42</f>
        <v>0</v>
      </c>
      <c r="N76" s="3165">
        <f>'Д 4_Т на П'!R42</f>
        <v>0</v>
      </c>
      <c r="O76" s="3165">
        <f>'Д 4_Т на П'!S42</f>
        <v>0</v>
      </c>
      <c r="P76" s="3165">
        <f>'Д 4_Т на П'!T42</f>
        <v>0</v>
      </c>
      <c r="Q76" s="3165">
        <f>'Д 4_Т на П'!U42</f>
        <v>0</v>
      </c>
      <c r="R76" s="3165">
        <f>'Д 4_Т на П'!V42</f>
        <v>0</v>
      </c>
      <c r="S76" s="3165">
        <f>'Д 4_Т на П'!W42</f>
        <v>0</v>
      </c>
      <c r="V76" s="3110">
        <f>C76/C$104</f>
        <v>20.412420593154408</v>
      </c>
      <c r="W76" s="3143">
        <f t="shared" ref="W76:W103" si="30">D76-V76</f>
        <v>0</v>
      </c>
      <c r="X76" s="3145">
        <f t="shared" ref="X76:X103" si="31">D76+E76-F76-H76</f>
        <v>0</v>
      </c>
    </row>
    <row r="77" spans="1:24" ht="18.75" customHeight="1" thickBot="1">
      <c r="A77" s="3136"/>
      <c r="B77" s="3137" t="s">
        <v>1340</v>
      </c>
      <c r="C77" s="3138"/>
      <c r="D77" s="3138"/>
      <c r="E77" s="3138"/>
      <c r="F77" s="3138"/>
      <c r="G77" s="3138"/>
      <c r="H77" s="3139"/>
      <c r="I77" s="3110"/>
      <c r="V77" s="3110">
        <f t="shared" ref="V77:V103" si="32">C77/C$104</f>
        <v>0</v>
      </c>
      <c r="W77" s="3143">
        <f t="shared" si="30"/>
        <v>0</v>
      </c>
      <c r="X77" s="3145">
        <f t="shared" si="31"/>
        <v>0</v>
      </c>
    </row>
    <row r="78" spans="1:24" s="3147" customFormat="1">
      <c r="A78" s="3140" t="s">
        <v>804</v>
      </c>
      <c r="B78" s="3174" t="s">
        <v>1279</v>
      </c>
      <c r="C78" s="3175">
        <f>'Д 4_Т на П'!G12</f>
        <v>152.71347162429942</v>
      </c>
      <c r="D78" s="3176">
        <f>D79+D80+D81+D85</f>
        <v>17.890981031030858</v>
      </c>
      <c r="E78" s="3177">
        <f>E79+E80+E81+E85</f>
        <v>17.890981031030858</v>
      </c>
      <c r="F78" s="3178">
        <f>F79+F80+F81+F85</f>
        <v>17.890981031030858</v>
      </c>
      <c r="G78" s="3176">
        <f>G79+G80+G81+G85</f>
        <v>17.890981031030858</v>
      </c>
      <c r="H78" s="3179">
        <f>H79+H80+H81+H85</f>
        <v>17.890981031030858</v>
      </c>
      <c r="I78" s="3143">
        <f t="shared" ref="I78:I103" si="33">J78+O78-C78</f>
        <v>-152.71347162429942</v>
      </c>
      <c r="J78" s="3180">
        <f t="shared" ref="J78:S78" si="34">J79+J80+J81+J85</f>
        <v>0</v>
      </c>
      <c r="K78" s="3180">
        <f t="shared" si="34"/>
        <v>0</v>
      </c>
      <c r="L78" s="3180">
        <f t="shared" si="34"/>
        <v>0</v>
      </c>
      <c r="M78" s="3180">
        <f t="shared" si="34"/>
        <v>0</v>
      </c>
      <c r="N78" s="3180">
        <f t="shared" si="34"/>
        <v>0</v>
      </c>
      <c r="O78" s="3180">
        <f t="shared" si="34"/>
        <v>0</v>
      </c>
      <c r="P78" s="3180">
        <f t="shared" si="34"/>
        <v>0</v>
      </c>
      <c r="Q78" s="3180">
        <f t="shared" si="34"/>
        <v>0</v>
      </c>
      <c r="R78" s="3180">
        <f t="shared" si="34"/>
        <v>0</v>
      </c>
      <c r="S78" s="3180">
        <f t="shared" si="34"/>
        <v>0</v>
      </c>
      <c r="V78" s="3110">
        <f t="shared" si="32"/>
        <v>17.890981031030861</v>
      </c>
      <c r="W78" s="3143">
        <f t="shared" si="30"/>
        <v>0</v>
      </c>
      <c r="X78" s="3145">
        <f t="shared" si="31"/>
        <v>0</v>
      </c>
    </row>
    <row r="79" spans="1:24">
      <c r="A79" s="3148" t="s">
        <v>806</v>
      </c>
      <c r="B79" s="3181" t="s">
        <v>1332</v>
      </c>
      <c r="C79" s="3182">
        <f>'Д 4_Т на П'!G13</f>
        <v>0</v>
      </c>
      <c r="D79" s="3150">
        <f t="shared" ref="D79:D84" si="35">C79/$C$104</f>
        <v>0</v>
      </c>
      <c r="E79" s="3183">
        <f t="shared" ref="E79:E84" si="36">C79/$C$104</f>
        <v>0</v>
      </c>
      <c r="F79" s="3182">
        <f>$C79/$C$104</f>
        <v>0</v>
      </c>
      <c r="G79" s="3150">
        <f>$C79/$C$104</f>
        <v>0</v>
      </c>
      <c r="H79" s="3184">
        <f t="shared" ref="H79:H84" si="37">C79/$C$104</f>
        <v>0</v>
      </c>
      <c r="I79" s="3143">
        <f t="shared" si="33"/>
        <v>0</v>
      </c>
      <c r="J79" s="3152">
        <f>SUM(K79:N79)</f>
        <v>0</v>
      </c>
      <c r="K79" s="3153">
        <f t="shared" ref="K79:K103" si="38">K$76*D79</f>
        <v>0</v>
      </c>
      <c r="L79" s="3153">
        <f t="shared" ref="L79:L103" si="39">L$76*E79</f>
        <v>0</v>
      </c>
      <c r="M79" s="3153">
        <f t="shared" ref="M79:M103" si="40">M$76*F79</f>
        <v>0</v>
      </c>
      <c r="N79" s="3153">
        <f t="shared" ref="N79:N94" si="41">N$76*H79</f>
        <v>0</v>
      </c>
      <c r="O79" s="3152">
        <f>SUM(P79:S79)</f>
        <v>0</v>
      </c>
      <c r="P79" s="3153">
        <f t="shared" ref="P79:P103" si="42">P$76*D79</f>
        <v>0</v>
      </c>
      <c r="Q79" s="3153">
        <f t="shared" ref="Q79:Q103" si="43">Q$76*E79</f>
        <v>0</v>
      </c>
      <c r="R79" s="3153">
        <f t="shared" ref="R79:R103" si="44">R$76*F79</f>
        <v>0</v>
      </c>
      <c r="S79" s="3153">
        <f t="shared" ref="S79:S94" si="45">S$76*H79</f>
        <v>0</v>
      </c>
      <c r="V79" s="3110">
        <f t="shared" si="32"/>
        <v>0</v>
      </c>
      <c r="W79" s="3143">
        <f t="shared" si="30"/>
        <v>0</v>
      </c>
      <c r="X79" s="3145">
        <f t="shared" si="31"/>
        <v>0</v>
      </c>
    </row>
    <row r="80" spans="1:24">
      <c r="A80" s="3148" t="s">
        <v>808</v>
      </c>
      <c r="B80" s="3181" t="s">
        <v>1288</v>
      </c>
      <c r="C80" s="3182">
        <f>'Д 4_Т на П'!G14</f>
        <v>144.13114754098359</v>
      </c>
      <c r="D80" s="3150">
        <f t="shared" si="35"/>
        <v>16.885528167288019</v>
      </c>
      <c r="E80" s="3183">
        <f t="shared" si="36"/>
        <v>16.885528167288019</v>
      </c>
      <c r="F80" s="3182">
        <f t="shared" ref="F80:F84" si="46">C80/$C$104</f>
        <v>16.885528167288019</v>
      </c>
      <c r="G80" s="3150">
        <f t="shared" ref="G80:G103" si="47">$C80/$C$104</f>
        <v>16.885528167288019</v>
      </c>
      <c r="H80" s="3184">
        <f t="shared" si="37"/>
        <v>16.885528167288019</v>
      </c>
      <c r="I80" s="3143">
        <f t="shared" si="33"/>
        <v>-144.13114754098359</v>
      </c>
      <c r="J80" s="3152">
        <f>SUM(K80:N80)</f>
        <v>0</v>
      </c>
      <c r="K80" s="3153">
        <f t="shared" si="38"/>
        <v>0</v>
      </c>
      <c r="L80" s="3153">
        <f t="shared" si="39"/>
        <v>0</v>
      </c>
      <c r="M80" s="3153">
        <f t="shared" si="40"/>
        <v>0</v>
      </c>
      <c r="N80" s="3153">
        <f t="shared" si="41"/>
        <v>0</v>
      </c>
      <c r="O80" s="3152">
        <f>SUM(P80:S80)</f>
        <v>0</v>
      </c>
      <c r="P80" s="3153">
        <f t="shared" si="42"/>
        <v>0</v>
      </c>
      <c r="Q80" s="3153">
        <f t="shared" si="43"/>
        <v>0</v>
      </c>
      <c r="R80" s="3153">
        <f t="shared" si="44"/>
        <v>0</v>
      </c>
      <c r="S80" s="3153">
        <f t="shared" si="45"/>
        <v>0</v>
      </c>
      <c r="V80" s="3110">
        <f t="shared" si="32"/>
        <v>16.885528167288019</v>
      </c>
      <c r="W80" s="3143">
        <f t="shared" si="30"/>
        <v>0</v>
      </c>
      <c r="X80" s="3145">
        <f t="shared" si="31"/>
        <v>0</v>
      </c>
    </row>
    <row r="81" spans="1:24">
      <c r="A81" s="3148" t="s">
        <v>810</v>
      </c>
      <c r="B81" s="3181" t="s">
        <v>1289</v>
      </c>
      <c r="C81" s="3182">
        <f>'Д 4_Т на П'!G15</f>
        <v>6.9759475409836069</v>
      </c>
      <c r="D81" s="3150">
        <f t="shared" si="35"/>
        <v>0.81725956329674032</v>
      </c>
      <c r="E81" s="3183">
        <f t="shared" si="36"/>
        <v>0.81725956329674032</v>
      </c>
      <c r="F81" s="3182">
        <f t="shared" si="46"/>
        <v>0.81725956329674032</v>
      </c>
      <c r="G81" s="3150">
        <f t="shared" si="47"/>
        <v>0.81725956329674032</v>
      </c>
      <c r="H81" s="3184">
        <f t="shared" si="37"/>
        <v>0.81725956329674032</v>
      </c>
      <c r="I81" s="3143">
        <f t="shared" si="33"/>
        <v>-6.9759475409836069</v>
      </c>
      <c r="J81" s="3152">
        <f t="shared" ref="J81:J103" si="48">SUM(K81:N81)</f>
        <v>0</v>
      </c>
      <c r="K81" s="3153">
        <f t="shared" si="38"/>
        <v>0</v>
      </c>
      <c r="L81" s="3153">
        <f t="shared" si="39"/>
        <v>0</v>
      </c>
      <c r="M81" s="3153">
        <f t="shared" si="40"/>
        <v>0</v>
      </c>
      <c r="N81" s="3153">
        <f t="shared" si="41"/>
        <v>0</v>
      </c>
      <c r="O81" s="3152">
        <f t="shared" ref="O81:O103" si="49">SUM(P81:S81)</f>
        <v>0</v>
      </c>
      <c r="P81" s="3153">
        <f t="shared" si="42"/>
        <v>0</v>
      </c>
      <c r="Q81" s="3153">
        <f t="shared" si="43"/>
        <v>0</v>
      </c>
      <c r="R81" s="3153">
        <f t="shared" si="44"/>
        <v>0</v>
      </c>
      <c r="S81" s="3153">
        <f t="shared" si="45"/>
        <v>0</v>
      </c>
      <c r="V81" s="3110">
        <f t="shared" si="32"/>
        <v>0.81725956329674032</v>
      </c>
      <c r="W81" s="3143">
        <f t="shared" si="30"/>
        <v>0</v>
      </c>
      <c r="X81" s="3145">
        <f t="shared" si="31"/>
        <v>0</v>
      </c>
    </row>
    <row r="82" spans="1:24">
      <c r="A82" s="3148" t="s">
        <v>1290</v>
      </c>
      <c r="B82" s="3181" t="s">
        <v>1291</v>
      </c>
      <c r="C82" s="3182">
        <f>'Д 4_Т на П'!G16</f>
        <v>6.9759475409836069</v>
      </c>
      <c r="D82" s="3150">
        <f t="shared" si="35"/>
        <v>0.81725956329674032</v>
      </c>
      <c r="E82" s="3183">
        <f t="shared" si="36"/>
        <v>0.81725956329674032</v>
      </c>
      <c r="F82" s="3182">
        <f t="shared" si="46"/>
        <v>0.81725956329674032</v>
      </c>
      <c r="G82" s="3150">
        <f t="shared" si="47"/>
        <v>0.81725956329674032</v>
      </c>
      <c r="H82" s="3184">
        <f t="shared" si="37"/>
        <v>0.81725956329674032</v>
      </c>
      <c r="I82" s="3143">
        <f t="shared" si="33"/>
        <v>-6.9759475409836069</v>
      </c>
      <c r="J82" s="3152">
        <f t="shared" si="48"/>
        <v>0</v>
      </c>
      <c r="K82" s="3153">
        <f t="shared" si="38"/>
        <v>0</v>
      </c>
      <c r="L82" s="3153">
        <f t="shared" si="39"/>
        <v>0</v>
      </c>
      <c r="M82" s="3153">
        <f t="shared" si="40"/>
        <v>0</v>
      </c>
      <c r="N82" s="3153">
        <f t="shared" si="41"/>
        <v>0</v>
      </c>
      <c r="O82" s="3152">
        <f t="shared" si="49"/>
        <v>0</v>
      </c>
      <c r="P82" s="3153">
        <f t="shared" si="42"/>
        <v>0</v>
      </c>
      <c r="Q82" s="3153">
        <f t="shared" si="43"/>
        <v>0</v>
      </c>
      <c r="R82" s="3153">
        <f t="shared" si="44"/>
        <v>0</v>
      </c>
      <c r="S82" s="3153">
        <f t="shared" si="45"/>
        <v>0</v>
      </c>
      <c r="V82" s="3110">
        <f t="shared" si="32"/>
        <v>0.81725956329674032</v>
      </c>
      <c r="W82" s="3143">
        <f t="shared" si="30"/>
        <v>0</v>
      </c>
      <c r="X82" s="3145">
        <f t="shared" si="31"/>
        <v>0</v>
      </c>
    </row>
    <row r="83" spans="1:24">
      <c r="A83" s="3148" t="s">
        <v>1292</v>
      </c>
      <c r="B83" s="3181" t="s">
        <v>1293</v>
      </c>
      <c r="C83" s="3182">
        <f>'Д 4_Т на П'!G17</f>
        <v>0</v>
      </c>
      <c r="D83" s="3150">
        <f t="shared" si="35"/>
        <v>0</v>
      </c>
      <c r="E83" s="3183">
        <f t="shared" si="36"/>
        <v>0</v>
      </c>
      <c r="F83" s="3182">
        <f t="shared" si="46"/>
        <v>0</v>
      </c>
      <c r="G83" s="3150">
        <f t="shared" si="47"/>
        <v>0</v>
      </c>
      <c r="H83" s="3184">
        <f t="shared" si="37"/>
        <v>0</v>
      </c>
      <c r="I83" s="3143">
        <f t="shared" si="33"/>
        <v>0</v>
      </c>
      <c r="J83" s="3152">
        <f t="shared" si="48"/>
        <v>0</v>
      </c>
      <c r="K83" s="3153">
        <f t="shared" si="38"/>
        <v>0</v>
      </c>
      <c r="L83" s="3153">
        <f t="shared" si="39"/>
        <v>0</v>
      </c>
      <c r="M83" s="3153">
        <f t="shared" si="40"/>
        <v>0</v>
      </c>
      <c r="N83" s="3153">
        <f t="shared" si="41"/>
        <v>0</v>
      </c>
      <c r="O83" s="3152">
        <f t="shared" si="49"/>
        <v>0</v>
      </c>
      <c r="P83" s="3153">
        <f t="shared" si="42"/>
        <v>0</v>
      </c>
      <c r="Q83" s="3153">
        <f t="shared" si="43"/>
        <v>0</v>
      </c>
      <c r="R83" s="3153">
        <f t="shared" si="44"/>
        <v>0</v>
      </c>
      <c r="S83" s="3153">
        <f t="shared" si="45"/>
        <v>0</v>
      </c>
      <c r="V83" s="3110">
        <f t="shared" si="32"/>
        <v>0</v>
      </c>
      <c r="W83" s="3143">
        <f t="shared" si="30"/>
        <v>0</v>
      </c>
      <c r="X83" s="3145">
        <f t="shared" si="31"/>
        <v>0</v>
      </c>
    </row>
    <row r="84" spans="1:24">
      <c r="A84" s="3148" t="s">
        <v>1294</v>
      </c>
      <c r="B84" s="3181" t="s">
        <v>77</v>
      </c>
      <c r="C84" s="3182">
        <f>'Д 4_Т на П'!G18</f>
        <v>0</v>
      </c>
      <c r="D84" s="3150">
        <f t="shared" si="35"/>
        <v>0</v>
      </c>
      <c r="E84" s="3183">
        <f t="shared" si="36"/>
        <v>0</v>
      </c>
      <c r="F84" s="3182">
        <f t="shared" si="46"/>
        <v>0</v>
      </c>
      <c r="G84" s="3150">
        <f t="shared" si="47"/>
        <v>0</v>
      </c>
      <c r="H84" s="3184">
        <f t="shared" si="37"/>
        <v>0</v>
      </c>
      <c r="I84" s="3143">
        <f t="shared" si="33"/>
        <v>0</v>
      </c>
      <c r="J84" s="3152">
        <f t="shared" si="48"/>
        <v>0</v>
      </c>
      <c r="K84" s="3153">
        <f t="shared" si="38"/>
        <v>0</v>
      </c>
      <c r="L84" s="3153">
        <f t="shared" si="39"/>
        <v>0</v>
      </c>
      <c r="M84" s="3153">
        <f t="shared" si="40"/>
        <v>0</v>
      </c>
      <c r="N84" s="3153">
        <f t="shared" si="41"/>
        <v>0</v>
      </c>
      <c r="O84" s="3152">
        <f t="shared" si="49"/>
        <v>0</v>
      </c>
      <c r="P84" s="3153">
        <f t="shared" si="42"/>
        <v>0</v>
      </c>
      <c r="Q84" s="3153">
        <f t="shared" si="43"/>
        <v>0</v>
      </c>
      <c r="R84" s="3153">
        <f t="shared" si="44"/>
        <v>0</v>
      </c>
      <c r="S84" s="3153">
        <f t="shared" si="45"/>
        <v>0</v>
      </c>
      <c r="V84" s="3110">
        <f t="shared" si="32"/>
        <v>0</v>
      </c>
      <c r="W84" s="3143">
        <f t="shared" si="30"/>
        <v>0</v>
      </c>
      <c r="X84" s="3145">
        <f t="shared" si="31"/>
        <v>0</v>
      </c>
    </row>
    <row r="85" spans="1:24" s="3147" customFormat="1">
      <c r="A85" s="3155" t="s">
        <v>812</v>
      </c>
      <c r="B85" s="3174" t="s">
        <v>1295</v>
      </c>
      <c r="C85" s="3175">
        <f>C86+C87+C88+C89</f>
        <v>1.6063765423322054</v>
      </c>
      <c r="D85" s="3156">
        <f>D86+D87+D88+D89</f>
        <v>0.18819330044609792</v>
      </c>
      <c r="E85" s="3177">
        <f>E86+E87+E88+E89</f>
        <v>0.18819330044609792</v>
      </c>
      <c r="F85" s="3185">
        <f>F86+F87+F88+F89</f>
        <v>0.18819330044609792</v>
      </c>
      <c r="G85" s="3142">
        <f t="shared" si="47"/>
        <v>0.18819330044609792</v>
      </c>
      <c r="H85" s="3179">
        <f>H86+H87+H88+H89</f>
        <v>0.18819330044609792</v>
      </c>
      <c r="I85" s="3143">
        <f t="shared" si="33"/>
        <v>-1.6063765423322054</v>
      </c>
      <c r="J85" s="3152">
        <f t="shared" si="48"/>
        <v>0</v>
      </c>
      <c r="K85" s="3153">
        <f t="shared" si="38"/>
        <v>0</v>
      </c>
      <c r="L85" s="3153">
        <f t="shared" si="39"/>
        <v>0</v>
      </c>
      <c r="M85" s="3153">
        <f t="shared" si="40"/>
        <v>0</v>
      </c>
      <c r="N85" s="3153">
        <f t="shared" si="41"/>
        <v>0</v>
      </c>
      <c r="O85" s="3152">
        <f t="shared" si="49"/>
        <v>0</v>
      </c>
      <c r="P85" s="3153">
        <f t="shared" si="42"/>
        <v>0</v>
      </c>
      <c r="Q85" s="3153">
        <f t="shared" si="43"/>
        <v>0</v>
      </c>
      <c r="R85" s="3153">
        <f t="shared" si="44"/>
        <v>0</v>
      </c>
      <c r="S85" s="3153">
        <f t="shared" si="45"/>
        <v>0</v>
      </c>
      <c r="V85" s="3110">
        <f t="shared" si="32"/>
        <v>0.18819330044609792</v>
      </c>
      <c r="W85" s="3143">
        <f t="shared" si="30"/>
        <v>0</v>
      </c>
      <c r="X85" s="3145">
        <f t="shared" si="31"/>
        <v>0</v>
      </c>
    </row>
    <row r="86" spans="1:24">
      <c r="A86" s="3157" t="s">
        <v>1296</v>
      </c>
      <c r="B86" s="3181" t="s">
        <v>1297</v>
      </c>
      <c r="C86" s="3182">
        <f>'Д 4_Т на П'!G20</f>
        <v>1.5222946100506025</v>
      </c>
      <c r="D86" s="3150">
        <f>C86/$C$104</f>
        <v>0.17834277292221692</v>
      </c>
      <c r="E86" s="3183">
        <f>C86/$C$104</f>
        <v>0.17834277292221692</v>
      </c>
      <c r="F86" s="3182">
        <f>C86/$C$104</f>
        <v>0.17834277292221692</v>
      </c>
      <c r="G86" s="3150">
        <f t="shared" si="47"/>
        <v>0.17834277292221692</v>
      </c>
      <c r="H86" s="3184">
        <f>C86/$C$104</f>
        <v>0.17834277292221692</v>
      </c>
      <c r="I86" s="3143">
        <f t="shared" si="33"/>
        <v>-1.5222946100506025</v>
      </c>
      <c r="J86" s="3152">
        <f t="shared" si="48"/>
        <v>0</v>
      </c>
      <c r="K86" s="3153">
        <f t="shared" si="38"/>
        <v>0</v>
      </c>
      <c r="L86" s="3153">
        <f t="shared" si="39"/>
        <v>0</v>
      </c>
      <c r="M86" s="3153">
        <f t="shared" si="40"/>
        <v>0</v>
      </c>
      <c r="N86" s="3153">
        <f t="shared" si="41"/>
        <v>0</v>
      </c>
      <c r="O86" s="3152">
        <f t="shared" si="49"/>
        <v>0</v>
      </c>
      <c r="P86" s="3153">
        <f t="shared" si="42"/>
        <v>0</v>
      </c>
      <c r="Q86" s="3153">
        <f t="shared" si="43"/>
        <v>0</v>
      </c>
      <c r="R86" s="3153">
        <f t="shared" si="44"/>
        <v>0</v>
      </c>
      <c r="S86" s="3153">
        <f t="shared" si="45"/>
        <v>0</v>
      </c>
      <c r="V86" s="3110">
        <f t="shared" si="32"/>
        <v>0.17834277292221692</v>
      </c>
      <c r="W86" s="3143">
        <f t="shared" si="30"/>
        <v>0</v>
      </c>
      <c r="X86" s="3145">
        <f t="shared" si="31"/>
        <v>0</v>
      </c>
    </row>
    <row r="87" spans="1:24">
      <c r="A87" s="3157" t="s">
        <v>1298</v>
      </c>
      <c r="B87" s="3181" t="s">
        <v>1172</v>
      </c>
      <c r="C87" s="3182">
        <f>'Д 4_Т на П'!G21</f>
        <v>7.3679059126449162E-2</v>
      </c>
      <c r="D87" s="3150">
        <f>C87/$C$104</f>
        <v>8.6317902094352993E-3</v>
      </c>
      <c r="E87" s="3183">
        <f>C87/$C$104</f>
        <v>8.6317902094352993E-3</v>
      </c>
      <c r="F87" s="3182">
        <f>C87/$C$104</f>
        <v>8.6317902094352993E-3</v>
      </c>
      <c r="G87" s="3150">
        <f t="shared" si="47"/>
        <v>8.6317902094352993E-3</v>
      </c>
      <c r="H87" s="3184">
        <f>C87/$C$104</f>
        <v>8.6317902094352993E-3</v>
      </c>
      <c r="I87" s="3143">
        <f t="shared" si="33"/>
        <v>-7.3679059126449162E-2</v>
      </c>
      <c r="J87" s="3152">
        <f t="shared" si="48"/>
        <v>0</v>
      </c>
      <c r="K87" s="3153">
        <f t="shared" si="38"/>
        <v>0</v>
      </c>
      <c r="L87" s="3153">
        <f t="shared" si="39"/>
        <v>0</v>
      </c>
      <c r="M87" s="3153">
        <f t="shared" si="40"/>
        <v>0</v>
      </c>
      <c r="N87" s="3153">
        <f t="shared" si="41"/>
        <v>0</v>
      </c>
      <c r="O87" s="3152">
        <f t="shared" si="49"/>
        <v>0</v>
      </c>
      <c r="P87" s="3153">
        <f t="shared" si="42"/>
        <v>0</v>
      </c>
      <c r="Q87" s="3153">
        <f t="shared" si="43"/>
        <v>0</v>
      </c>
      <c r="R87" s="3153">
        <f t="shared" si="44"/>
        <v>0</v>
      </c>
      <c r="S87" s="3153">
        <f t="shared" si="45"/>
        <v>0</v>
      </c>
      <c r="V87" s="3110">
        <f t="shared" si="32"/>
        <v>8.6317902094352993E-3</v>
      </c>
      <c r="W87" s="3143">
        <f t="shared" si="30"/>
        <v>0</v>
      </c>
      <c r="X87" s="3145">
        <f t="shared" si="31"/>
        <v>0</v>
      </c>
    </row>
    <row r="88" spans="1:24">
      <c r="A88" s="3157" t="s">
        <v>1299</v>
      </c>
      <c r="B88" s="3181" t="s">
        <v>1293</v>
      </c>
      <c r="C88" s="3182">
        <f>Амортизація!G20*'БАЗИ РОЗПОДІЛУ'!G15/1000</f>
        <v>7.8942494377579608E-3</v>
      </c>
      <c r="D88" s="3150">
        <f>C88/$C$104</f>
        <v>9.2484222539722936E-4</v>
      </c>
      <c r="E88" s="3183">
        <f>C88/$C$104</f>
        <v>9.2484222539722936E-4</v>
      </c>
      <c r="F88" s="3182">
        <f>C88/$C$104</f>
        <v>9.2484222539722936E-4</v>
      </c>
      <c r="G88" s="3150">
        <f t="shared" si="47"/>
        <v>9.2484222539722936E-4</v>
      </c>
      <c r="H88" s="3184">
        <f>C88/$C$104</f>
        <v>9.2484222539722936E-4</v>
      </c>
      <c r="I88" s="3143">
        <f t="shared" si="33"/>
        <v>-7.8942494377579608E-3</v>
      </c>
      <c r="J88" s="3152">
        <f t="shared" si="48"/>
        <v>0</v>
      </c>
      <c r="K88" s="3153">
        <f t="shared" si="38"/>
        <v>0</v>
      </c>
      <c r="L88" s="3153">
        <f t="shared" si="39"/>
        <v>0</v>
      </c>
      <c r="M88" s="3153">
        <f t="shared" si="40"/>
        <v>0</v>
      </c>
      <c r="N88" s="3153">
        <f t="shared" si="41"/>
        <v>0</v>
      </c>
      <c r="O88" s="3152">
        <f t="shared" si="49"/>
        <v>0</v>
      </c>
      <c r="P88" s="3153">
        <f t="shared" si="42"/>
        <v>0</v>
      </c>
      <c r="Q88" s="3153">
        <f t="shared" si="43"/>
        <v>0</v>
      </c>
      <c r="R88" s="3153">
        <f t="shared" si="44"/>
        <v>0</v>
      </c>
      <c r="S88" s="3153">
        <f t="shared" si="45"/>
        <v>0</v>
      </c>
      <c r="V88" s="3110">
        <f t="shared" si="32"/>
        <v>9.2484222539722936E-4</v>
      </c>
      <c r="W88" s="3143">
        <f t="shared" si="30"/>
        <v>0</v>
      </c>
      <c r="X88" s="3145">
        <f t="shared" si="31"/>
        <v>0</v>
      </c>
    </row>
    <row r="89" spans="1:24">
      <c r="A89" s="3157" t="s">
        <v>1300</v>
      </c>
      <c r="B89" s="3181" t="s">
        <v>54</v>
      </c>
      <c r="C89" s="3182">
        <f>'Д 4_Т на П'!G22-'D1_2023-2024'!C88</f>
        <v>2.508623717395797E-3</v>
      </c>
      <c r="D89" s="3150">
        <f>C89/$C$104</f>
        <v>2.9389508904845596E-4</v>
      </c>
      <c r="E89" s="3183">
        <f>C89/$C$104</f>
        <v>2.9389508904845596E-4</v>
      </c>
      <c r="F89" s="3182">
        <f>C89/$C$104</f>
        <v>2.9389508904845596E-4</v>
      </c>
      <c r="G89" s="3150">
        <f t="shared" si="47"/>
        <v>2.9389508904845596E-4</v>
      </c>
      <c r="H89" s="3184">
        <f>C89/$C$104</f>
        <v>2.9389508904845596E-4</v>
      </c>
      <c r="I89" s="3143">
        <f t="shared" si="33"/>
        <v>-2.508623717395797E-3</v>
      </c>
      <c r="J89" s="3152">
        <f t="shared" si="48"/>
        <v>0</v>
      </c>
      <c r="K89" s="3153">
        <f t="shared" si="38"/>
        <v>0</v>
      </c>
      <c r="L89" s="3153">
        <f t="shared" si="39"/>
        <v>0</v>
      </c>
      <c r="M89" s="3153">
        <f t="shared" si="40"/>
        <v>0</v>
      </c>
      <c r="N89" s="3153">
        <f t="shared" si="41"/>
        <v>0</v>
      </c>
      <c r="O89" s="3152">
        <f t="shared" si="49"/>
        <v>0</v>
      </c>
      <c r="P89" s="3153">
        <f t="shared" si="42"/>
        <v>0</v>
      </c>
      <c r="Q89" s="3153">
        <f t="shared" si="43"/>
        <v>0</v>
      </c>
      <c r="R89" s="3153">
        <f t="shared" si="44"/>
        <v>0</v>
      </c>
      <c r="S89" s="3153">
        <f t="shared" si="45"/>
        <v>0</v>
      </c>
      <c r="V89" s="3110">
        <f t="shared" si="32"/>
        <v>2.9389508904845596E-4</v>
      </c>
      <c r="W89" s="3143">
        <f t="shared" si="30"/>
        <v>0</v>
      </c>
      <c r="X89" s="3145">
        <f t="shared" si="31"/>
        <v>0</v>
      </c>
    </row>
    <row r="90" spans="1:24" s="3147" customFormat="1">
      <c r="A90" s="3140" t="s">
        <v>821</v>
      </c>
      <c r="B90" s="3174" t="s">
        <v>1301</v>
      </c>
      <c r="C90" s="3175">
        <f>C91+C92+C93+C94</f>
        <v>13.611857553552259</v>
      </c>
      <c r="D90" s="3156">
        <f>D91+D92+D93+D94</f>
        <v>1.5946823989884842</v>
      </c>
      <c r="E90" s="3177">
        <f>E91+E92+E93+E94</f>
        <v>1.5946823989884842</v>
      </c>
      <c r="F90" s="3185">
        <f>F91+F92+F93+F94</f>
        <v>1.5946823989884842</v>
      </c>
      <c r="G90" s="3142">
        <f t="shared" si="47"/>
        <v>1.5946823989884842</v>
      </c>
      <c r="H90" s="3179">
        <f>H91+H92+H93+H94</f>
        <v>1.5946823989884842</v>
      </c>
      <c r="I90" s="3143">
        <f t="shared" si="33"/>
        <v>-13.611857553552259</v>
      </c>
      <c r="J90" s="3152">
        <f t="shared" si="48"/>
        <v>0</v>
      </c>
      <c r="K90" s="3153">
        <f t="shared" si="38"/>
        <v>0</v>
      </c>
      <c r="L90" s="3153">
        <f t="shared" si="39"/>
        <v>0</v>
      </c>
      <c r="M90" s="3153">
        <f t="shared" si="40"/>
        <v>0</v>
      </c>
      <c r="N90" s="3153">
        <f t="shared" si="41"/>
        <v>0</v>
      </c>
      <c r="O90" s="3152">
        <f t="shared" si="49"/>
        <v>0</v>
      </c>
      <c r="P90" s="3153">
        <f t="shared" si="42"/>
        <v>0</v>
      </c>
      <c r="Q90" s="3153">
        <f t="shared" si="43"/>
        <v>0</v>
      </c>
      <c r="R90" s="3153">
        <f t="shared" si="44"/>
        <v>0</v>
      </c>
      <c r="S90" s="3153">
        <f t="shared" si="45"/>
        <v>0</v>
      </c>
      <c r="V90" s="3110">
        <f t="shared" si="32"/>
        <v>1.5946823989884842</v>
      </c>
      <c r="W90" s="3143">
        <f t="shared" si="30"/>
        <v>0</v>
      </c>
      <c r="X90" s="3145">
        <f t="shared" si="31"/>
        <v>0</v>
      </c>
    </row>
    <row r="91" spans="1:24">
      <c r="A91" s="3157" t="s">
        <v>1302</v>
      </c>
      <c r="B91" s="3181" t="s">
        <v>51</v>
      </c>
      <c r="C91" s="3182">
        <f>'Д 4_Т на П'!G24</f>
        <v>11.690977570773116</v>
      </c>
      <c r="D91" s="3150">
        <f>C91/$C$104</f>
        <v>1.3696437893016082</v>
      </c>
      <c r="E91" s="3183">
        <f>C91/$C$104</f>
        <v>1.3696437893016082</v>
      </c>
      <c r="F91" s="3182">
        <f>C91/$C$104</f>
        <v>1.3696437893016082</v>
      </c>
      <c r="G91" s="3150">
        <f t="shared" si="47"/>
        <v>1.3696437893016082</v>
      </c>
      <c r="H91" s="3184">
        <f>C91/$C$104</f>
        <v>1.3696437893016082</v>
      </c>
      <c r="I91" s="3143">
        <f t="shared" si="33"/>
        <v>-11.690977570773116</v>
      </c>
      <c r="J91" s="3152">
        <f t="shared" si="48"/>
        <v>0</v>
      </c>
      <c r="K91" s="3153">
        <f t="shared" si="38"/>
        <v>0</v>
      </c>
      <c r="L91" s="3153">
        <f t="shared" si="39"/>
        <v>0</v>
      </c>
      <c r="M91" s="3153">
        <f t="shared" si="40"/>
        <v>0</v>
      </c>
      <c r="N91" s="3153">
        <f t="shared" si="41"/>
        <v>0</v>
      </c>
      <c r="O91" s="3152">
        <f t="shared" si="49"/>
        <v>0</v>
      </c>
      <c r="P91" s="3153">
        <f t="shared" si="42"/>
        <v>0</v>
      </c>
      <c r="Q91" s="3153">
        <f t="shared" si="43"/>
        <v>0</v>
      </c>
      <c r="R91" s="3153">
        <f t="shared" si="44"/>
        <v>0</v>
      </c>
      <c r="S91" s="3153">
        <f t="shared" si="45"/>
        <v>0</v>
      </c>
      <c r="V91" s="3110">
        <f t="shared" si="32"/>
        <v>1.3696437893016082</v>
      </c>
      <c r="W91" s="3143">
        <f t="shared" si="30"/>
        <v>0</v>
      </c>
      <c r="X91" s="3145">
        <f t="shared" si="31"/>
        <v>0</v>
      </c>
    </row>
    <row r="92" spans="1:24">
      <c r="A92" s="3157" t="s">
        <v>1303</v>
      </c>
      <c r="B92" s="3181" t="s">
        <v>1304</v>
      </c>
      <c r="C92" s="3182">
        <f>'Д 4_Т на П'!G25</f>
        <v>0.5658433144254188</v>
      </c>
      <c r="D92" s="3150">
        <f>C92/$C$104</f>
        <v>6.6290759402197835E-2</v>
      </c>
      <c r="E92" s="3183">
        <f>C92/$C$104</f>
        <v>6.6290759402197835E-2</v>
      </c>
      <c r="F92" s="3182">
        <f>C92/$C$104</f>
        <v>6.6290759402197835E-2</v>
      </c>
      <c r="G92" s="3150">
        <f t="shared" si="47"/>
        <v>6.6290759402197835E-2</v>
      </c>
      <c r="H92" s="3184">
        <f>C92/$C$104</f>
        <v>6.6290759402197835E-2</v>
      </c>
      <c r="I92" s="3143">
        <f t="shared" si="33"/>
        <v>-0.5658433144254188</v>
      </c>
      <c r="J92" s="3152">
        <f t="shared" si="48"/>
        <v>0</v>
      </c>
      <c r="K92" s="3153">
        <f t="shared" si="38"/>
        <v>0</v>
      </c>
      <c r="L92" s="3153">
        <f t="shared" si="39"/>
        <v>0</v>
      </c>
      <c r="M92" s="3153">
        <f t="shared" si="40"/>
        <v>0</v>
      </c>
      <c r="N92" s="3153">
        <f t="shared" si="41"/>
        <v>0</v>
      </c>
      <c r="O92" s="3152">
        <f t="shared" si="49"/>
        <v>0</v>
      </c>
      <c r="P92" s="3153">
        <f t="shared" si="42"/>
        <v>0</v>
      </c>
      <c r="Q92" s="3153">
        <f t="shared" si="43"/>
        <v>0</v>
      </c>
      <c r="R92" s="3153">
        <f t="shared" si="44"/>
        <v>0</v>
      </c>
      <c r="S92" s="3153">
        <f t="shared" si="45"/>
        <v>0</v>
      </c>
      <c r="V92" s="3110">
        <f t="shared" si="32"/>
        <v>6.6290759402197835E-2</v>
      </c>
      <c r="W92" s="3143">
        <f t="shared" si="30"/>
        <v>0</v>
      </c>
      <c r="X92" s="3145">
        <f t="shared" si="31"/>
        <v>0</v>
      </c>
    </row>
    <row r="93" spans="1:24">
      <c r="A93" s="3157" t="s">
        <v>1305</v>
      </c>
      <c r="B93" s="3181" t="s">
        <v>1293</v>
      </c>
      <c r="C93" s="3182">
        <f>Амортизація!G14/1000*'БАЗИ РОЗПОДІЛУ'!G21</f>
        <v>0.1598354786086901</v>
      </c>
      <c r="D93" s="3150">
        <f>C93/$C$104</f>
        <v>1.8725352029904337E-2</v>
      </c>
      <c r="E93" s="3183">
        <f>C93/$C$104</f>
        <v>1.8725352029904337E-2</v>
      </c>
      <c r="F93" s="3182">
        <f>C93/$C$104</f>
        <v>1.8725352029904337E-2</v>
      </c>
      <c r="G93" s="3150">
        <f t="shared" si="47"/>
        <v>1.8725352029904337E-2</v>
      </c>
      <c r="H93" s="3184">
        <f>C93/$C$104</f>
        <v>1.8725352029904337E-2</v>
      </c>
      <c r="I93" s="3143">
        <f t="shared" si="33"/>
        <v>-0.1598354786086901</v>
      </c>
      <c r="J93" s="3152">
        <f t="shared" si="48"/>
        <v>0</v>
      </c>
      <c r="K93" s="3153">
        <f t="shared" si="38"/>
        <v>0</v>
      </c>
      <c r="L93" s="3153">
        <f t="shared" si="39"/>
        <v>0</v>
      </c>
      <c r="M93" s="3153">
        <f t="shared" si="40"/>
        <v>0</v>
      </c>
      <c r="N93" s="3153">
        <f t="shared" si="41"/>
        <v>0</v>
      </c>
      <c r="O93" s="3152">
        <f t="shared" si="49"/>
        <v>0</v>
      </c>
      <c r="P93" s="3153">
        <f t="shared" si="42"/>
        <v>0</v>
      </c>
      <c r="Q93" s="3153">
        <f t="shared" si="43"/>
        <v>0</v>
      </c>
      <c r="R93" s="3153">
        <f t="shared" si="44"/>
        <v>0</v>
      </c>
      <c r="S93" s="3153">
        <f t="shared" si="45"/>
        <v>0</v>
      </c>
      <c r="V93" s="3110">
        <f t="shared" si="32"/>
        <v>1.8725352029904337E-2</v>
      </c>
      <c r="W93" s="3143">
        <f t="shared" si="30"/>
        <v>0</v>
      </c>
      <c r="X93" s="3145">
        <f t="shared" si="31"/>
        <v>0</v>
      </c>
    </row>
    <row r="94" spans="1:24">
      <c r="A94" s="3157" t="s">
        <v>1306</v>
      </c>
      <c r="B94" s="3181" t="s">
        <v>1307</v>
      </c>
      <c r="C94" s="3182">
        <f>'Д 4_Т на П'!G26-'D1_2023-2024'!C93</f>
        <v>1.1952011897450343</v>
      </c>
      <c r="D94" s="3150">
        <f>C94/$C$104</f>
        <v>0.14002249825477386</v>
      </c>
      <c r="E94" s="3183">
        <f>C94/$C$104</f>
        <v>0.14002249825477386</v>
      </c>
      <c r="F94" s="3182">
        <f>C94/$C$104</f>
        <v>0.14002249825477386</v>
      </c>
      <c r="G94" s="3186">
        <f t="shared" si="47"/>
        <v>0.14002249825477386</v>
      </c>
      <c r="H94" s="3184">
        <f>C94/$C$104</f>
        <v>0.14002249825477386</v>
      </c>
      <c r="I94" s="3143">
        <f t="shared" si="33"/>
        <v>-1.1952011897450343</v>
      </c>
      <c r="J94" s="3152">
        <f t="shared" si="48"/>
        <v>0</v>
      </c>
      <c r="K94" s="3153">
        <f t="shared" si="38"/>
        <v>0</v>
      </c>
      <c r="L94" s="3153">
        <f t="shared" si="39"/>
        <v>0</v>
      </c>
      <c r="M94" s="3153">
        <f t="shared" si="40"/>
        <v>0</v>
      </c>
      <c r="N94" s="3153">
        <f t="shared" si="41"/>
        <v>0</v>
      </c>
      <c r="O94" s="3152">
        <f t="shared" si="49"/>
        <v>0</v>
      </c>
      <c r="P94" s="3153">
        <f t="shared" si="42"/>
        <v>0</v>
      </c>
      <c r="Q94" s="3153">
        <f t="shared" si="43"/>
        <v>0</v>
      </c>
      <c r="R94" s="3153">
        <f t="shared" si="44"/>
        <v>0</v>
      </c>
      <c r="S94" s="3153">
        <f t="shared" si="45"/>
        <v>0</v>
      </c>
      <c r="V94" s="3110">
        <f t="shared" si="32"/>
        <v>0.14002249825477386</v>
      </c>
      <c r="W94" s="3143">
        <f t="shared" si="30"/>
        <v>0</v>
      </c>
      <c r="X94" s="3145">
        <f t="shared" si="31"/>
        <v>0</v>
      </c>
    </row>
    <row r="95" spans="1:24" s="3147" customFormat="1">
      <c r="A95" s="3140" t="s">
        <v>823</v>
      </c>
      <c r="B95" s="3174" t="s">
        <v>1308</v>
      </c>
      <c r="C95" s="3175">
        <v>0</v>
      </c>
      <c r="D95" s="3142">
        <v>0</v>
      </c>
      <c r="E95" s="3187">
        <v>0</v>
      </c>
      <c r="F95" s="3175">
        <v>0</v>
      </c>
      <c r="G95" s="3142">
        <f t="shared" si="47"/>
        <v>0</v>
      </c>
      <c r="H95" s="3188">
        <v>0</v>
      </c>
      <c r="I95" s="3143">
        <f t="shared" si="33"/>
        <v>0</v>
      </c>
      <c r="J95" s="3152">
        <f t="shared" si="48"/>
        <v>0</v>
      </c>
      <c r="K95" s="3153">
        <f t="shared" si="38"/>
        <v>0</v>
      </c>
      <c r="L95" s="3153">
        <f t="shared" si="39"/>
        <v>0</v>
      </c>
      <c r="M95" s="3153">
        <f t="shared" si="40"/>
        <v>0</v>
      </c>
      <c r="N95" s="3153">
        <f t="shared" ref="N95:N103" si="50">N$76*H95</f>
        <v>0</v>
      </c>
      <c r="O95" s="3152">
        <f t="shared" si="49"/>
        <v>0</v>
      </c>
      <c r="P95" s="3153">
        <f t="shared" si="42"/>
        <v>0</v>
      </c>
      <c r="Q95" s="3153">
        <f t="shared" si="43"/>
        <v>0</v>
      </c>
      <c r="R95" s="3153">
        <f t="shared" si="44"/>
        <v>0</v>
      </c>
      <c r="S95" s="3153">
        <f t="shared" ref="S95:S103" si="51">S$76*H95</f>
        <v>0</v>
      </c>
      <c r="V95" s="3110">
        <f t="shared" si="32"/>
        <v>0</v>
      </c>
      <c r="W95" s="3143">
        <f t="shared" si="30"/>
        <v>0</v>
      </c>
      <c r="X95" s="3145">
        <f t="shared" si="31"/>
        <v>0</v>
      </c>
    </row>
    <row r="96" spans="1:24" s="3147" customFormat="1">
      <c r="A96" s="3140" t="s">
        <v>826</v>
      </c>
      <c r="B96" s="3174" t="s">
        <v>1310</v>
      </c>
      <c r="C96" s="3175">
        <v>0</v>
      </c>
      <c r="D96" s="3142">
        <v>0</v>
      </c>
      <c r="E96" s="3187">
        <v>0</v>
      </c>
      <c r="F96" s="3175">
        <v>0</v>
      </c>
      <c r="G96" s="3142">
        <f t="shared" si="47"/>
        <v>0</v>
      </c>
      <c r="H96" s="3188">
        <v>0</v>
      </c>
      <c r="I96" s="3143">
        <f t="shared" si="33"/>
        <v>0</v>
      </c>
      <c r="J96" s="3152">
        <f t="shared" si="48"/>
        <v>0</v>
      </c>
      <c r="K96" s="3153">
        <f t="shared" si="38"/>
        <v>0</v>
      </c>
      <c r="L96" s="3153">
        <f t="shared" si="39"/>
        <v>0</v>
      </c>
      <c r="M96" s="3153">
        <f t="shared" si="40"/>
        <v>0</v>
      </c>
      <c r="N96" s="3153">
        <f t="shared" si="50"/>
        <v>0</v>
      </c>
      <c r="O96" s="3152">
        <f t="shared" si="49"/>
        <v>0</v>
      </c>
      <c r="P96" s="3153">
        <f t="shared" si="42"/>
        <v>0</v>
      </c>
      <c r="Q96" s="3153">
        <f t="shared" si="43"/>
        <v>0</v>
      </c>
      <c r="R96" s="3153">
        <f t="shared" si="44"/>
        <v>0</v>
      </c>
      <c r="S96" s="3153">
        <f t="shared" si="51"/>
        <v>0</v>
      </c>
      <c r="V96" s="3110">
        <f t="shared" si="32"/>
        <v>0</v>
      </c>
      <c r="W96" s="3143">
        <f t="shared" si="30"/>
        <v>0</v>
      </c>
      <c r="X96" s="3145">
        <f t="shared" si="31"/>
        <v>0</v>
      </c>
    </row>
    <row r="97" spans="1:24" s="3147" customFormat="1">
      <c r="A97" s="3140" t="s">
        <v>891</v>
      </c>
      <c r="B97" s="3174" t="s">
        <v>1311</v>
      </c>
      <c r="C97" s="3175">
        <v>0</v>
      </c>
      <c r="D97" s="3142">
        <v>0</v>
      </c>
      <c r="E97" s="3187">
        <v>0</v>
      </c>
      <c r="F97" s="3175">
        <v>0</v>
      </c>
      <c r="G97" s="3142">
        <f t="shared" si="47"/>
        <v>0</v>
      </c>
      <c r="H97" s="3188">
        <v>0</v>
      </c>
      <c r="I97" s="3143">
        <f t="shared" si="33"/>
        <v>0</v>
      </c>
      <c r="J97" s="3152">
        <f t="shared" si="48"/>
        <v>0</v>
      </c>
      <c r="K97" s="3153">
        <f t="shared" si="38"/>
        <v>0</v>
      </c>
      <c r="L97" s="3153">
        <f t="shared" si="39"/>
        <v>0</v>
      </c>
      <c r="M97" s="3153">
        <f t="shared" si="40"/>
        <v>0</v>
      </c>
      <c r="N97" s="3153">
        <f t="shared" si="50"/>
        <v>0</v>
      </c>
      <c r="O97" s="3152">
        <f t="shared" si="49"/>
        <v>0</v>
      </c>
      <c r="P97" s="3153">
        <f t="shared" si="42"/>
        <v>0</v>
      </c>
      <c r="Q97" s="3153">
        <f t="shared" si="43"/>
        <v>0</v>
      </c>
      <c r="R97" s="3153">
        <f t="shared" si="44"/>
        <v>0</v>
      </c>
      <c r="S97" s="3153">
        <f t="shared" si="51"/>
        <v>0</v>
      </c>
      <c r="V97" s="3110">
        <f t="shared" si="32"/>
        <v>0</v>
      </c>
      <c r="W97" s="3143">
        <f t="shared" si="30"/>
        <v>0</v>
      </c>
      <c r="X97" s="3145">
        <f t="shared" si="31"/>
        <v>0</v>
      </c>
    </row>
    <row r="98" spans="1:24" s="3147" customFormat="1">
      <c r="A98" s="3140" t="s">
        <v>897</v>
      </c>
      <c r="B98" s="3174" t="s">
        <v>1312</v>
      </c>
      <c r="C98" s="3175">
        <v>0</v>
      </c>
      <c r="D98" s="3142">
        <v>0</v>
      </c>
      <c r="E98" s="3187">
        <v>0</v>
      </c>
      <c r="F98" s="3175">
        <v>0</v>
      </c>
      <c r="G98" s="3142">
        <f t="shared" si="47"/>
        <v>0</v>
      </c>
      <c r="H98" s="3188">
        <v>0</v>
      </c>
      <c r="I98" s="3143">
        <f t="shared" si="33"/>
        <v>0</v>
      </c>
      <c r="J98" s="3152">
        <f t="shared" si="48"/>
        <v>0</v>
      </c>
      <c r="K98" s="3153">
        <f t="shared" si="38"/>
        <v>0</v>
      </c>
      <c r="L98" s="3153">
        <f t="shared" si="39"/>
        <v>0</v>
      </c>
      <c r="M98" s="3153">
        <f t="shared" si="40"/>
        <v>0</v>
      </c>
      <c r="N98" s="3153">
        <f t="shared" si="50"/>
        <v>0</v>
      </c>
      <c r="O98" s="3152">
        <f t="shared" si="49"/>
        <v>0</v>
      </c>
      <c r="P98" s="3153">
        <f t="shared" si="42"/>
        <v>0</v>
      </c>
      <c r="Q98" s="3153">
        <f t="shared" si="43"/>
        <v>0</v>
      </c>
      <c r="R98" s="3153">
        <f t="shared" si="44"/>
        <v>0</v>
      </c>
      <c r="S98" s="3153">
        <f t="shared" si="51"/>
        <v>0</v>
      </c>
      <c r="V98" s="3110">
        <f t="shared" si="32"/>
        <v>0</v>
      </c>
      <c r="W98" s="3143">
        <f t="shared" si="30"/>
        <v>0</v>
      </c>
      <c r="X98" s="3145">
        <f t="shared" si="31"/>
        <v>0</v>
      </c>
    </row>
    <row r="99" spans="1:24" s="3147" customFormat="1">
      <c r="A99" s="3140" t="s">
        <v>903</v>
      </c>
      <c r="B99" s="3174" t="s">
        <v>1313</v>
      </c>
      <c r="C99" s="3175">
        <f>SUM(C100:C103)</f>
        <v>7.9105949243124574</v>
      </c>
      <c r="D99" s="3142">
        <f>SUM(D100:D103)</f>
        <v>0.9267571631350664</v>
      </c>
      <c r="E99" s="3187">
        <f>SUM(E100:E103)</f>
        <v>0.9267571631350664</v>
      </c>
      <c r="F99" s="3175">
        <f>SUM(F100:F103)</f>
        <v>0.9267571631350664</v>
      </c>
      <c r="G99" s="3142">
        <f t="shared" si="47"/>
        <v>0.9267571631350664</v>
      </c>
      <c r="H99" s="3188">
        <f>SUM(H100:H103)</f>
        <v>0.9267571631350664</v>
      </c>
      <c r="I99" s="3143">
        <f t="shared" si="33"/>
        <v>-7.9105949243124574</v>
      </c>
      <c r="J99" s="3152">
        <f t="shared" si="48"/>
        <v>0</v>
      </c>
      <c r="K99" s="3153">
        <f t="shared" si="38"/>
        <v>0</v>
      </c>
      <c r="L99" s="3153">
        <f t="shared" si="39"/>
        <v>0</v>
      </c>
      <c r="M99" s="3153">
        <f t="shared" si="40"/>
        <v>0</v>
      </c>
      <c r="N99" s="3153">
        <f t="shared" si="50"/>
        <v>0</v>
      </c>
      <c r="O99" s="3152">
        <f t="shared" si="49"/>
        <v>0</v>
      </c>
      <c r="P99" s="3153">
        <f t="shared" si="42"/>
        <v>0</v>
      </c>
      <c r="Q99" s="3153">
        <f t="shared" si="43"/>
        <v>0</v>
      </c>
      <c r="R99" s="3153">
        <f t="shared" si="44"/>
        <v>0</v>
      </c>
      <c r="S99" s="3153">
        <f t="shared" si="51"/>
        <v>0</v>
      </c>
      <c r="V99" s="3110">
        <f t="shared" si="32"/>
        <v>0.9267571631350664</v>
      </c>
      <c r="W99" s="3143">
        <f t="shared" si="30"/>
        <v>0</v>
      </c>
      <c r="X99" s="3145">
        <f t="shared" si="31"/>
        <v>0</v>
      </c>
    </row>
    <row r="100" spans="1:24">
      <c r="A100" s="3157" t="s">
        <v>733</v>
      </c>
      <c r="B100" s="3181" t="s">
        <v>61</v>
      </c>
      <c r="C100" s="3182">
        <f>'Д 4_Т на П'!G36</f>
        <v>1.423907086376242</v>
      </c>
      <c r="D100" s="3150">
        <f>C100/$C$104</f>
        <v>0.16681628936431189</v>
      </c>
      <c r="E100" s="3183">
        <f>C100/$C$104</f>
        <v>0.16681628936431189</v>
      </c>
      <c r="F100" s="3182">
        <f>C100/$C$104</f>
        <v>0.16681628936431189</v>
      </c>
      <c r="G100" s="3189">
        <f t="shared" si="47"/>
        <v>0.16681628936431189</v>
      </c>
      <c r="H100" s="3184">
        <f>C100/$C$104</f>
        <v>0.16681628936431189</v>
      </c>
      <c r="I100" s="3143">
        <f t="shared" si="33"/>
        <v>-1.423907086376242</v>
      </c>
      <c r="J100" s="3152">
        <f t="shared" si="48"/>
        <v>0</v>
      </c>
      <c r="K100" s="3153">
        <f t="shared" si="38"/>
        <v>0</v>
      </c>
      <c r="L100" s="3153">
        <f t="shared" si="39"/>
        <v>0</v>
      </c>
      <c r="M100" s="3153">
        <f t="shared" si="40"/>
        <v>0</v>
      </c>
      <c r="N100" s="3153">
        <f t="shared" si="50"/>
        <v>0</v>
      </c>
      <c r="O100" s="3152">
        <f t="shared" si="49"/>
        <v>0</v>
      </c>
      <c r="P100" s="3153">
        <f t="shared" si="42"/>
        <v>0</v>
      </c>
      <c r="Q100" s="3153">
        <f t="shared" si="43"/>
        <v>0</v>
      </c>
      <c r="R100" s="3153">
        <f t="shared" si="44"/>
        <v>0</v>
      </c>
      <c r="S100" s="3153">
        <f t="shared" si="51"/>
        <v>0</v>
      </c>
      <c r="V100" s="3110">
        <f t="shared" si="32"/>
        <v>0.16681628936431189</v>
      </c>
      <c r="W100" s="3143">
        <f t="shared" si="30"/>
        <v>0</v>
      </c>
      <c r="X100" s="3145">
        <f t="shared" si="31"/>
        <v>0</v>
      </c>
    </row>
    <row r="101" spans="1:24">
      <c r="A101" s="3157" t="s">
        <v>1324</v>
      </c>
      <c r="B101" s="3181" t="s">
        <v>80</v>
      </c>
      <c r="C101" s="3182">
        <f>'Д 4_Т на П'!G37</f>
        <v>0</v>
      </c>
      <c r="D101" s="3150">
        <f>C101/$C$104</f>
        <v>0</v>
      </c>
      <c r="E101" s="3183">
        <f>C101/$C$104</f>
        <v>0</v>
      </c>
      <c r="F101" s="3182">
        <f>C101/$C$104</f>
        <v>0</v>
      </c>
      <c r="G101" s="3150">
        <f t="shared" si="47"/>
        <v>0</v>
      </c>
      <c r="H101" s="3184">
        <f>C101/$C$104</f>
        <v>0</v>
      </c>
      <c r="I101" s="3143">
        <f t="shared" si="33"/>
        <v>0</v>
      </c>
      <c r="J101" s="3152">
        <f t="shared" si="48"/>
        <v>0</v>
      </c>
      <c r="K101" s="3153">
        <f t="shared" si="38"/>
        <v>0</v>
      </c>
      <c r="L101" s="3153">
        <f t="shared" si="39"/>
        <v>0</v>
      </c>
      <c r="M101" s="3153">
        <f t="shared" si="40"/>
        <v>0</v>
      </c>
      <c r="N101" s="3153">
        <f t="shared" si="50"/>
        <v>0</v>
      </c>
      <c r="O101" s="3152">
        <f t="shared" si="49"/>
        <v>0</v>
      </c>
      <c r="P101" s="3153">
        <f t="shared" si="42"/>
        <v>0</v>
      </c>
      <c r="Q101" s="3153">
        <f t="shared" si="43"/>
        <v>0</v>
      </c>
      <c r="R101" s="3153">
        <f t="shared" si="44"/>
        <v>0</v>
      </c>
      <c r="S101" s="3153">
        <f t="shared" si="51"/>
        <v>0</v>
      </c>
      <c r="V101" s="3110">
        <f t="shared" si="32"/>
        <v>0</v>
      </c>
      <c r="W101" s="3143">
        <f t="shared" si="30"/>
        <v>0</v>
      </c>
      <c r="X101" s="3145">
        <f t="shared" si="31"/>
        <v>0</v>
      </c>
    </row>
    <row r="102" spans="1:24">
      <c r="A102" s="3157" t="s">
        <v>1325</v>
      </c>
      <c r="B102" s="3181" t="s">
        <v>67</v>
      </c>
      <c r="C102" s="3182">
        <f>'Д 4_Т на П'!G38</f>
        <v>0</v>
      </c>
      <c r="D102" s="3150">
        <f>C102/$C$104</f>
        <v>0</v>
      </c>
      <c r="E102" s="3183">
        <f>C102/$C$104</f>
        <v>0</v>
      </c>
      <c r="F102" s="3182">
        <f>C102/$C$104</f>
        <v>0</v>
      </c>
      <c r="G102" s="3150">
        <f t="shared" si="47"/>
        <v>0</v>
      </c>
      <c r="H102" s="3184">
        <f>C102/$C$104</f>
        <v>0</v>
      </c>
      <c r="I102" s="3143">
        <f t="shared" si="33"/>
        <v>0</v>
      </c>
      <c r="J102" s="3152">
        <f t="shared" si="48"/>
        <v>0</v>
      </c>
      <c r="K102" s="3153">
        <f t="shared" si="38"/>
        <v>0</v>
      </c>
      <c r="L102" s="3153">
        <f t="shared" si="39"/>
        <v>0</v>
      </c>
      <c r="M102" s="3153">
        <f t="shared" si="40"/>
        <v>0</v>
      </c>
      <c r="N102" s="3153">
        <f t="shared" si="50"/>
        <v>0</v>
      </c>
      <c r="O102" s="3152">
        <f t="shared" si="49"/>
        <v>0</v>
      </c>
      <c r="P102" s="3153">
        <f t="shared" si="42"/>
        <v>0</v>
      </c>
      <c r="Q102" s="3153">
        <f t="shared" si="43"/>
        <v>0</v>
      </c>
      <c r="R102" s="3153">
        <f t="shared" si="44"/>
        <v>0</v>
      </c>
      <c r="S102" s="3153">
        <f t="shared" si="51"/>
        <v>0</v>
      </c>
      <c r="V102" s="3110">
        <f t="shared" si="32"/>
        <v>0</v>
      </c>
      <c r="W102" s="3143">
        <f t="shared" si="30"/>
        <v>0</v>
      </c>
      <c r="X102" s="3145">
        <f t="shared" si="31"/>
        <v>0</v>
      </c>
    </row>
    <row r="103" spans="1:24">
      <c r="A103" s="3157" t="s">
        <v>1326</v>
      </c>
      <c r="B103" s="3181" t="s">
        <v>1222</v>
      </c>
      <c r="C103" s="3182">
        <f>'Д 4_Т на П'!G40</f>
        <v>6.4866878379362154</v>
      </c>
      <c r="D103" s="3150">
        <f>C103/$C$104</f>
        <v>0.75994087377075448</v>
      </c>
      <c r="E103" s="3183">
        <f>C103/$C$104</f>
        <v>0.75994087377075448</v>
      </c>
      <c r="F103" s="3182">
        <f>C103/$C$104</f>
        <v>0.75994087377075448</v>
      </c>
      <c r="G103" s="3150">
        <f t="shared" si="47"/>
        <v>0.75994087377075448</v>
      </c>
      <c r="H103" s="3184">
        <f>C103/$C$104</f>
        <v>0.75994087377075448</v>
      </c>
      <c r="I103" s="3143">
        <f t="shared" si="33"/>
        <v>-6.4866878379362154</v>
      </c>
      <c r="J103" s="3152">
        <f t="shared" si="48"/>
        <v>0</v>
      </c>
      <c r="K103" s="3153">
        <f t="shared" si="38"/>
        <v>0</v>
      </c>
      <c r="L103" s="3153">
        <f t="shared" si="39"/>
        <v>0</v>
      </c>
      <c r="M103" s="3153">
        <f t="shared" si="40"/>
        <v>0</v>
      </c>
      <c r="N103" s="3153">
        <f t="shared" si="50"/>
        <v>0</v>
      </c>
      <c r="O103" s="3152">
        <f t="shared" si="49"/>
        <v>0</v>
      </c>
      <c r="P103" s="3153">
        <f t="shared" si="42"/>
        <v>0</v>
      </c>
      <c r="Q103" s="3153">
        <f t="shared" si="43"/>
        <v>0</v>
      </c>
      <c r="R103" s="3153">
        <f t="shared" si="44"/>
        <v>0</v>
      </c>
      <c r="S103" s="3153">
        <f t="shared" si="51"/>
        <v>0</v>
      </c>
      <c r="V103" s="3110">
        <f t="shared" si="32"/>
        <v>0.75994087377075448</v>
      </c>
      <c r="W103" s="3143">
        <f t="shared" si="30"/>
        <v>0</v>
      </c>
      <c r="X103" s="3145">
        <f t="shared" si="31"/>
        <v>0</v>
      </c>
    </row>
    <row r="104" spans="1:24" s="3147" customFormat="1" ht="28.2" thickBot="1">
      <c r="A104" s="3160" t="s">
        <v>905</v>
      </c>
      <c r="B104" s="3171" t="s">
        <v>1424</v>
      </c>
      <c r="C104" s="3162">
        <f>C41</f>
        <v>8.5357796399999994</v>
      </c>
      <c r="D104" s="3172">
        <f t="shared" ref="D104:G104" si="52">D41</f>
        <v>6.4600562400000001</v>
      </c>
      <c r="E104" s="3162">
        <f t="shared" si="52"/>
        <v>0.48096030000000001</v>
      </c>
      <c r="F104" s="3190">
        <f t="shared" si="52"/>
        <v>0.79822534000000001</v>
      </c>
      <c r="G104" s="3172">
        <f t="shared" si="52"/>
        <v>0.39151855999999996</v>
      </c>
      <c r="H104" s="3191">
        <f>'ТЕ_2ст_тариф_з ІТП'!T15</f>
        <v>0.40501920000000002</v>
      </c>
      <c r="I104" s="3143"/>
      <c r="J104" s="3152"/>
      <c r="K104" s="3153"/>
      <c r="L104" s="3153"/>
      <c r="M104" s="3153"/>
      <c r="N104" s="3153"/>
      <c r="O104" s="3152"/>
      <c r="P104" s="3153"/>
      <c r="Q104" s="3153"/>
      <c r="R104" s="3153"/>
      <c r="S104" s="3153"/>
      <c r="V104" s="3192">
        <f>C104-D104-E104-F104-G104-H104</f>
        <v>-6.6613381477509392E-16</v>
      </c>
      <c r="W104" s="3143"/>
      <c r="X104" s="3145"/>
    </row>
    <row r="106" spans="1:24" ht="27.6">
      <c r="A106" s="3193"/>
      <c r="B106" s="3194" t="s">
        <v>2043</v>
      </c>
      <c r="C106" s="3195">
        <v>15229.62</v>
      </c>
      <c r="D106" s="3196"/>
      <c r="E106" s="3197" t="s">
        <v>2044</v>
      </c>
      <c r="F106" s="3197"/>
      <c r="G106" s="3198"/>
      <c r="H106" s="3198"/>
    </row>
    <row r="107" spans="1:24">
      <c r="C107" s="3199"/>
      <c r="D107" s="3200"/>
      <c r="E107" s="3198"/>
      <c r="F107" s="3201"/>
      <c r="G107" s="3201"/>
      <c r="H107" s="3201"/>
    </row>
    <row r="108" spans="1:24" hidden="1"/>
    <row r="109" spans="1:24" hidden="1">
      <c r="C109" s="3202">
        <f>C8-C10-C26-C36</f>
        <v>7.3678036794717627E-3</v>
      </c>
      <c r="D109" s="3134">
        <f>D10+D26+D36-D8</f>
        <v>0</v>
      </c>
      <c r="E109" s="3134">
        <f t="shared" ref="E109:H109" si="53">E10+E26+E36-E8</f>
        <v>0</v>
      </c>
      <c r="F109" s="3134">
        <f t="shared" si="53"/>
        <v>0</v>
      </c>
      <c r="G109" s="3134">
        <f t="shared" si="53"/>
        <v>0</v>
      </c>
      <c r="H109" s="3134">
        <f t="shared" si="53"/>
        <v>0</v>
      </c>
    </row>
    <row r="110" spans="1:24" hidden="1">
      <c r="C110" s="3203">
        <f>C78+C90+C99-C76</f>
        <v>0</v>
      </c>
      <c r="D110" s="3203">
        <f>D78+D90+D99-D76</f>
        <v>0</v>
      </c>
      <c r="E110" s="3203">
        <f t="shared" ref="E110:H110" si="54">E78+E90+E99-E76</f>
        <v>0</v>
      </c>
      <c r="F110" s="3203">
        <f t="shared" si="54"/>
        <v>0</v>
      </c>
      <c r="G110" s="3203">
        <f t="shared" si="54"/>
        <v>0</v>
      </c>
      <c r="H110" s="3203">
        <f t="shared" si="54"/>
        <v>0</v>
      </c>
    </row>
    <row r="111" spans="1:24" hidden="1"/>
  </sheetData>
  <mergeCells count="11">
    <mergeCell ref="B43:H43"/>
    <mergeCell ref="F107:H107"/>
    <mergeCell ref="B9:H9"/>
    <mergeCell ref="B77:H77"/>
    <mergeCell ref="F1:H1"/>
    <mergeCell ref="A2:H2"/>
    <mergeCell ref="A4:A5"/>
    <mergeCell ref="B4:B5"/>
    <mergeCell ref="C4:C5"/>
    <mergeCell ref="D4:H4"/>
    <mergeCell ref="E106:F106"/>
  </mergeCells>
  <pageMargins left="0.70866141732283472" right="0.43307086614173229" top="0.97" bottom="0.47244094488188981" header="0.31496062992125984" footer="0.31496062992125984"/>
  <pageSetup paperSize="9" scale="71" fitToHeight="2" orientation="portrait" r:id="rId1"/>
  <headerFooter differentFirst="1" scaleWithDoc="0">
    <oddHeader>&amp;L
&amp;C&amp;P&amp;R&amp;"Times New Roman,обычный"продовження додатку 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8">
    <tabColor rgb="FF00B050"/>
    <pageSetUpPr fitToPage="1"/>
  </sheetPr>
  <dimension ref="A1:O143"/>
  <sheetViews>
    <sheetView tabSelected="1" zoomScaleNormal="100" workbookViewId="0">
      <selection activeCell="A3" sqref="A3:H3"/>
    </sheetView>
  </sheetViews>
  <sheetFormatPr defaultColWidth="8.88671875" defaultRowHeight="13.8"/>
  <cols>
    <col min="1" max="1" width="5.33203125" style="757" customWidth="1"/>
    <col min="2" max="2" width="42.88671875" style="768" customWidth="1"/>
    <col min="3" max="3" width="9.109375" style="768" customWidth="1"/>
    <col min="4" max="4" width="13.33203125" style="9" customWidth="1"/>
    <col min="5" max="5" width="12.33203125" style="9" customWidth="1"/>
    <col min="6" max="7" width="11.88671875" style="9" customWidth="1"/>
    <col min="8" max="8" width="12" style="9" customWidth="1"/>
    <col min="9" max="9" width="8.88671875" style="9"/>
    <col min="10" max="10" width="12" style="538" hidden="1" customWidth="1"/>
    <col min="11" max="13" width="12" style="9" hidden="1" customWidth="1"/>
    <col min="14" max="16384" width="8.88671875" style="9"/>
  </cols>
  <sheetData>
    <row r="1" spans="1:15" s="44" customFormat="1" ht="92.4" customHeight="1">
      <c r="A1" s="756"/>
      <c r="B1" s="736"/>
      <c r="C1" s="736"/>
      <c r="D1" s="1260"/>
      <c r="E1" s="1260"/>
      <c r="F1" s="2916" t="s">
        <v>2052</v>
      </c>
      <c r="G1" s="2916"/>
      <c r="H1" s="2916"/>
      <c r="J1" s="621"/>
      <c r="M1" s="2924"/>
      <c r="N1" s="2924"/>
      <c r="O1" s="2924"/>
    </row>
    <row r="2" spans="1:15" s="44" customFormat="1" ht="15.6">
      <c r="A2" s="2925" t="s">
        <v>2063</v>
      </c>
      <c r="B2" s="2925"/>
      <c r="C2" s="2925"/>
      <c r="D2" s="2925"/>
      <c r="E2" s="2925"/>
      <c r="F2" s="2925"/>
      <c r="G2" s="2925"/>
      <c r="H2" s="2925"/>
      <c r="J2" s="621"/>
    </row>
    <row r="3" spans="1:15" s="44" customFormat="1" ht="37.799999999999997" customHeight="1">
      <c r="A3" s="2926" t="str">
        <f>"на теплову енергію, її виробництво та постачання з урахуванням витрат на обслуговування та ремонт індивідуальних теплових пунктів "&amp;'Вхідні дані'!F5</f>
        <v>на теплову енергію, її виробництво та постачання з урахуванням витрат на обслуговування та ремонт індивідуальних теплових пунктів ТОВ ДП " Моноліт- Сервіс "</v>
      </c>
      <c r="B3" s="2926"/>
      <c r="C3" s="2926"/>
      <c r="D3" s="2926"/>
      <c r="E3" s="2926"/>
      <c r="F3" s="2926"/>
      <c r="G3" s="2926"/>
      <c r="H3" s="2926"/>
      <c r="J3" s="621"/>
    </row>
    <row r="4" spans="1:15" s="44" customFormat="1" ht="14.4" customHeight="1">
      <c r="A4" s="758"/>
      <c r="B4" s="752"/>
      <c r="C4" s="752"/>
      <c r="D4" s="771"/>
      <c r="E4" s="771"/>
      <c r="F4" s="771"/>
      <c r="G4" s="771"/>
      <c r="H4" s="753" t="s">
        <v>792</v>
      </c>
      <c r="J4" s="621"/>
    </row>
    <row r="5" spans="1:15" s="39" customFormat="1" ht="15.6">
      <c r="A5" s="2927" t="s">
        <v>1362</v>
      </c>
      <c r="B5" s="2929" t="s">
        <v>104</v>
      </c>
      <c r="C5" s="2929" t="s">
        <v>1170</v>
      </c>
      <c r="D5" s="2931" t="s">
        <v>1363</v>
      </c>
      <c r="E5" s="2932"/>
      <c r="F5" s="2932"/>
      <c r="G5" s="2932"/>
      <c r="H5" s="2933"/>
      <c r="J5" s="746"/>
    </row>
    <row r="6" spans="1:15" s="39" customFormat="1" ht="31.2" customHeight="1">
      <c r="A6" s="2928"/>
      <c r="B6" s="2930"/>
      <c r="C6" s="2930"/>
      <c r="D6" s="772" t="str">
        <f>'Д 4_Т на П'!H9</f>
        <v>котельні</v>
      </c>
      <c r="E6" s="772" t="str">
        <f>'Д 4_Т на П'!I9</f>
        <v>САО Парусна, 1-А</v>
      </c>
      <c r="F6" s="772" t="str">
        <f>'Д 4_Т на П'!J9</f>
        <v>САО Парусна, 1-Б</v>
      </c>
      <c r="G6" s="772" t="str">
        <f>'Д 4_Т на П'!K9</f>
        <v>САО Паркова, 50</v>
      </c>
      <c r="H6" s="772" t="str">
        <f>'Д 4_Т на П'!L9</f>
        <v>САО Паркова, 52</v>
      </c>
      <c r="J6" s="746"/>
    </row>
    <row r="7" spans="1:15" s="39" customFormat="1" ht="15.6">
      <c r="A7" s="738" t="s">
        <v>1259</v>
      </c>
      <c r="B7" s="751">
        <v>1</v>
      </c>
      <c r="C7" s="751">
        <v>2</v>
      </c>
      <c r="D7" s="647">
        <v>3</v>
      </c>
      <c r="E7" s="647">
        <v>4</v>
      </c>
      <c r="F7" s="647">
        <v>4</v>
      </c>
      <c r="G7" s="647"/>
      <c r="H7" s="647">
        <v>5</v>
      </c>
      <c r="J7" s="746"/>
    </row>
    <row r="8" spans="1:15" s="44" customFormat="1" ht="15.6">
      <c r="A8" s="2935" t="s">
        <v>1365</v>
      </c>
      <c r="B8" s="2935"/>
      <c r="C8" s="2935"/>
      <c r="D8" s="2935"/>
      <c r="E8" s="2935"/>
      <c r="F8" s="2935"/>
      <c r="G8" s="2935"/>
      <c r="H8" s="2935"/>
      <c r="J8" s="621"/>
    </row>
    <row r="9" spans="1:15" s="44" customFormat="1" ht="39.6">
      <c r="A9" s="738">
        <v>1</v>
      </c>
      <c r="B9" s="740" t="s">
        <v>1366</v>
      </c>
      <c r="C9" s="778" t="s">
        <v>1173</v>
      </c>
      <c r="D9" s="744">
        <f>'ТЕ_2ст_тариф_з ІТП'!I215</f>
        <v>1068.5536224484338</v>
      </c>
      <c r="E9" s="744">
        <f>'ТЕ_2ст_тариф_з ІТП'!L215</f>
        <v>1048.897811587306</v>
      </c>
      <c r="F9" s="744">
        <f>'ТЕ_2ст_тариф_з ІТП'!O215</f>
        <v>1048.8976454059243</v>
      </c>
      <c r="G9" s="744">
        <f>'ТЕ_2ст_тариф_з ІТП'!R215</f>
        <v>1068.5520171362859</v>
      </c>
      <c r="H9" s="744">
        <f>'ТЕ_2ст_тариф_з ІТП'!U215</f>
        <v>1068.5520171362859</v>
      </c>
      <c r="J9" s="1259">
        <f t="shared" ref="J9:L10" si="0">D9*1.2</f>
        <v>1282.2643469381205</v>
      </c>
      <c r="K9" s="1259">
        <f t="shared" si="0"/>
        <v>1258.6773739047671</v>
      </c>
      <c r="L9" s="1259">
        <f t="shared" si="0"/>
        <v>1258.6771744871091</v>
      </c>
      <c r="M9" s="1259">
        <f t="shared" ref="M9:M10" si="1">H9*1.2</f>
        <v>1282.2624205635432</v>
      </c>
    </row>
    <row r="10" spans="1:15" s="44" customFormat="1" ht="42" customHeight="1">
      <c r="A10" s="738">
        <v>2</v>
      </c>
      <c r="B10" s="740" t="s">
        <v>1367</v>
      </c>
      <c r="C10" s="778" t="s">
        <v>1420</v>
      </c>
      <c r="D10" s="744">
        <f>'ТЕ_2ст_тариф_з ІТП'!J225</f>
        <v>45011.654126617032</v>
      </c>
      <c r="E10" s="744">
        <f>'ТЕ_2ст_тариф_з ІТП'!M225</f>
        <v>51884.747705205533</v>
      </c>
      <c r="F10" s="744">
        <f>'ТЕ_2ст_тариф_з ІТП'!P225</f>
        <v>49250.552840517128</v>
      </c>
      <c r="G10" s="744">
        <f>'ТЕ_2ст_тариф_з ІТП'!S225</f>
        <v>43932.132338439427</v>
      </c>
      <c r="H10" s="744">
        <f>'ТЕ_2ст_тариф_з ІТП'!V225</f>
        <v>45948.506556189634</v>
      </c>
      <c r="J10" s="1259">
        <f t="shared" si="0"/>
        <v>54013.984951940438</v>
      </c>
      <c r="K10" s="1259">
        <f t="shared" si="0"/>
        <v>62261.697246246636</v>
      </c>
      <c r="L10" s="1259">
        <f t="shared" si="0"/>
        <v>59100.663408620552</v>
      </c>
      <c r="M10" s="1259">
        <f t="shared" si="1"/>
        <v>55138.207867427562</v>
      </c>
    </row>
    <row r="11" spans="1:15" s="44" customFormat="1" ht="15.6">
      <c r="A11" s="2936" t="s">
        <v>1368</v>
      </c>
      <c r="B11" s="2937"/>
      <c r="C11" s="2937"/>
      <c r="D11" s="2937"/>
      <c r="E11" s="2937"/>
      <c r="F11" s="2937"/>
      <c r="G11" s="2937"/>
      <c r="H11" s="2938"/>
      <c r="J11" s="621"/>
    </row>
    <row r="12" spans="1:15" s="44" customFormat="1" ht="27" customHeight="1">
      <c r="A12" s="738">
        <v>3</v>
      </c>
      <c r="B12" s="740" t="s">
        <v>1369</v>
      </c>
      <c r="C12" s="772" t="s">
        <v>1098</v>
      </c>
      <c r="D12" s="1279">
        <f>'ТЕ_2ст_тариф_з ІТП'!I31</f>
        <v>6.4600562400000001</v>
      </c>
      <c r="E12" s="1279">
        <f>'ТЕ_2ст_тариф_з ІТП'!L31</f>
        <v>0.48096030000000001</v>
      </c>
      <c r="F12" s="1279">
        <f>'ТЕ_2ст_тариф_з ІТП'!O31</f>
        <v>0.79822534000000001</v>
      </c>
      <c r="G12" s="1279">
        <f>'ТЕ_2ст_тариф_з ІТП'!R31</f>
        <v>0.39151855999999996</v>
      </c>
      <c r="H12" s="1279">
        <f>'ТЕ_2ст_тариф_з ІТП'!U31</f>
        <v>0.40501920000000002</v>
      </c>
      <c r="J12" s="747" t="e">
        <f>'ТЕ_2ст_тариф_з ІТП'!E31-#REF!-#REF!-#REF!-#REF!</f>
        <v>#REF!</v>
      </c>
    </row>
    <row r="13" spans="1:15" s="44" customFormat="1" ht="26.4">
      <c r="A13" s="739" t="s">
        <v>1370</v>
      </c>
      <c r="B13" s="742" t="s">
        <v>1373</v>
      </c>
      <c r="C13" s="420" t="s">
        <v>1098</v>
      </c>
      <c r="D13" s="1279">
        <f>'ТЕ_2ст_тариф_з ІТП'!I15</f>
        <v>6.4600562400000001</v>
      </c>
      <c r="E13" s="1279">
        <f>'ТЕ_2ст_тариф_з ІТП'!L15</f>
        <v>0.48096030000000001</v>
      </c>
      <c r="F13" s="1279">
        <f>'ТЕ_2ст_тариф_з ІТП'!O15</f>
        <v>0.79822534000000001</v>
      </c>
      <c r="G13" s="1279">
        <f>'ТЕ_2ст_тариф_з ІТП'!R15</f>
        <v>0.39151855999999996</v>
      </c>
      <c r="H13" s="1279">
        <f>'ТЕ_2ст_тариф_з ІТП'!U15</f>
        <v>0.40501920000000002</v>
      </c>
      <c r="J13" s="1215">
        <f>D27+D62+D98</f>
        <v>45011.654126617032</v>
      </c>
      <c r="K13" s="1215">
        <f>E27+E62+E98</f>
        <v>51884.747705205533</v>
      </c>
      <c r="L13" s="1215">
        <f>F27+F62+F98</f>
        <v>49250.552840517128</v>
      </c>
      <c r="M13" s="1215">
        <f>H27+H62+H98</f>
        <v>45948.506556189634</v>
      </c>
    </row>
    <row r="14" spans="1:15" s="44" customFormat="1" ht="15.6">
      <c r="A14" s="738" t="s">
        <v>1371</v>
      </c>
      <c r="B14" s="742" t="s">
        <v>2045</v>
      </c>
      <c r="C14" s="420" t="s">
        <v>1098</v>
      </c>
      <c r="D14" s="1279">
        <f>'ТЕ_2ст_тариф_з ІТП'!I16</f>
        <v>6.4600562400000001</v>
      </c>
      <c r="E14" s="1279">
        <f>'ТЕ_2ст_тариф_з ІТП'!L16</f>
        <v>0.48096030000000001</v>
      </c>
      <c r="F14" s="1279">
        <f>'ТЕ_2ст_тариф_з ІТП'!O16</f>
        <v>0.79822534000000001</v>
      </c>
      <c r="G14" s="1279">
        <f>'ТЕ_2ст_тариф_з ІТП'!R16</f>
        <v>0.39151855999999996</v>
      </c>
      <c r="H14" s="1279">
        <f>'ТЕ_2ст_тариф_з ІТП'!U16</f>
        <v>0.40501920000000002</v>
      </c>
      <c r="J14" s="1215">
        <f>D20</f>
        <v>1068.5536224484338</v>
      </c>
      <c r="K14" s="1215">
        <f>E20</f>
        <v>1048.897811587306</v>
      </c>
      <c r="L14" s="1215">
        <f>F20</f>
        <v>1048.8976454059243</v>
      </c>
      <c r="M14" s="1215">
        <f>H20</f>
        <v>1068.5520171362859</v>
      </c>
    </row>
    <row r="15" spans="1:15" s="44" customFormat="1" ht="15.6">
      <c r="A15" s="738" t="s">
        <v>1372</v>
      </c>
      <c r="B15" s="742" t="s">
        <v>2046</v>
      </c>
      <c r="C15" s="420" t="s">
        <v>1098</v>
      </c>
      <c r="D15" s="1279">
        <f>'ТЕ_2ст_тариф_з ІТП'!I17</f>
        <v>0</v>
      </c>
      <c r="E15" s="1279">
        <f>'ТЕ_2ст_тариф_з ІТП'!L17</f>
        <v>0</v>
      </c>
      <c r="F15" s="1279">
        <f>'ТЕ_2ст_тариф_з ІТП'!O17</f>
        <v>0</v>
      </c>
      <c r="G15" s="1279">
        <f>'ТЕ_2ст_тариф_з ІТП'!R34</f>
        <v>0</v>
      </c>
      <c r="H15" s="1279">
        <f>'ТЕ_2ст_тариф_з ІТП'!U17</f>
        <v>0</v>
      </c>
      <c r="J15" s="1215">
        <f>D58</f>
        <v>0</v>
      </c>
      <c r="K15" s="1215">
        <f>E58</f>
        <v>0</v>
      </c>
      <c r="L15" s="1215">
        <f>F58</f>
        <v>0</v>
      </c>
      <c r="M15" s="1215">
        <f>H58</f>
        <v>0</v>
      </c>
    </row>
    <row r="16" spans="1:15" s="44" customFormat="1" ht="15.6">
      <c r="A16" s="738">
        <v>4</v>
      </c>
      <c r="B16" s="742" t="s">
        <v>1125</v>
      </c>
      <c r="C16" s="778" t="s">
        <v>30</v>
      </c>
      <c r="D16" s="1279">
        <f>'ТЕ_2ст_тариф_з ІТП'!J18</f>
        <v>3.8280000000000003</v>
      </c>
      <c r="E16" s="1279">
        <f>'ТЕ_2ст_тариф_з ІТП'!M18</f>
        <v>0.28499999999999998</v>
      </c>
      <c r="F16" s="1279">
        <f>'ТЕ_2ст_тариф_з ІТП'!P18</f>
        <v>0.47299999999999998</v>
      </c>
      <c r="G16" s="1279">
        <f>'ТЕ_2ст_тариф_з ІТП'!S18</f>
        <v>0.23200000000000001</v>
      </c>
      <c r="H16" s="1279">
        <f>'ТЕ_2ст_тариф_з ІТП'!V18</f>
        <v>0.24</v>
      </c>
      <c r="J16" s="1215">
        <f>D9</f>
        <v>1068.5536224484338</v>
      </c>
      <c r="K16" s="1215">
        <f>E9</f>
        <v>1048.897811587306</v>
      </c>
      <c r="L16" s="1215">
        <f>F9</f>
        <v>1048.8976454059243</v>
      </c>
      <c r="M16" s="1215">
        <f>H9</f>
        <v>1068.5520171362859</v>
      </c>
    </row>
    <row r="17" spans="1:10" s="44" customFormat="1" ht="15.6">
      <c r="A17" s="738" t="s">
        <v>828</v>
      </c>
      <c r="B17" s="742" t="s">
        <v>2045</v>
      </c>
      <c r="C17" s="778" t="s">
        <v>30</v>
      </c>
      <c r="D17" s="1279">
        <f>'ТЕ_2ст_тариф_з ІТП'!J19</f>
        <v>3.8280000000000003</v>
      </c>
      <c r="E17" s="1279">
        <f>'ТЕ_2ст_тариф_з ІТП'!M19</f>
        <v>0.28499999999999998</v>
      </c>
      <c r="F17" s="1279">
        <f>'ТЕ_2ст_тариф_з ІТП'!P19</f>
        <v>0.47299999999999998</v>
      </c>
      <c r="G17" s="1279">
        <f>'ТЕ_2ст_тариф_з ІТП'!S19</f>
        <v>0.23200000000000001</v>
      </c>
      <c r="H17" s="1279">
        <f>'ТЕ_2ст_тариф_з ІТП'!V19</f>
        <v>0.24</v>
      </c>
      <c r="J17" s="621"/>
    </row>
    <row r="18" spans="1:10" s="44" customFormat="1" ht="15.6">
      <c r="A18" s="738" t="s">
        <v>831</v>
      </c>
      <c r="B18" s="742" t="s">
        <v>2046</v>
      </c>
      <c r="C18" s="778" t="s">
        <v>30</v>
      </c>
      <c r="D18" s="1279">
        <f>'ТЕ_2ст_тариф_з ІТП'!J20</f>
        <v>0</v>
      </c>
      <c r="E18" s="1279">
        <f>'ТЕ_2ст_тариф_з ІТП'!M20</f>
        <v>0</v>
      </c>
      <c r="F18" s="1279">
        <f>'ТЕ_2ст_тариф_з ІТП'!P20</f>
        <v>0</v>
      </c>
      <c r="G18" s="1279">
        <f>'ТЕ_2ст_тариф_з ІТП'!R37</f>
        <v>0</v>
      </c>
      <c r="H18" s="1279">
        <f>'ТЕ_2ст_тариф_з ІТП'!V20</f>
        <v>0</v>
      </c>
      <c r="J18" s="621"/>
    </row>
    <row r="19" spans="1:10" s="44" customFormat="1" ht="15.6">
      <c r="A19" s="2939" t="s">
        <v>2047</v>
      </c>
      <c r="B19" s="2939"/>
      <c r="C19" s="2939"/>
      <c r="D19" s="2939"/>
      <c r="E19" s="2939"/>
      <c r="F19" s="2939"/>
      <c r="G19" s="2939"/>
      <c r="H19" s="2939"/>
      <c r="J19" s="621"/>
    </row>
    <row r="20" spans="1:10" s="619" customFormat="1" ht="15.6" customHeight="1">
      <c r="A20" s="738">
        <v>5</v>
      </c>
      <c r="B20" s="761" t="s">
        <v>1406</v>
      </c>
      <c r="C20" s="778" t="s">
        <v>1173</v>
      </c>
      <c r="D20" s="1136">
        <f>'ТЕ_2ст_тариф_з ІТП'!I77/D12</f>
        <v>1068.5536224484338</v>
      </c>
      <c r="E20" s="1136">
        <f>'ТЕ_2ст_тариф_з ІТП'!L77/E12</f>
        <v>1048.897811587306</v>
      </c>
      <c r="F20" s="1136">
        <f>'ТЕ_2ст_тариф_з ІТП'!O77/F12</f>
        <v>1048.8976454059243</v>
      </c>
      <c r="G20" s="1136">
        <f>'ТЕ_2ст_тариф_з ІТП'!R77/G12</f>
        <v>1068.5520171362859</v>
      </c>
      <c r="H20" s="1136">
        <f>'ТЕ_2ст_тариф_з ІТП'!U77/H12</f>
        <v>1068.5520171362859</v>
      </c>
      <c r="J20" s="1261"/>
    </row>
    <row r="21" spans="1:10" s="44" customFormat="1" ht="15.6">
      <c r="A21" s="738" t="s">
        <v>893</v>
      </c>
      <c r="B21" s="171" t="s">
        <v>202</v>
      </c>
      <c r="C21" s="778" t="s">
        <v>1173</v>
      </c>
      <c r="D21" s="1136">
        <f>'ТЕ_2ст_тариф_з ІТП'!I39/D$12</f>
        <v>1068.5536224484338</v>
      </c>
      <c r="E21" s="1136">
        <f>'ТЕ_2ст_тариф_з ІТП'!L39/E$12</f>
        <v>1048.897811587306</v>
      </c>
      <c r="F21" s="1136">
        <f>'ТЕ_2ст_тариф_з ІТП'!O39/F$12</f>
        <v>1048.8976454059243</v>
      </c>
      <c r="G21" s="1136">
        <f>'ТЕ_2ст_тариф_з ІТП'!R39/G$12</f>
        <v>1068.5520171362859</v>
      </c>
      <c r="H21" s="1136">
        <f>'ТЕ_2ст_тариф_з ІТП'!U39/H$12</f>
        <v>1068.5520171362859</v>
      </c>
      <c r="J21" s="621"/>
    </row>
    <row r="22" spans="1:10" s="44" customFormat="1" ht="15.6">
      <c r="A22" s="754" t="s">
        <v>1375</v>
      </c>
      <c r="B22" s="140" t="s">
        <v>435</v>
      </c>
      <c r="C22" s="778" t="s">
        <v>1173</v>
      </c>
      <c r="D22" s="1136">
        <f>'ТЕ_2ст_тариф_з ІТП'!I40/D$12</f>
        <v>904.15621531371062</v>
      </c>
      <c r="E22" s="1136">
        <f>'ТЕ_2ст_тариф_з ІТП'!L40/E$12</f>
        <v>884.50040445258287</v>
      </c>
      <c r="F22" s="1136">
        <f>'ТЕ_2ст_тариф_з ІТП'!O40/F$12</f>
        <v>884.50023827120106</v>
      </c>
      <c r="G22" s="1136">
        <f>'ТЕ_2ст_тариф_з ІТП'!R41/'D2_2023-2024'!G$12</f>
        <v>884.61542381500021</v>
      </c>
      <c r="H22" s="1136">
        <f>'ТЕ_2ст_тариф_з ІТП'!U40/H$12</f>
        <v>904.15461000156267</v>
      </c>
      <c r="J22" s="621"/>
    </row>
    <row r="23" spans="1:10" s="44" customFormat="1" ht="15.6">
      <c r="A23" s="738"/>
      <c r="B23" s="737" t="s">
        <v>422</v>
      </c>
      <c r="C23" s="778" t="s">
        <v>1173</v>
      </c>
      <c r="D23" s="1136">
        <f>'ТЕ_2ст_тариф_з ІТП'!I41/D$12</f>
        <v>884.6169944356335</v>
      </c>
      <c r="E23" s="1136">
        <f>'ТЕ_2ст_тариф_з ІТП'!L41/E$12</f>
        <v>865.38595445308658</v>
      </c>
      <c r="F23" s="1136">
        <f>'ТЕ_2ст_тариф_з ІТП'!O41/F$12</f>
        <v>865.38579186295908</v>
      </c>
      <c r="G23" s="1136">
        <f>'ТЕ_2ст_тариф_з ІТП'!R41/'D2_2023-2024'!G$12</f>
        <v>884.61542381500021</v>
      </c>
      <c r="H23" s="1136">
        <f>'ТЕ_2ст_тариф_з ІТП'!U41/H$12</f>
        <v>884.6154238150001</v>
      </c>
      <c r="J23" s="621"/>
    </row>
    <row r="24" spans="1:10" s="44" customFormat="1" ht="15.6">
      <c r="A24" s="738"/>
      <c r="B24" s="737" t="s">
        <v>930</v>
      </c>
      <c r="C24" s="778" t="s">
        <v>1173</v>
      </c>
      <c r="D24" s="1136">
        <f>'ТЕ_2ст_тариф_з ІТП'!I42/D$12</f>
        <v>19.539220878077192</v>
      </c>
      <c r="E24" s="1136">
        <f>'ТЕ_2ст_тариф_з ІТП'!L42/E$12</f>
        <v>19.114449999496188</v>
      </c>
      <c r="F24" s="1136">
        <f>'ТЕ_2ст_тариф_з ІТП'!O42/F$12</f>
        <v>19.114446408242078</v>
      </c>
      <c r="G24" s="1136">
        <f>'ТЕ_2ст_тариф_з ІТП'!R42/G$12</f>
        <v>19.539186186562493</v>
      </c>
      <c r="H24" s="1136">
        <f>'ТЕ_2ст_тариф_з ІТП'!U42/H$12</f>
        <v>19.539186186562493</v>
      </c>
      <c r="J24" s="621"/>
    </row>
    <row r="25" spans="1:10" s="44" customFormat="1" ht="15.6">
      <c r="A25" s="738" t="s">
        <v>895</v>
      </c>
      <c r="B25" s="140" t="s">
        <v>39</v>
      </c>
      <c r="C25" s="778" t="s">
        <v>1173</v>
      </c>
      <c r="D25" s="1136">
        <f>'ТЕ_2ст_тариф_з ІТП'!I44/D$12</f>
        <v>164.39740713472318</v>
      </c>
      <c r="E25" s="1136">
        <f>'ТЕ_2ст_тариф_з ІТП'!L44/E$12</f>
        <v>164.39740713472321</v>
      </c>
      <c r="F25" s="1136">
        <f>'ТЕ_2ст_тариф_з ІТП'!O44/F$12</f>
        <v>164.39740713472318</v>
      </c>
      <c r="G25" s="1136">
        <f>'ТЕ_2ст_тариф_з ІТП'!R44/G$12</f>
        <v>164.39740713472321</v>
      </c>
      <c r="H25" s="1136">
        <f>'ТЕ_2ст_тариф_з ІТП'!U44/H$12</f>
        <v>164.39740713472321</v>
      </c>
      <c r="J25" s="621"/>
    </row>
    <row r="26" spans="1:10" s="44" customFormat="1" ht="15.6">
      <c r="A26" s="2939" t="s">
        <v>2048</v>
      </c>
      <c r="B26" s="2939"/>
      <c r="C26" s="2939"/>
      <c r="D26" s="2939"/>
      <c r="E26" s="2939"/>
      <c r="F26" s="2939"/>
      <c r="G26" s="2939"/>
      <c r="H26" s="2939"/>
      <c r="J26" s="621"/>
    </row>
    <row r="27" spans="1:10" s="44" customFormat="1" ht="26.4">
      <c r="A27" s="738">
        <v>6</v>
      </c>
      <c r="B27" s="140" t="s">
        <v>1407</v>
      </c>
      <c r="C27" s="778" t="s">
        <v>1420</v>
      </c>
      <c r="D27" s="745">
        <f>'ТЕ_2ст_тариф_з ІТП'!J77/D$16*1000/12</f>
        <v>42141.021397900739</v>
      </c>
      <c r="E27" s="745">
        <f>'ТЕ_2ст_тариф_з ІТП'!M77/E$16*1000/12</f>
        <v>49014.11497648924</v>
      </c>
      <c r="F27" s="745">
        <f>'ТЕ_2ст_тариф_з ІТП'!P77/F$16*1000/12</f>
        <v>46379.920111800835</v>
      </c>
      <c r="G27" s="745">
        <f>'ТЕ_2ст_тариф_з ІТП'!S77/G$16*1000/12</f>
        <v>41061.499609723134</v>
      </c>
      <c r="H27" s="745">
        <f>'ТЕ_2ст_тариф_з ІТП'!V77/H$16*1000/12</f>
        <v>43077.87382747334</v>
      </c>
      <c r="J27" s="621"/>
    </row>
    <row r="28" spans="1:10" s="44" customFormat="1" ht="15.6">
      <c r="A28" s="738">
        <v>7</v>
      </c>
      <c r="B28" s="171" t="s">
        <v>201</v>
      </c>
      <c r="C28" s="777" t="s">
        <v>1422</v>
      </c>
      <c r="D28" s="745">
        <f>D29+D34+D35+D39</f>
        <v>18344.725005368648</v>
      </c>
      <c r="E28" s="745">
        <f t="shared" ref="E28:H28" si="2">E29+E34+E35+E39</f>
        <v>25031.269455479109</v>
      </c>
      <c r="F28" s="745">
        <f t="shared" si="2"/>
        <v>22516.672391916523</v>
      </c>
      <c r="G28" s="745">
        <f t="shared" si="2"/>
        <v>17314.225515549733</v>
      </c>
      <c r="H28" s="745">
        <f t="shared" si="2"/>
        <v>19239.053057523157</v>
      </c>
      <c r="J28" s="621"/>
    </row>
    <row r="29" spans="1:10" s="44" customFormat="1" ht="15.6">
      <c r="A29" s="738" t="s">
        <v>733</v>
      </c>
      <c r="B29" s="171" t="s">
        <v>202</v>
      </c>
      <c r="C29" s="777" t="s">
        <v>1422</v>
      </c>
      <c r="D29" s="745">
        <f>D30+D32+D33</f>
        <v>9423.6940639496606</v>
      </c>
      <c r="E29" s="745">
        <f t="shared" ref="E29:H29" si="3">E30+E32+E33</f>
        <v>16110.23851406012</v>
      </c>
      <c r="F29" s="745">
        <f t="shared" si="3"/>
        <v>13595.641450497535</v>
      </c>
      <c r="G29" s="745">
        <f t="shared" si="3"/>
        <v>8393.1945741307482</v>
      </c>
      <c r="H29" s="745">
        <f t="shared" si="3"/>
        <v>10318.022116104166</v>
      </c>
      <c r="J29" s="621"/>
    </row>
    <row r="30" spans="1:10" s="44" customFormat="1" ht="15.6">
      <c r="A30" s="738" t="s">
        <v>1444</v>
      </c>
      <c r="B30" s="140" t="s">
        <v>435</v>
      </c>
      <c r="C30" s="777" t="s">
        <v>1422</v>
      </c>
      <c r="D30" s="745">
        <f>'ТЕ_2ст_тариф_з ІТП'!J40/D$16*1000/12</f>
        <v>9264.6677986764189</v>
      </c>
      <c r="E30" s="745">
        <f>'ТЕ_2ст_тариф_з ІТП'!M40/E$16*1000/12</f>
        <v>16067.619883040939</v>
      </c>
      <c r="F30" s="745">
        <f>'ТЕ_2ст_тариф_з ІТП'!P40/F$16*1000/12</f>
        <v>13526.869274136718</v>
      </c>
      <c r="G30" s="745">
        <f>'ТЕ_2ст_тариф_з ІТП'!S40/G$16*1000/12</f>
        <v>8351.576867816093</v>
      </c>
      <c r="H30" s="745">
        <f>'ТЕ_2ст_тариф_з ІТП'!V40/H$16*1000/12</f>
        <v>10277.791666666666</v>
      </c>
      <c r="J30" s="621"/>
    </row>
    <row r="31" spans="1:10" s="44" customFormat="1" ht="15.6">
      <c r="A31" s="738" t="s">
        <v>1492</v>
      </c>
      <c r="B31" s="140" t="s">
        <v>931</v>
      </c>
      <c r="C31" s="777" t="s">
        <v>1422</v>
      </c>
      <c r="D31" s="745">
        <f>'ТЕ_2ст_тариф_з ІТП'!J43/D$16/12*1000</f>
        <v>9264.6677986764189</v>
      </c>
      <c r="E31" s="745">
        <f>'ТЕ_2ст_тариф_з ІТП'!M43/E$16*1000/12</f>
        <v>16067.619883040939</v>
      </c>
      <c r="F31" s="745">
        <f>'ТЕ_2ст_тариф_з ІТП'!P43/F$16*1000/12</f>
        <v>13526.869274136718</v>
      </c>
      <c r="G31" s="745">
        <f>'ТЕ_2ст_тариф_з ІТП'!S43/G$16*1000/12</f>
        <v>8351.576867816093</v>
      </c>
      <c r="H31" s="745">
        <f>'ТЕ_2ст_тариф_з ІТП'!V43/H$16*1000/12</f>
        <v>10277.791666666666</v>
      </c>
      <c r="J31" s="621"/>
    </row>
    <row r="32" spans="1:10" s="44" customFormat="1" ht="26.4">
      <c r="A32" s="738" t="s">
        <v>1445</v>
      </c>
      <c r="B32" s="171" t="s">
        <v>784</v>
      </c>
      <c r="C32" s="777" t="s">
        <v>1422</v>
      </c>
      <c r="D32" s="745">
        <f>'ТЕ_2ст_тариф_з ІТП'!J48/D$16*1000/12</f>
        <v>159.02626527324102</v>
      </c>
      <c r="E32" s="745">
        <f>'ТЕ_2ст_тариф_з ІТП'!M48/E$16*1000/12</f>
        <v>42.618631019181294</v>
      </c>
      <c r="F32" s="745">
        <f>'ТЕ_2ст_тариф_з ІТП'!P48/F$16*1000/12</f>
        <v>68.772176360817483</v>
      </c>
      <c r="G32" s="745">
        <f>'ТЕ_2ст_тариф_з ІТП'!S48/G$16*1000/12</f>
        <v>41.617706314655166</v>
      </c>
      <c r="H32" s="745">
        <f>'ТЕ_2ст_тариф_з ІТП'!V48/H$16*1000/12</f>
        <v>40.230449437499999</v>
      </c>
      <c r="J32" s="621"/>
    </row>
    <row r="33" spans="1:10" s="44" customFormat="1" ht="15.6">
      <c r="A33" s="738" t="s">
        <v>1446</v>
      </c>
      <c r="B33" s="171" t="s">
        <v>533</v>
      </c>
      <c r="C33" s="777" t="s">
        <v>1422</v>
      </c>
      <c r="D33" s="745">
        <f>'ТЕ_2ст_тариф_з ІТП'!J49/D$16*1000/12</f>
        <v>0</v>
      </c>
      <c r="E33" s="745">
        <f>'ТЕ_2ст_тариф_з ІТП'!M49/E$16*1000/12</f>
        <v>0</v>
      </c>
      <c r="F33" s="745">
        <f>'ТЕ_2ст_тариф_з ІТП'!P49/F$16*1000/12</f>
        <v>0</v>
      </c>
      <c r="G33" s="745">
        <f>'ТЕ_2ст_тариф_з ІТП'!S49/G$16*1000/12</f>
        <v>0</v>
      </c>
      <c r="H33" s="745">
        <f>'ТЕ_2ст_тариф_з ІТП'!V49/H$16*1000/12</f>
        <v>0</v>
      </c>
      <c r="J33" s="621"/>
    </row>
    <row r="34" spans="1:10" s="44" customFormat="1" ht="15.6">
      <c r="A34" s="738" t="s">
        <v>1324</v>
      </c>
      <c r="B34" s="171" t="s">
        <v>43</v>
      </c>
      <c r="C34" s="777" t="s">
        <v>1422</v>
      </c>
      <c r="D34" s="745">
        <f>'ТЕ_2ст_тариф_з ІТП'!J50/D$16*1000/12</f>
        <v>3558.718861209964</v>
      </c>
      <c r="E34" s="745">
        <f>'ТЕ_2ст_тариф_з ІТП'!M50/E$16*1000/12</f>
        <v>3558.7188612099649</v>
      </c>
      <c r="F34" s="745">
        <f>'ТЕ_2ст_тариф_з ІТП'!P50/F$16*1000/12</f>
        <v>3558.7188612099649</v>
      </c>
      <c r="G34" s="745">
        <f>'ТЕ_2ст_тариф_з ІТП'!S50/G$16*1000/12</f>
        <v>3558.718861209964</v>
      </c>
      <c r="H34" s="745">
        <f>'ТЕ_2ст_тариф_з ІТП'!V50/H$16*1000/12</f>
        <v>3558.7188612099653</v>
      </c>
      <c r="J34" s="621"/>
    </row>
    <row r="35" spans="1:10" s="44" customFormat="1" ht="15.6">
      <c r="A35" s="738" t="s">
        <v>1325</v>
      </c>
      <c r="B35" s="171" t="s">
        <v>203</v>
      </c>
      <c r="C35" s="777" t="s">
        <v>1422</v>
      </c>
      <c r="D35" s="745">
        <f>'ТЕ_2ст_тариф_з ІТП'!J51/D$16*1000/12</f>
        <v>3584.9874785817842</v>
      </c>
      <c r="E35" s="745">
        <f>'ТЕ_2ст_тариф_з ІТП'!M51/E$16*1000/12</f>
        <v>3584.9874785817851</v>
      </c>
      <c r="F35" s="745">
        <f>'ТЕ_2ст_тариф_з ІТП'!P51/F$16*1000/12</f>
        <v>3584.9874785817842</v>
      </c>
      <c r="G35" s="745">
        <f>'ТЕ_2ст_тариф_з ІТП'!S51/G$16*1000/12</f>
        <v>3584.9874785817842</v>
      </c>
      <c r="H35" s="745">
        <f>'ТЕ_2ст_тариф_з ІТП'!V51/H$16*1000/12</f>
        <v>3584.9874785817851</v>
      </c>
      <c r="J35" s="621"/>
    </row>
    <row r="36" spans="1:10" s="44" customFormat="1" ht="26.4">
      <c r="A36" s="738" t="s">
        <v>1447</v>
      </c>
      <c r="B36" s="140" t="s">
        <v>433</v>
      </c>
      <c r="C36" s="777" t="s">
        <v>1422</v>
      </c>
      <c r="D36" s="745">
        <f>'ТЕ_2ст_тариф_з ІТП'!J52/D$16*1000/12</f>
        <v>172.24199288256227</v>
      </c>
      <c r="E36" s="745">
        <f>'ТЕ_2ст_тариф_з ІТП'!M52/E$16*1000/12</f>
        <v>172.2419928825623</v>
      </c>
      <c r="F36" s="745">
        <f>'ТЕ_2ст_тариф_з ІТП'!P52/F$16*1000/12</f>
        <v>172.24199288256227</v>
      </c>
      <c r="G36" s="745">
        <f>'ТЕ_2ст_тариф_з ІТП'!S52/G$16*1000/12</f>
        <v>172.24199288256227</v>
      </c>
      <c r="H36" s="745">
        <f>'ТЕ_2ст_тариф_з ІТП'!V52/H$16*1000/12</f>
        <v>172.2419928825623</v>
      </c>
      <c r="J36" s="621"/>
    </row>
    <row r="37" spans="1:10" s="44" customFormat="1" ht="15.6">
      <c r="A37" s="738" t="s">
        <v>1448</v>
      </c>
      <c r="B37" s="140" t="s">
        <v>434</v>
      </c>
      <c r="C37" s="777" t="s">
        <v>1422</v>
      </c>
      <c r="D37" s="745">
        <f>'ТЕ_2ст_тариф_з ІТП'!J53/D$16*1000/12</f>
        <v>0</v>
      </c>
      <c r="E37" s="745">
        <f>'ТЕ_2ст_тариф_з ІТП'!M53/E$16*1000/12</f>
        <v>0</v>
      </c>
      <c r="F37" s="745">
        <f>'ТЕ_2ст_тариф_з ІТП'!P53/F$16*1000/12</f>
        <v>0</v>
      </c>
      <c r="G37" s="745">
        <f>'ТЕ_2ст_тариф_з ІТП'!S53/G$16*1000/12</f>
        <v>0</v>
      </c>
      <c r="H37" s="745">
        <f>'ТЕ_2ст_тариф_з ІТП'!V53/H$16*1000/12</f>
        <v>0</v>
      </c>
      <c r="J37" s="621"/>
    </row>
    <row r="38" spans="1:10" s="44" customFormat="1" ht="15.6">
      <c r="A38" s="738" t="s">
        <v>1449</v>
      </c>
      <c r="B38" s="140" t="s">
        <v>48</v>
      </c>
      <c r="C38" s="777" t="s">
        <v>1422</v>
      </c>
      <c r="D38" s="745">
        <f>'ТЕ_2ст_тариф_з ІТП'!J54/D$16*1000/12</f>
        <v>3412.7454856992222</v>
      </c>
      <c r="E38" s="745">
        <f>'ТЕ_2ст_тариф_з ІТП'!M54/E$16*1000/12</f>
        <v>3412.7454856992222</v>
      </c>
      <c r="F38" s="745">
        <f>'ТЕ_2ст_тариф_з ІТП'!P54/F$16*1000/12</f>
        <v>3412.7454856992222</v>
      </c>
      <c r="G38" s="745">
        <f>'ТЕ_2ст_тариф_з ІТП'!S54/G$16*1000/12</f>
        <v>3412.7454856992213</v>
      </c>
      <c r="H38" s="745">
        <f>'ТЕ_2ст_тариф_з ІТП'!V54/H$16*1000/12</f>
        <v>3412.7454856992226</v>
      </c>
      <c r="J38" s="621"/>
    </row>
    <row r="39" spans="1:10" s="44" customFormat="1" ht="15.6">
      <c r="A39" s="738" t="s">
        <v>1326</v>
      </c>
      <c r="B39" s="140" t="s">
        <v>204</v>
      </c>
      <c r="C39" s="777" t="s">
        <v>1422</v>
      </c>
      <c r="D39" s="745">
        <f>'ТЕ_2ст_тариф_з ІТП'!J55/D$16*1000/12</f>
        <v>1777.3246016272381</v>
      </c>
      <c r="E39" s="745">
        <f>'ТЕ_2ст_тариф_з ІТП'!M55/E$16*1000/12</f>
        <v>1777.3246016272385</v>
      </c>
      <c r="F39" s="745">
        <f>'ТЕ_2ст_тариф_з ІТП'!P55/F$16*1000/12</f>
        <v>1777.3246016272378</v>
      </c>
      <c r="G39" s="745">
        <f>'ТЕ_2ст_тариф_з ІТП'!S55/G$16*1000/12</f>
        <v>1777.3246016272381</v>
      </c>
      <c r="H39" s="745">
        <f>'ТЕ_2ст_тариф_з ІТП'!V55/H$16*1000/12</f>
        <v>1777.3246016272387</v>
      </c>
      <c r="J39" s="621"/>
    </row>
    <row r="40" spans="1:10" s="44" customFormat="1" ht="15.6">
      <c r="A40" s="738" t="s">
        <v>1450</v>
      </c>
      <c r="B40" s="140" t="s">
        <v>51</v>
      </c>
      <c r="C40" s="777" t="s">
        <v>1422</v>
      </c>
      <c r="D40" s="745">
        <f>'ТЕ_2ст_тариф_з ІТП'!J56/D$16*1000/12</f>
        <v>1684.2948026614965</v>
      </c>
      <c r="E40" s="745">
        <f>'ТЕ_2ст_тариф_з ІТП'!M56/E$16*1000/12</f>
        <v>1684.294802661497</v>
      </c>
      <c r="F40" s="745">
        <f>'ТЕ_2ст_тариф_з ІТП'!P56/F$16*1000/12</f>
        <v>1684.2948026614968</v>
      </c>
      <c r="G40" s="745">
        <f>'ТЕ_2ст_тариф_з ІТП'!S56/G$16*1000/12</f>
        <v>1684.2948026614965</v>
      </c>
      <c r="H40" s="745">
        <f>'ТЕ_2ст_тариф_з ІТП'!V56/H$16*1000/12</f>
        <v>1684.294802661497</v>
      </c>
      <c r="J40" s="621"/>
    </row>
    <row r="41" spans="1:10" s="44" customFormat="1" ht="26.4">
      <c r="A41" s="738" t="s">
        <v>1451</v>
      </c>
      <c r="B41" s="140" t="s">
        <v>433</v>
      </c>
      <c r="C41" s="777" t="s">
        <v>1422</v>
      </c>
      <c r="D41" s="745">
        <f>'ТЕ_2ст_тариф_з ІТП'!J57/D$16*1000/12</f>
        <v>81.519868448816425</v>
      </c>
      <c r="E41" s="745">
        <f>'ТЕ_2ст_тариф_з ІТП'!M57/E$16*1000/12</f>
        <v>81.519868448816439</v>
      </c>
      <c r="F41" s="745">
        <f>'ТЕ_2ст_тариф_з ІТП'!P57/F$16*1000/12</f>
        <v>81.519868448816439</v>
      </c>
      <c r="G41" s="745">
        <f>'ТЕ_2ст_тариф_з ІТП'!S57/G$16*1000/12</f>
        <v>81.519868448816425</v>
      </c>
      <c r="H41" s="745">
        <f>'ТЕ_2ст_тариф_з ІТП'!V57/H$16*1000/12</f>
        <v>81.519868448816439</v>
      </c>
      <c r="J41" s="621"/>
    </row>
    <row r="42" spans="1:10" s="44" customFormat="1" ht="15.6">
      <c r="A42" s="738" t="s">
        <v>1452</v>
      </c>
      <c r="B42" s="140" t="s">
        <v>54</v>
      </c>
      <c r="C42" s="777" t="s">
        <v>1422</v>
      </c>
      <c r="D42" s="745">
        <f>'ТЕ_2ст_тариф_з ІТП'!J58/D$16*1000/12</f>
        <v>11.509930516925108</v>
      </c>
      <c r="E42" s="745">
        <f>'ТЕ_2ст_тариф_з ІТП'!M58/E$16*1000/12</f>
        <v>11.50993051692511</v>
      </c>
      <c r="F42" s="745">
        <f>'ТЕ_2ст_тариф_з ІТП'!P58/F$16*1000/12</f>
        <v>11.50993051692511</v>
      </c>
      <c r="G42" s="745">
        <f>'ТЕ_2ст_тариф_з ІТП'!S58/G$16*1000/12</f>
        <v>11.50993051692511</v>
      </c>
      <c r="H42" s="745">
        <f>'ТЕ_2ст_тариф_з ІТП'!V58/H$16*1000/12</f>
        <v>11.50993051692511</v>
      </c>
      <c r="J42" s="621"/>
    </row>
    <row r="43" spans="1:10" s="44" customFormat="1" ht="15.6">
      <c r="A43" s="738">
        <v>8</v>
      </c>
      <c r="B43" s="140" t="s">
        <v>205</v>
      </c>
      <c r="C43" s="777" t="s">
        <v>1422</v>
      </c>
      <c r="D43" s="745">
        <f>'ТЕ_2ст_тариф_з ІТП'!J59/D$16*1000/12</f>
        <v>15060.409976262485</v>
      </c>
      <c r="E43" s="745">
        <f>'ТЕ_2ст_тариф_з ІТП'!M59/E$16*1000/12</f>
        <v>15060.409976262488</v>
      </c>
      <c r="F43" s="745">
        <f>'ТЕ_2ст_тариф_з ІТП'!P59/F$16*1000/12</f>
        <v>15060.409976262488</v>
      </c>
      <c r="G43" s="745">
        <f>'ТЕ_2ст_тариф_з ІТП'!S59/G$16*1000/12</f>
        <v>15060.409976262483</v>
      </c>
      <c r="H43" s="745">
        <f>'ТЕ_2ст_тариф_з ІТП'!V59/H$16*1000/12</f>
        <v>15060.409976262488</v>
      </c>
      <c r="J43" s="621"/>
    </row>
    <row r="44" spans="1:10" s="44" customFormat="1" ht="15.6">
      <c r="A44" s="738" t="s">
        <v>734</v>
      </c>
      <c r="B44" s="140" t="s">
        <v>51</v>
      </c>
      <c r="C44" s="777" t="s">
        <v>1422</v>
      </c>
      <c r="D44" s="745">
        <f>'ТЕ_2ст_тариф_з ІТП'!J60/D$16*1000/12</f>
        <v>12935.112973848563</v>
      </c>
      <c r="E44" s="745">
        <f>'ТЕ_2ст_тариф_з ІТП'!M60/E$16*1000/12</f>
        <v>12935.112973848567</v>
      </c>
      <c r="F44" s="745">
        <f>'ТЕ_2ст_тариф_з ІТП'!P60/F$16*1000/12</f>
        <v>12935.112973848563</v>
      </c>
      <c r="G44" s="745">
        <f>'ТЕ_2ст_тариф_з ІТП'!S60/G$16*1000/12</f>
        <v>12935.112973848562</v>
      </c>
      <c r="H44" s="745">
        <f>'ТЕ_2ст_тариф_з ІТП'!V60/H$16*1000/12</f>
        <v>12935.112973848567</v>
      </c>
      <c r="J44" s="621"/>
    </row>
    <row r="45" spans="1:10" s="44" customFormat="1" ht="26.4">
      <c r="A45" s="738" t="s">
        <v>1314</v>
      </c>
      <c r="B45" s="140" t="s">
        <v>433</v>
      </c>
      <c r="C45" s="777" t="s">
        <v>1422</v>
      </c>
      <c r="D45" s="745">
        <f>'ТЕ_2ст_тариф_з ІТП'!J61/D$16*1000/12</f>
        <v>626.05946793427051</v>
      </c>
      <c r="E45" s="745">
        <f>'ТЕ_2ст_тариф_з ІТП'!M61/E$16*1000/12</f>
        <v>626.05946793427063</v>
      </c>
      <c r="F45" s="745">
        <f>'ТЕ_2ст_тариф_з ІТП'!P61/F$16*1000/12</f>
        <v>626.05946793427051</v>
      </c>
      <c r="G45" s="745">
        <f>'ТЕ_2ст_тариф_з ІТП'!S61/G$16*1000/12</f>
        <v>626.05946793427051</v>
      </c>
      <c r="H45" s="745">
        <f>'ТЕ_2ст_тариф_з ІТП'!V61/H$16*1000/12</f>
        <v>626.05946793427063</v>
      </c>
      <c r="J45" s="621"/>
    </row>
    <row r="46" spans="1:10" s="44" customFormat="1" ht="15.6">
      <c r="A46" s="738" t="s">
        <v>1315</v>
      </c>
      <c r="B46" s="140" t="s">
        <v>54</v>
      </c>
      <c r="C46" s="777" t="s">
        <v>1422</v>
      </c>
      <c r="D46" s="745">
        <f>'ТЕ_2ст_тариф_з ІТП'!J62/D$16*1000/12</f>
        <v>1499.2375344796517</v>
      </c>
      <c r="E46" s="745">
        <f>'ТЕ_2ст_тариф_з ІТП'!M62/E$16*1000/12</f>
        <v>1499.2375344796519</v>
      </c>
      <c r="F46" s="745">
        <f>'ТЕ_2ст_тариф_з ІТП'!P62/F$16*1000/12</f>
        <v>1499.2375344796517</v>
      </c>
      <c r="G46" s="745">
        <f>'ТЕ_2ст_тариф_з ІТП'!S62/G$16*1000/12</f>
        <v>1499.2375344796512</v>
      </c>
      <c r="H46" s="745">
        <f>'ТЕ_2ст_тариф_з ІТП'!V62/H$16*1000/12</f>
        <v>1499.2375344796519</v>
      </c>
      <c r="J46" s="621"/>
    </row>
    <row r="47" spans="1:10" s="44" customFormat="1" ht="15.6">
      <c r="A47" s="738">
        <v>9</v>
      </c>
      <c r="B47" s="140" t="s">
        <v>5</v>
      </c>
      <c r="C47" s="777" t="s">
        <v>1422</v>
      </c>
      <c r="D47" s="745">
        <f>'ТЕ_2ст_тариф_з ІТП'!J68/D$16*1000/12</f>
        <v>0</v>
      </c>
      <c r="E47" s="745">
        <f>'ТЕ_2ст_тариф_з ІТП'!M68/E$16*1000/12</f>
        <v>0</v>
      </c>
      <c r="F47" s="745">
        <f>'ТЕ_2ст_тариф_з ІТП'!P68/F$16*1000/12</f>
        <v>0</v>
      </c>
      <c r="G47" s="745">
        <f>'ТЕ_2ст_тариф_з ІТП'!S68/G$16*1000/12</f>
        <v>0</v>
      </c>
      <c r="H47" s="745">
        <f>'ТЕ_2ст_тариф_з ІТП'!V68/H$16*1000/12</f>
        <v>0</v>
      </c>
      <c r="J47" s="621"/>
    </row>
    <row r="48" spans="1:10" s="44" customFormat="1" ht="15.6">
      <c r="A48" s="738">
        <v>10</v>
      </c>
      <c r="B48" s="140" t="s">
        <v>1221</v>
      </c>
      <c r="C48" s="777" t="s">
        <v>1422</v>
      </c>
      <c r="D48" s="745">
        <f>'ТЕ_2ст_тариф_з ІТП'!J69/D$16*1000/12</f>
        <v>33405.134981631134</v>
      </c>
      <c r="E48" s="745">
        <f>'ТЕ_2ст_тариф_з ІТП'!M69/E$16*1000/12</f>
        <v>40091.679431741599</v>
      </c>
      <c r="F48" s="745">
        <f>'ТЕ_2ст_тариф_з ІТП'!P69/F$16*1000/12</f>
        <v>37577.082368179006</v>
      </c>
      <c r="G48" s="745">
        <f>'ТЕ_2ст_тариф_з ІТП'!S69/G$16*1000/12</f>
        <v>32374.63549181222</v>
      </c>
      <c r="H48" s="745">
        <f>'ТЕ_2ст_тариф_з ІТП'!V69/H$16*1000/12</f>
        <v>34299.463033785643</v>
      </c>
      <c r="J48" s="621"/>
    </row>
    <row r="49" spans="1:10" s="44" customFormat="1" ht="15.6">
      <c r="A49" s="738">
        <v>11</v>
      </c>
      <c r="B49" s="140" t="s">
        <v>207</v>
      </c>
      <c r="C49" s="777" t="s">
        <v>1422</v>
      </c>
      <c r="D49" s="745">
        <f>'ТЕ_2ст_тариф_з ІТП'!J70/D$16*1000/12</f>
        <v>0</v>
      </c>
      <c r="E49" s="745">
        <f>'ТЕ_2ст_тариф_з ІТП'!M70/E$16*1000/12</f>
        <v>0</v>
      </c>
      <c r="F49" s="745">
        <f>'ТЕ_2ст_тариф_з ІТП'!P70/F$16*1000/12</f>
        <v>0</v>
      </c>
      <c r="G49" s="745">
        <f>'ТЕ_2ст_тариф_з ІТП'!S70/G$16*1000/12</f>
        <v>0</v>
      </c>
      <c r="H49" s="745">
        <f>'ТЕ_2ст_тариф_з ІТП'!V70/H$16*1000/12</f>
        <v>0</v>
      </c>
      <c r="J49" s="621"/>
    </row>
    <row r="50" spans="1:10" s="44" customFormat="1" ht="15.6">
      <c r="A50" s="738">
        <v>12</v>
      </c>
      <c r="B50" s="140" t="s">
        <v>1374</v>
      </c>
      <c r="C50" s="777" t="s">
        <v>1422</v>
      </c>
      <c r="D50" s="745">
        <v>0</v>
      </c>
      <c r="E50" s="745">
        <v>0</v>
      </c>
      <c r="F50" s="745">
        <v>0</v>
      </c>
      <c r="G50" s="745">
        <v>0</v>
      </c>
      <c r="H50" s="745">
        <v>0</v>
      </c>
      <c r="J50" s="621"/>
    </row>
    <row r="51" spans="1:10" s="44" customFormat="1" ht="15.6">
      <c r="A51" s="738">
        <v>13</v>
      </c>
      <c r="B51" s="749" t="s">
        <v>1546</v>
      </c>
      <c r="C51" s="777" t="s">
        <v>1422</v>
      </c>
      <c r="D51" s="745">
        <f>'ТЕ_2ст_тариф_з ІТП'!J71/D$16*1000/12</f>
        <v>8735.8864162696082</v>
      </c>
      <c r="E51" s="745">
        <f>'ТЕ_2ст_тариф_з ІТП'!M71/E$16*1000/12</f>
        <v>8922.4355447476428</v>
      </c>
      <c r="F51" s="745">
        <f>'ТЕ_2ст_тариф_з ІТП'!P71/F$16*1000/12</f>
        <v>8802.8377436218307</v>
      </c>
      <c r="G51" s="745">
        <f>'ТЕ_2ст_тариф_з ІТП'!S71/G$16*1000/12</f>
        <v>8686.8641179109127</v>
      </c>
      <c r="H51" s="745">
        <f>'ТЕ_2ст_тариф_з ІТП'!V71/H$16*1000/12</f>
        <v>8778.410793687699</v>
      </c>
      <c r="J51" s="621"/>
    </row>
    <row r="52" spans="1:10" s="44" customFormat="1" ht="15.6">
      <c r="A52" s="738" t="s">
        <v>1381</v>
      </c>
      <c r="B52" s="140" t="s">
        <v>1378</v>
      </c>
      <c r="C52" s="777" t="s">
        <v>1422</v>
      </c>
      <c r="D52" s="745">
        <f>'ТЕ_2ст_тариф_з ІТП'!J72/D$16*1000/12</f>
        <v>1572.4595549285286</v>
      </c>
      <c r="E52" s="745">
        <f>'ТЕ_2ст_тариф_з ІТП'!M72/E$16*1000/12</f>
        <v>1606.0383980545748</v>
      </c>
      <c r="F52" s="745">
        <f>'ТЕ_2ст_тариф_з ІТП'!P72/F$16*1000/12</f>
        <v>1584.5107938519288</v>
      </c>
      <c r="G52" s="745">
        <f>'ТЕ_2ст_тариф_з ІТП'!S72/G$16*1000/12</f>
        <v>1563.6355412239634</v>
      </c>
      <c r="H52" s="745">
        <f>'ТЕ_2ст_тариф_з ІТП'!V72/H$16*1000/12</f>
        <v>1580.113942863785</v>
      </c>
      <c r="J52" s="621"/>
    </row>
    <row r="53" spans="1:10" s="44" customFormat="1" ht="15.6">
      <c r="A53" s="738" t="s">
        <v>1453</v>
      </c>
      <c r="B53" s="140" t="s">
        <v>63</v>
      </c>
      <c r="C53" s="777" t="s">
        <v>1422</v>
      </c>
      <c r="D53" s="745">
        <f>'ТЕ_2ст_тариф_з ІТП'!J73/D$16*1000/12</f>
        <v>0</v>
      </c>
      <c r="E53" s="745">
        <f>'ТЕ_2ст_тариф_з ІТП'!M73/E$16*1000/12</f>
        <v>0</v>
      </c>
      <c r="F53" s="745">
        <f>'ТЕ_2ст_тариф_з ІТП'!P73/F$16*1000/12</f>
        <v>0</v>
      </c>
      <c r="G53" s="745">
        <f>'ТЕ_2ст_тариф_з ІТП'!S73/G$16*1000/12</f>
        <v>0</v>
      </c>
      <c r="H53" s="745">
        <f>'ТЕ_2ст_тариф_з ІТП'!V73/H$16*1000/12</f>
        <v>0</v>
      </c>
      <c r="J53" s="621"/>
    </row>
    <row r="54" spans="1:10" s="44" customFormat="1" ht="15.6">
      <c r="A54" s="738" t="s">
        <v>1454</v>
      </c>
      <c r="B54" s="140" t="s">
        <v>65</v>
      </c>
      <c r="C54" s="777" t="s">
        <v>1422</v>
      </c>
      <c r="D54" s="745">
        <f>'ТЕ_2ст_тариф_з ІТП'!J74/D$16*1000/12</f>
        <v>0</v>
      </c>
      <c r="E54" s="745">
        <f>'ТЕ_2ст_тариф_з ІТП'!M74/E$16*1000/12</f>
        <v>0</v>
      </c>
      <c r="F54" s="745">
        <f>'ТЕ_2ст_тариф_з ІТП'!P74/F$16*1000/12</f>
        <v>0</v>
      </c>
      <c r="G54" s="745">
        <f>'ТЕ_2ст_тариф_з ІТП'!S74/G$16*1000/12</f>
        <v>0</v>
      </c>
      <c r="H54" s="745">
        <f>'ТЕ_2ст_тариф_з ІТП'!V74/H$16*1000/12</f>
        <v>0</v>
      </c>
      <c r="J54" s="621"/>
    </row>
    <row r="55" spans="1:10" s="44" customFormat="1" ht="15.6">
      <c r="A55" s="738" t="s">
        <v>1455</v>
      </c>
      <c r="B55" s="140" t="s">
        <v>1379</v>
      </c>
      <c r="C55" s="777" t="s">
        <v>1422</v>
      </c>
      <c r="D55" s="745">
        <f>'ТЕ_2ст_тариф_з ІТП'!J75/D$16*1000/12</f>
        <v>0</v>
      </c>
      <c r="E55" s="745">
        <f>'ТЕ_2ст_тариф_з ІТП'!M75/E$16*1000/12</f>
        <v>0</v>
      </c>
      <c r="F55" s="745">
        <f>'ТЕ_2ст_тариф_з ІТП'!P75/F$16*1000/12</f>
        <v>0</v>
      </c>
      <c r="G55" s="745">
        <f>'ТЕ_2ст_тариф_з ІТП'!S75/G$16*1000/12</f>
        <v>0</v>
      </c>
      <c r="H55" s="745">
        <f>'ТЕ_2ст_тариф_з ІТП'!V75/H$16*1000/12</f>
        <v>0</v>
      </c>
      <c r="J55" s="621"/>
    </row>
    <row r="56" spans="1:10" s="44" customFormat="1" ht="15.6">
      <c r="A56" s="738" t="s">
        <v>1456</v>
      </c>
      <c r="B56" s="140" t="s">
        <v>1380</v>
      </c>
      <c r="C56" s="777" t="s">
        <v>1422</v>
      </c>
      <c r="D56" s="745">
        <f>'ТЕ_2ст_тариф_з ІТП'!J76/D$16*1000/12</f>
        <v>7163.4268613410795</v>
      </c>
      <c r="E56" s="745">
        <f>'ТЕ_2ст_тариф_з ІТП'!M76/E$16*1000/12</f>
        <v>7316.397146693067</v>
      </c>
      <c r="F56" s="745">
        <f>'ТЕ_2ст_тариф_з ІТП'!P76/F$16*1000/12</f>
        <v>7218.3269497699011</v>
      </c>
      <c r="G56" s="745">
        <f>'ТЕ_2ст_тариф_з ІТП'!S76/G$16*1000/12</f>
        <v>7123.2285766869491</v>
      </c>
      <c r="H56" s="745">
        <f>'ТЕ_2ст_тариф_з ІТП'!V76/H$16*1000/12</f>
        <v>7198.2968508239128</v>
      </c>
      <c r="J56" s="621"/>
    </row>
    <row r="57" spans="1:10" s="44" customFormat="1" ht="31.2" hidden="1" customHeight="1">
      <c r="A57" s="2670" t="s">
        <v>1543</v>
      </c>
      <c r="B57" s="2940"/>
      <c r="C57" s="2940"/>
      <c r="D57" s="2940"/>
      <c r="E57" s="2940"/>
      <c r="F57" s="2940"/>
      <c r="G57" s="2940"/>
      <c r="H57" s="2941"/>
      <c r="J57" s="621"/>
    </row>
    <row r="58" spans="1:10" s="44" customFormat="1" ht="15.6" hidden="1">
      <c r="A58" s="738" t="s">
        <v>919</v>
      </c>
      <c r="B58" s="171" t="s">
        <v>1406</v>
      </c>
      <c r="C58" s="778" t="s">
        <v>1173</v>
      </c>
      <c r="D58" s="1136">
        <f>'ТЕ_2ст_тариф_з ІТП'!I121/D$14</f>
        <v>0</v>
      </c>
      <c r="E58" s="1136">
        <f>'ТЕ_2ст_тариф_з ІТП'!L87/E$14</f>
        <v>0</v>
      </c>
      <c r="F58" s="1136">
        <f>'ТЕ_2ст_тариф_з ІТП'!O121/F$14</f>
        <v>0</v>
      </c>
      <c r="G58" s="1136"/>
      <c r="H58" s="1136">
        <f>'ТЕ_2ст_тариф_з ІТП'!U121/H$14</f>
        <v>0</v>
      </c>
      <c r="J58" s="621"/>
    </row>
    <row r="59" spans="1:10" s="44" customFormat="1" ht="15.6" hidden="1">
      <c r="A59" s="738" t="s">
        <v>1457</v>
      </c>
      <c r="B59" s="171" t="s">
        <v>202</v>
      </c>
      <c r="C59" s="778" t="s">
        <v>1173</v>
      </c>
      <c r="D59" s="1136">
        <f>'ТЕ_2ст_тариф_з ІТП'!I88/D$14</f>
        <v>0</v>
      </c>
      <c r="E59" s="1136">
        <f>'ТЕ_2ст_тариф_з ІТП'!L88/E$14</f>
        <v>0</v>
      </c>
      <c r="F59" s="1136">
        <f>'ТЕ_2ст_тариф_з ІТП'!O88/F$14</f>
        <v>0</v>
      </c>
      <c r="G59" s="1136"/>
      <c r="H59" s="1136">
        <f>'ТЕ_2ст_тариф_з ІТП'!U88/H$14</f>
        <v>0</v>
      </c>
      <c r="J59" s="621"/>
    </row>
    <row r="60" spans="1:10" s="44" customFormat="1" ht="15.6" hidden="1">
      <c r="A60" s="738" t="s">
        <v>1458</v>
      </c>
      <c r="B60" s="171" t="s">
        <v>39</v>
      </c>
      <c r="C60" s="778" t="s">
        <v>1173</v>
      </c>
      <c r="D60" s="1136">
        <f>'ТЕ_2ст_тариф_з ІТП'!I89/D$14</f>
        <v>0</v>
      </c>
      <c r="E60" s="1136">
        <f>'ТЕ_2ст_тариф_з ІТП'!L89/E$14</f>
        <v>0</v>
      </c>
      <c r="F60" s="1136">
        <f>'ТЕ_2ст_тариф_з ІТП'!O89/F$14</f>
        <v>0</v>
      </c>
      <c r="G60" s="1136"/>
      <c r="H60" s="1136">
        <f>'ТЕ_2ст_тариф_з ІТП'!U89/H$14</f>
        <v>0</v>
      </c>
      <c r="J60" s="621"/>
    </row>
    <row r="61" spans="1:10" s="44" customFormat="1" ht="31.2" hidden="1" customHeight="1">
      <c r="A61" s="2670" t="s">
        <v>1544</v>
      </c>
      <c r="B61" s="2940"/>
      <c r="C61" s="2940"/>
      <c r="D61" s="2940"/>
      <c r="E61" s="2940"/>
      <c r="F61" s="2940"/>
      <c r="G61" s="2940"/>
      <c r="H61" s="2941"/>
      <c r="J61" s="621"/>
    </row>
    <row r="62" spans="1:10" s="44" customFormat="1" ht="26.4" hidden="1">
      <c r="A62" s="738">
        <v>15</v>
      </c>
      <c r="B62" s="140" t="s">
        <v>1408</v>
      </c>
      <c r="C62" s="778" t="s">
        <v>1420</v>
      </c>
      <c r="D62" s="745">
        <f>'ТЕ_2ст_тариф_з ІТП'!J121/D$17*1000/12</f>
        <v>0</v>
      </c>
      <c r="E62" s="745">
        <f>'ТЕ_2ст_тариф_з ІТП'!M121/E$17*1000/12</f>
        <v>0</v>
      </c>
      <c r="F62" s="745">
        <f>'ТЕ_2ст_тариф_з ІТП'!P121/F$17*1000/12</f>
        <v>0</v>
      </c>
      <c r="G62" s="745"/>
      <c r="H62" s="745">
        <f>'ТЕ_2ст_тариф_з ІТП'!V121/H$17*1000/12</f>
        <v>0</v>
      </c>
      <c r="J62" s="621"/>
    </row>
    <row r="63" spans="1:10" s="44" customFormat="1" ht="15.6" hidden="1">
      <c r="A63" s="759" t="s">
        <v>547</v>
      </c>
      <c r="B63" s="171" t="s">
        <v>201</v>
      </c>
      <c r="C63" s="777" t="s">
        <v>1422</v>
      </c>
      <c r="D63" s="745">
        <f>'ТЕ_2ст_тариф_з ІТП'!J87/D$17*1000/12</f>
        <v>0</v>
      </c>
      <c r="E63" s="745">
        <f>'ТЕ_2ст_тариф_з ІТП'!M87/E$17*1000/12</f>
        <v>0</v>
      </c>
      <c r="F63" s="745">
        <f>'ТЕ_2ст_тариф_з ІТП'!P87/F$17*1000/12</f>
        <v>0</v>
      </c>
      <c r="G63" s="745"/>
      <c r="H63" s="745">
        <f>'ТЕ_2ст_тариф_з ІТП'!V87/H$17*1000/12</f>
        <v>0</v>
      </c>
      <c r="J63" s="621"/>
    </row>
    <row r="64" spans="1:10" s="44" customFormat="1" ht="15.6" hidden="1">
      <c r="A64" s="759" t="s">
        <v>187</v>
      </c>
      <c r="B64" s="171" t="s">
        <v>202</v>
      </c>
      <c r="C64" s="777" t="s">
        <v>1422</v>
      </c>
      <c r="D64" s="745">
        <f>'ТЕ_2ст_тариф_з ІТП'!J88/D$17*1000/12</f>
        <v>0</v>
      </c>
      <c r="E64" s="745">
        <f>'ТЕ_2ст_тариф_з ІТП'!M88/E$17*1000/12</f>
        <v>0</v>
      </c>
      <c r="F64" s="745">
        <f>'ТЕ_2ст_тариф_з ІТП'!P88/F$17*1000/12</f>
        <v>0</v>
      </c>
      <c r="G64" s="745"/>
      <c r="H64" s="745">
        <f>'ТЕ_2ст_тариф_з ІТП'!V88/H$17*1000/12</f>
        <v>0</v>
      </c>
      <c r="J64" s="621"/>
    </row>
    <row r="65" spans="1:10" s="44" customFormat="1" ht="15.6" hidden="1">
      <c r="A65" s="759" t="s">
        <v>1459</v>
      </c>
      <c r="B65" s="171" t="s">
        <v>39</v>
      </c>
      <c r="C65" s="777" t="s">
        <v>1422</v>
      </c>
      <c r="D65" s="745">
        <f>'ТЕ_2ст_тариф_з ІТП'!J89/D$17*1000/12</f>
        <v>0</v>
      </c>
      <c r="E65" s="745">
        <f>'ТЕ_2ст_тариф_з ІТП'!M89/E$17*1000/12</f>
        <v>0</v>
      </c>
      <c r="F65" s="745">
        <f>'ТЕ_2ст_тариф_з ІТП'!P89/F$17*1000/12</f>
        <v>0</v>
      </c>
      <c r="G65" s="745"/>
      <c r="H65" s="745">
        <f>'ТЕ_2ст_тариф_з ІТП'!V89/H$17*1000/12</f>
        <v>0</v>
      </c>
      <c r="J65" s="621"/>
    </row>
    <row r="66" spans="1:10" s="44" customFormat="1" ht="26.4" hidden="1">
      <c r="A66" s="762" t="s">
        <v>1460</v>
      </c>
      <c r="B66" s="171" t="s">
        <v>531</v>
      </c>
      <c r="C66" s="777" t="s">
        <v>1422</v>
      </c>
      <c r="D66" s="745">
        <f>'ТЕ_2ст_тариф_з ІТП'!J90/D$17*1000/12</f>
        <v>0</v>
      </c>
      <c r="E66" s="745">
        <f>'ТЕ_2ст_тариф_з ІТП'!M90/E$17*1000/12</f>
        <v>0</v>
      </c>
      <c r="F66" s="745">
        <f>'ТЕ_2ст_тариф_з ІТП'!P90/F$17*1000/12</f>
        <v>0</v>
      </c>
      <c r="G66" s="745"/>
      <c r="H66" s="745">
        <f>'ТЕ_2ст_тариф_з ІТП'!V90/H$17*1000/12</f>
        <v>0</v>
      </c>
      <c r="J66" s="621"/>
    </row>
    <row r="67" spans="1:10" s="44" customFormat="1" ht="26.4" hidden="1">
      <c r="A67" s="762" t="s">
        <v>1461</v>
      </c>
      <c r="B67" s="171" t="s">
        <v>532</v>
      </c>
      <c r="C67" s="777" t="s">
        <v>1422</v>
      </c>
      <c r="D67" s="745">
        <f>'ТЕ_2ст_тариф_з ІТП'!J91/D$17*1000/12</f>
        <v>0</v>
      </c>
      <c r="E67" s="745">
        <f>'ТЕ_2ст_тариф_з ІТП'!M91/E$17*1000/12</f>
        <v>0</v>
      </c>
      <c r="F67" s="745">
        <f>'ТЕ_2ст_тариф_з ІТП'!P91/F$17*1000/12</f>
        <v>0</v>
      </c>
      <c r="G67" s="745"/>
      <c r="H67" s="745">
        <f>'ТЕ_2ст_тариф_з ІТП'!V91/H$17*1000/12</f>
        <v>0</v>
      </c>
      <c r="J67" s="621"/>
    </row>
    <row r="68" spans="1:10" s="44" customFormat="1" ht="15.6" hidden="1">
      <c r="A68" s="762" t="s">
        <v>1462</v>
      </c>
      <c r="B68" s="171" t="s">
        <v>533</v>
      </c>
      <c r="C68" s="777" t="s">
        <v>1422</v>
      </c>
      <c r="D68" s="745">
        <f>'ТЕ_2ст_тариф_з ІТП'!J92/D$17*1000/12</f>
        <v>0</v>
      </c>
      <c r="E68" s="745">
        <f>'ТЕ_2ст_тариф_з ІТП'!M92/E$17*1000/12</f>
        <v>0</v>
      </c>
      <c r="F68" s="745">
        <f>'ТЕ_2ст_тариф_з ІТП'!P92/F$17*1000/12</f>
        <v>0</v>
      </c>
      <c r="G68" s="745"/>
      <c r="H68" s="745">
        <f>'ТЕ_2ст_тариф_з ІТП'!V92/H$17*1000/12</f>
        <v>0</v>
      </c>
      <c r="J68" s="621"/>
    </row>
    <row r="69" spans="1:10" ht="26.4" hidden="1">
      <c r="A69" s="762" t="s">
        <v>1463</v>
      </c>
      <c r="B69" s="171" t="s">
        <v>1263</v>
      </c>
      <c r="C69" s="777" t="s">
        <v>1422</v>
      </c>
      <c r="D69" s="745">
        <f>'ТЕ_2ст_тариф_з ІТП'!J93/D$17*1000/12</f>
        <v>0</v>
      </c>
      <c r="E69" s="745">
        <f>'ТЕ_2ст_тариф_з ІТП'!M93/E$17*1000/12</f>
        <v>0</v>
      </c>
      <c r="F69" s="745">
        <f>'ТЕ_2ст_тариф_з ІТП'!P93/F$17*1000/12</f>
        <v>0</v>
      </c>
      <c r="G69" s="745"/>
      <c r="H69" s="745">
        <f>'ТЕ_2ст_тариф_з ІТП'!V93/H$17*1000/12</f>
        <v>0</v>
      </c>
    </row>
    <row r="70" spans="1:10" hidden="1">
      <c r="A70" s="762" t="s">
        <v>188</v>
      </c>
      <c r="B70" s="140" t="s">
        <v>43</v>
      </c>
      <c r="C70" s="777" t="s">
        <v>1422</v>
      </c>
      <c r="D70" s="745">
        <f>'ТЕ_2ст_тариф_з ІТП'!J94/D$17*1000/12</f>
        <v>0</v>
      </c>
      <c r="E70" s="745">
        <f>'ТЕ_2ст_тариф_з ІТП'!M94/E$17*1000/12</f>
        <v>0</v>
      </c>
      <c r="F70" s="745">
        <f>'ТЕ_2ст_тариф_з ІТП'!P94/F$17*1000/12</f>
        <v>0</v>
      </c>
      <c r="G70" s="745"/>
      <c r="H70" s="745">
        <f>'ТЕ_2ст_тариф_з ІТП'!V94/H$17*1000/12</f>
        <v>0</v>
      </c>
    </row>
    <row r="71" spans="1:10" hidden="1">
      <c r="A71" s="762" t="s">
        <v>1387</v>
      </c>
      <c r="B71" s="171" t="s">
        <v>203</v>
      </c>
      <c r="C71" s="777" t="s">
        <v>1422</v>
      </c>
      <c r="D71" s="745">
        <f>'ТЕ_2ст_тариф_з ІТП'!J95/D$17*1000/12</f>
        <v>0</v>
      </c>
      <c r="E71" s="745">
        <f>'ТЕ_2ст_тариф_з ІТП'!M95/E$17*1000/12</f>
        <v>0</v>
      </c>
      <c r="F71" s="745">
        <f>'ТЕ_2ст_тариф_з ІТП'!P95/F$17*1000/12</f>
        <v>0</v>
      </c>
      <c r="G71" s="745"/>
      <c r="H71" s="745">
        <f>'ТЕ_2ст_тариф_з ІТП'!V95/H$17*1000/12</f>
        <v>0</v>
      </c>
    </row>
    <row r="72" spans="1:10" ht="26.4" hidden="1">
      <c r="A72" s="762" t="s">
        <v>1464</v>
      </c>
      <c r="B72" s="171" t="s">
        <v>433</v>
      </c>
      <c r="C72" s="777" t="s">
        <v>1422</v>
      </c>
      <c r="D72" s="745">
        <f>'ТЕ_2ст_тариф_з ІТП'!J96/D$17*1000/12</f>
        <v>0</v>
      </c>
      <c r="E72" s="745">
        <f>'ТЕ_2ст_тариф_з ІТП'!M96/E$17*1000/12</f>
        <v>0</v>
      </c>
      <c r="F72" s="745">
        <f>'ТЕ_2ст_тариф_з ІТП'!P96/F$17*1000/12</f>
        <v>0</v>
      </c>
      <c r="G72" s="745"/>
      <c r="H72" s="745">
        <f>'ТЕ_2ст_тариф_з ІТП'!V96/H$17*1000/12</f>
        <v>0</v>
      </c>
    </row>
    <row r="73" spans="1:10" hidden="1">
      <c r="A73" s="762" t="s">
        <v>1465</v>
      </c>
      <c r="B73" s="171" t="s">
        <v>441</v>
      </c>
      <c r="C73" s="777" t="s">
        <v>1422</v>
      </c>
      <c r="D73" s="745">
        <f>'ТЕ_2ст_тариф_з ІТП'!J97/D$17*1000/12</f>
        <v>0</v>
      </c>
      <c r="E73" s="745">
        <f>'ТЕ_2ст_тариф_з ІТП'!M97/E$17*1000/12</f>
        <v>0</v>
      </c>
      <c r="F73" s="745">
        <f>'ТЕ_2ст_тариф_з ІТП'!P97/F$17*1000/12</f>
        <v>0</v>
      </c>
      <c r="G73" s="745"/>
      <c r="H73" s="745">
        <f>'ТЕ_2ст_тариф_з ІТП'!V97/H$17*1000/12</f>
        <v>0</v>
      </c>
    </row>
    <row r="74" spans="1:10" hidden="1">
      <c r="A74" s="762" t="s">
        <v>1466</v>
      </c>
      <c r="B74" s="171" t="s">
        <v>77</v>
      </c>
      <c r="C74" s="777" t="s">
        <v>1422</v>
      </c>
      <c r="D74" s="745">
        <f>'ТЕ_2ст_тариф_з ІТП'!J98/D$17*1000/12</f>
        <v>0</v>
      </c>
      <c r="E74" s="745">
        <f>'ТЕ_2ст_тариф_з ІТП'!M98/E$17*1000/12</f>
        <v>0</v>
      </c>
      <c r="F74" s="745">
        <f>'ТЕ_2ст_тариф_з ІТП'!P98/F$17*1000/12</f>
        <v>0</v>
      </c>
      <c r="G74" s="745"/>
      <c r="H74" s="745">
        <f>'ТЕ_2ст_тариф_з ІТП'!V98/H$17*1000/12</f>
        <v>0</v>
      </c>
    </row>
    <row r="75" spans="1:10" hidden="1">
      <c r="A75" s="762" t="s">
        <v>1467</v>
      </c>
      <c r="B75" s="171" t="s">
        <v>204</v>
      </c>
      <c r="C75" s="777" t="s">
        <v>1422</v>
      </c>
      <c r="D75" s="745">
        <f>'ТЕ_2ст_тариф_з ІТП'!J99/D$17*1000/12</f>
        <v>0</v>
      </c>
      <c r="E75" s="745">
        <f>'ТЕ_2ст_тариф_з ІТП'!M99/E$17*1000/12</f>
        <v>0</v>
      </c>
      <c r="F75" s="745">
        <f>'ТЕ_2ст_тариф_з ІТП'!P99/F$17*1000/12</f>
        <v>0</v>
      </c>
      <c r="G75" s="745"/>
      <c r="H75" s="745">
        <f>'ТЕ_2ст_тариф_з ІТП'!V99/H$17*1000/12</f>
        <v>0</v>
      </c>
    </row>
    <row r="76" spans="1:10" hidden="1">
      <c r="A76" s="762" t="s">
        <v>1468</v>
      </c>
      <c r="B76" s="171" t="s">
        <v>51</v>
      </c>
      <c r="C76" s="777" t="s">
        <v>1422</v>
      </c>
      <c r="D76" s="745">
        <f>'ТЕ_2ст_тариф_з ІТП'!J100/D$17*1000/12</f>
        <v>0</v>
      </c>
      <c r="E76" s="745">
        <f>'ТЕ_2ст_тариф_з ІТП'!M100/E$17*1000/12</f>
        <v>0</v>
      </c>
      <c r="F76" s="745">
        <f>'ТЕ_2ст_тариф_з ІТП'!P100/F$17*1000/12</f>
        <v>0</v>
      </c>
      <c r="G76" s="745"/>
      <c r="H76" s="745">
        <f>'ТЕ_2ст_тариф_з ІТП'!V100/H$17*1000/12</f>
        <v>0</v>
      </c>
    </row>
    <row r="77" spans="1:10" ht="26.4" hidden="1">
      <c r="A77" s="762" t="s">
        <v>1469</v>
      </c>
      <c r="B77" s="171" t="s">
        <v>433</v>
      </c>
      <c r="C77" s="777" t="s">
        <v>1422</v>
      </c>
      <c r="D77" s="745">
        <f>'ТЕ_2ст_тариф_з ІТП'!J101/D$17*1000/12</f>
        <v>0</v>
      </c>
      <c r="E77" s="745">
        <f>'ТЕ_2ст_тариф_з ІТП'!M101/E$17*1000/12</f>
        <v>0</v>
      </c>
      <c r="F77" s="745">
        <f>'ТЕ_2ст_тариф_з ІТП'!P101/F$17*1000/12</f>
        <v>0</v>
      </c>
      <c r="G77" s="745"/>
      <c r="H77" s="745">
        <f>'ТЕ_2ст_тариф_з ІТП'!V101/H$17*1000/12</f>
        <v>0</v>
      </c>
    </row>
    <row r="78" spans="1:10" hidden="1">
      <c r="A78" s="762" t="s">
        <v>1470</v>
      </c>
      <c r="B78" s="171" t="s">
        <v>54</v>
      </c>
      <c r="C78" s="777" t="s">
        <v>1422</v>
      </c>
      <c r="D78" s="745">
        <f>'ТЕ_2ст_тариф_з ІТП'!J102/D$17*1000/12</f>
        <v>0</v>
      </c>
      <c r="E78" s="745">
        <f>'ТЕ_2ст_тариф_з ІТП'!M102/E$17*1000/12</f>
        <v>0</v>
      </c>
      <c r="F78" s="745">
        <f>'ТЕ_2ст_тариф_з ІТП'!P102/F$17*1000/12</f>
        <v>0</v>
      </c>
      <c r="G78" s="745"/>
      <c r="H78" s="745">
        <f>'ТЕ_2ст_тариф_з ІТП'!V102/H$17*1000/12</f>
        <v>0</v>
      </c>
    </row>
    <row r="79" spans="1:10" hidden="1">
      <c r="A79" s="762" t="s">
        <v>548</v>
      </c>
      <c r="B79" s="140" t="s">
        <v>205</v>
      </c>
      <c r="C79" s="777" t="s">
        <v>1422</v>
      </c>
      <c r="D79" s="745">
        <f>'ТЕ_2ст_тариф_з ІТП'!J103/D$17*1000/12</f>
        <v>0</v>
      </c>
      <c r="E79" s="745">
        <f>'ТЕ_2ст_тариф_з ІТП'!M103/E$17*1000/12</f>
        <v>0</v>
      </c>
      <c r="F79" s="745">
        <f>'ТЕ_2ст_тариф_з ІТП'!P103/F$17*1000/12</f>
        <v>0</v>
      </c>
      <c r="G79" s="745"/>
      <c r="H79" s="745">
        <f>'ТЕ_2ст_тариф_з ІТП'!V103/H$17*1000/12</f>
        <v>0</v>
      </c>
    </row>
    <row r="80" spans="1:10" hidden="1">
      <c r="A80" s="762" t="s">
        <v>1159</v>
      </c>
      <c r="B80" s="140" t="s">
        <v>51</v>
      </c>
      <c r="C80" s="777" t="s">
        <v>1422</v>
      </c>
      <c r="D80" s="745">
        <f>'ТЕ_2ст_тариф_з ІТП'!J104/D$17*1000/12</f>
        <v>0</v>
      </c>
      <c r="E80" s="745">
        <f>'ТЕ_2ст_тариф_з ІТП'!M104/E$17*1000/12</f>
        <v>0</v>
      </c>
      <c r="F80" s="745">
        <f>'ТЕ_2ст_тариф_з ІТП'!P104/F$17*1000/12</f>
        <v>0</v>
      </c>
      <c r="G80" s="745"/>
      <c r="H80" s="745">
        <f>'ТЕ_2ст_тариф_з ІТП'!V104/H$17*1000/12</f>
        <v>0</v>
      </c>
    </row>
    <row r="81" spans="1:8" ht="26.4" hidden="1">
      <c r="A81" s="762" t="s">
        <v>1160</v>
      </c>
      <c r="B81" s="140" t="s">
        <v>433</v>
      </c>
      <c r="C81" s="777" t="s">
        <v>1422</v>
      </c>
      <c r="D81" s="745">
        <f>'ТЕ_2ст_тариф_з ІТП'!J105/D$17*1000/12</f>
        <v>0</v>
      </c>
      <c r="E81" s="745">
        <f>'ТЕ_2ст_тариф_з ІТП'!M105/E$17*1000/12</f>
        <v>0</v>
      </c>
      <c r="F81" s="745">
        <f>'ТЕ_2ст_тариф_з ІТП'!P105/F$17*1000/12</f>
        <v>0</v>
      </c>
      <c r="G81" s="745"/>
      <c r="H81" s="745">
        <f>'ТЕ_2ст_тариф_з ІТП'!V105/H$17*1000/12</f>
        <v>0</v>
      </c>
    </row>
    <row r="82" spans="1:8" hidden="1">
      <c r="A82" s="762" t="s">
        <v>1388</v>
      </c>
      <c r="B82" s="140" t="s">
        <v>54</v>
      </c>
      <c r="C82" s="777" t="s">
        <v>1422</v>
      </c>
      <c r="D82" s="745">
        <f>'ТЕ_2ст_тариф_з ІТП'!J106/D$17*1000/12</f>
        <v>0</v>
      </c>
      <c r="E82" s="745">
        <f>'ТЕ_2ст_тариф_з ІТП'!M106/E$17*1000/12</f>
        <v>0</v>
      </c>
      <c r="F82" s="745">
        <f>'ТЕ_2ст_тариф_з ІТП'!P106/F$17*1000/12</f>
        <v>0</v>
      </c>
      <c r="G82" s="745"/>
      <c r="H82" s="745">
        <f>'ТЕ_2ст_тариф_з ІТП'!V106/H$17*1000/12</f>
        <v>0</v>
      </c>
    </row>
    <row r="83" spans="1:8" hidden="1">
      <c r="A83" s="762" t="s">
        <v>549</v>
      </c>
      <c r="B83" s="171" t="s">
        <v>206</v>
      </c>
      <c r="C83" s="777" t="s">
        <v>1422</v>
      </c>
      <c r="D83" s="745">
        <f>'ТЕ_2ст_тариф_з ІТП'!J107/D$17*1000/12</f>
        <v>0</v>
      </c>
      <c r="E83" s="745">
        <f>'ТЕ_2ст_тариф_з ІТП'!M107/E$17*1000/12</f>
        <v>0</v>
      </c>
      <c r="F83" s="745">
        <f>'ТЕ_2ст_тариф_з ІТП'!P107/F$17*1000/12</f>
        <v>0</v>
      </c>
      <c r="G83" s="745"/>
      <c r="H83" s="745">
        <f>'ТЕ_2ст_тариф_з ІТП'!V107/H$17*1000/12</f>
        <v>0</v>
      </c>
    </row>
    <row r="84" spans="1:8" hidden="1">
      <c r="A84" s="762" t="s">
        <v>1471</v>
      </c>
      <c r="B84" s="171" t="s">
        <v>51</v>
      </c>
      <c r="C84" s="777" t="s">
        <v>1422</v>
      </c>
      <c r="D84" s="745">
        <f>'ТЕ_2ст_тариф_з ІТП'!J108/D$17*1000/12</f>
        <v>0</v>
      </c>
      <c r="E84" s="745">
        <f>'ТЕ_2ст_тариф_з ІТП'!M108/E$17*1000/12</f>
        <v>0</v>
      </c>
      <c r="F84" s="745">
        <f>'ТЕ_2ст_тариф_з ІТП'!P108/F$17*1000/12</f>
        <v>0</v>
      </c>
      <c r="G84" s="745"/>
      <c r="H84" s="745">
        <f>'ТЕ_2ст_тариф_з ІТП'!V108/H$17*1000/12</f>
        <v>0</v>
      </c>
    </row>
    <row r="85" spans="1:8" ht="26.4" hidden="1">
      <c r="A85" s="762" t="s">
        <v>1472</v>
      </c>
      <c r="B85" s="140" t="s">
        <v>433</v>
      </c>
      <c r="C85" s="777" t="s">
        <v>1422</v>
      </c>
      <c r="D85" s="745">
        <f>'ТЕ_2ст_тариф_з ІТП'!J109/D$17*1000/12</f>
        <v>0</v>
      </c>
      <c r="E85" s="745">
        <f>'ТЕ_2ст_тариф_з ІТП'!M109/E$17*1000/12</f>
        <v>0</v>
      </c>
      <c r="F85" s="745">
        <f>'ТЕ_2ст_тариф_з ІТП'!P109/F$17*1000/12</f>
        <v>0</v>
      </c>
      <c r="G85" s="745"/>
      <c r="H85" s="745">
        <f>'ТЕ_2ст_тариф_з ІТП'!V109/H$17*1000/12</f>
        <v>0</v>
      </c>
    </row>
    <row r="86" spans="1:8" hidden="1">
      <c r="A86" s="762" t="s">
        <v>1473</v>
      </c>
      <c r="B86" s="755" t="s">
        <v>54</v>
      </c>
      <c r="C86" s="777" t="s">
        <v>1422</v>
      </c>
      <c r="D86" s="745">
        <f>'ТЕ_2ст_тариф_з ІТП'!J110/D$17*1000/12</f>
        <v>0</v>
      </c>
      <c r="E86" s="745">
        <f>'ТЕ_2ст_тариф_з ІТП'!M110/E$17*1000/12</f>
        <v>0</v>
      </c>
      <c r="F86" s="745">
        <f>'ТЕ_2ст_тариф_з ІТП'!P110/F$17*1000/12</f>
        <v>0</v>
      </c>
      <c r="G86" s="745"/>
      <c r="H86" s="745">
        <f>'ТЕ_2ст_тариф_з ІТП'!V110/H$17*1000/12</f>
        <v>0</v>
      </c>
    </row>
    <row r="87" spans="1:8" hidden="1">
      <c r="A87" s="762" t="s">
        <v>1389</v>
      </c>
      <c r="B87" s="140" t="s">
        <v>1220</v>
      </c>
      <c r="C87" s="777" t="s">
        <v>1422</v>
      </c>
      <c r="D87" s="745">
        <f>'ТЕ_2ст_тариф_з ІТП'!J111/D$17*1000/12</f>
        <v>0</v>
      </c>
      <c r="E87" s="745">
        <f>'ТЕ_2ст_тариф_з ІТП'!M111/E$17*1000/12</f>
        <v>0</v>
      </c>
      <c r="F87" s="745">
        <f>'ТЕ_2ст_тариф_з ІТП'!P111/F$17*1000/12</f>
        <v>0</v>
      </c>
      <c r="G87" s="745"/>
      <c r="H87" s="745">
        <f>'ТЕ_2ст_тариф_з ІТП'!V111/H$17*1000/12</f>
        <v>0</v>
      </c>
    </row>
    <row r="88" spans="1:8" hidden="1">
      <c r="A88" s="762" t="s">
        <v>1390</v>
      </c>
      <c r="B88" s="140" t="s">
        <v>5</v>
      </c>
      <c r="C88" s="777" t="s">
        <v>1422</v>
      </c>
      <c r="D88" s="745">
        <f>'ТЕ_2ст_тариф_з ІТП'!J112/D$17*1000/12</f>
        <v>0</v>
      </c>
      <c r="E88" s="745">
        <f>'ТЕ_2ст_тариф_з ІТП'!M112/E$17*1000/12</f>
        <v>0</v>
      </c>
      <c r="F88" s="745">
        <f>'ТЕ_2ст_тариф_з ІТП'!P112/F$17*1000/12</f>
        <v>0</v>
      </c>
      <c r="G88" s="745"/>
      <c r="H88" s="745">
        <f>'ТЕ_2ст_тариф_з ІТП'!V112/H$17*1000/12</f>
        <v>0</v>
      </c>
    </row>
    <row r="89" spans="1:8" hidden="1">
      <c r="A89" s="762" t="s">
        <v>1391</v>
      </c>
      <c r="B89" s="140" t="s">
        <v>1221</v>
      </c>
      <c r="C89" s="777" t="s">
        <v>1422</v>
      </c>
      <c r="D89" s="745">
        <f>'ТЕ_2ст_тариф_з ІТП'!J113/D$17*1000/12</f>
        <v>0</v>
      </c>
      <c r="E89" s="745">
        <f>'ТЕ_2ст_тариф_з ІТП'!M113/E$17*1000/12</f>
        <v>0</v>
      </c>
      <c r="F89" s="745">
        <f>'ТЕ_2ст_тариф_з ІТП'!P113/F$17*1000/12</f>
        <v>0</v>
      </c>
      <c r="G89" s="745"/>
      <c r="H89" s="745">
        <f>'ТЕ_2ст_тариф_з ІТП'!V113/H$17*1000/12</f>
        <v>0</v>
      </c>
    </row>
    <row r="90" spans="1:8" hidden="1">
      <c r="A90" s="762" t="s">
        <v>1392</v>
      </c>
      <c r="B90" s="140" t="s">
        <v>220</v>
      </c>
      <c r="C90" s="777" t="s">
        <v>1422</v>
      </c>
      <c r="D90" s="745">
        <f>'ТЕ_2ст_тариф_з ІТП'!J114/D$17*1000/12</f>
        <v>0</v>
      </c>
      <c r="E90" s="745">
        <f>'ТЕ_2ст_тариф_з ІТП'!M114/E$17*1000/12</f>
        <v>0</v>
      </c>
      <c r="F90" s="745">
        <f>'ТЕ_2ст_тариф_з ІТП'!P114/F$17*1000/12</f>
        <v>0</v>
      </c>
      <c r="G90" s="745"/>
      <c r="H90" s="745">
        <f>'ТЕ_2ст_тариф_з ІТП'!V114/H$17*1000/12</f>
        <v>0</v>
      </c>
    </row>
    <row r="91" spans="1:8" hidden="1">
      <c r="A91" s="762" t="s">
        <v>1393</v>
      </c>
      <c r="B91" s="140" t="s">
        <v>1547</v>
      </c>
      <c r="C91" s="777" t="s">
        <v>1422</v>
      </c>
      <c r="D91" s="745">
        <f>'ТЕ_2ст_тариф_з ІТП'!J115/D$17*1000/12</f>
        <v>0</v>
      </c>
      <c r="E91" s="745">
        <f>'ТЕ_2ст_тариф_з ІТП'!M115/E$17*1000/12</f>
        <v>0</v>
      </c>
      <c r="F91" s="745">
        <f>'ТЕ_2ст_тариф_з ІТП'!P115/F$17*1000/12</f>
        <v>0</v>
      </c>
      <c r="G91" s="745"/>
      <c r="H91" s="745">
        <f>'ТЕ_2ст_тариф_з ІТП'!V115/H$17*1000/12</f>
        <v>0</v>
      </c>
    </row>
    <row r="92" spans="1:8" hidden="1">
      <c r="A92" s="762" t="s">
        <v>1036</v>
      </c>
      <c r="B92" s="140" t="s">
        <v>61</v>
      </c>
      <c r="C92" s="777" t="s">
        <v>1422</v>
      </c>
      <c r="D92" s="745">
        <f>'ТЕ_2ст_тариф_з ІТП'!J116/D$17*1000/12</f>
        <v>0</v>
      </c>
      <c r="E92" s="745">
        <f>'ТЕ_2ст_тариф_з ІТП'!M116/E$17*1000/12</f>
        <v>0</v>
      </c>
      <c r="F92" s="745">
        <f>'ТЕ_2ст_тариф_з ІТП'!P116/F$17*1000/12</f>
        <v>0</v>
      </c>
      <c r="G92" s="745"/>
      <c r="H92" s="745">
        <f>'ТЕ_2ст_тариф_з ІТП'!V116/H$17*1000/12</f>
        <v>0</v>
      </c>
    </row>
    <row r="93" spans="1:8" hidden="1">
      <c r="A93" s="762" t="s">
        <v>1039</v>
      </c>
      <c r="B93" s="140" t="s">
        <v>80</v>
      </c>
      <c r="C93" s="777" t="s">
        <v>1422</v>
      </c>
      <c r="D93" s="745">
        <f>'ТЕ_2ст_тариф_з ІТП'!J117/D$17*1000/12</f>
        <v>0</v>
      </c>
      <c r="E93" s="745">
        <f>'ТЕ_2ст_тариф_з ІТП'!M117/E$17*1000/12</f>
        <v>0</v>
      </c>
      <c r="F93" s="745">
        <f>'ТЕ_2ст_тариф_з ІТП'!P117/F$17*1000/12</f>
        <v>0</v>
      </c>
      <c r="G93" s="745"/>
      <c r="H93" s="745">
        <f>'ТЕ_2ст_тариф_з ІТП'!V117/H$17*1000/12</f>
        <v>0</v>
      </c>
    </row>
    <row r="94" spans="1:8" hidden="1">
      <c r="A94" s="762" t="s">
        <v>1041</v>
      </c>
      <c r="B94" s="140" t="s">
        <v>81</v>
      </c>
      <c r="C94" s="777" t="s">
        <v>1422</v>
      </c>
      <c r="D94" s="745">
        <f>'ТЕ_2ст_тариф_з ІТП'!J118/D$17*1000/12</f>
        <v>0</v>
      </c>
      <c r="E94" s="745">
        <f>'ТЕ_2ст_тариф_з ІТП'!M118/E$17*1000/12</f>
        <v>0</v>
      </c>
      <c r="F94" s="745">
        <f>'ТЕ_2ст_тариф_з ІТП'!P118/F$17*1000/12</f>
        <v>0</v>
      </c>
      <c r="G94" s="745"/>
      <c r="H94" s="745">
        <f>'ТЕ_2ст_тариф_з ІТП'!V118/H$17*1000/12</f>
        <v>0</v>
      </c>
    </row>
    <row r="95" spans="1:8" hidden="1">
      <c r="A95" s="762" t="s">
        <v>1474</v>
      </c>
      <c r="B95" s="140" t="s">
        <v>67</v>
      </c>
      <c r="C95" s="777" t="s">
        <v>1422</v>
      </c>
      <c r="D95" s="745">
        <f>'ТЕ_2ст_тариф_з ІТП'!J119/D$17*1000/12</f>
        <v>0</v>
      </c>
      <c r="E95" s="745">
        <f>'ТЕ_2ст_тариф_з ІТП'!M119/E$17*1000/12</f>
        <v>0</v>
      </c>
      <c r="F95" s="745">
        <f>'ТЕ_2ст_тариф_з ІТП'!P119/F$17*1000/12</f>
        <v>0</v>
      </c>
      <c r="G95" s="745"/>
      <c r="H95" s="745">
        <f>'ТЕ_2ст_тариф_з ІТП'!V119/H$17*1000/12</f>
        <v>0</v>
      </c>
    </row>
    <row r="96" spans="1:8" hidden="1">
      <c r="A96" s="762" t="s">
        <v>1475</v>
      </c>
      <c r="B96" s="140" t="s">
        <v>82</v>
      </c>
      <c r="C96" s="777" t="s">
        <v>1422</v>
      </c>
      <c r="D96" s="745">
        <f>'ТЕ_2ст_тариф_з ІТП'!J120/D$17*1000/12</f>
        <v>0</v>
      </c>
      <c r="E96" s="745">
        <f>'ТЕ_2ст_тариф_з ІТП'!M120/E$17*1000/12</f>
        <v>0</v>
      </c>
      <c r="F96" s="745">
        <f>'ТЕ_2ст_тариф_з ІТП'!P120/F$17*1000/12</f>
        <v>0</v>
      </c>
      <c r="G96" s="745"/>
      <c r="H96" s="745">
        <f>'ТЕ_2ст_тариф_з ІТП'!V120/H$17*1000/12</f>
        <v>0</v>
      </c>
    </row>
    <row r="97" spans="1:10">
      <c r="A97" s="2934" t="s">
        <v>1427</v>
      </c>
      <c r="B97" s="2934"/>
      <c r="C97" s="2934"/>
      <c r="D97" s="2934"/>
      <c r="E97" s="2934"/>
      <c r="F97" s="2934"/>
      <c r="G97" s="2934"/>
      <c r="H97" s="2934"/>
    </row>
    <row r="98" spans="1:10" ht="26.4">
      <c r="A98" s="759" t="s">
        <v>1394</v>
      </c>
      <c r="B98" s="140" t="s">
        <v>1409</v>
      </c>
      <c r="C98" s="775" t="s">
        <v>1420</v>
      </c>
      <c r="D98" s="748">
        <f>'ТЕ_2ст_тариф_з ІТП'!J160/D$16*1000/12</f>
        <v>2870.6327287162926</v>
      </c>
      <c r="E98" s="748">
        <f>'ТЕ_2ст_тариф_з ІТП'!M160/E$16*1000/12</f>
        <v>2870.6327287162931</v>
      </c>
      <c r="F98" s="748">
        <f>'ТЕ_2ст_тариф_з ІТП'!P160/F$16*1000/12</f>
        <v>2870.6327287162926</v>
      </c>
      <c r="G98" s="748">
        <f>'ТЕ_2ст_тариф_з ІТП'!Q160/G$16*1000/12</f>
        <v>2870.6327287162926</v>
      </c>
      <c r="H98" s="748">
        <f>'ТЕ_2ст_тариф_з ІТП'!V160/H$16*1000/12</f>
        <v>2870.6327287162931</v>
      </c>
      <c r="J98" s="568"/>
    </row>
    <row r="99" spans="1:10">
      <c r="A99" s="760" t="s">
        <v>1395</v>
      </c>
      <c r="B99" s="140" t="s">
        <v>201</v>
      </c>
      <c r="C99" s="777" t="s">
        <v>1422</v>
      </c>
      <c r="D99" s="748">
        <f>'ТЕ_2ст_тариф_з ІТП'!J131/D$16*1000/12</f>
        <v>2516.0384806955876</v>
      </c>
      <c r="E99" s="748">
        <f>'ТЕ_2ст_тариф_з ІТП'!M131/E$16*1000/12</f>
        <v>2516.0384806955881</v>
      </c>
      <c r="F99" s="748">
        <f>'ТЕ_2ст_тариф_з ІТП'!P131/F$16*1000/12</f>
        <v>2516.0384806955876</v>
      </c>
      <c r="G99" s="748">
        <f>'ТЕ_2ст_тариф_з ІТП'!Q131/G$16*1000/12</f>
        <v>2516.0384806955876</v>
      </c>
      <c r="H99" s="748">
        <f>'ТЕ_2ст_тариф_з ІТП'!V131/H$16*1000/12</f>
        <v>2516.0384806955881</v>
      </c>
    </row>
    <row r="100" spans="1:10">
      <c r="A100" s="760" t="s">
        <v>1396</v>
      </c>
      <c r="B100" s="140" t="s">
        <v>97</v>
      </c>
      <c r="C100" s="777" t="s">
        <v>1422</v>
      </c>
      <c r="D100" s="748">
        <f>'ТЕ_2ст_тариф_з ІТП'!J132/D$16*1000/12</f>
        <v>0</v>
      </c>
      <c r="E100" s="748">
        <f>'ТЕ_2ст_тариф_з ІТП'!M132/E$16*1000/12</f>
        <v>0</v>
      </c>
      <c r="F100" s="748">
        <f>'ТЕ_2ст_тариф_з ІТП'!P132/F$16*1000/12</f>
        <v>0</v>
      </c>
      <c r="G100" s="748">
        <f>'ТЕ_2ст_тариф_з ІТП'!Q132/G$16*1000/12</f>
        <v>0</v>
      </c>
      <c r="H100" s="748">
        <f>'ТЕ_2ст_тариф_з ІТП'!V132/H$16*1000/12</f>
        <v>0</v>
      </c>
    </row>
    <row r="101" spans="1:10">
      <c r="A101" s="760" t="s">
        <v>1397</v>
      </c>
      <c r="B101" s="140" t="s">
        <v>43</v>
      </c>
      <c r="C101" s="777" t="s">
        <v>1422</v>
      </c>
      <c r="D101" s="748">
        <f>'ТЕ_2ст_тариф_з ІТП'!J133/D$16*1000/12</f>
        <v>2374.6399687126591</v>
      </c>
      <c r="E101" s="748">
        <f>'ТЕ_2ст_тариф_з ІТП'!M133/E$16*1000/12</f>
        <v>2374.63996871266</v>
      </c>
      <c r="F101" s="748">
        <f>'ТЕ_2ст_тариф_з ІТП'!P133/F$16*1000/12</f>
        <v>2374.6399687126595</v>
      </c>
      <c r="G101" s="748">
        <f>'ТЕ_2ст_тариф_з ІТП'!Q133/G$16*1000/12</f>
        <v>2374.6399687126591</v>
      </c>
      <c r="H101" s="748">
        <f>'ТЕ_2ст_тариф_з ІТП'!V133/H$16*1000/12</f>
        <v>2374.63996871266</v>
      </c>
    </row>
    <row r="102" spans="1:10">
      <c r="A102" s="760" t="s">
        <v>1398</v>
      </c>
      <c r="B102" s="140" t="s">
        <v>203</v>
      </c>
      <c r="C102" s="777" t="s">
        <v>1422</v>
      </c>
      <c r="D102" s="748">
        <f>'ТЕ_2ст_тариф_з ІТП'!J134/D$16*1000/12</f>
        <v>114.93257448569273</v>
      </c>
      <c r="E102" s="748">
        <f>'ТЕ_2ст_тариф_з ІТП'!M134/E$16*1000/12</f>
        <v>114.93257448569277</v>
      </c>
      <c r="F102" s="748">
        <f>'ТЕ_2ст_тариф_з ІТП'!P134/F$16*1000/12</f>
        <v>114.93257448569274</v>
      </c>
      <c r="G102" s="748">
        <f>'ТЕ_2ст_тариф_з ІТП'!Q134/G$16*1000/12</f>
        <v>114.93257448569274</v>
      </c>
      <c r="H102" s="748">
        <f>'ТЕ_2ст_тариф_з ІТП'!V134/H$16*1000/12</f>
        <v>114.93257448569277</v>
      </c>
    </row>
    <row r="103" spans="1:10" ht="26.4">
      <c r="A103" s="760" t="s">
        <v>1476</v>
      </c>
      <c r="B103" s="140" t="s">
        <v>433</v>
      </c>
      <c r="C103" s="777" t="s">
        <v>1422</v>
      </c>
      <c r="D103" s="748">
        <f>'ТЕ_2ст_тариф_з ІТП'!J135/D$16*1000/12</f>
        <v>114.93257448569273</v>
      </c>
      <c r="E103" s="748">
        <f>'ТЕ_2ст_тариф_з ІТП'!M135/E$16*1000/12</f>
        <v>114.93257448569277</v>
      </c>
      <c r="F103" s="748">
        <f>'ТЕ_2ст_тариф_з ІТП'!P135/F$16*1000/12</f>
        <v>114.93257448569274</v>
      </c>
      <c r="G103" s="748">
        <f>'ТЕ_2ст_тариф_з ІТП'!Q135/G$16*1000/12</f>
        <v>114.93257448569274</v>
      </c>
      <c r="H103" s="748">
        <f>'ТЕ_2ст_тариф_з ІТП'!V135/H$16*1000/12</f>
        <v>114.93257448569277</v>
      </c>
    </row>
    <row r="104" spans="1:10">
      <c r="A104" s="760" t="s">
        <v>1477</v>
      </c>
      <c r="B104" s="140" t="s">
        <v>441</v>
      </c>
      <c r="C104" s="777" t="s">
        <v>1422</v>
      </c>
      <c r="D104" s="748">
        <f>'ТЕ_2ст_тариф_з ІТП'!J136/D$16*1000/12</f>
        <v>0</v>
      </c>
      <c r="E104" s="748">
        <f>'ТЕ_2ст_тариф_з ІТП'!M136/E$16*1000/12</f>
        <v>0</v>
      </c>
      <c r="F104" s="748">
        <f>'ТЕ_2ст_тариф_з ІТП'!P136/F$16*1000/12</f>
        <v>0</v>
      </c>
      <c r="G104" s="748">
        <f>'ТЕ_2ст_тариф_з ІТП'!Q136/G$16*1000/12</f>
        <v>0</v>
      </c>
      <c r="H104" s="748">
        <f>'ТЕ_2ст_тариф_з ІТП'!V136/H$16*1000/12</f>
        <v>0</v>
      </c>
    </row>
    <row r="105" spans="1:10">
      <c r="A105" s="760" t="s">
        <v>1478</v>
      </c>
      <c r="B105" s="140" t="s">
        <v>48</v>
      </c>
      <c r="C105" s="777" t="s">
        <v>1422</v>
      </c>
      <c r="D105" s="748">
        <f>'ТЕ_2ст_тариф_з ІТП'!J137/D$16*1000/12</f>
        <v>0</v>
      </c>
      <c r="E105" s="748">
        <f>'ТЕ_2ст_тариф_з ІТП'!M137/E$16*1000/12</f>
        <v>0</v>
      </c>
      <c r="F105" s="748">
        <f>'ТЕ_2ст_тариф_з ІТП'!P137/F$16*1000/12</f>
        <v>0</v>
      </c>
      <c r="G105" s="748">
        <f>'ТЕ_2ст_тариф_з ІТП'!Q137/G$16*1000/12</f>
        <v>0</v>
      </c>
      <c r="H105" s="748">
        <f>'ТЕ_2ст_тариф_з ІТП'!V137/H$16*1000/12</f>
        <v>0</v>
      </c>
    </row>
    <row r="106" spans="1:10">
      <c r="A106" s="760" t="s">
        <v>1479</v>
      </c>
      <c r="B106" s="140" t="s">
        <v>204</v>
      </c>
      <c r="C106" s="777" t="s">
        <v>1422</v>
      </c>
      <c r="D106" s="748">
        <f>'ТЕ_2ст_тариф_з ІТП'!J138/D$16*1000/12</f>
        <v>26.465937497235487</v>
      </c>
      <c r="E106" s="748">
        <f>'ТЕ_2ст_тариф_з ІТП'!M138/E$16*1000/12</f>
        <v>26.46593749723549</v>
      </c>
      <c r="F106" s="748">
        <f>'ТЕ_2ст_тариф_з ІТП'!P138/F$16*1000/12</f>
        <v>26.465937497235487</v>
      </c>
      <c r="G106" s="748">
        <f>'ТЕ_2ст_тариф_з ІТП'!Q138/G$16*1000/12</f>
        <v>26.465937497235487</v>
      </c>
      <c r="H106" s="748">
        <f>'ТЕ_2ст_тариф_з ІТП'!V138/H$16*1000/12</f>
        <v>26.465937497235497</v>
      </c>
    </row>
    <row r="107" spans="1:10">
      <c r="A107" s="760" t="s">
        <v>1480</v>
      </c>
      <c r="B107" s="140" t="s">
        <v>51</v>
      </c>
      <c r="C107" s="777" t="s">
        <v>1422</v>
      </c>
      <c r="D107" s="748">
        <f>'ТЕ_2ст_тариф_з ІТП'!J139/D$16*1000/12</f>
        <v>25.080641394006232</v>
      </c>
      <c r="E107" s="748">
        <f>'ТЕ_2ст_тариф_з ІТП'!M139/E$16*1000/12</f>
        <v>25.080641394006236</v>
      </c>
      <c r="F107" s="748">
        <f>'ТЕ_2ст_тариф_з ІТП'!P139/F$16*1000/12</f>
        <v>25.080641394006236</v>
      </c>
      <c r="G107" s="748">
        <f>'ТЕ_2ст_тариф_з ІТП'!Q139/G$16*1000/12</f>
        <v>25.080641394006236</v>
      </c>
      <c r="H107" s="748">
        <f>'ТЕ_2ст_тариф_з ІТП'!V139/H$16*1000/12</f>
        <v>25.080641394006236</v>
      </c>
    </row>
    <row r="108" spans="1:10" ht="26.4">
      <c r="A108" s="760" t="s">
        <v>1481</v>
      </c>
      <c r="B108" s="140" t="s">
        <v>433</v>
      </c>
      <c r="C108" s="777" t="s">
        <v>1422</v>
      </c>
      <c r="D108" s="748">
        <f>'ТЕ_2ст_тариф_з ІТП'!J140/D$16*1000/12</f>
        <v>1.2139030434699014</v>
      </c>
      <c r="E108" s="748">
        <f>'ТЕ_2ст_тариф_з ІТП'!M140/E$16*1000/12</f>
        <v>1.2139030434699019</v>
      </c>
      <c r="F108" s="748">
        <f>'ТЕ_2ст_тариф_з ІТП'!P140/F$16*1000/12</f>
        <v>1.2139030434699016</v>
      </c>
      <c r="G108" s="748">
        <f>'ТЕ_2ст_тариф_з ІТП'!Q140/G$16*1000/12</f>
        <v>1.2139030434699014</v>
      </c>
      <c r="H108" s="748">
        <f>'ТЕ_2ст_тариф_з ІТП'!V140/H$16*1000/12</f>
        <v>1.2139030434699019</v>
      </c>
    </row>
    <row r="109" spans="1:10">
      <c r="A109" s="760" t="s">
        <v>1482</v>
      </c>
      <c r="B109" s="140" t="s">
        <v>54</v>
      </c>
      <c r="C109" s="777" t="s">
        <v>1422</v>
      </c>
      <c r="D109" s="748">
        <f>'ТЕ_2ст_тариф_з ІТП'!J141/D$16*1000/12</f>
        <v>0.17139305975935407</v>
      </c>
      <c r="E109" s="748">
        <f>'ТЕ_2ст_тариф_з ІТП'!M141/E$16*1000/12</f>
        <v>0.17139305975935415</v>
      </c>
      <c r="F109" s="748">
        <f>'ТЕ_2ст_тариф_з ІТП'!P141/F$16*1000/12</f>
        <v>0.17139305975935412</v>
      </c>
      <c r="G109" s="748">
        <f>'ТЕ_2ст_тариф_з ІТП'!Q141/G$16*1000/12</f>
        <v>0.17139305975935412</v>
      </c>
      <c r="H109" s="748">
        <f>'ТЕ_2ст_тариф_з ІТП'!V141/H$16*1000/12</f>
        <v>0.17139305975935412</v>
      </c>
    </row>
    <row r="110" spans="1:10">
      <c r="A110" s="760" t="s">
        <v>1399</v>
      </c>
      <c r="B110" s="140" t="s">
        <v>205</v>
      </c>
      <c r="C110" s="777" t="s">
        <v>1422</v>
      </c>
      <c r="D110" s="748">
        <f>'ТЕ_2ст_тариф_з ІТП'!J142/D$16*1000/12</f>
        <v>224.26284357374882</v>
      </c>
      <c r="E110" s="748">
        <f>'ТЕ_2ст_тариф_з ІТП'!M142/E$16*1000/12</f>
        <v>224.26284357374888</v>
      </c>
      <c r="F110" s="748">
        <f>'ТЕ_2ст_тариф_з ІТП'!P142/F$16*1000/12</f>
        <v>224.26284357374882</v>
      </c>
      <c r="G110" s="748">
        <f>'ТЕ_2ст_тариф_з ІТП'!Q142/G$16*1000/12</f>
        <v>224.26284357374882</v>
      </c>
      <c r="H110" s="748">
        <f>'ТЕ_2ст_тариф_з ІТП'!V142/H$16*1000/12</f>
        <v>224.26284357374882</v>
      </c>
    </row>
    <row r="111" spans="1:10">
      <c r="A111" s="760" t="s">
        <v>1052</v>
      </c>
      <c r="B111" s="140" t="s">
        <v>51</v>
      </c>
      <c r="C111" s="777" t="s">
        <v>1422</v>
      </c>
      <c r="D111" s="748">
        <f>'ТЕ_2ст_тариф_з ІТП'!J143/D$16*1000/12</f>
        <v>192.61528882913396</v>
      </c>
      <c r="E111" s="748">
        <f>'ТЕ_2ст_тариф_з ІТП'!M143/E$16*1000/12</f>
        <v>192.61528882913399</v>
      </c>
      <c r="F111" s="748">
        <f>'ТЕ_2ст_тариф_з ІТП'!P143/F$16*1000/12</f>
        <v>192.61528882913396</v>
      </c>
      <c r="G111" s="748">
        <f>'ТЕ_2ст_тариф_з ІТП'!Q143/G$16*1000/12</f>
        <v>192.61528882913396</v>
      </c>
      <c r="H111" s="748">
        <f>'ТЕ_2ст_тариф_з ІТП'!V143/H$16*1000/12</f>
        <v>192.61528882913399</v>
      </c>
    </row>
    <row r="112" spans="1:10" ht="26.4">
      <c r="A112" s="760" t="s">
        <v>1054</v>
      </c>
      <c r="B112" s="140" t="s">
        <v>433</v>
      </c>
      <c r="C112" s="777" t="s">
        <v>1422</v>
      </c>
      <c r="D112" s="748">
        <f>'ТЕ_2ст_тариф_з ІТП'!J144/D$16*1000/12</f>
        <v>9.3225799793300812</v>
      </c>
      <c r="E112" s="748">
        <f>'ТЕ_2ст_тариф_з ІТП'!M144/E$16*1000/12</f>
        <v>9.3225799793300848</v>
      </c>
      <c r="F112" s="748">
        <f>'ТЕ_2ст_тариф_з ІТП'!P144/F$16*1000/12</f>
        <v>9.322579979330083</v>
      </c>
      <c r="G112" s="748">
        <f>'ТЕ_2ст_тариф_з ІТП'!Q144/G$16*1000/12</f>
        <v>9.322579979330083</v>
      </c>
      <c r="H112" s="748">
        <f>'ТЕ_2ст_тариф_з ІТП'!V144/H$16*1000/12</f>
        <v>9.3225799793300848</v>
      </c>
    </row>
    <row r="113" spans="1:8">
      <c r="A113" s="760" t="s">
        <v>1400</v>
      </c>
      <c r="B113" s="140" t="s">
        <v>54</v>
      </c>
      <c r="C113" s="777" t="s">
        <v>1422</v>
      </c>
      <c r="D113" s="748">
        <f>'ТЕ_2ст_тариф_з ІТП'!J145/D$16*1000/12</f>
        <v>22.324974765284768</v>
      </c>
      <c r="E113" s="748">
        <f>'ТЕ_2ст_тариф_з ІТП'!M145/E$16*1000/12</f>
        <v>22.324974765284775</v>
      </c>
      <c r="F113" s="748">
        <f>'ТЕ_2ст_тариф_з ІТП'!P145/F$16*1000/12</f>
        <v>22.324974765284768</v>
      </c>
      <c r="G113" s="748">
        <f>'ТЕ_2ст_тариф_з ІТП'!Q145/G$16*1000/12</f>
        <v>22.324974765284768</v>
      </c>
      <c r="H113" s="748">
        <f>'ТЕ_2ст_тариф_з ІТП'!V145/H$16*1000/12</f>
        <v>22.324974765284775</v>
      </c>
    </row>
    <row r="114" spans="1:8">
      <c r="A114" s="760" t="s">
        <v>1401</v>
      </c>
      <c r="B114" s="171" t="s">
        <v>206</v>
      </c>
      <c r="C114" s="777" t="s">
        <v>1422</v>
      </c>
      <c r="D114" s="748">
        <f>'ТЕ_2ст_тариф_з ІТП'!J146/D$16*1000/12</f>
        <v>0</v>
      </c>
      <c r="E114" s="748">
        <f>'ТЕ_2ст_тариф_з ІТП'!M146/E$16*1000/12</f>
        <v>0</v>
      </c>
      <c r="F114" s="748">
        <f>'ТЕ_2ст_тариф_з ІТП'!P146/F$16*1000/12</f>
        <v>0</v>
      </c>
      <c r="G114" s="748">
        <f>'ТЕ_2ст_тариф_з ІТП'!Q146/G$16*1000/12</f>
        <v>0</v>
      </c>
      <c r="H114" s="748">
        <f>'ТЕ_2ст_тариф_з ІТП'!V146/H$16*1000/12</f>
        <v>0</v>
      </c>
    </row>
    <row r="115" spans="1:8">
      <c r="A115" s="760" t="s">
        <v>1483</v>
      </c>
      <c r="B115" s="171" t="s">
        <v>51</v>
      </c>
      <c r="C115" s="777" t="s">
        <v>1422</v>
      </c>
      <c r="D115" s="748">
        <f>'ТЕ_2ст_тариф_з ІТП'!J147/D$16*1000/12</f>
        <v>0</v>
      </c>
      <c r="E115" s="748">
        <f>'ТЕ_2ст_тариф_з ІТП'!M147/E$16*1000/12</f>
        <v>0</v>
      </c>
      <c r="F115" s="748">
        <f>'ТЕ_2ст_тариф_з ІТП'!P147/F$16*1000/12</f>
        <v>0</v>
      </c>
      <c r="G115" s="748">
        <f>'ТЕ_2ст_тариф_з ІТП'!Q147/G$16*1000/12</f>
        <v>0</v>
      </c>
      <c r="H115" s="748">
        <f>'ТЕ_2ст_тариф_з ІТП'!V147/H$16*1000/12</f>
        <v>0</v>
      </c>
    </row>
    <row r="116" spans="1:8" ht="26.4">
      <c r="A116" s="760" t="s">
        <v>1484</v>
      </c>
      <c r="B116" s="171" t="s">
        <v>433</v>
      </c>
      <c r="C116" s="777" t="s">
        <v>1422</v>
      </c>
      <c r="D116" s="748">
        <f>'ТЕ_2ст_тариф_з ІТП'!J148/D$16*1000/12</f>
        <v>0</v>
      </c>
      <c r="E116" s="748">
        <f>'ТЕ_2ст_тариф_з ІТП'!M148/E$16*1000/12</f>
        <v>0</v>
      </c>
      <c r="F116" s="748">
        <f>'ТЕ_2ст_тариф_з ІТП'!P148/F$16*1000/12</f>
        <v>0</v>
      </c>
      <c r="G116" s="748">
        <f>'ТЕ_2ст_тариф_з ІТП'!Q148/G$16*1000/12</f>
        <v>0</v>
      </c>
      <c r="H116" s="748">
        <f>'ТЕ_2ст_тариф_з ІТП'!V148/H$16*1000/12</f>
        <v>0</v>
      </c>
    </row>
    <row r="117" spans="1:8">
      <c r="A117" s="760" t="s">
        <v>1485</v>
      </c>
      <c r="B117" s="755" t="s">
        <v>54</v>
      </c>
      <c r="C117" s="777" t="s">
        <v>1422</v>
      </c>
      <c r="D117" s="748">
        <f>'ТЕ_2ст_тариф_з ІТП'!J149/D$16*1000/12</f>
        <v>0</v>
      </c>
      <c r="E117" s="748">
        <f>'ТЕ_2ст_тариф_з ІТП'!M149/E$16*1000/12</f>
        <v>0</v>
      </c>
      <c r="F117" s="748">
        <f>'ТЕ_2ст_тариф_з ІТП'!P149/F$16*1000/12</f>
        <v>0</v>
      </c>
      <c r="G117" s="748">
        <f>'ТЕ_2ст_тариф_з ІТП'!Q149/G$16*1000/12</f>
        <v>0</v>
      </c>
      <c r="H117" s="748">
        <f>'ТЕ_2ст_тариф_з ІТП'!V149/H$16*1000/12</f>
        <v>0</v>
      </c>
    </row>
    <row r="118" spans="1:8">
      <c r="A118" s="760" t="s">
        <v>1402</v>
      </c>
      <c r="B118" s="140" t="s">
        <v>1548</v>
      </c>
      <c r="C118" s="777" t="s">
        <v>1422</v>
      </c>
      <c r="D118" s="748">
        <f>'ТЕ_2ст_тариф_з ІТП'!J150/D$16*1000/12</f>
        <v>0</v>
      </c>
      <c r="E118" s="748">
        <f>'ТЕ_2ст_тариф_з ІТП'!M150/E$16*1000/12</f>
        <v>0</v>
      </c>
      <c r="F118" s="748">
        <f>'ТЕ_2ст_тариф_з ІТП'!P150/F$16*1000/12</f>
        <v>0</v>
      </c>
      <c r="G118" s="748">
        <f>'ТЕ_2ст_тариф_з ІТП'!Q150/G$16*1000/12</f>
        <v>0</v>
      </c>
      <c r="H118" s="748">
        <f>'ТЕ_2ст_тариф_з ІТП'!V150/H$16*1000/12</f>
        <v>0</v>
      </c>
    </row>
    <row r="119" spans="1:8">
      <c r="A119" s="760" t="s">
        <v>1403</v>
      </c>
      <c r="B119" s="140" t="s">
        <v>5</v>
      </c>
      <c r="C119" s="777" t="s">
        <v>1422</v>
      </c>
      <c r="D119" s="748">
        <f>'ТЕ_2ст_тариф_з ІТП'!J151/D$16*1000/12</f>
        <v>0</v>
      </c>
      <c r="E119" s="748">
        <f>'ТЕ_2ст_тариф_з ІТП'!M151/E$16*1000/12</f>
        <v>0</v>
      </c>
      <c r="F119" s="748">
        <f>'ТЕ_2ст_тариф_з ІТП'!P151/F$16*1000/12</f>
        <v>0</v>
      </c>
      <c r="G119" s="748">
        <f>'ТЕ_2ст_тариф_з ІТП'!Q151/G$16*1000/12</f>
        <v>0</v>
      </c>
      <c r="H119" s="748">
        <f>'ТЕ_2ст_тариф_з ІТП'!V151/H$16*1000/12</f>
        <v>0</v>
      </c>
    </row>
    <row r="120" spans="1:8">
      <c r="A120" s="760" t="s">
        <v>1404</v>
      </c>
      <c r="B120" s="140" t="s">
        <v>1221</v>
      </c>
      <c r="C120" s="777" t="s">
        <v>1422</v>
      </c>
      <c r="D120" s="748">
        <f>'ТЕ_2ст_тариф_з ІТП'!J152/D$16*1000/12</f>
        <v>2740.301324269336</v>
      </c>
      <c r="E120" s="748">
        <f>'ТЕ_2ст_тариф_з ІТП'!M152/E$16*1000/12</f>
        <v>2740.3013242693373</v>
      </c>
      <c r="F120" s="748">
        <f>'ТЕ_2ст_тариф_з ІТП'!P152/F$16*1000/12</f>
        <v>2740.3013242693364</v>
      </c>
      <c r="G120" s="748">
        <f>'ТЕ_2ст_тариф_з ІТП'!Q152/G$16*1000/12</f>
        <v>2740.301324269336</v>
      </c>
      <c r="H120" s="748">
        <f>'ТЕ_2ст_тариф_з ІТП'!V152/H$16*1000/12</f>
        <v>2740.3013242693373</v>
      </c>
    </row>
    <row r="121" spans="1:8">
      <c r="A121" s="760" t="s">
        <v>1405</v>
      </c>
      <c r="B121" s="140" t="s">
        <v>207</v>
      </c>
      <c r="C121" s="777" t="s">
        <v>1422</v>
      </c>
      <c r="D121" s="748">
        <f>'ТЕ_2ст_тариф_з ІТП'!J153/D$16*1000/12</f>
        <v>0</v>
      </c>
      <c r="E121" s="748">
        <f>'ТЕ_2ст_тариф_з ІТП'!M153/E$16*1000/12</f>
        <v>0</v>
      </c>
      <c r="F121" s="748">
        <f>'ТЕ_2ст_тариф_з ІТП'!P153/F$16*1000/12</f>
        <v>0</v>
      </c>
      <c r="G121" s="748">
        <f>'ТЕ_2ст_тариф_з ІТП'!Q153/G$16*1000/12</f>
        <v>0</v>
      </c>
      <c r="H121" s="748">
        <f>'ТЕ_2ст_тариф_з ІТП'!V153/H$16*1000/12</f>
        <v>0</v>
      </c>
    </row>
    <row r="122" spans="1:8">
      <c r="A122" s="760" t="s">
        <v>1486</v>
      </c>
      <c r="B122" s="140" t="s">
        <v>1546</v>
      </c>
      <c r="C122" s="777" t="s">
        <v>1422</v>
      </c>
      <c r="D122" s="748">
        <f>'ТЕ_2ст_тариф_з ІТП'!J154/D$16*1000/12</f>
        <v>130.33140444695621</v>
      </c>
      <c r="E122" s="748">
        <f>'ТЕ_2ст_тариф_з ІТП'!M154/E$16*1000/12</f>
        <v>130.33140444695627</v>
      </c>
      <c r="F122" s="748">
        <f>'ТЕ_2ст_тариф_з ІТП'!P154/F$16*1000/12</f>
        <v>130.33140444695627</v>
      </c>
      <c r="G122" s="748">
        <f>'ТЕ_2ст_тариф_з ІТП'!Q154/G$16*1000/12</f>
        <v>130.33140444695621</v>
      </c>
      <c r="H122" s="748">
        <f>'ТЕ_2ст_тариф_з ІТП'!V154/H$16*1000/12</f>
        <v>130.33140444695627</v>
      </c>
    </row>
    <row r="123" spans="1:8">
      <c r="A123" s="760" t="s">
        <v>1487</v>
      </c>
      <c r="B123" s="140" t="s">
        <v>61</v>
      </c>
      <c r="C123" s="777" t="s">
        <v>1422</v>
      </c>
      <c r="D123" s="748">
        <f>'ТЕ_2ст_тариф_з ІТП'!J155/D$16*1000/12</f>
        <v>23.459652800452115</v>
      </c>
      <c r="E123" s="748">
        <f>'ТЕ_2ст_тариф_з ІТП'!M155/E$16*1000/12</f>
        <v>23.459652800452123</v>
      </c>
      <c r="F123" s="748">
        <f>'ТЕ_2ст_тариф_з ІТП'!P155/F$16*1000/12</f>
        <v>23.459652800452123</v>
      </c>
      <c r="G123" s="748">
        <f>'ТЕ_2ст_тариф_з ІТП'!Q155/G$16*1000/12</f>
        <v>23.459652800452105</v>
      </c>
      <c r="H123" s="748">
        <f>'ТЕ_2ст_тариф_з ІТП'!V155/H$16*1000/12</f>
        <v>23.459652800452119</v>
      </c>
    </row>
    <row r="124" spans="1:8">
      <c r="A124" s="760" t="s">
        <v>1488</v>
      </c>
      <c r="B124" s="140" t="s">
        <v>80</v>
      </c>
      <c r="C124" s="777" t="s">
        <v>1422</v>
      </c>
      <c r="D124" s="748">
        <f>'ТЕ_2ст_тариф_з ІТП'!J156/D$16*1000/12</f>
        <v>0</v>
      </c>
      <c r="E124" s="748">
        <f>'ТЕ_2ст_тариф_з ІТП'!M156/E$16*1000/12</f>
        <v>0</v>
      </c>
      <c r="F124" s="748">
        <f>'ТЕ_2ст_тариф_з ІТП'!P156/F$16*1000/12</f>
        <v>0</v>
      </c>
      <c r="G124" s="748">
        <f>'ТЕ_2ст_тариф_з ІТП'!Q156/G$16*1000/12</f>
        <v>0</v>
      </c>
      <c r="H124" s="748">
        <f>'ТЕ_2ст_тариф_з ІТП'!V156/H$16*1000/12</f>
        <v>0</v>
      </c>
    </row>
    <row r="125" spans="1:8">
      <c r="A125" s="760" t="s">
        <v>1489</v>
      </c>
      <c r="B125" s="140" t="s">
        <v>81</v>
      </c>
      <c r="C125" s="777" t="s">
        <v>1422</v>
      </c>
      <c r="D125" s="748">
        <f>'ТЕ_2ст_тариф_з ІТП'!J157/D$16*1000/12</f>
        <v>0</v>
      </c>
      <c r="E125" s="748">
        <f>'ТЕ_2ст_тариф_з ІТП'!M157/E$16*1000/12</f>
        <v>0</v>
      </c>
      <c r="F125" s="748">
        <f>'ТЕ_2ст_тариф_з ІТП'!P157/F$16*1000/12</f>
        <v>0</v>
      </c>
      <c r="G125" s="748">
        <f>'ТЕ_2ст_тариф_з ІТП'!Q157/G$16*1000/12</f>
        <v>0</v>
      </c>
      <c r="H125" s="748">
        <f>'ТЕ_2ст_тариф_з ІТП'!V157/H$16*1000/12</f>
        <v>0</v>
      </c>
    </row>
    <row r="126" spans="1:8">
      <c r="A126" s="760" t="s">
        <v>1490</v>
      </c>
      <c r="B126" s="140" t="s">
        <v>67</v>
      </c>
      <c r="C126" s="777" t="s">
        <v>1422</v>
      </c>
      <c r="D126" s="748">
        <f>'ТЕ_2ст_тариф_з ІТП'!J158/D$16*1000/12</f>
        <v>0</v>
      </c>
      <c r="E126" s="748">
        <f>'ТЕ_2ст_тариф_з ІТП'!M158/E$16*1000/12</f>
        <v>0</v>
      </c>
      <c r="F126" s="748">
        <f>'ТЕ_2ст_тариф_з ІТП'!P158/F$16*1000/12</f>
        <v>0</v>
      </c>
      <c r="G126" s="748">
        <f>'ТЕ_2ст_тариф_з ІТП'!Q158/G$16*1000/12</f>
        <v>0</v>
      </c>
      <c r="H126" s="748">
        <f>'ТЕ_2ст_тариф_з ІТП'!V158/H$16*1000/12</f>
        <v>0</v>
      </c>
    </row>
    <row r="127" spans="1:8">
      <c r="A127" s="760" t="s">
        <v>1491</v>
      </c>
      <c r="B127" s="140" t="s">
        <v>82</v>
      </c>
      <c r="C127" s="777" t="s">
        <v>1422</v>
      </c>
      <c r="D127" s="748">
        <f>'ТЕ_2ст_тариф_з ІТП'!J159/D$16*1000/12</f>
        <v>106.87175164650411</v>
      </c>
      <c r="E127" s="748">
        <f>'ТЕ_2ст_тариф_з ІТП'!M159/E$16*1000/12</f>
        <v>106.87175164650415</v>
      </c>
      <c r="F127" s="748">
        <f>'ТЕ_2ст_тариф_з ІТП'!P159/F$16*1000/12</f>
        <v>106.87175164650414</v>
      </c>
      <c r="G127" s="748">
        <f>'ТЕ_2ст_тариф_з ІТП'!Q159/G$16*1000/12</f>
        <v>106.87175164650411</v>
      </c>
      <c r="H127" s="748">
        <f>'ТЕ_2ст_тариф_з ІТП'!V159/H$16*1000/12</f>
        <v>106.87175164650415</v>
      </c>
    </row>
    <row r="131" spans="1:9" ht="28.2" customHeight="1">
      <c r="B131" s="3076" t="s">
        <v>2043</v>
      </c>
      <c r="C131" s="3076"/>
      <c r="D131" s="793">
        <f>'[35]ТЕ_2ст_тариф_з ЦТП'!F145</f>
        <v>0</v>
      </c>
      <c r="E131" s="707"/>
      <c r="F131" s="2943" t="s">
        <v>2044</v>
      </c>
      <c r="G131" s="2943"/>
      <c r="H131" s="310"/>
      <c r="I131" s="310"/>
    </row>
    <row r="135" spans="1:9" hidden="1">
      <c r="A135" s="614"/>
      <c r="D135" s="568">
        <f>D20+D58</f>
        <v>1068.5536224484338</v>
      </c>
      <c r="E135" s="568">
        <f>E20+E58</f>
        <v>1048.897811587306</v>
      </c>
      <c r="F135" s="568">
        <f>F20+F58</f>
        <v>1048.8976454059243</v>
      </c>
      <c r="G135" s="568">
        <f>G20+G58</f>
        <v>1068.5520171362859</v>
      </c>
      <c r="H135" s="568">
        <f>H20+H58</f>
        <v>1068.5520171362859</v>
      </c>
    </row>
    <row r="136" spans="1:9" hidden="1">
      <c r="A136" s="614"/>
      <c r="D136" s="568">
        <f>D98+D62+D27</f>
        <v>45011.654126617032</v>
      </c>
      <c r="E136" s="568">
        <f>E98+E62+E27</f>
        <v>51884.747705205533</v>
      </c>
      <c r="F136" s="568">
        <f>F98+F62+F27</f>
        <v>49250.552840517128</v>
      </c>
      <c r="G136" s="568">
        <f>G98+G62+G27</f>
        <v>43932.132338439427</v>
      </c>
      <c r="H136" s="568">
        <f>H98+H62+H27</f>
        <v>45948.506556189634</v>
      </c>
    </row>
    <row r="137" spans="1:9" hidden="1">
      <c r="A137" s="614"/>
      <c r="D137" s="568">
        <f>'ТЕ_2ст_тариф_з ІТП'!H225</f>
        <v>45011.654126617032</v>
      </c>
      <c r="E137" s="568">
        <f>'ТЕ_2ст_тариф_з ІТП'!K225</f>
        <v>51884.747705205533</v>
      </c>
      <c r="F137" s="568">
        <f>'ТЕ_2ст_тариф_з ІТП'!N225</f>
        <v>49250.552840517128</v>
      </c>
      <c r="G137" s="568">
        <f>'ТЕ_2ст_тариф_з ІТП'!Q225</f>
        <v>43932.132338439427</v>
      </c>
      <c r="H137" s="568">
        <f>'ТЕ_2ст_тариф_з ІТП'!T225</f>
        <v>45948.506556189634</v>
      </c>
    </row>
    <row r="138" spans="1:9" hidden="1">
      <c r="A138" s="614"/>
      <c r="D138" s="568">
        <f t="shared" ref="D138:H139" si="4">D135-D9</f>
        <v>0</v>
      </c>
      <c r="E138" s="568">
        <f t="shared" si="4"/>
        <v>0</v>
      </c>
      <c r="F138" s="568">
        <f t="shared" si="4"/>
        <v>0</v>
      </c>
      <c r="G138" s="568">
        <f t="shared" si="4"/>
        <v>0</v>
      </c>
      <c r="H138" s="568">
        <f t="shared" si="4"/>
        <v>0</v>
      </c>
    </row>
    <row r="139" spans="1:9" hidden="1">
      <c r="A139" s="614"/>
      <c r="D139" s="568">
        <f t="shared" si="4"/>
        <v>0</v>
      </c>
      <c r="E139" s="568">
        <f t="shared" si="4"/>
        <v>0</v>
      </c>
      <c r="F139" s="568">
        <f t="shared" si="4"/>
        <v>0</v>
      </c>
      <c r="G139" s="568">
        <f t="shared" si="4"/>
        <v>0</v>
      </c>
      <c r="H139" s="568">
        <f t="shared" si="4"/>
        <v>0</v>
      </c>
    </row>
    <row r="140" spans="1:9" hidden="1"/>
    <row r="141" spans="1:9" hidden="1"/>
    <row r="142" spans="1:9" hidden="1"/>
    <row r="143" spans="1:9" hidden="1"/>
  </sheetData>
  <mergeCells count="17">
    <mergeCell ref="B131:C131"/>
    <mergeCell ref="F131:G131"/>
    <mergeCell ref="A97:H97"/>
    <mergeCell ref="A8:H8"/>
    <mergeCell ref="A11:H11"/>
    <mergeCell ref="A19:H19"/>
    <mergeCell ref="A26:H26"/>
    <mergeCell ref="A57:H57"/>
    <mergeCell ref="A61:H61"/>
    <mergeCell ref="M1:O1"/>
    <mergeCell ref="F1:H1"/>
    <mergeCell ref="A2:H2"/>
    <mergeCell ref="A3:H3"/>
    <mergeCell ref="A5:A6"/>
    <mergeCell ref="B5:B6"/>
    <mergeCell ref="C5:C6"/>
    <mergeCell ref="D5:H5"/>
  </mergeCells>
  <pageMargins left="0.70866141732283472" right="0.47244094488188981" top="0.7" bottom="0.43307086614173229" header="0.31496062992125984" footer="0.31496062992125984"/>
  <pageSetup paperSize="9" scale="75" fitToHeight="3" orientation="portrait" r:id="rId1"/>
  <headerFooter differentFirst="1">
    <oddHeader xml:space="preserve">&amp;C&amp;P&amp;R&amp;"Times New Roman,обычный"ПРОДОВЖЕННЯ ДОДАТКУ 2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12">
    <tabColor rgb="FF00B050"/>
    <pageSetUpPr fitToPage="1"/>
  </sheetPr>
  <dimension ref="A1:I25"/>
  <sheetViews>
    <sheetView workbookViewId="0">
      <selection activeCell="B4" sqref="B4:F4"/>
    </sheetView>
  </sheetViews>
  <sheetFormatPr defaultColWidth="8.88671875" defaultRowHeight="15.6"/>
  <cols>
    <col min="1" max="1" width="8.88671875" style="44"/>
    <col min="2" max="2" width="29.88671875" style="44" customWidth="1"/>
    <col min="3" max="3" width="19.44140625" style="44" customWidth="1"/>
    <col min="4" max="4" width="17.6640625" style="44" customWidth="1"/>
    <col min="5" max="5" width="12.5546875" style="44" customWidth="1"/>
    <col min="6" max="6" width="14.21875" style="44" customWidth="1"/>
    <col min="7" max="7" width="8.88671875" style="44"/>
    <col min="8" max="8" width="10.88671875" style="621" customWidth="1"/>
    <col min="9" max="9" width="10" style="621" customWidth="1"/>
    <col min="10" max="11" width="11.5546875" style="44" customWidth="1"/>
    <col min="12" max="16384" width="8.88671875" style="44"/>
  </cols>
  <sheetData>
    <row r="1" spans="1:9" ht="92.4" customHeight="1">
      <c r="A1" s="823"/>
      <c r="B1" s="729"/>
      <c r="C1" s="729"/>
      <c r="D1" s="807"/>
      <c r="E1" s="2916" t="s">
        <v>2053</v>
      </c>
      <c r="F1" s="2916"/>
    </row>
    <row r="2" spans="1:9" ht="4.8" customHeight="1"/>
    <row r="3" spans="1:9">
      <c r="B3" s="2925" t="s">
        <v>2054</v>
      </c>
      <c r="C3" s="2925"/>
      <c r="D3" s="2925"/>
      <c r="E3" s="2925"/>
      <c r="F3" s="2925"/>
    </row>
    <row r="4" spans="1:9" ht="47.4" customHeight="1">
      <c r="B4" s="2951" t="s">
        <v>2055</v>
      </c>
      <c r="C4" s="2951"/>
      <c r="D4" s="2951"/>
      <c r="E4" s="2951"/>
      <c r="F4" s="2951"/>
    </row>
    <row r="5" spans="1:9" ht="4.8" customHeight="1" thickBot="1"/>
    <row r="6" spans="1:9" s="619" customFormat="1" ht="31.8" thickBot="1">
      <c r="B6" s="1264" t="s">
        <v>2049</v>
      </c>
      <c r="C6" s="1265" t="s">
        <v>242</v>
      </c>
      <c r="D6" s="1265" t="s">
        <v>1344</v>
      </c>
      <c r="E6" s="1265" t="s">
        <v>1355</v>
      </c>
      <c r="F6" s="1266" t="s">
        <v>1356</v>
      </c>
      <c r="H6" s="1261"/>
      <c r="I6" s="1261"/>
    </row>
    <row r="7" spans="1:9" ht="18" customHeight="1" thickBot="1">
      <c r="B7" s="2947" t="s">
        <v>2051</v>
      </c>
      <c r="C7" s="2947"/>
      <c r="D7" s="2947"/>
      <c r="E7" s="2947"/>
      <c r="F7" s="2947"/>
    </row>
    <row r="8" spans="1:9" ht="31.2" customHeight="1">
      <c r="B8" s="2505" t="str">
        <f>B14</f>
        <v>котельні</v>
      </c>
      <c r="C8" s="2506"/>
      <c r="D8" s="2516" t="s">
        <v>1346</v>
      </c>
      <c r="E8" s="2510">
        <f>'D1_2023-2024'!D7</f>
        <v>1388.6213226578486</v>
      </c>
      <c r="F8" s="2513">
        <f>E8*1.2</f>
        <v>1666.3455871894182</v>
      </c>
      <c r="H8" s="1215"/>
      <c r="I8" s="2501"/>
    </row>
    <row r="9" spans="1:9" ht="31.2" customHeight="1">
      <c r="B9" s="2507" t="str">
        <f>B16</f>
        <v>САО Парусна, 1-А</v>
      </c>
      <c r="C9" s="2504"/>
      <c r="D9" s="2518" t="s">
        <v>1346</v>
      </c>
      <c r="E9" s="2511">
        <f>'D1_2023-2024'!E7</f>
        <v>1417.8385269681864</v>
      </c>
      <c r="F9" s="2514">
        <f>E9*1.2</f>
        <v>1701.4062323618236</v>
      </c>
      <c r="H9" s="1215"/>
      <c r="I9" s="2501"/>
    </row>
    <row r="10" spans="1:9" ht="31.2" customHeight="1">
      <c r="B10" s="2507" t="str">
        <f>B18</f>
        <v>САО Парусна, 1-Б</v>
      </c>
      <c r="C10" s="2504"/>
      <c r="D10" s="2518" t="s">
        <v>1346</v>
      </c>
      <c r="E10" s="2511">
        <f>'D1_2023-2024'!F7</f>
        <v>1399.1071964116279</v>
      </c>
      <c r="F10" s="2514">
        <f t="shared" ref="F10:F12" si="0">E10*1.2</f>
        <v>1678.9286356939535</v>
      </c>
      <c r="H10" s="1215"/>
      <c r="I10" s="2501"/>
    </row>
    <row r="11" spans="1:9" ht="31.2" customHeight="1">
      <c r="B11" s="2507" t="str">
        <f>B20</f>
        <v>САО Паркова, 50</v>
      </c>
      <c r="C11" s="2504"/>
      <c r="D11" s="2518" t="s">
        <v>1346</v>
      </c>
      <c r="E11" s="2511">
        <f>'D1_2023-2024'!G7</f>
        <v>1380.9434818735265</v>
      </c>
      <c r="F11" s="2514">
        <f t="shared" si="0"/>
        <v>1657.1321782482316</v>
      </c>
      <c r="H11" s="1215"/>
      <c r="I11" s="2501"/>
    </row>
    <row r="12" spans="1:9" ht="28.8" customHeight="1" thickBot="1">
      <c r="B12" s="2508" t="str">
        <f>B22</f>
        <v>САО Паркова, 52</v>
      </c>
      <c r="C12" s="2509"/>
      <c r="D12" s="2517" t="s">
        <v>1346</v>
      </c>
      <c r="E12" s="2512">
        <f>'D1_2023-2024'!H7</f>
        <v>1395.2814632510037</v>
      </c>
      <c r="F12" s="2515">
        <f t="shared" si="0"/>
        <v>1674.3377559012044</v>
      </c>
      <c r="H12" s="1215"/>
      <c r="I12" s="2501"/>
    </row>
    <row r="13" spans="1:9" ht="31.2" customHeight="1" thickBot="1">
      <c r="B13" s="2948" t="s">
        <v>2050</v>
      </c>
      <c r="C13" s="2948"/>
      <c r="D13" s="2948"/>
      <c r="E13" s="2948"/>
      <c r="F13" s="2948"/>
      <c r="H13" s="1215"/>
      <c r="I13" s="2501"/>
    </row>
    <row r="14" spans="1:9" ht="31.2" customHeight="1">
      <c r="B14" s="2944" t="str">
        <f>'D2_2023-2024'!D6</f>
        <v>котельні</v>
      </c>
      <c r="C14" s="795" t="s">
        <v>1538</v>
      </c>
      <c r="D14" s="795" t="s">
        <v>1346</v>
      </c>
      <c r="E14" s="796">
        <f>'D2_2023-2024'!D9</f>
        <v>1068.5536224484338</v>
      </c>
      <c r="F14" s="825">
        <f>E14*1.2</f>
        <v>1282.2643469381205</v>
      </c>
      <c r="H14" s="1215"/>
      <c r="I14" s="2501"/>
    </row>
    <row r="15" spans="1:9" ht="31.2" customHeight="1" thickBot="1">
      <c r="B15" s="2945"/>
      <c r="C15" s="797" t="s">
        <v>1539</v>
      </c>
      <c r="D15" s="797" t="s">
        <v>1348</v>
      </c>
      <c r="E15" s="798">
        <f>'D2_2023-2024'!D10</f>
        <v>45011.654126617032</v>
      </c>
      <c r="F15" s="826">
        <f t="shared" ref="F15:F23" si="1">E15*1.2</f>
        <v>54013.984951940438</v>
      </c>
      <c r="H15" s="1215"/>
      <c r="I15" s="2501"/>
    </row>
    <row r="16" spans="1:9" ht="31.2" customHeight="1">
      <c r="B16" s="2944" t="str">
        <f>'D2_2023-2024'!E6</f>
        <v>САО Парусна, 1-А</v>
      </c>
      <c r="C16" s="795" t="s">
        <v>1538</v>
      </c>
      <c r="D16" s="795" t="s">
        <v>1346</v>
      </c>
      <c r="E16" s="796">
        <f>'D2_2023-2024'!E9</f>
        <v>1048.897811587306</v>
      </c>
      <c r="F16" s="825">
        <f t="shared" si="1"/>
        <v>1258.6773739047671</v>
      </c>
      <c r="H16" s="1215"/>
      <c r="I16" s="2501"/>
    </row>
    <row r="17" spans="2:9" ht="31.2" customHeight="1" thickBot="1">
      <c r="B17" s="2945"/>
      <c r="C17" s="797" t="s">
        <v>1539</v>
      </c>
      <c r="D17" s="797" t="s">
        <v>1348</v>
      </c>
      <c r="E17" s="798">
        <f>'D2_2023-2024'!E10</f>
        <v>51884.747705205533</v>
      </c>
      <c r="F17" s="826">
        <f t="shared" si="1"/>
        <v>62261.697246246636</v>
      </c>
      <c r="H17" s="1215"/>
      <c r="I17" s="2501"/>
    </row>
    <row r="18" spans="2:9" ht="31.2" customHeight="1">
      <c r="B18" s="2944" t="str">
        <f>'D2_2023-2024'!F6</f>
        <v>САО Парусна, 1-Б</v>
      </c>
      <c r="C18" s="795" t="s">
        <v>1538</v>
      </c>
      <c r="D18" s="795" t="s">
        <v>1346</v>
      </c>
      <c r="E18" s="796">
        <f>'D2_2023-2024'!F9</f>
        <v>1048.8976454059243</v>
      </c>
      <c r="F18" s="825">
        <f t="shared" si="1"/>
        <v>1258.6771744871091</v>
      </c>
    </row>
    <row r="19" spans="2:9" ht="31.2" customHeight="1" thickBot="1">
      <c r="B19" s="2945"/>
      <c r="C19" s="797" t="s">
        <v>1539</v>
      </c>
      <c r="D19" s="797" t="s">
        <v>1348</v>
      </c>
      <c r="E19" s="798">
        <f>'D2_2023-2024'!F10</f>
        <v>49250.552840517128</v>
      </c>
      <c r="F19" s="826">
        <f t="shared" si="1"/>
        <v>59100.663408620552</v>
      </c>
    </row>
    <row r="20" spans="2:9" ht="31.2" customHeight="1">
      <c r="B20" s="2944" t="str">
        <f>'D2_2023-2024'!G6</f>
        <v>САО Паркова, 50</v>
      </c>
      <c r="C20" s="795" t="s">
        <v>1538</v>
      </c>
      <c r="D20" s="795" t="s">
        <v>1346</v>
      </c>
      <c r="E20" s="796">
        <f>'D2_2023-2024'!G9</f>
        <v>1068.5520171362859</v>
      </c>
      <c r="F20" s="825">
        <f t="shared" si="1"/>
        <v>1282.2624205635432</v>
      </c>
    </row>
    <row r="21" spans="2:9" ht="31.2" customHeight="1" thickBot="1">
      <c r="B21" s="2945"/>
      <c r="C21" s="797" t="s">
        <v>1539</v>
      </c>
      <c r="D21" s="797" t="s">
        <v>1348</v>
      </c>
      <c r="E21" s="798">
        <f>'D2_2023-2024'!G10</f>
        <v>43932.132338439427</v>
      </c>
      <c r="F21" s="826">
        <f t="shared" si="1"/>
        <v>52718.558806127308</v>
      </c>
    </row>
    <row r="22" spans="2:9" ht="31.2" customHeight="1">
      <c r="B22" s="2944" t="str">
        <f>'D2_2023-2024'!H6</f>
        <v>САО Паркова, 52</v>
      </c>
      <c r="C22" s="795" t="s">
        <v>1538</v>
      </c>
      <c r="D22" s="795" t="s">
        <v>1346</v>
      </c>
      <c r="E22" s="796">
        <f>'D2_2023-2024'!H9</f>
        <v>1068.5520171362859</v>
      </c>
      <c r="F22" s="825">
        <f t="shared" si="1"/>
        <v>1282.2624205635432</v>
      </c>
    </row>
    <row r="23" spans="2:9" ht="31.2" customHeight="1" thickBot="1">
      <c r="B23" s="2945"/>
      <c r="C23" s="797" t="s">
        <v>1539</v>
      </c>
      <c r="D23" s="797" t="s">
        <v>1348</v>
      </c>
      <c r="E23" s="798">
        <f>'D2_2023-2024'!H10</f>
        <v>45948.506556189634</v>
      </c>
      <c r="F23" s="826">
        <f t="shared" si="1"/>
        <v>55138.207867427562</v>
      </c>
    </row>
    <row r="24" spans="2:9">
      <c r="B24" s="1262"/>
      <c r="C24" s="2502"/>
      <c r="D24" s="2502"/>
      <c r="E24" s="2503"/>
      <c r="F24" s="1263"/>
    </row>
    <row r="25" spans="2:9" ht="31.2" customHeight="1">
      <c r="B25" s="2949" t="str">
        <f>'D2_2023-2024'!B131:C131</f>
        <v>Начальник управління економічного
розвитку та торгівлі</v>
      </c>
      <c r="C25" s="2949"/>
      <c r="D25" s="767"/>
      <c r="E25" s="2950" t="str">
        <f>'D2_2023-2024'!F131</f>
        <v>Наталія ГЄНЧЕВА</v>
      </c>
      <c r="F25" s="2950"/>
    </row>
  </sheetData>
  <mergeCells count="12">
    <mergeCell ref="B13:F13"/>
    <mergeCell ref="B22:B23"/>
    <mergeCell ref="E1:F1"/>
    <mergeCell ref="B3:F3"/>
    <mergeCell ref="B4:F4"/>
    <mergeCell ref="B7:F7"/>
    <mergeCell ref="B25:C25"/>
    <mergeCell ref="E25:F25"/>
    <mergeCell ref="B18:B19"/>
    <mergeCell ref="B20:B21"/>
    <mergeCell ref="B14:B15"/>
    <mergeCell ref="B16:B17"/>
  </mergeCells>
  <pageMargins left="0.70866141732283472" right="0.43" top="0.74803149606299213" bottom="0.74803149606299213" header="0.31496062992125984" footer="0.31496062992125984"/>
  <pageSetup paperSize="9" scale="94"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68"/>
  <sheetViews>
    <sheetView workbookViewId="0">
      <selection activeCell="H7" sqref="H7"/>
    </sheetView>
  </sheetViews>
  <sheetFormatPr defaultRowHeight="14.4"/>
  <cols>
    <col min="1" max="1" width="4.77734375" customWidth="1"/>
    <col min="2" max="2" width="25.44140625" customWidth="1"/>
    <col min="3" max="3" width="16.5546875" customWidth="1"/>
    <col min="4" max="4" width="15" customWidth="1"/>
    <col min="5" max="5" width="19" customWidth="1"/>
    <col min="6" max="6" width="21.88671875" customWidth="1"/>
    <col min="7" max="7" width="2.6640625" customWidth="1"/>
    <col min="8" max="12" width="13.21875" customWidth="1"/>
    <col min="13" max="13" width="2.21875" customWidth="1"/>
    <col min="14" max="18" width="13.6640625" customWidth="1"/>
  </cols>
  <sheetData>
    <row r="1" spans="1:18" ht="15" thickBot="1">
      <c r="H1" t="s">
        <v>925</v>
      </c>
      <c r="I1" s="2109">
        <f>(H3+I3+J3+K3+L3)/1000</f>
        <v>132.822</v>
      </c>
      <c r="N1" t="s">
        <v>1161</v>
      </c>
    </row>
    <row r="2" spans="1:18" ht="60.6" customHeight="1" thickBot="1">
      <c r="A2" s="2095" t="s">
        <v>689</v>
      </c>
      <c r="B2" s="2096" t="s">
        <v>1867</v>
      </c>
      <c r="C2" s="2096" t="s">
        <v>1868</v>
      </c>
      <c r="D2" s="2096" t="s">
        <v>1869</v>
      </c>
      <c r="E2" s="2096" t="s">
        <v>1870</v>
      </c>
      <c r="F2" s="2096" t="s">
        <v>1871</v>
      </c>
      <c r="H2" s="1219" t="s">
        <v>1823</v>
      </c>
      <c r="I2" s="1219" t="str">
        <f>'Вхідні дані'!$C$18</f>
        <v>САО Парусна, 1-А</v>
      </c>
      <c r="J2" s="1219" t="str">
        <f>'Вхідні дані'!$D$18</f>
        <v>САО Парусна, 1-Б</v>
      </c>
      <c r="K2" s="1219" t="str">
        <f>'Вхідні дані'!$E$18</f>
        <v>САО Паркова, 50</v>
      </c>
      <c r="L2" s="1219" t="str">
        <f>'Вхідні дані'!$F$18</f>
        <v>САО Паркова, 52</v>
      </c>
      <c r="N2" s="1219" t="s">
        <v>1823</v>
      </c>
      <c r="O2" s="1219" t="str">
        <f>'Вхідні дані'!$C$18</f>
        <v>САО Парусна, 1-А</v>
      </c>
      <c r="P2" s="1219" t="str">
        <f>'Вхідні дані'!$D$18</f>
        <v>САО Парусна, 1-Б</v>
      </c>
      <c r="Q2" s="1219" t="str">
        <f>'Вхідні дані'!$E$18</f>
        <v>САО Паркова, 50</v>
      </c>
      <c r="R2" s="1219" t="str">
        <f>'Вхідні дані'!$F$18</f>
        <v>САО Паркова, 52</v>
      </c>
    </row>
    <row r="3" spans="1:18" ht="15.6">
      <c r="A3" s="2097">
        <v>1</v>
      </c>
      <c r="B3" s="2107" t="s">
        <v>1872</v>
      </c>
      <c r="C3" s="2099"/>
      <c r="D3" s="2099"/>
      <c r="E3" s="2100">
        <v>37680</v>
      </c>
      <c r="F3" s="2101">
        <v>18463.2</v>
      </c>
      <c r="H3" s="400">
        <f>F24+F15</f>
        <v>91675.44</v>
      </c>
      <c r="I3" s="400">
        <f>F3</f>
        <v>18463.2</v>
      </c>
      <c r="J3" s="400">
        <f>F9</f>
        <v>11304</v>
      </c>
      <c r="K3" s="399">
        <f>F39</f>
        <v>5501.28</v>
      </c>
      <c r="L3" s="399">
        <f>F46</f>
        <v>5878.08</v>
      </c>
    </row>
    <row r="4" spans="1:18" ht="15.6">
      <c r="A4" s="2105"/>
      <c r="B4" s="23" t="s">
        <v>1873</v>
      </c>
      <c r="C4" s="2106">
        <v>4</v>
      </c>
      <c r="D4" s="2102">
        <v>1</v>
      </c>
      <c r="E4" s="2103">
        <v>3768</v>
      </c>
      <c r="F4" s="2103">
        <v>15072</v>
      </c>
      <c r="H4" s="400">
        <f>'Д 7_РП'!F184</f>
        <v>6460.0562399999999</v>
      </c>
      <c r="I4" s="400">
        <f>'Д 7_РП'!G184</f>
        <v>480.96030000000002</v>
      </c>
      <c r="J4" s="400">
        <f>'Д 7_РП'!H184</f>
        <v>798.22533999999996</v>
      </c>
      <c r="K4" s="400">
        <f>'Д 7_РП'!I184</f>
        <v>391.51855999999998</v>
      </c>
      <c r="L4" s="400">
        <f>'Д 7_РП'!J184</f>
        <v>405.01920000000001</v>
      </c>
    </row>
    <row r="5" spans="1:18" ht="15.6">
      <c r="A5" s="2105"/>
      <c r="B5" s="23" t="s">
        <v>1874</v>
      </c>
      <c r="C5" s="2106">
        <v>0.2</v>
      </c>
      <c r="D5" s="2102">
        <v>0</v>
      </c>
      <c r="E5" s="2103">
        <v>0</v>
      </c>
      <c r="F5" s="2103">
        <v>0</v>
      </c>
      <c r="H5">
        <f>H3/H4</f>
        <v>14.191121035813151</v>
      </c>
      <c r="I5" s="629">
        <f t="shared" ref="I5:L5" si="0">I3/I4</f>
        <v>38.388199608158928</v>
      </c>
      <c r="J5">
        <f t="shared" si="0"/>
        <v>14.161414620087106</v>
      </c>
      <c r="K5">
        <f t="shared" si="0"/>
        <v>14.051134638419185</v>
      </c>
      <c r="L5">
        <f t="shared" si="0"/>
        <v>14.513089749819267</v>
      </c>
    </row>
    <row r="6" spans="1:18" ht="15.6">
      <c r="A6" s="2105"/>
      <c r="B6" s="23" t="s">
        <v>1875</v>
      </c>
      <c r="C6" s="2106">
        <v>0.1</v>
      </c>
      <c r="D6" s="2102">
        <v>8</v>
      </c>
      <c r="E6" s="2103">
        <v>30144</v>
      </c>
      <c r="F6" s="2103">
        <v>3014.4</v>
      </c>
    </row>
    <row r="7" spans="1:18" ht="15.6">
      <c r="A7" s="2105"/>
      <c r="B7" s="23" t="s">
        <v>1876</v>
      </c>
      <c r="C7" s="2106">
        <v>0.1</v>
      </c>
      <c r="D7" s="2102">
        <v>1</v>
      </c>
      <c r="E7" s="2103">
        <v>3768</v>
      </c>
      <c r="F7" s="2103">
        <v>376.8</v>
      </c>
    </row>
    <row r="8" spans="1:18" ht="15.6">
      <c r="A8" s="2104"/>
      <c r="C8" s="223"/>
      <c r="D8" s="223"/>
      <c r="E8" s="400"/>
      <c r="F8" s="400"/>
    </row>
    <row r="9" spans="1:18" ht="15.6">
      <c r="A9" s="2097">
        <v>2</v>
      </c>
      <c r="B9" s="2107" t="s">
        <v>1877</v>
      </c>
      <c r="C9" s="2102"/>
      <c r="D9" s="2102"/>
      <c r="E9" s="2100">
        <v>64056</v>
      </c>
      <c r="F9" s="2101">
        <v>11304</v>
      </c>
    </row>
    <row r="10" spans="1:18" ht="15.6">
      <c r="A10" s="2105"/>
      <c r="B10" s="23" t="s">
        <v>1873</v>
      </c>
      <c r="C10" s="2106">
        <v>0.4</v>
      </c>
      <c r="D10" s="2102">
        <v>4</v>
      </c>
      <c r="E10" s="2103">
        <v>15072</v>
      </c>
      <c r="F10" s="2103">
        <v>6028.8</v>
      </c>
    </row>
    <row r="11" spans="1:18" ht="15.6">
      <c r="A11" s="2105"/>
      <c r="B11" s="23" t="s">
        <v>1874</v>
      </c>
      <c r="C11" s="2106">
        <v>0.15</v>
      </c>
      <c r="D11" s="2102">
        <v>0</v>
      </c>
      <c r="E11" s="2103">
        <v>0</v>
      </c>
      <c r="F11" s="2103">
        <v>0</v>
      </c>
    </row>
    <row r="12" spans="1:18" ht="15.6">
      <c r="A12" s="2105"/>
      <c r="B12" s="23" t="s">
        <v>1875</v>
      </c>
      <c r="C12" s="2106">
        <v>0.1</v>
      </c>
      <c r="D12" s="2102">
        <v>12</v>
      </c>
      <c r="E12" s="2103">
        <v>45216</v>
      </c>
      <c r="F12" s="2103">
        <v>4521.6000000000004</v>
      </c>
    </row>
    <row r="13" spans="1:18" ht="15.6">
      <c r="A13" s="2105"/>
      <c r="B13" s="23" t="s">
        <v>1876</v>
      </c>
      <c r="C13" s="2106">
        <v>0.2</v>
      </c>
      <c r="D13" s="2102">
        <v>1</v>
      </c>
      <c r="E13" s="2103">
        <v>3768</v>
      </c>
      <c r="F13" s="2103">
        <v>753.6</v>
      </c>
    </row>
    <row r="14" spans="1:18" ht="15.6">
      <c r="A14" s="2104"/>
      <c r="C14" s="223"/>
      <c r="D14" s="223"/>
      <c r="E14" s="400"/>
      <c r="F14" s="400"/>
    </row>
    <row r="15" spans="1:18" ht="15.6">
      <c r="A15" s="2097">
        <v>3</v>
      </c>
      <c r="B15" s="2107" t="s">
        <v>1878</v>
      </c>
      <c r="C15" s="2102"/>
      <c r="D15" s="2102"/>
      <c r="E15" s="2100">
        <v>15072</v>
      </c>
      <c r="F15" s="2101">
        <v>24838.66</v>
      </c>
    </row>
    <row r="16" spans="1:18" ht="15.6">
      <c r="A16" s="2105"/>
      <c r="B16" s="23" t="s">
        <v>1873</v>
      </c>
      <c r="C16" s="2106">
        <v>1.796</v>
      </c>
      <c r="D16" s="2102">
        <v>2</v>
      </c>
      <c r="E16" s="2103">
        <v>7536</v>
      </c>
      <c r="F16" s="2103">
        <v>13534.66</v>
      </c>
    </row>
    <row r="17" spans="1:8" ht="15.6">
      <c r="A17" s="2105"/>
      <c r="B17" s="23" t="s">
        <v>1874</v>
      </c>
      <c r="C17" s="2106">
        <v>0.2</v>
      </c>
      <c r="D17" s="2102">
        <v>0</v>
      </c>
      <c r="E17" s="2103">
        <v>0</v>
      </c>
      <c r="F17" s="2103">
        <v>0</v>
      </c>
    </row>
    <row r="18" spans="1:8" ht="15.6">
      <c r="A18" s="2105"/>
      <c r="B18" s="23" t="s">
        <v>1879</v>
      </c>
      <c r="C18" s="2106">
        <v>1.47</v>
      </c>
      <c r="D18" s="2102">
        <v>0</v>
      </c>
      <c r="E18" s="2103">
        <v>0</v>
      </c>
      <c r="F18" s="2103">
        <v>0</v>
      </c>
    </row>
    <row r="19" spans="1:8" ht="15.6">
      <c r="A19" s="2105"/>
      <c r="B19" s="23" t="s">
        <v>1880</v>
      </c>
      <c r="C19" s="2106">
        <v>0.85</v>
      </c>
      <c r="D19" s="2102">
        <v>0</v>
      </c>
      <c r="E19" s="2103">
        <v>0</v>
      </c>
      <c r="F19" s="2103">
        <v>0</v>
      </c>
    </row>
    <row r="20" spans="1:8" ht="15.6">
      <c r="A20" s="2105"/>
      <c r="B20" s="23" t="s">
        <v>1875</v>
      </c>
      <c r="C20" s="2106">
        <v>0.6</v>
      </c>
      <c r="D20" s="2102">
        <v>0</v>
      </c>
      <c r="E20" s="2103">
        <v>0</v>
      </c>
      <c r="F20" s="2103">
        <v>0</v>
      </c>
    </row>
    <row r="21" spans="1:8" ht="15.6">
      <c r="A21" s="2105"/>
      <c r="B21" s="23" t="s">
        <v>1881</v>
      </c>
      <c r="C21" s="2106">
        <v>1.5</v>
      </c>
      <c r="D21" s="2102">
        <v>1</v>
      </c>
      <c r="E21" s="2103">
        <v>3768</v>
      </c>
      <c r="F21" s="2103">
        <v>5652</v>
      </c>
    </row>
    <row r="22" spans="1:8" ht="15.6">
      <c r="A22" s="2105"/>
      <c r="B22" s="23" t="s">
        <v>1876</v>
      </c>
      <c r="C22" s="2106">
        <v>1.5</v>
      </c>
      <c r="D22" s="2102">
        <v>1</v>
      </c>
      <c r="E22" s="2103">
        <v>3768</v>
      </c>
      <c r="F22" s="2103">
        <v>5652</v>
      </c>
    </row>
    <row r="23" spans="1:8" ht="15.6">
      <c r="A23" s="2104"/>
      <c r="C23" s="223"/>
      <c r="D23" s="223"/>
      <c r="E23" s="400"/>
      <c r="F23" s="400"/>
    </row>
    <row r="24" spans="1:8" ht="15.6">
      <c r="A24" s="2097">
        <v>4</v>
      </c>
      <c r="B24" s="2098" t="s">
        <v>1882</v>
      </c>
      <c r="C24" s="2102"/>
      <c r="D24" s="2102"/>
      <c r="E24" s="2100">
        <v>71582</v>
      </c>
      <c r="F24" s="2100">
        <v>66836.78</v>
      </c>
    </row>
    <row r="25" spans="1:8" ht="15.6">
      <c r="A25" s="2097"/>
      <c r="B25" s="2107" t="s">
        <v>1883</v>
      </c>
      <c r="C25" s="2102"/>
      <c r="D25" s="2102"/>
      <c r="E25" s="2101"/>
      <c r="F25" s="2101"/>
    </row>
    <row r="26" spans="1:8" ht="15.6">
      <c r="A26" s="2105"/>
      <c r="B26" s="23" t="s">
        <v>1880</v>
      </c>
      <c r="C26" s="2106">
        <v>0.6</v>
      </c>
      <c r="D26" s="2102">
        <v>0</v>
      </c>
      <c r="E26" s="2103">
        <v>0</v>
      </c>
      <c r="F26" s="2103">
        <v>0</v>
      </c>
    </row>
    <row r="27" spans="1:8" ht="15.6">
      <c r="A27" s="2105"/>
      <c r="B27" s="23" t="s">
        <v>1881</v>
      </c>
      <c r="C27" s="2106">
        <v>3.5</v>
      </c>
      <c r="D27" s="2102">
        <v>2</v>
      </c>
      <c r="E27" s="2103">
        <v>7536</v>
      </c>
      <c r="F27" s="2103">
        <v>26376</v>
      </c>
      <c r="H27" s="629"/>
    </row>
    <row r="28" spans="1:8" ht="15.6">
      <c r="A28" s="2105"/>
      <c r="B28" s="23" t="s">
        <v>1884</v>
      </c>
      <c r="C28" s="2106">
        <v>2.2000000000000002</v>
      </c>
      <c r="D28" s="2102">
        <v>1</v>
      </c>
      <c r="E28" s="2103">
        <v>3768</v>
      </c>
      <c r="F28" s="2103">
        <v>8289.6</v>
      </c>
      <c r="H28" s="629"/>
    </row>
    <row r="29" spans="1:8" ht="15.6">
      <c r="A29" s="2105"/>
      <c r="B29" s="23" t="s">
        <v>1885</v>
      </c>
      <c r="C29" s="2106">
        <v>1.5</v>
      </c>
      <c r="D29" s="2102">
        <v>2</v>
      </c>
      <c r="E29" s="2103">
        <v>7536</v>
      </c>
      <c r="F29" s="2103">
        <v>11304</v>
      </c>
      <c r="H29" s="629"/>
    </row>
    <row r="30" spans="1:8" ht="15.6">
      <c r="A30" s="2105"/>
      <c r="B30" s="23" t="s">
        <v>1886</v>
      </c>
      <c r="C30" s="2106">
        <v>0.1</v>
      </c>
      <c r="D30" s="2102">
        <v>1</v>
      </c>
      <c r="E30" s="2103">
        <v>3768</v>
      </c>
      <c r="F30" s="2103">
        <v>376.8</v>
      </c>
      <c r="H30" s="629"/>
    </row>
    <row r="31" spans="1:8" ht="15.6">
      <c r="A31" s="2105"/>
      <c r="B31" s="23" t="s">
        <v>1876</v>
      </c>
      <c r="C31" s="2106">
        <v>0.2</v>
      </c>
      <c r="D31" s="2102">
        <v>1</v>
      </c>
      <c r="E31" s="2103">
        <v>3768</v>
      </c>
      <c r="F31" s="2103">
        <v>753.6</v>
      </c>
      <c r="H31" s="629"/>
    </row>
    <row r="32" spans="1:8" ht="15.6">
      <c r="A32" s="2097"/>
      <c r="B32" s="2108" t="s">
        <v>1887</v>
      </c>
      <c r="C32" s="2102"/>
      <c r="D32" s="2102"/>
      <c r="E32" s="2103"/>
      <c r="F32" s="2103"/>
    </row>
    <row r="33" spans="1:6" ht="15.6">
      <c r="A33" s="2105"/>
      <c r="B33" s="23" t="s">
        <v>1879</v>
      </c>
      <c r="C33" s="2106">
        <v>1.7</v>
      </c>
      <c r="D33" s="2102">
        <v>0</v>
      </c>
      <c r="E33" s="2103">
        <v>0</v>
      </c>
      <c r="F33" s="2103">
        <v>0</v>
      </c>
    </row>
    <row r="34" spans="1:6" ht="15.6">
      <c r="A34" s="2105"/>
      <c r="B34" s="23" t="s">
        <v>1888</v>
      </c>
      <c r="C34" s="2106">
        <v>0.25</v>
      </c>
      <c r="D34" s="2102">
        <v>3</v>
      </c>
      <c r="E34" s="2103">
        <v>11304</v>
      </c>
      <c r="F34" s="2103">
        <v>2826</v>
      </c>
    </row>
    <row r="35" spans="1:6" ht="15.6">
      <c r="A35" s="2105"/>
      <c r="B35" s="23" t="s">
        <v>1873</v>
      </c>
      <c r="C35" s="2106">
        <v>0.53600000000000003</v>
      </c>
      <c r="D35" s="2102">
        <v>8</v>
      </c>
      <c r="E35" s="2103">
        <v>30144</v>
      </c>
      <c r="F35" s="2103">
        <v>16157.18</v>
      </c>
    </row>
    <row r="36" spans="1:6" ht="15.6">
      <c r="A36" s="2105"/>
      <c r="B36" s="23" t="s">
        <v>1874</v>
      </c>
      <c r="C36" s="2106">
        <v>0.2</v>
      </c>
      <c r="D36" s="2102">
        <v>0</v>
      </c>
      <c r="E36" s="2103">
        <v>0</v>
      </c>
      <c r="F36" s="2103">
        <v>0</v>
      </c>
    </row>
    <row r="37" spans="1:6" ht="15.6">
      <c r="A37" s="2105"/>
      <c r="B37" s="23" t="s">
        <v>1876</v>
      </c>
      <c r="C37" s="2106">
        <v>0.2</v>
      </c>
      <c r="D37" s="2102">
        <v>1</v>
      </c>
      <c r="E37" s="2103">
        <v>3758</v>
      </c>
      <c r="F37" s="2103">
        <v>753.6</v>
      </c>
    </row>
    <row r="38" spans="1:6" ht="15.6">
      <c r="A38" s="2104"/>
      <c r="C38" s="223"/>
      <c r="D38" s="223"/>
      <c r="E38" s="400"/>
      <c r="F38" s="400"/>
    </row>
    <row r="39" spans="1:6" ht="15.6">
      <c r="A39" s="2097">
        <v>5</v>
      </c>
      <c r="B39" s="2107" t="s">
        <v>1889</v>
      </c>
      <c r="C39" s="2102"/>
      <c r="D39" s="2102"/>
      <c r="E39" s="2100">
        <v>22608</v>
      </c>
      <c r="F39" s="2100">
        <v>5501.28</v>
      </c>
    </row>
    <row r="40" spans="1:6" ht="15.6">
      <c r="A40" s="2105"/>
      <c r="B40" s="23" t="s">
        <v>1873</v>
      </c>
      <c r="C40" s="2106">
        <v>0.53</v>
      </c>
      <c r="D40" s="2102">
        <v>2</v>
      </c>
      <c r="E40" s="2103">
        <v>7536</v>
      </c>
      <c r="F40" s="2103">
        <v>3994.08</v>
      </c>
    </row>
    <row r="41" spans="1:6" ht="15.6">
      <c r="A41" s="2105"/>
      <c r="B41" s="23" t="s">
        <v>1879</v>
      </c>
      <c r="C41" s="2106">
        <v>0.28000000000000003</v>
      </c>
      <c r="D41" s="2102">
        <v>0</v>
      </c>
      <c r="E41" s="2103">
        <v>0</v>
      </c>
      <c r="F41" s="2103">
        <v>0</v>
      </c>
    </row>
    <row r="42" spans="1:6" ht="15.6">
      <c r="A42" s="2105"/>
      <c r="B42" s="23" t="s">
        <v>1874</v>
      </c>
      <c r="C42" s="2106">
        <v>0.2</v>
      </c>
      <c r="D42" s="2102">
        <v>0</v>
      </c>
      <c r="E42" s="2103">
        <v>0</v>
      </c>
      <c r="F42" s="2103">
        <v>0</v>
      </c>
    </row>
    <row r="43" spans="1:6" ht="15.6">
      <c r="A43" s="2105"/>
      <c r="B43" s="23" t="s">
        <v>1875</v>
      </c>
      <c r="C43" s="2106">
        <v>0.1</v>
      </c>
      <c r="D43" s="2102">
        <v>4</v>
      </c>
      <c r="E43" s="2103">
        <v>15072</v>
      </c>
      <c r="F43" s="2103">
        <v>1507.2</v>
      </c>
    </row>
    <row r="44" spans="1:6" ht="15.6">
      <c r="A44" s="2105"/>
      <c r="B44" s="23" t="s">
        <v>1876</v>
      </c>
      <c r="C44" s="2106">
        <v>0.1</v>
      </c>
      <c r="D44" s="2102"/>
      <c r="E44" s="2103">
        <v>0</v>
      </c>
      <c r="F44" s="2103">
        <v>0</v>
      </c>
    </row>
    <row r="45" spans="1:6" ht="15.6">
      <c r="A45" s="2104"/>
      <c r="C45" s="223"/>
      <c r="D45" s="223"/>
      <c r="E45" s="400"/>
      <c r="F45" s="400"/>
    </row>
    <row r="46" spans="1:6" ht="15.6">
      <c r="A46" s="2097">
        <v>6</v>
      </c>
      <c r="B46" s="2107" t="s">
        <v>1890</v>
      </c>
      <c r="C46" s="2102"/>
      <c r="D46" s="2102"/>
      <c r="E46" s="2100">
        <v>26376</v>
      </c>
      <c r="F46" s="2100">
        <v>5878.08</v>
      </c>
    </row>
    <row r="47" spans="1:6" ht="15.6">
      <c r="A47" s="2105"/>
      <c r="B47" s="23" t="s">
        <v>1873</v>
      </c>
      <c r="C47" s="2106">
        <v>0.53</v>
      </c>
      <c r="D47" s="2102">
        <v>2</v>
      </c>
      <c r="E47" s="2103">
        <v>7536</v>
      </c>
      <c r="F47" s="2103">
        <v>3994.08</v>
      </c>
    </row>
    <row r="48" spans="1:6" ht="15.6">
      <c r="A48" s="2105"/>
      <c r="B48" s="23" t="s">
        <v>1879</v>
      </c>
      <c r="C48" s="2106">
        <v>0.28000000000000003</v>
      </c>
      <c r="D48" s="2102">
        <v>0</v>
      </c>
      <c r="E48" s="2103">
        <v>0</v>
      </c>
      <c r="F48" s="2103">
        <v>0</v>
      </c>
    </row>
    <row r="49" spans="1:6" ht="15.6">
      <c r="A49" s="2105"/>
      <c r="B49" s="23" t="s">
        <v>1874</v>
      </c>
      <c r="C49" s="2106">
        <v>0.2</v>
      </c>
      <c r="D49" s="2102">
        <v>0</v>
      </c>
      <c r="E49" s="2103">
        <v>0</v>
      </c>
      <c r="F49" s="2103">
        <v>0</v>
      </c>
    </row>
    <row r="50" spans="1:6" ht="15.6">
      <c r="A50" s="2105"/>
      <c r="B50" s="23" t="s">
        <v>1875</v>
      </c>
      <c r="C50" s="2106">
        <v>0.1</v>
      </c>
      <c r="D50" s="2102">
        <v>4</v>
      </c>
      <c r="E50" s="2103">
        <v>15072</v>
      </c>
      <c r="F50" s="2103">
        <v>1507.2</v>
      </c>
    </row>
    <row r="51" spans="1:6" ht="15.6">
      <c r="A51" s="2105"/>
      <c r="B51" s="23" t="s">
        <v>1876</v>
      </c>
      <c r="C51" s="2106">
        <v>0.1</v>
      </c>
      <c r="D51" s="2102">
        <v>1</v>
      </c>
      <c r="E51" s="2103">
        <v>3768</v>
      </c>
      <c r="F51" s="2103">
        <v>376.8</v>
      </c>
    </row>
    <row r="52" spans="1:6" ht="15.6">
      <c r="A52" s="2104"/>
      <c r="C52" s="223"/>
      <c r="D52" s="223"/>
      <c r="E52" s="400"/>
      <c r="F52" s="400"/>
    </row>
    <row r="53" spans="1:6" ht="15.6">
      <c r="A53" s="2097">
        <v>7</v>
      </c>
      <c r="B53" s="2107" t="s">
        <v>1891</v>
      </c>
      <c r="C53" s="2099"/>
      <c r="D53" s="2099"/>
      <c r="E53" s="2097">
        <v>7536</v>
      </c>
      <c r="F53" s="2097">
        <v>15825.6</v>
      </c>
    </row>
    <row r="54" spans="1:6" ht="15.6">
      <c r="A54" s="2105"/>
      <c r="B54" s="23" t="s">
        <v>1873</v>
      </c>
      <c r="C54" s="2106">
        <v>4</v>
      </c>
      <c r="D54" s="2102">
        <v>1</v>
      </c>
      <c r="E54" s="2099">
        <v>3768</v>
      </c>
      <c r="F54" s="2103">
        <v>15072</v>
      </c>
    </row>
    <row r="55" spans="1:6" ht="15.6">
      <c r="A55" s="2105"/>
      <c r="B55" s="23" t="s">
        <v>1876</v>
      </c>
      <c r="C55" s="2106">
        <v>0.2</v>
      </c>
      <c r="D55" s="2102">
        <v>1</v>
      </c>
      <c r="E55" s="2099">
        <v>3768</v>
      </c>
      <c r="F55" s="2103">
        <v>753.6</v>
      </c>
    </row>
    <row r="56" spans="1:6" ht="15.6">
      <c r="A56" s="2104"/>
      <c r="C56" s="223"/>
      <c r="D56" s="223"/>
      <c r="F56" s="400"/>
    </row>
    <row r="57" spans="1:6" ht="15.6">
      <c r="A57" s="2097">
        <v>8</v>
      </c>
      <c r="B57" s="2107" t="s">
        <v>1892</v>
      </c>
      <c r="C57" s="2102"/>
      <c r="D57" s="2102"/>
      <c r="E57" s="2099"/>
      <c r="F57" s="2101">
        <v>6405.6</v>
      </c>
    </row>
    <row r="58" spans="1:6" ht="15.6">
      <c r="A58" s="2105"/>
      <c r="B58" s="23" t="s">
        <v>1873</v>
      </c>
      <c r="C58" s="2106">
        <v>1.5</v>
      </c>
      <c r="D58" s="2102">
        <v>1</v>
      </c>
      <c r="E58" s="2099">
        <v>3768</v>
      </c>
      <c r="F58" s="2103">
        <v>5652</v>
      </c>
    </row>
    <row r="59" spans="1:6" ht="15.6">
      <c r="A59" s="2105"/>
      <c r="B59" s="23" t="s">
        <v>1876</v>
      </c>
      <c r="C59" s="2106">
        <v>0.2</v>
      </c>
      <c r="D59" s="2102">
        <v>1</v>
      </c>
      <c r="E59" s="2099">
        <v>3768</v>
      </c>
      <c r="F59" s="2103">
        <v>753.6</v>
      </c>
    </row>
    <row r="60" spans="1:6" ht="15.6">
      <c r="A60" s="2104"/>
      <c r="C60" s="223"/>
      <c r="D60" s="223"/>
      <c r="F60" s="400"/>
    </row>
    <row r="61" spans="1:6" ht="15.6">
      <c r="A61" s="2097">
        <v>9</v>
      </c>
      <c r="B61" s="2107" t="s">
        <v>1893</v>
      </c>
      <c r="C61" s="2102"/>
      <c r="D61" s="2102"/>
      <c r="E61" s="2099"/>
      <c r="F61" s="2101">
        <v>6405.6</v>
      </c>
    </row>
    <row r="62" spans="1:6" ht="15.6">
      <c r="A62" s="2105"/>
      <c r="B62" s="23" t="s">
        <v>1873</v>
      </c>
      <c r="C62" s="2106">
        <v>1.5</v>
      </c>
      <c r="D62" s="2102">
        <v>1</v>
      </c>
      <c r="E62" s="2099">
        <v>3768</v>
      </c>
      <c r="F62" s="2103">
        <v>5652</v>
      </c>
    </row>
    <row r="63" spans="1:6" ht="15.6">
      <c r="A63" s="2105"/>
      <c r="B63" s="23" t="s">
        <v>1876</v>
      </c>
      <c r="C63" s="2106">
        <v>0.2</v>
      </c>
      <c r="D63" s="2102">
        <v>1</v>
      </c>
      <c r="E63" s="2099">
        <v>3768</v>
      </c>
      <c r="F63" s="2103">
        <v>753.6</v>
      </c>
    </row>
    <row r="64" spans="1:6" ht="15.6">
      <c r="A64" s="2104"/>
      <c r="C64" s="223"/>
      <c r="D64" s="223"/>
      <c r="F64" s="400"/>
    </row>
    <row r="65" spans="1:6" ht="15.6">
      <c r="A65" s="2104"/>
      <c r="C65" s="223"/>
      <c r="D65" s="223"/>
      <c r="F65" s="400"/>
    </row>
    <row r="66" spans="1:6" ht="15.6">
      <c r="A66" s="2104"/>
      <c r="C66" s="223"/>
      <c r="D66" s="223"/>
      <c r="F66" s="400"/>
    </row>
    <row r="67" spans="1:6" ht="15.6">
      <c r="A67" s="2104"/>
      <c r="C67" s="223"/>
      <c r="D67" s="223"/>
      <c r="F67" s="400"/>
    </row>
    <row r="68" spans="1:6" ht="15.6">
      <c r="A68" s="2104"/>
      <c r="C68" s="223"/>
      <c r="D68" s="223"/>
      <c r="F68" s="40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32">
    <pageSetUpPr fitToPage="1"/>
  </sheetPr>
  <dimension ref="A1:F51"/>
  <sheetViews>
    <sheetView view="pageBreakPreview" zoomScaleNormal="100" zoomScaleSheetLayoutView="100" workbookViewId="0">
      <selection activeCell="E13" sqref="E13"/>
    </sheetView>
  </sheetViews>
  <sheetFormatPr defaultRowHeight="14.4"/>
  <cols>
    <col min="1" max="1" width="5.44140625" style="16" customWidth="1"/>
    <col min="2" max="2" width="45.33203125" customWidth="1"/>
    <col min="3" max="3" width="14.109375" bestFit="1" customWidth="1"/>
    <col min="4" max="4" width="29.88671875" customWidth="1"/>
    <col min="5" max="5" width="36" customWidth="1"/>
  </cols>
  <sheetData>
    <row r="1" spans="1:6" ht="126.75" customHeight="1">
      <c r="A1" s="17"/>
      <c r="B1" s="9"/>
      <c r="C1" s="2954" t="s">
        <v>491</v>
      </c>
      <c r="D1" s="2955"/>
      <c r="E1" s="55" t="s">
        <v>729</v>
      </c>
      <c r="F1" s="212"/>
    </row>
    <row r="2" spans="1:6">
      <c r="A2" s="17"/>
      <c r="B2" s="9"/>
      <c r="C2" s="9"/>
      <c r="D2" s="9"/>
    </row>
    <row r="3" spans="1:6">
      <c r="A3" s="2956" t="s">
        <v>497</v>
      </c>
      <c r="B3" s="2957"/>
      <c r="C3" s="2957"/>
      <c r="D3" s="2957"/>
    </row>
    <row r="4" spans="1:6">
      <c r="A4" s="2846" t="s">
        <v>318</v>
      </c>
      <c r="B4" s="2755"/>
      <c r="C4" s="2755"/>
      <c r="D4" s="2755"/>
    </row>
    <row r="5" spans="1:6">
      <c r="A5" s="2958" t="str">
        <f>'Вхідні дані'!$F$4</f>
        <v>Товариство з обмеженою відповідальністю ДП "Моноліт- Сервіс"</v>
      </c>
      <c r="B5" s="2958"/>
      <c r="C5" s="2958"/>
      <c r="D5" s="2958"/>
    </row>
    <row r="6" spans="1:6" ht="23.25" customHeight="1">
      <c r="A6" s="2959" t="s">
        <v>319</v>
      </c>
      <c r="B6" s="2960"/>
      <c r="C6" s="2960"/>
      <c r="D6" s="2960"/>
    </row>
    <row r="7" spans="1:6">
      <c r="A7" s="2953" t="s">
        <v>7</v>
      </c>
      <c r="B7" s="2669" t="s">
        <v>289</v>
      </c>
      <c r="C7" s="2669" t="s">
        <v>290</v>
      </c>
      <c r="D7" s="2669"/>
    </row>
    <row r="8" spans="1:6">
      <c r="A8" s="2953"/>
      <c r="B8" s="2669"/>
      <c r="C8" s="2669"/>
      <c r="D8" s="2669"/>
    </row>
    <row r="9" spans="1:6" ht="19.5" customHeight="1">
      <c r="A9" s="2953"/>
      <c r="B9" s="2669"/>
      <c r="C9" s="8" t="s">
        <v>36</v>
      </c>
      <c r="D9" s="8" t="s">
        <v>492</v>
      </c>
    </row>
    <row r="10" spans="1:6" ht="15.6">
      <c r="A10" s="20">
        <v>1</v>
      </c>
      <c r="B10" s="6">
        <v>2</v>
      </c>
      <c r="C10" s="6">
        <v>3</v>
      </c>
      <c r="D10" s="6">
        <v>4</v>
      </c>
    </row>
    <row r="11" spans="1:6" ht="41.4">
      <c r="A11" s="36">
        <v>1</v>
      </c>
      <c r="B11" s="10" t="s">
        <v>291</v>
      </c>
      <c r="C11" s="8"/>
      <c r="D11" s="8"/>
    </row>
    <row r="12" spans="1:6">
      <c r="A12" s="36" t="s">
        <v>22</v>
      </c>
      <c r="B12" s="10" t="s">
        <v>292</v>
      </c>
      <c r="C12" s="8"/>
      <c r="D12" s="8"/>
    </row>
    <row r="13" spans="1:6" ht="27.6">
      <c r="A13" s="36">
        <v>2</v>
      </c>
      <c r="B13" s="10" t="s">
        <v>293</v>
      </c>
      <c r="C13" s="8"/>
      <c r="D13" s="8"/>
    </row>
    <row r="14" spans="1:6">
      <c r="A14" s="36" t="s">
        <v>24</v>
      </c>
      <c r="B14" s="10" t="s">
        <v>51</v>
      </c>
      <c r="C14" s="8"/>
      <c r="D14" s="8"/>
    </row>
    <row r="15" spans="1:6" ht="27.6">
      <c r="A15" s="36" t="s">
        <v>25</v>
      </c>
      <c r="B15" s="83" t="s">
        <v>493</v>
      </c>
      <c r="C15" s="8"/>
      <c r="D15" s="8"/>
    </row>
    <row r="16" spans="1:6">
      <c r="A16" s="36" t="s">
        <v>55</v>
      </c>
      <c r="B16" s="10" t="s">
        <v>294</v>
      </c>
      <c r="C16" s="8"/>
      <c r="D16" s="8"/>
    </row>
    <row r="17" spans="1:4" ht="27.6">
      <c r="A17" s="36">
        <v>3</v>
      </c>
      <c r="B17" s="83" t="s">
        <v>496</v>
      </c>
      <c r="C17" s="8"/>
      <c r="D17" s="8"/>
    </row>
    <row r="18" spans="1:4" ht="41.4">
      <c r="A18" s="36">
        <v>4</v>
      </c>
      <c r="B18" s="10" t="s">
        <v>295</v>
      </c>
      <c r="C18" s="8"/>
      <c r="D18" s="8"/>
    </row>
    <row r="19" spans="1:4" ht="41.4">
      <c r="A19" s="36">
        <v>5</v>
      </c>
      <c r="B19" s="10" t="s">
        <v>296</v>
      </c>
      <c r="C19" s="8"/>
      <c r="D19" s="8"/>
    </row>
    <row r="20" spans="1:4">
      <c r="A20" s="36">
        <v>6</v>
      </c>
      <c r="B20" s="10" t="s">
        <v>226</v>
      </c>
      <c r="C20" s="8"/>
      <c r="D20" s="8"/>
    </row>
    <row r="21" spans="1:4" ht="27.6">
      <c r="A21" s="36" t="s">
        <v>31</v>
      </c>
      <c r="B21" s="10" t="s">
        <v>297</v>
      </c>
      <c r="C21" s="8"/>
      <c r="D21" s="8"/>
    </row>
    <row r="22" spans="1:4">
      <c r="A22" s="36" t="s">
        <v>32</v>
      </c>
      <c r="B22" s="10" t="s">
        <v>61</v>
      </c>
      <c r="C22" s="8"/>
      <c r="D22" s="8"/>
    </row>
    <row r="23" spans="1:4" ht="27.6">
      <c r="A23" s="36">
        <v>7</v>
      </c>
      <c r="B23" s="10" t="s">
        <v>298</v>
      </c>
      <c r="C23" s="8"/>
      <c r="D23" s="8"/>
    </row>
    <row r="24" spans="1:4" ht="41.4">
      <c r="A24" s="36">
        <v>8</v>
      </c>
      <c r="B24" s="10" t="s">
        <v>299</v>
      </c>
      <c r="C24" s="8">
        <f>SUM(C25:C35)</f>
        <v>0</v>
      </c>
      <c r="D24" s="8"/>
    </row>
    <row r="25" spans="1:4">
      <c r="A25" s="36">
        <v>9</v>
      </c>
      <c r="B25" s="83" t="s">
        <v>494</v>
      </c>
      <c r="C25" s="8"/>
      <c r="D25" s="8" t="s">
        <v>300</v>
      </c>
    </row>
    <row r="26" spans="1:4" ht="27.6">
      <c r="A26" s="36">
        <v>10</v>
      </c>
      <c r="B26" s="10" t="s">
        <v>301</v>
      </c>
      <c r="C26" s="8" t="s">
        <v>300</v>
      </c>
      <c r="D26" s="8"/>
    </row>
    <row r="27" spans="1:4" ht="27.6">
      <c r="A27" s="36">
        <v>11</v>
      </c>
      <c r="B27" s="83" t="s">
        <v>495</v>
      </c>
      <c r="C27" s="8" t="s">
        <v>300</v>
      </c>
      <c r="D27" s="8"/>
    </row>
    <row r="28" spans="1:4">
      <c r="A28" s="36" t="s">
        <v>86</v>
      </c>
      <c r="B28" s="10" t="s">
        <v>302</v>
      </c>
      <c r="C28" s="8" t="s">
        <v>300</v>
      </c>
      <c r="D28" s="8"/>
    </row>
    <row r="29" spans="1:4">
      <c r="A29" s="36" t="s">
        <v>87</v>
      </c>
      <c r="B29" s="10" t="s">
        <v>303</v>
      </c>
      <c r="C29" s="8" t="s">
        <v>300</v>
      </c>
      <c r="D29" s="8"/>
    </row>
    <row r="30" spans="1:4" ht="27.6">
      <c r="A30" s="36">
        <v>12</v>
      </c>
      <c r="B30" s="10" t="s">
        <v>304</v>
      </c>
      <c r="C30" s="8"/>
      <c r="D30" s="8" t="s">
        <v>300</v>
      </c>
    </row>
    <row r="31" spans="1:4" ht="30.6">
      <c r="A31" s="36">
        <v>13</v>
      </c>
      <c r="B31" s="10" t="s">
        <v>312</v>
      </c>
      <c r="C31" s="8"/>
      <c r="D31" s="8" t="s">
        <v>300</v>
      </c>
    </row>
    <row r="32" spans="1:4">
      <c r="A32" s="36">
        <v>14</v>
      </c>
      <c r="B32" s="10" t="s">
        <v>305</v>
      </c>
      <c r="C32" s="8"/>
      <c r="D32" s="8" t="s">
        <v>300</v>
      </c>
    </row>
    <row r="33" spans="1:4" ht="27.6">
      <c r="A33" s="36">
        <v>15</v>
      </c>
      <c r="B33" s="10" t="s">
        <v>306</v>
      </c>
      <c r="C33" s="8"/>
      <c r="D33" s="8" t="s">
        <v>300</v>
      </c>
    </row>
    <row r="34" spans="1:4">
      <c r="A34" s="36" t="s">
        <v>316</v>
      </c>
      <c r="B34" s="10" t="s">
        <v>307</v>
      </c>
      <c r="C34" s="8"/>
      <c r="D34" s="8" t="s">
        <v>300</v>
      </c>
    </row>
    <row r="35" spans="1:4">
      <c r="A35" s="36" t="s">
        <v>317</v>
      </c>
      <c r="B35" s="10" t="s">
        <v>308</v>
      </c>
      <c r="C35" s="8"/>
      <c r="D35" s="8" t="s">
        <v>300</v>
      </c>
    </row>
    <row r="36" spans="1:4" ht="32.25" customHeight="1">
      <c r="A36" s="36">
        <v>16</v>
      </c>
      <c r="B36" s="10" t="s">
        <v>309</v>
      </c>
      <c r="C36" s="8"/>
      <c r="D36" s="8" t="s">
        <v>300</v>
      </c>
    </row>
    <row r="37" spans="1:4">
      <c r="A37" s="36" t="s">
        <v>187</v>
      </c>
      <c r="B37" s="10" t="s">
        <v>307</v>
      </c>
      <c r="C37" s="8"/>
      <c r="D37" s="8" t="s">
        <v>300</v>
      </c>
    </row>
    <row r="38" spans="1:4">
      <c r="A38" s="36" t="s">
        <v>188</v>
      </c>
      <c r="B38" s="10" t="s">
        <v>308</v>
      </c>
      <c r="C38" s="8"/>
      <c r="D38" s="8" t="s">
        <v>300</v>
      </c>
    </row>
    <row r="39" spans="1:4">
      <c r="A39" s="36">
        <v>17</v>
      </c>
      <c r="B39" s="10" t="s">
        <v>310</v>
      </c>
      <c r="C39" s="8"/>
      <c r="D39" s="8" t="s">
        <v>300</v>
      </c>
    </row>
    <row r="40" spans="1:4" ht="16.8">
      <c r="A40" s="36">
        <v>18</v>
      </c>
      <c r="B40" s="10" t="s">
        <v>313</v>
      </c>
      <c r="C40" s="8"/>
      <c r="D40" s="8" t="s">
        <v>300</v>
      </c>
    </row>
    <row r="41" spans="1:4" ht="16.8">
      <c r="A41" s="36">
        <v>19</v>
      </c>
      <c r="B41" s="10" t="s">
        <v>314</v>
      </c>
      <c r="C41" s="8"/>
      <c r="D41" s="8" t="s">
        <v>300</v>
      </c>
    </row>
    <row r="42" spans="1:4" ht="27.6">
      <c r="A42" s="36">
        <v>20</v>
      </c>
      <c r="B42" s="10" t="s">
        <v>311</v>
      </c>
      <c r="C42" s="8"/>
      <c r="D42" s="8" t="s">
        <v>300</v>
      </c>
    </row>
    <row r="43" spans="1:4" ht="30.6">
      <c r="A43" s="36">
        <v>21</v>
      </c>
      <c r="B43" s="10" t="s">
        <v>315</v>
      </c>
      <c r="C43" s="8" t="s">
        <v>300</v>
      </c>
      <c r="D43" s="8"/>
    </row>
    <row r="44" spans="1:4" ht="30" customHeight="1">
      <c r="A44" s="21"/>
      <c r="B44" s="22" t="s">
        <v>260</v>
      </c>
      <c r="C44" s="23"/>
      <c r="D44" s="23"/>
    </row>
    <row r="45" spans="1:4" ht="30.75" customHeight="1">
      <c r="B45" s="18" t="s">
        <v>323</v>
      </c>
      <c r="C45" s="77"/>
    </row>
    <row r="46" spans="1:4" ht="60.75" customHeight="1">
      <c r="B46" s="2952" t="s">
        <v>320</v>
      </c>
      <c r="C46" s="2952"/>
      <c r="D46" s="2952"/>
    </row>
    <row r="48" spans="1:4">
      <c r="B48" s="82" t="str">
        <f>'Вхідні дані'!B13</f>
        <v>Директор підприємства</v>
      </c>
      <c r="C48" s="223" t="s">
        <v>322</v>
      </c>
      <c r="D48" s="73" t="str">
        <f>'Вхідні дані'!F13</f>
        <v>Сергій НІКУЛЬЧА</v>
      </c>
    </row>
    <row r="49" spans="2:4">
      <c r="B49" s="18" t="s">
        <v>218</v>
      </c>
      <c r="C49" s="19" t="s">
        <v>196</v>
      </c>
      <c r="D49" s="19" t="s">
        <v>216</v>
      </c>
    </row>
    <row r="51" spans="2:4">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2" fitToHeight="0" orientation="portrait" horizont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35">
    <pageSetUpPr fitToPage="1"/>
  </sheetPr>
  <dimension ref="A1:G51"/>
  <sheetViews>
    <sheetView topLeftCell="A4" zoomScaleNormal="100" zoomScaleSheetLayoutView="100" workbookViewId="0">
      <selection activeCell="H10" sqref="H10"/>
    </sheetView>
  </sheetViews>
  <sheetFormatPr defaultRowHeight="14.4"/>
  <cols>
    <col min="1" max="1" width="4.88671875" style="16" customWidth="1"/>
    <col min="2" max="2" width="51.88671875" customWidth="1"/>
    <col min="3" max="3" width="7.44140625" bestFit="1" customWidth="1"/>
    <col min="4" max="5" width="16.109375" customWidth="1"/>
    <col min="6" max="6" width="38.44140625" customWidth="1"/>
  </cols>
  <sheetData>
    <row r="1" spans="1:7" s="9" customFormat="1" ht="141.75" customHeight="1">
      <c r="A1" s="17"/>
      <c r="C1" s="2954" t="s">
        <v>481</v>
      </c>
      <c r="D1" s="2954"/>
      <c r="E1" s="2954"/>
      <c r="F1" s="55" t="s">
        <v>729</v>
      </c>
      <c r="G1" s="55"/>
    </row>
    <row r="2" spans="1:7" s="9" customFormat="1" ht="20.100000000000001" customHeight="1">
      <c r="A2" s="17"/>
      <c r="C2" s="2967"/>
      <c r="D2" s="2967"/>
      <c r="E2" s="2967"/>
    </row>
    <row r="3" spans="1:7" s="9" customFormat="1">
      <c r="A3" s="2962" t="s">
        <v>444</v>
      </c>
      <c r="B3" s="2963"/>
      <c r="C3" s="2963"/>
      <c r="D3" s="2963"/>
      <c r="E3" s="2963"/>
    </row>
    <row r="4" spans="1:7" s="29" customFormat="1">
      <c r="A4" s="2962" t="s">
        <v>490</v>
      </c>
      <c r="B4" s="2963"/>
      <c r="C4" s="2963"/>
      <c r="D4" s="2963"/>
      <c r="E4" s="2963"/>
    </row>
    <row r="5" spans="1:7" s="9" customFormat="1">
      <c r="A5" s="2848" t="s">
        <v>367</v>
      </c>
      <c r="B5" s="2964"/>
      <c r="C5" s="2964"/>
      <c r="D5" s="2964"/>
      <c r="E5" s="2964"/>
    </row>
    <row r="6" spans="1:7" s="9" customFormat="1">
      <c r="A6" s="2848" t="s">
        <v>368</v>
      </c>
      <c r="B6" s="2964"/>
      <c r="C6" s="2964"/>
      <c r="D6" s="2964"/>
      <c r="E6" s="2964"/>
    </row>
    <row r="7" spans="1:7" s="9" customFormat="1" ht="13.8">
      <c r="A7" s="2958" t="str">
        <f>'Вхідні дані'!$F$4</f>
        <v>Товариство з обмеженою відповідальністю ДП "Моноліт- Сервіс"</v>
      </c>
      <c r="B7" s="2958"/>
      <c r="C7" s="2958"/>
      <c r="D7" s="2958"/>
      <c r="E7" s="2958"/>
    </row>
    <row r="8" spans="1:7" s="9" customFormat="1" ht="13.8">
      <c r="A8" s="2863" t="s">
        <v>352</v>
      </c>
      <c r="B8" s="2782"/>
      <c r="C8" s="2782"/>
      <c r="D8" s="2782"/>
      <c r="E8" s="2782"/>
    </row>
    <row r="9" spans="1:7" s="9" customFormat="1" ht="11.25" customHeight="1">
      <c r="A9" s="17"/>
    </row>
    <row r="10" spans="1:7">
      <c r="A10" s="2971" t="s">
        <v>7</v>
      </c>
      <c r="B10" s="2961" t="s">
        <v>340</v>
      </c>
      <c r="C10" s="2961" t="s">
        <v>76</v>
      </c>
      <c r="D10" s="2961" t="s">
        <v>327</v>
      </c>
      <c r="E10" s="2961"/>
    </row>
    <row r="11" spans="1:7" ht="41.4">
      <c r="A11" s="2971"/>
      <c r="B11" s="2961"/>
      <c r="C11" s="2961"/>
      <c r="D11" s="25" t="s">
        <v>354</v>
      </c>
      <c r="E11" s="25" t="s">
        <v>355</v>
      </c>
    </row>
    <row r="12" spans="1:7">
      <c r="A12" s="35">
        <v>1</v>
      </c>
      <c r="B12" s="25">
        <v>2</v>
      </c>
      <c r="C12" s="25">
        <v>3</v>
      </c>
      <c r="D12" s="25">
        <v>4</v>
      </c>
      <c r="E12" s="25">
        <v>5</v>
      </c>
    </row>
    <row r="13" spans="1:7" ht="27.6">
      <c r="A13" s="35">
        <v>1</v>
      </c>
      <c r="B13" s="26" t="s">
        <v>356</v>
      </c>
      <c r="C13" s="24"/>
      <c r="D13" s="24"/>
      <c r="E13" s="24"/>
    </row>
    <row r="14" spans="1:7" ht="27.6">
      <c r="A14" s="35">
        <v>2</v>
      </c>
      <c r="B14" s="26" t="s">
        <v>357</v>
      </c>
      <c r="C14" s="24"/>
      <c r="D14" s="24"/>
      <c r="E14" s="24"/>
    </row>
    <row r="15" spans="1:7" ht="44.4">
      <c r="A15" s="35">
        <v>3</v>
      </c>
      <c r="B15" s="26" t="s">
        <v>484</v>
      </c>
      <c r="C15" s="24"/>
      <c r="D15" s="24"/>
      <c r="E15" s="24"/>
    </row>
    <row r="16" spans="1:7" ht="30.6">
      <c r="A16" s="35" t="s">
        <v>56</v>
      </c>
      <c r="B16" s="26" t="s">
        <v>485</v>
      </c>
      <c r="C16" s="25" t="s">
        <v>210</v>
      </c>
      <c r="D16" s="25" t="s">
        <v>210</v>
      </c>
      <c r="E16" s="24"/>
    </row>
    <row r="17" spans="1:5" ht="30.6">
      <c r="A17" s="35" t="s">
        <v>57</v>
      </c>
      <c r="B17" s="26" t="s">
        <v>486</v>
      </c>
      <c r="C17" s="25" t="s">
        <v>210</v>
      </c>
      <c r="D17" s="25" t="s">
        <v>210</v>
      </c>
      <c r="E17" s="24"/>
    </row>
    <row r="18" spans="1:5" ht="30.6">
      <c r="A18" s="35">
        <v>4</v>
      </c>
      <c r="B18" s="26" t="s">
        <v>487</v>
      </c>
      <c r="C18" s="24"/>
      <c r="D18" s="24"/>
      <c r="E18" s="24"/>
    </row>
    <row r="19" spans="1:5" ht="16.8">
      <c r="A19" s="35">
        <v>5</v>
      </c>
      <c r="B19" s="26" t="s">
        <v>488</v>
      </c>
      <c r="C19" s="24"/>
      <c r="D19" s="24"/>
      <c r="E19" s="24"/>
    </row>
    <row r="20" spans="1:5" ht="34.5" customHeight="1">
      <c r="A20" s="35">
        <v>6</v>
      </c>
      <c r="B20" s="26" t="s">
        <v>358</v>
      </c>
      <c r="C20" s="24"/>
      <c r="D20" s="24"/>
      <c r="E20" s="24"/>
    </row>
    <row r="21" spans="1:5" ht="30.6">
      <c r="A21" s="35">
        <v>7</v>
      </c>
      <c r="B21" s="26" t="s">
        <v>489</v>
      </c>
      <c r="C21" s="24"/>
      <c r="D21" s="24"/>
      <c r="E21" s="24"/>
    </row>
    <row r="22" spans="1:5" ht="27.6">
      <c r="A22" s="35">
        <v>8</v>
      </c>
      <c r="B22" s="26" t="s">
        <v>359</v>
      </c>
      <c r="C22" s="2968"/>
      <c r="D22" s="2968"/>
      <c r="E22" s="2968"/>
    </row>
    <row r="23" spans="1:5" ht="27.6">
      <c r="A23" s="35">
        <v>9</v>
      </c>
      <c r="B23" s="26" t="s">
        <v>360</v>
      </c>
      <c r="C23" s="2968"/>
      <c r="D23" s="2968"/>
      <c r="E23" s="2968"/>
    </row>
    <row r="24" spans="1:5" ht="27.6">
      <c r="A24" s="35">
        <v>10</v>
      </c>
      <c r="B24" s="26" t="s">
        <v>361</v>
      </c>
      <c r="C24" s="2968">
        <f>SUM(C25:C35)</f>
        <v>0</v>
      </c>
      <c r="D24" s="2968"/>
      <c r="E24" s="2968"/>
    </row>
    <row r="25" spans="1:5" ht="41.4">
      <c r="A25" s="35">
        <v>11</v>
      </c>
      <c r="B25" s="26" t="s">
        <v>362</v>
      </c>
      <c r="C25" s="2968"/>
      <c r="D25" s="2968"/>
      <c r="E25" s="2968"/>
    </row>
    <row r="26" spans="1:5" ht="41.4">
      <c r="A26" s="35">
        <v>12</v>
      </c>
      <c r="B26" s="26" t="s">
        <v>363</v>
      </c>
      <c r="C26" s="2968"/>
      <c r="D26" s="2968"/>
      <c r="E26" s="2968"/>
    </row>
    <row r="27" spans="1:5" ht="30.6">
      <c r="A27" s="35">
        <v>13</v>
      </c>
      <c r="B27" s="26" t="s">
        <v>364</v>
      </c>
      <c r="C27" s="2968"/>
      <c r="D27" s="2968"/>
      <c r="E27" s="2968"/>
    </row>
    <row r="28" spans="1:5" ht="30.6">
      <c r="A28" s="35">
        <v>14</v>
      </c>
      <c r="B28" s="26" t="s">
        <v>365</v>
      </c>
      <c r="C28" s="2968"/>
      <c r="D28" s="2968"/>
      <c r="E28" s="2968"/>
    </row>
    <row r="29" spans="1:5">
      <c r="B29" s="76" t="s">
        <v>322</v>
      </c>
      <c r="C29" s="77"/>
      <c r="D29" s="77"/>
      <c r="E29" s="77"/>
    </row>
    <row r="30" spans="1:5" ht="35.25" customHeight="1">
      <c r="B30" s="2969" t="s">
        <v>483</v>
      </c>
      <c r="C30" s="2970"/>
      <c r="D30" s="2970"/>
      <c r="E30" s="2970"/>
    </row>
    <row r="31" spans="1:5">
      <c r="B31" s="27" t="s">
        <v>321</v>
      </c>
    </row>
    <row r="32" spans="1:5" ht="56.25" customHeight="1">
      <c r="B32" s="28" t="s">
        <v>323</v>
      </c>
      <c r="C32" s="2965" t="s">
        <v>366</v>
      </c>
      <c r="D32" s="2965"/>
      <c r="E32" s="2965"/>
    </row>
    <row r="34" spans="2:5">
      <c r="B34" s="61" t="s">
        <v>482</v>
      </c>
      <c r="C34" s="9"/>
      <c r="D34" s="2966" t="str">
        <f>'Вхідні дані'!F13</f>
        <v>Сергій НІКУЛЬЧА</v>
      </c>
      <c r="E34" s="2966"/>
    </row>
    <row r="35" spans="2:5">
      <c r="B35" s="9" t="s">
        <v>509</v>
      </c>
      <c r="C35" s="9"/>
      <c r="D35" s="2782" t="s">
        <v>216</v>
      </c>
      <c r="E35" s="2782"/>
    </row>
    <row r="51" spans="3:3">
      <c r="C51">
        <v>4.68</v>
      </c>
    </row>
  </sheetData>
  <mergeCells count="23">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 ref="D10:E10"/>
    <mergeCell ref="C1:E1"/>
    <mergeCell ref="A3:E3"/>
    <mergeCell ref="A4:E4"/>
    <mergeCell ref="A5:E5"/>
    <mergeCell ref="A6:E6"/>
    <mergeCell ref="A8:E8"/>
  </mergeCells>
  <pageMargins left="0.7" right="0.7" top="0.75" bottom="0.75" header="0.3" footer="0.3"/>
  <pageSetup paperSize="9" fitToHeight="0" orientation="portrait" horizont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45">
    <tabColor theme="7"/>
    <pageSetUpPr fitToPage="1"/>
  </sheetPr>
  <dimension ref="B1:L27"/>
  <sheetViews>
    <sheetView zoomScale="80" zoomScaleNormal="80" workbookViewId="0">
      <selection activeCell="F21" sqref="F21"/>
    </sheetView>
  </sheetViews>
  <sheetFormatPr defaultColWidth="9.109375" defaultRowHeight="13.8"/>
  <cols>
    <col min="1" max="1" width="4.109375" style="9" customWidth="1"/>
    <col min="2" max="2" width="38.6640625" style="9" customWidth="1"/>
    <col min="3" max="3" width="8.5546875" style="298" customWidth="1"/>
    <col min="4" max="4" width="14.109375" style="9" customWidth="1"/>
    <col min="5" max="7" width="16.33203125" style="9" customWidth="1"/>
    <col min="8" max="8" width="16.6640625" style="9" customWidth="1"/>
    <col min="9" max="9" width="16.109375" style="9" customWidth="1"/>
    <col min="10" max="10" width="16.21875" style="9" customWidth="1"/>
    <col min="11" max="11" width="4" style="9" customWidth="1"/>
    <col min="12" max="16384" width="9.109375" style="9"/>
  </cols>
  <sheetData>
    <row r="1" spans="2:12" ht="15.6">
      <c r="I1" s="44" t="s">
        <v>667</v>
      </c>
    </row>
    <row r="3" spans="2:12" ht="15.6">
      <c r="B3" s="44" t="s">
        <v>937</v>
      </c>
      <c r="C3" s="44"/>
      <c r="D3" s="44"/>
      <c r="E3" s="44"/>
      <c r="F3" s="2767" t="str">
        <f>'Вхідні дані'!F5</f>
        <v>ТОВ ДП " Моноліт- Сервіс "</v>
      </c>
      <c r="G3" s="2767"/>
      <c r="H3" s="767" t="s">
        <v>442</v>
      </c>
      <c r="I3" s="614" t="str">
        <f>'Вхідні дані'!F6</f>
        <v>2023-2024</v>
      </c>
      <c r="J3" s="9" t="s">
        <v>545</v>
      </c>
    </row>
    <row r="4" spans="2:12" ht="14.4" thickBot="1"/>
    <row r="5" spans="2:12" ht="14.4" thickBot="1">
      <c r="B5" s="2976" t="s">
        <v>8</v>
      </c>
      <c r="C5" s="2978" t="s">
        <v>9</v>
      </c>
      <c r="D5" s="2978" t="s">
        <v>471</v>
      </c>
      <c r="E5" s="2973" t="s">
        <v>933</v>
      </c>
      <c r="F5" s="2974"/>
      <c r="G5" s="2975"/>
      <c r="H5" s="2973" t="s">
        <v>935</v>
      </c>
      <c r="I5" s="2974"/>
      <c r="J5" s="2975"/>
    </row>
    <row r="6" spans="2:12" s="614" customFormat="1" ht="42" thickBot="1">
      <c r="B6" s="2977"/>
      <c r="C6" s="2979"/>
      <c r="D6" s="2979"/>
      <c r="E6" s="644" t="s">
        <v>934</v>
      </c>
      <c r="F6" s="644" t="s">
        <v>655</v>
      </c>
      <c r="G6" s="644" t="s">
        <v>657</v>
      </c>
      <c r="H6" s="645" t="s">
        <v>921</v>
      </c>
      <c r="I6" s="645" t="s">
        <v>1824</v>
      </c>
      <c r="J6" s="645" t="s">
        <v>935</v>
      </c>
    </row>
    <row r="7" spans="2:12">
      <c r="B7" s="311"/>
      <c r="C7" s="312"/>
      <c r="D7" s="311"/>
      <c r="E7" s="311"/>
      <c r="F7" s="311"/>
      <c r="G7" s="311"/>
      <c r="H7" s="311"/>
      <c r="I7" s="311"/>
      <c r="J7" s="311"/>
    </row>
    <row r="8" spans="2:12">
      <c r="B8" s="313" t="s">
        <v>936</v>
      </c>
      <c r="C8" s="314" t="s">
        <v>833</v>
      </c>
      <c r="D8" s="988">
        <f>E8+H8+I8+J8</f>
        <v>2807.3999999999996</v>
      </c>
      <c r="E8" s="988">
        <f>F8+G8</f>
        <v>360.13114754098359</v>
      </c>
      <c r="F8" s="988">
        <f>ФОП!F9/1000</f>
        <v>216</v>
      </c>
      <c r="G8" s="988">
        <f>ФОП!F19/1000</f>
        <v>144.13114754098359</v>
      </c>
      <c r="H8" s="988">
        <f>ФОП!F24/1000</f>
        <v>84</v>
      </c>
      <c r="I8" s="988">
        <f>ФОП!F29/1000</f>
        <v>2363.2688524590162</v>
      </c>
      <c r="J8" s="988">
        <f>ФОП!F34/1000</f>
        <v>0</v>
      </c>
      <c r="L8" s="538"/>
    </row>
    <row r="9" spans="2:12">
      <c r="B9" s="313" t="s">
        <v>936</v>
      </c>
      <c r="C9" s="314" t="s">
        <v>4</v>
      </c>
      <c r="D9" s="316">
        <f>D8/$D$8</f>
        <v>1</v>
      </c>
      <c r="E9" s="316">
        <f t="shared" ref="E9:J9" si="0">E8/$D$8</f>
        <v>0.12827924326458062</v>
      </c>
      <c r="F9" s="317"/>
      <c r="G9" s="317"/>
      <c r="H9" s="316">
        <f t="shared" si="0"/>
        <v>2.9920923274203894E-2</v>
      </c>
      <c r="I9" s="316">
        <f t="shared" si="0"/>
        <v>0.84179983346121556</v>
      </c>
      <c r="J9" s="316">
        <f t="shared" si="0"/>
        <v>0</v>
      </c>
    </row>
    <row r="10" spans="2:12">
      <c r="B10" s="318" t="s">
        <v>1825</v>
      </c>
      <c r="C10" s="314" t="s">
        <v>833</v>
      </c>
      <c r="D10" s="2305">
        <f>SUM(H10:J10)+E10</f>
        <v>13018.909004447989</v>
      </c>
      <c r="E10" s="315">
        <f>F10+G10</f>
        <v>10298.730151988973</v>
      </c>
      <c r="F10" s="315">
        <f>Виробництво_1ст!F10</f>
        <v>10147.623056907007</v>
      </c>
      <c r="G10" s="315">
        <f>Постачання_1ст!F9</f>
        <v>151.1070950819672</v>
      </c>
      <c r="H10" s="2306">
        <f>H8+Витрати!F48/1000</f>
        <v>99.81</v>
      </c>
      <c r="I10" s="2306">
        <f>I8+Витрати!G48/1000</f>
        <v>2620.3688524590161</v>
      </c>
      <c r="J10" s="2306">
        <f t="shared" ref="J10" si="1">J8</f>
        <v>0</v>
      </c>
      <c r="L10" s="9" t="s">
        <v>2016</v>
      </c>
    </row>
    <row r="11" spans="2:12" ht="14.4" thickBot="1">
      <c r="B11" s="320" t="s">
        <v>1825</v>
      </c>
      <c r="C11" s="321" t="s">
        <v>4</v>
      </c>
      <c r="D11" s="317"/>
      <c r="E11" s="322">
        <f t="shared" ref="E11:G11" si="2">E10/$E$10</f>
        <v>1</v>
      </c>
      <c r="F11" s="322">
        <f t="shared" si="2"/>
        <v>0.9853275993397318</v>
      </c>
      <c r="G11" s="322">
        <f t="shared" si="2"/>
        <v>1.4672400660268217E-2</v>
      </c>
      <c r="H11" s="323"/>
      <c r="I11" s="323"/>
      <c r="J11" s="323"/>
    </row>
    <row r="12" spans="2:12" ht="41.4" customHeight="1">
      <c r="B12" s="1950" t="s">
        <v>938</v>
      </c>
      <c r="C12" s="312" t="s">
        <v>833</v>
      </c>
      <c r="D12" s="327">
        <f>ЗВВ_1ст!F8</f>
        <v>853.47299981250001</v>
      </c>
      <c r="E12" s="325">
        <f>D12*E9</f>
        <v>109.48287056269906</v>
      </c>
      <c r="F12" s="326"/>
      <c r="G12" s="326"/>
      <c r="H12" s="325">
        <f>$D$12*H9</f>
        <v>25.536700143994448</v>
      </c>
      <c r="I12" s="325">
        <f>$D$12*I9</f>
        <v>718.45342910580655</v>
      </c>
      <c r="J12" s="325">
        <f>$D$12*J9</f>
        <v>0</v>
      </c>
    </row>
    <row r="13" spans="2:12" ht="41.4" hidden="1">
      <c r="B13" s="318" t="s">
        <v>939</v>
      </c>
      <c r="C13" s="314" t="s">
        <v>833</v>
      </c>
      <c r="D13" s="317"/>
      <c r="E13" s="315">
        <f>E12</f>
        <v>109.48287056269906</v>
      </c>
      <c r="F13" s="315">
        <f>$E$13*F11</f>
        <v>107.87649402036686</v>
      </c>
      <c r="G13" s="315">
        <f>$E$13*G11</f>
        <v>1.6063765423322054</v>
      </c>
      <c r="H13" s="319"/>
      <c r="I13" s="319"/>
      <c r="J13" s="319"/>
    </row>
    <row r="14" spans="2:12" ht="27.6">
      <c r="B14" s="318" t="s">
        <v>940</v>
      </c>
      <c r="C14" s="314" t="s">
        <v>833</v>
      </c>
      <c r="D14" s="315">
        <f>D12</f>
        <v>853.47299981250001</v>
      </c>
      <c r="E14" s="315">
        <f>E12</f>
        <v>109.48287056269906</v>
      </c>
      <c r="F14" s="315">
        <f>F13</f>
        <v>107.87649402036686</v>
      </c>
      <c r="G14" s="315">
        <f>G13</f>
        <v>1.6063765423322054</v>
      </c>
      <c r="H14" s="315">
        <f>H12</f>
        <v>25.536700143994448</v>
      </c>
      <c r="I14" s="315">
        <f>I12</f>
        <v>718.45342910580655</v>
      </c>
      <c r="J14" s="315">
        <f>J12</f>
        <v>0</v>
      </c>
    </row>
    <row r="15" spans="2:12" ht="28.2" thickBot="1">
      <c r="B15" s="320" t="s">
        <v>941</v>
      </c>
      <c r="C15" s="321" t="s">
        <v>4</v>
      </c>
      <c r="D15" s="322">
        <f>D14/$D$14</f>
        <v>1</v>
      </c>
      <c r="E15" s="322">
        <f t="shared" ref="E15:J15" si="3">E14/$D$14</f>
        <v>0.12827924326458062</v>
      </c>
      <c r="F15" s="322">
        <f t="shared" si="3"/>
        <v>0.1263970788110067</v>
      </c>
      <c r="G15" s="322">
        <f t="shared" si="3"/>
        <v>1.8821644535739399E-3</v>
      </c>
      <c r="H15" s="322">
        <f t="shared" si="3"/>
        <v>2.9920923274203894E-2</v>
      </c>
      <c r="I15" s="322">
        <f t="shared" si="3"/>
        <v>0.84179983346121556</v>
      </c>
      <c r="J15" s="322">
        <f t="shared" si="3"/>
        <v>0</v>
      </c>
    </row>
    <row r="16" spans="2:12" ht="14.4" thickBot="1">
      <c r="B16" s="308"/>
      <c r="D16" s="309"/>
      <c r="E16" s="309"/>
      <c r="F16" s="309"/>
      <c r="G16" s="309"/>
      <c r="H16" s="309"/>
      <c r="I16" s="309"/>
      <c r="J16" s="309"/>
    </row>
    <row r="17" spans="2:10" ht="41.4">
      <c r="B17" s="324" t="s">
        <v>942</v>
      </c>
      <c r="C17" s="312" t="s">
        <v>833</v>
      </c>
      <c r="D17" s="325">
        <f>D10+D14</f>
        <v>13872.382004260489</v>
      </c>
      <c r="E17" s="325">
        <f t="shared" ref="E17:J17" si="4">E10+E14</f>
        <v>10408.213022551672</v>
      </c>
      <c r="F17" s="325">
        <f t="shared" si="4"/>
        <v>10255.499550927374</v>
      </c>
      <c r="G17" s="325">
        <f t="shared" si="4"/>
        <v>152.71347162429942</v>
      </c>
      <c r="H17" s="325">
        <f t="shared" si="4"/>
        <v>125.34670014399445</v>
      </c>
      <c r="I17" s="325">
        <f t="shared" si="4"/>
        <v>3338.8222815648228</v>
      </c>
      <c r="J17" s="325">
        <f t="shared" si="4"/>
        <v>0</v>
      </c>
    </row>
    <row r="18" spans="2:10" ht="41.4">
      <c r="B18" s="328" t="s">
        <v>942</v>
      </c>
      <c r="C18" s="314" t="s">
        <v>4</v>
      </c>
      <c r="D18" s="316">
        <v>1</v>
      </c>
      <c r="E18" s="316">
        <f>E17/D17</f>
        <v>0.75028304579235916</v>
      </c>
      <c r="F18" s="316">
        <f>F17/D17</f>
        <v>0.73927459233588744</v>
      </c>
      <c r="G18" s="316">
        <f t="shared" ref="G18:J18" si="5">G17/$D$17</f>
        <v>1.100845345647186E-2</v>
      </c>
      <c r="H18" s="316">
        <f t="shared" si="5"/>
        <v>9.0357013024510106E-3</v>
      </c>
      <c r="I18" s="316">
        <f t="shared" si="5"/>
        <v>0.24068125290518982</v>
      </c>
      <c r="J18" s="316">
        <f t="shared" si="5"/>
        <v>0</v>
      </c>
    </row>
    <row r="19" spans="2:10" ht="41.4">
      <c r="B19" s="318" t="s">
        <v>943</v>
      </c>
      <c r="C19" s="314" t="s">
        <v>833</v>
      </c>
      <c r="D19" s="2305">
        <f>Адміністративні_1ст!F8</f>
        <v>1236.4913570624999</v>
      </c>
      <c r="E19" s="317"/>
      <c r="F19" s="317"/>
      <c r="G19" s="317"/>
      <c r="H19" s="317"/>
      <c r="I19" s="317"/>
      <c r="J19" s="317"/>
    </row>
    <row r="20" spans="2:10" ht="27.6">
      <c r="B20" s="318" t="s">
        <v>944</v>
      </c>
      <c r="C20" s="314" t="s">
        <v>833</v>
      </c>
      <c r="D20" s="315">
        <f>$D$19*D18</f>
        <v>1236.4913570624999</v>
      </c>
      <c r="E20" s="315">
        <f t="shared" ref="E20:J20" si="6">$D$19*E18</f>
        <v>927.71850147277996</v>
      </c>
      <c r="F20" s="315">
        <f t="shared" si="6"/>
        <v>914.10664391922785</v>
      </c>
      <c r="G20" s="315">
        <f t="shared" si="6"/>
        <v>13.611857553552257</v>
      </c>
      <c r="H20" s="315">
        <f t="shared" si="6"/>
        <v>11.172566565479048</v>
      </c>
      <c r="I20" s="315">
        <f t="shared" si="6"/>
        <v>297.60028902424091</v>
      </c>
      <c r="J20" s="315">
        <f t="shared" si="6"/>
        <v>0</v>
      </c>
    </row>
    <row r="21" spans="2:10" ht="28.2" thickBot="1">
      <c r="B21" s="320" t="s">
        <v>950</v>
      </c>
      <c r="C21" s="321" t="s">
        <v>4</v>
      </c>
      <c r="D21" s="322">
        <f>D20/$D$20</f>
        <v>1</v>
      </c>
      <c r="E21" s="322">
        <f t="shared" ref="E21:J21" si="7">E20/$D$20</f>
        <v>0.75028304579235916</v>
      </c>
      <c r="F21" s="322">
        <f t="shared" si="7"/>
        <v>0.73927459233588744</v>
      </c>
      <c r="G21" s="322">
        <f t="shared" si="7"/>
        <v>1.100845345647186E-2</v>
      </c>
      <c r="H21" s="322">
        <f t="shared" si="7"/>
        <v>9.0357013024510106E-3</v>
      </c>
      <c r="I21" s="322">
        <f t="shared" si="7"/>
        <v>0.24068125290518982</v>
      </c>
      <c r="J21" s="322">
        <f t="shared" si="7"/>
        <v>0</v>
      </c>
    </row>
    <row r="24" spans="2:10" ht="18">
      <c r="B24" s="210" t="str">
        <f>'Вхідні дані'!$B$13</f>
        <v>Директор підприємства</v>
      </c>
      <c r="C24" s="210"/>
      <c r="D24" s="210"/>
      <c r="E24" s="230" t="s">
        <v>754</v>
      </c>
      <c r="G24" s="2972" t="str">
        <f>'Вхідні дані'!F13</f>
        <v>Сергій НІКУЛЬЧА</v>
      </c>
      <c r="H24" s="2972"/>
    </row>
    <row r="25" spans="2:10" ht="18">
      <c r="B25" s="210"/>
      <c r="C25" s="210"/>
      <c r="D25" s="210"/>
      <c r="E25" s="230" t="s">
        <v>196</v>
      </c>
      <c r="G25" s="1258"/>
      <c r="H25" s="1258"/>
    </row>
    <row r="26" spans="2:10" ht="18.75" customHeight="1">
      <c r="B26" s="210" t="str">
        <f>'Вхідні дані'!$B$16</f>
        <v>Головний бухгалтер</v>
      </c>
      <c r="C26" s="210"/>
      <c r="D26" s="210"/>
      <c r="E26" s="230" t="s">
        <v>754</v>
      </c>
      <c r="G26" s="2972" t="str">
        <f>'Вхідні дані'!F16</f>
        <v>Ольга ПЄТРОВА</v>
      </c>
      <c r="H26" s="2972"/>
    </row>
    <row r="27" spans="2:10" ht="18">
      <c r="B27" s="246"/>
      <c r="C27" s="246"/>
      <c r="D27" s="246"/>
      <c r="E27" s="230" t="s">
        <v>196</v>
      </c>
      <c r="G27" s="44"/>
    </row>
  </sheetData>
  <mergeCells count="8">
    <mergeCell ref="F3:G3"/>
    <mergeCell ref="G26:H26"/>
    <mergeCell ref="E5:G5"/>
    <mergeCell ref="H5:J5"/>
    <mergeCell ref="B5:B6"/>
    <mergeCell ref="D5:D6"/>
    <mergeCell ref="C5:C6"/>
    <mergeCell ref="G24:H24"/>
  </mergeCells>
  <conditionalFormatting sqref="B27:D27">
    <cfRule type="expression" dxfId="4" priority="3" stopIfTrue="1">
      <formula>ABS(#REF!-(#REF!+#REF!+$I27+#REF!))&gt;отклонение</formula>
    </cfRule>
  </conditionalFormatting>
  <pageMargins left="0.77" right="0.27559055118110237" top="0.51" bottom="0.31496062992125984" header="0.31496062992125984" footer="0.31496062992125984"/>
  <pageSetup paperSize="9" scale="75" orientation="landscape" horizontalDpi="0" verticalDpi="0"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48"/>
  <sheetViews>
    <sheetView workbookViewId="0">
      <pane xSplit="3" ySplit="2" topLeftCell="D24" activePane="bottomRight" state="frozen"/>
      <selection pane="topRight" activeCell="D1" sqref="D1"/>
      <selection pane="bottomLeft" activeCell="A3" sqref="A3"/>
      <selection pane="bottomRight" activeCell="D39" sqref="D39"/>
    </sheetView>
  </sheetViews>
  <sheetFormatPr defaultRowHeight="14.4"/>
  <cols>
    <col min="1" max="1" width="32.109375" customWidth="1"/>
    <col min="2" max="2" width="11.6640625" customWidth="1"/>
    <col min="3" max="3" width="14" customWidth="1"/>
    <col min="4" max="4" width="12.33203125" customWidth="1"/>
    <col min="5" max="6" width="13.21875" customWidth="1"/>
    <col min="7" max="7" width="10.33203125" customWidth="1"/>
    <col min="8" max="8" width="8.88671875" customWidth="1"/>
  </cols>
  <sheetData>
    <row r="1" spans="1:11">
      <c r="C1" t="s">
        <v>1972</v>
      </c>
      <c r="D1" s="2396">
        <v>2311</v>
      </c>
      <c r="E1" s="2397">
        <v>2312</v>
      </c>
      <c r="F1" s="2397">
        <v>2313</v>
      </c>
      <c r="G1" s="2396">
        <v>2314</v>
      </c>
      <c r="H1" s="2397">
        <v>2315</v>
      </c>
      <c r="I1" s="2396">
        <v>91</v>
      </c>
      <c r="J1" s="2398">
        <v>92</v>
      </c>
    </row>
    <row r="2" spans="1:11" ht="43.8" thickBot="1">
      <c r="A2" s="2980" t="s">
        <v>1973</v>
      </c>
      <c r="B2" s="2980"/>
      <c r="C2" s="2980"/>
      <c r="D2" s="2399" t="s">
        <v>1974</v>
      </c>
      <c r="E2" s="2400" t="s">
        <v>1161</v>
      </c>
      <c r="F2" s="2401" t="s">
        <v>1694</v>
      </c>
      <c r="G2" s="2399" t="s">
        <v>1895</v>
      </c>
      <c r="H2" s="2400" t="s">
        <v>1975</v>
      </c>
      <c r="I2" s="2399" t="s">
        <v>692</v>
      </c>
      <c r="J2" s="2402" t="s">
        <v>1976</v>
      </c>
      <c r="K2" s="2403" t="s">
        <v>1977</v>
      </c>
    </row>
    <row r="3" spans="1:11">
      <c r="A3" t="s">
        <v>1978</v>
      </c>
      <c r="B3" s="2099">
        <v>3850</v>
      </c>
      <c r="D3">
        <f>B3</f>
        <v>3850</v>
      </c>
      <c r="K3" s="2404">
        <f t="shared" ref="K3:K47" si="0">B3-D3-E3-F3-G3-H3-I3-J3</f>
        <v>0</v>
      </c>
    </row>
    <row r="4" spans="1:11">
      <c r="A4" t="s">
        <v>1979</v>
      </c>
      <c r="B4" s="2099">
        <v>9749.2800000000007</v>
      </c>
      <c r="G4">
        <f>B4</f>
        <v>9749.2800000000007</v>
      </c>
      <c r="K4" s="2404">
        <f t="shared" si="0"/>
        <v>0</v>
      </c>
    </row>
    <row r="5" spans="1:11">
      <c r="A5" t="s">
        <v>1980</v>
      </c>
      <c r="B5" s="2099">
        <v>152907.29999999999</v>
      </c>
      <c r="C5" s="2405" t="s">
        <v>1981</v>
      </c>
      <c r="D5" s="2406">
        <f>B5</f>
        <v>152907.29999999999</v>
      </c>
      <c r="E5" s="2406"/>
      <c r="F5" s="2406"/>
      <c r="G5" s="2406"/>
      <c r="H5" s="2406"/>
      <c r="I5" s="2406"/>
      <c r="J5" s="2406"/>
      <c r="K5" s="2404">
        <f t="shared" si="0"/>
        <v>0</v>
      </c>
    </row>
    <row r="6" spans="1:11">
      <c r="A6" t="s">
        <v>1982</v>
      </c>
      <c r="B6" s="2099">
        <v>58080</v>
      </c>
      <c r="C6" s="2405" t="s">
        <v>1981</v>
      </c>
      <c r="G6">
        <f>B6</f>
        <v>58080</v>
      </c>
      <c r="K6" s="2404">
        <f t="shared" si="0"/>
        <v>0</v>
      </c>
    </row>
    <row r="7" spans="1:11">
      <c r="A7" t="s">
        <v>1983</v>
      </c>
      <c r="B7" s="2099">
        <v>4740</v>
      </c>
      <c r="G7">
        <f>B7</f>
        <v>4740</v>
      </c>
      <c r="K7" s="2404">
        <f t="shared" si="0"/>
        <v>0</v>
      </c>
    </row>
    <row r="8" spans="1:11">
      <c r="A8" t="s">
        <v>1984</v>
      </c>
      <c r="B8" s="2099">
        <v>115753</v>
      </c>
      <c r="C8" s="2406"/>
      <c r="I8">
        <f>B8</f>
        <v>115753</v>
      </c>
      <c r="K8" s="2404">
        <f t="shared" si="0"/>
        <v>0</v>
      </c>
    </row>
    <row r="9" spans="1:11">
      <c r="A9" t="s">
        <v>1985</v>
      </c>
      <c r="B9" s="2099">
        <v>82874.12</v>
      </c>
      <c r="C9" s="2405" t="s">
        <v>1986</v>
      </c>
      <c r="I9">
        <f>B9</f>
        <v>82874.12</v>
      </c>
      <c r="K9" s="2404">
        <f t="shared" si="0"/>
        <v>0</v>
      </c>
    </row>
    <row r="10" spans="1:11">
      <c r="A10" t="s">
        <v>1987</v>
      </c>
      <c r="B10" s="2099">
        <v>38246</v>
      </c>
      <c r="F10">
        <f>B10</f>
        <v>38246</v>
      </c>
      <c r="K10" s="2404">
        <f t="shared" si="0"/>
        <v>0</v>
      </c>
    </row>
    <row r="11" spans="1:11">
      <c r="A11" t="s">
        <v>1988</v>
      </c>
      <c r="B11" s="2099">
        <v>28006.959999999999</v>
      </c>
      <c r="C11" s="2405" t="s">
        <v>1981</v>
      </c>
      <c r="I11">
        <f t="shared" ref="I11:I16" si="1">B11</f>
        <v>28006.959999999999</v>
      </c>
      <c r="K11" s="2404">
        <f t="shared" si="0"/>
        <v>0</v>
      </c>
    </row>
    <row r="12" spans="1:11">
      <c r="A12" t="s">
        <v>1989</v>
      </c>
      <c r="B12" s="2099">
        <v>33425</v>
      </c>
      <c r="I12">
        <f t="shared" si="1"/>
        <v>33425</v>
      </c>
      <c r="K12" s="2404">
        <f t="shared" si="0"/>
        <v>0</v>
      </c>
    </row>
    <row r="13" spans="1:11">
      <c r="A13" t="s">
        <v>1990</v>
      </c>
      <c r="B13" s="2099">
        <v>12750</v>
      </c>
      <c r="I13" s="2406">
        <f t="shared" si="1"/>
        <v>12750</v>
      </c>
      <c r="J13" s="2406"/>
      <c r="K13" s="2404">
        <f t="shared" si="0"/>
        <v>0</v>
      </c>
    </row>
    <row r="14" spans="1:11">
      <c r="A14" t="s">
        <v>1991</v>
      </c>
      <c r="B14" s="2099">
        <v>11271</v>
      </c>
      <c r="I14">
        <f t="shared" si="1"/>
        <v>11271</v>
      </c>
      <c r="K14" s="2404">
        <f t="shared" si="0"/>
        <v>0</v>
      </c>
    </row>
    <row r="15" spans="1:11">
      <c r="A15" t="s">
        <v>1992</v>
      </c>
      <c r="B15" s="2099">
        <v>15729</v>
      </c>
      <c r="I15">
        <f t="shared" si="1"/>
        <v>15729</v>
      </c>
      <c r="K15" s="2404">
        <f t="shared" si="0"/>
        <v>0</v>
      </c>
    </row>
    <row r="16" spans="1:11">
      <c r="A16" t="s">
        <v>1993</v>
      </c>
      <c r="B16" s="2099">
        <v>18800</v>
      </c>
      <c r="I16">
        <f t="shared" si="1"/>
        <v>18800</v>
      </c>
      <c r="K16" s="2404">
        <f t="shared" si="0"/>
        <v>0</v>
      </c>
    </row>
    <row r="17" spans="1:11">
      <c r="A17" t="s">
        <v>1994</v>
      </c>
      <c r="B17" s="2099">
        <v>7140</v>
      </c>
      <c r="J17">
        <f>B17</f>
        <v>7140</v>
      </c>
      <c r="K17" s="2404">
        <f t="shared" si="0"/>
        <v>0</v>
      </c>
    </row>
    <row r="18" spans="1:11">
      <c r="A18" t="s">
        <v>1995</v>
      </c>
      <c r="B18" s="2099">
        <v>90000</v>
      </c>
      <c r="C18" s="2405" t="s">
        <v>1981</v>
      </c>
      <c r="D18">
        <f>B18</f>
        <v>90000</v>
      </c>
      <c r="K18" s="2404">
        <f t="shared" si="0"/>
        <v>0</v>
      </c>
    </row>
    <row r="19" spans="1:11">
      <c r="A19" t="s">
        <v>1996</v>
      </c>
      <c r="B19" s="2099">
        <v>1380</v>
      </c>
      <c r="I19">
        <f>B19</f>
        <v>1380</v>
      </c>
      <c r="K19" s="2404">
        <f t="shared" si="0"/>
        <v>0</v>
      </c>
    </row>
    <row r="20" spans="1:11">
      <c r="A20" t="s">
        <v>1997</v>
      </c>
      <c r="B20" s="2099">
        <v>198760</v>
      </c>
      <c r="C20" s="2405" t="s">
        <v>1981</v>
      </c>
      <c r="I20">
        <f>B20</f>
        <v>198760</v>
      </c>
      <c r="K20" s="2404">
        <f t="shared" si="0"/>
        <v>0</v>
      </c>
    </row>
    <row r="21" spans="1:11">
      <c r="A21" t="s">
        <v>1998</v>
      </c>
      <c r="B21" s="2099">
        <v>33016</v>
      </c>
      <c r="G21">
        <f>B21</f>
        <v>33016</v>
      </c>
      <c r="K21" s="2404">
        <f t="shared" si="0"/>
        <v>0</v>
      </c>
    </row>
    <row r="22" spans="1:11">
      <c r="A22" t="s">
        <v>1999</v>
      </c>
      <c r="B22" s="2099">
        <v>407000</v>
      </c>
      <c r="G22">
        <f>B22</f>
        <v>407000</v>
      </c>
      <c r="K22" s="2404">
        <f t="shared" si="0"/>
        <v>0</v>
      </c>
    </row>
    <row r="23" spans="1:11">
      <c r="A23" t="s">
        <v>694</v>
      </c>
      <c r="B23" s="2099">
        <v>1323477.6599999999</v>
      </c>
      <c r="D23">
        <f>SUM(D3:J22)</f>
        <v>1323477.6599999999</v>
      </c>
      <c r="K23" s="2404">
        <f t="shared" si="0"/>
        <v>0</v>
      </c>
    </row>
    <row r="24" spans="1:11">
      <c r="K24" s="2404">
        <f t="shared" si="0"/>
        <v>0</v>
      </c>
    </row>
    <row r="25" spans="1:11">
      <c r="A25" s="2981" t="s">
        <v>2000</v>
      </c>
      <c r="B25" s="2981"/>
      <c r="K25" s="2404">
        <f t="shared" si="0"/>
        <v>0</v>
      </c>
    </row>
    <row r="26" spans="1:11">
      <c r="K26" s="2404">
        <f t="shared" si="0"/>
        <v>0</v>
      </c>
    </row>
    <row r="27" spans="1:11">
      <c r="A27" t="s">
        <v>2001</v>
      </c>
      <c r="B27" s="2099">
        <v>11755.4</v>
      </c>
      <c r="C27" s="2405" t="s">
        <v>1981</v>
      </c>
      <c r="F27" s="2406"/>
      <c r="J27" s="2406">
        <f>B27</f>
        <v>11755.4</v>
      </c>
      <c r="K27" s="2404">
        <f t="shared" si="0"/>
        <v>0</v>
      </c>
    </row>
    <row r="28" spans="1:11">
      <c r="A28" t="s">
        <v>1982</v>
      </c>
      <c r="B28" s="2099">
        <v>29418</v>
      </c>
      <c r="I28">
        <f>B28</f>
        <v>29418</v>
      </c>
      <c r="K28" s="2404">
        <f t="shared" si="0"/>
        <v>0</v>
      </c>
    </row>
    <row r="29" spans="1:11">
      <c r="A29" t="s">
        <v>2002</v>
      </c>
      <c r="B29" s="2099">
        <v>399999</v>
      </c>
      <c r="J29">
        <f>B29</f>
        <v>399999</v>
      </c>
      <c r="K29" s="2404">
        <f t="shared" si="0"/>
        <v>0</v>
      </c>
    </row>
    <row r="30" spans="1:11">
      <c r="A30" t="s">
        <v>1987</v>
      </c>
      <c r="B30" s="2099">
        <v>27842</v>
      </c>
      <c r="J30">
        <f>B30</f>
        <v>27842</v>
      </c>
      <c r="K30" s="2404">
        <f t="shared" si="0"/>
        <v>0</v>
      </c>
    </row>
    <row r="31" spans="1:11">
      <c r="K31" s="2404">
        <f t="shared" si="0"/>
        <v>0</v>
      </c>
    </row>
    <row r="32" spans="1:11">
      <c r="A32" t="s">
        <v>1994</v>
      </c>
      <c r="B32" s="2099">
        <v>12400</v>
      </c>
      <c r="J32">
        <f>B32</f>
        <v>12400</v>
      </c>
      <c r="K32" s="2404">
        <f t="shared" si="0"/>
        <v>0</v>
      </c>
    </row>
    <row r="33" spans="1:13">
      <c r="A33" t="s">
        <v>1985</v>
      </c>
      <c r="B33" s="2099">
        <v>58721.5</v>
      </c>
      <c r="I33">
        <f>B33</f>
        <v>58721.5</v>
      </c>
      <c r="K33" s="2404">
        <f t="shared" si="0"/>
        <v>0</v>
      </c>
    </row>
    <row r="34" spans="1:13">
      <c r="A34" t="s">
        <v>2003</v>
      </c>
      <c r="B34" s="2099">
        <v>33796</v>
      </c>
      <c r="C34" s="2407" t="s">
        <v>2004</v>
      </c>
      <c r="J34">
        <f>B34/4</f>
        <v>8449</v>
      </c>
      <c r="K34" s="2404">
        <f t="shared" si="0"/>
        <v>25347</v>
      </c>
      <c r="M34" s="2407" t="s">
        <v>2005</v>
      </c>
    </row>
    <row r="35" spans="1:13">
      <c r="A35" t="s">
        <v>2006</v>
      </c>
      <c r="B35" s="2099">
        <v>20136</v>
      </c>
      <c r="I35">
        <f>B35</f>
        <v>20136</v>
      </c>
      <c r="K35" s="2404">
        <f t="shared" si="0"/>
        <v>0</v>
      </c>
    </row>
    <row r="36" spans="1:13">
      <c r="A36" t="s">
        <v>1991</v>
      </c>
      <c r="B36" s="2099">
        <v>15810</v>
      </c>
      <c r="F36" s="2406">
        <f>B36</f>
        <v>15810</v>
      </c>
      <c r="J36" s="2406"/>
      <c r="K36" s="2404">
        <f t="shared" si="0"/>
        <v>0</v>
      </c>
    </row>
    <row r="37" spans="1:13">
      <c r="A37" t="s">
        <v>2007</v>
      </c>
      <c r="B37" s="2099">
        <v>192510.24</v>
      </c>
      <c r="C37" s="2404" t="s">
        <v>1981</v>
      </c>
      <c r="I37">
        <v>192510.24</v>
      </c>
      <c r="K37" s="2404">
        <f t="shared" si="0"/>
        <v>0</v>
      </c>
      <c r="M37" t="s">
        <v>2008</v>
      </c>
    </row>
    <row r="38" spans="1:13">
      <c r="A38" t="s">
        <v>1995</v>
      </c>
      <c r="B38" s="2099">
        <v>72000</v>
      </c>
      <c r="C38" s="2405" t="s">
        <v>1981</v>
      </c>
      <c r="J38">
        <f>B38</f>
        <v>72000</v>
      </c>
      <c r="K38" s="2404">
        <f t="shared" si="0"/>
        <v>0</v>
      </c>
      <c r="M38" t="s">
        <v>2009</v>
      </c>
    </row>
    <row r="39" spans="1:13">
      <c r="A39" t="s">
        <v>2010</v>
      </c>
      <c r="B39" s="2099">
        <v>27858.66</v>
      </c>
      <c r="D39">
        <f>B39</f>
        <v>27858.66</v>
      </c>
      <c r="K39" s="2404">
        <f t="shared" si="0"/>
        <v>0</v>
      </c>
    </row>
    <row r="40" spans="1:13">
      <c r="A40" t="s">
        <v>1984</v>
      </c>
      <c r="B40" s="2099">
        <v>23053.5</v>
      </c>
      <c r="I40">
        <f>B40</f>
        <v>23053.5</v>
      </c>
      <c r="K40" s="2404">
        <f t="shared" si="0"/>
        <v>0</v>
      </c>
    </row>
    <row r="41" spans="1:13">
      <c r="K41" s="2404">
        <f t="shared" si="0"/>
        <v>0</v>
      </c>
    </row>
    <row r="42" spans="1:13">
      <c r="A42" t="s">
        <v>1988</v>
      </c>
      <c r="B42" s="2099">
        <v>48100.3</v>
      </c>
      <c r="I42">
        <f>B42</f>
        <v>48100.3</v>
      </c>
      <c r="K42" s="2404">
        <f t="shared" si="0"/>
        <v>0</v>
      </c>
    </row>
    <row r="43" spans="1:13">
      <c r="K43" s="2404">
        <f t="shared" si="0"/>
        <v>0</v>
      </c>
    </row>
    <row r="44" spans="1:13">
      <c r="A44" t="s">
        <v>2011</v>
      </c>
      <c r="B44" s="2099">
        <v>257100</v>
      </c>
      <c r="G44">
        <f>B44</f>
        <v>257100</v>
      </c>
      <c r="K44" s="2404">
        <f t="shared" si="0"/>
        <v>0</v>
      </c>
    </row>
    <row r="45" spans="1:13">
      <c r="A45" s="2408" t="s">
        <v>2012</v>
      </c>
      <c r="B45" s="2408">
        <v>4762</v>
      </c>
      <c r="C45" s="2982" t="s">
        <v>2013</v>
      </c>
      <c r="D45">
        <f>B45</f>
        <v>4762</v>
      </c>
      <c r="K45" s="2404">
        <f t="shared" si="0"/>
        <v>0</v>
      </c>
    </row>
    <row r="46" spans="1:13">
      <c r="A46" s="2408" t="s">
        <v>2014</v>
      </c>
      <c r="B46" s="2408">
        <v>57500</v>
      </c>
      <c r="C46" s="2982"/>
      <c r="D46">
        <f>B46</f>
        <v>57500</v>
      </c>
      <c r="K46" s="2404">
        <f t="shared" si="0"/>
        <v>0</v>
      </c>
    </row>
    <row r="47" spans="1:13">
      <c r="A47" s="2408" t="s">
        <v>2015</v>
      </c>
      <c r="B47" s="2408">
        <v>8924.4</v>
      </c>
      <c r="C47" s="2982"/>
      <c r="D47">
        <f>B47</f>
        <v>8924.4</v>
      </c>
      <c r="K47" s="2404">
        <f t="shared" si="0"/>
        <v>0</v>
      </c>
    </row>
    <row r="48" spans="1:13" ht="30.15" customHeight="1">
      <c r="A48" s="2099"/>
      <c r="B48" s="2099">
        <v>1230500.6000000001</v>
      </c>
      <c r="D48">
        <f>SUM(D27:D47)</f>
        <v>99045.06</v>
      </c>
      <c r="E48">
        <f t="shared" ref="E48:K48" si="2">SUM(E27:E47)</f>
        <v>0</v>
      </c>
      <c r="F48">
        <f t="shared" si="2"/>
        <v>15810</v>
      </c>
      <c r="G48">
        <f t="shared" si="2"/>
        <v>257100</v>
      </c>
      <c r="H48">
        <f t="shared" si="2"/>
        <v>0</v>
      </c>
      <c r="I48">
        <f t="shared" si="2"/>
        <v>371939.54</v>
      </c>
      <c r="J48">
        <f t="shared" si="2"/>
        <v>532445.4</v>
      </c>
      <c r="K48">
        <f t="shared" si="2"/>
        <v>25347</v>
      </c>
    </row>
  </sheetData>
  <mergeCells count="3">
    <mergeCell ref="A2:C2"/>
    <mergeCell ref="A25:B25"/>
    <mergeCell ref="C45:C47"/>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tabColor rgb="FF92D050"/>
    <pageSetUpPr fitToPage="1"/>
  </sheetPr>
  <dimension ref="A1:AR83"/>
  <sheetViews>
    <sheetView topLeftCell="B7" zoomScale="110" zoomScaleNormal="110" zoomScaleSheetLayoutView="100" workbookViewId="0">
      <pane xSplit="3" ySplit="5" topLeftCell="E45" activePane="bottomRight" state="frozen"/>
      <selection activeCell="B7" sqref="B7"/>
      <selection pane="topRight" activeCell="E7" sqref="E7"/>
      <selection pane="bottomLeft" activeCell="B12" sqref="B12"/>
      <selection pane="bottomRight" activeCell="H30" sqref="H30"/>
    </sheetView>
  </sheetViews>
  <sheetFormatPr defaultColWidth="9.109375" defaultRowHeight="14.4"/>
  <cols>
    <col min="1" max="1" width="5" style="131" hidden="1" customWidth="1"/>
    <col min="2" max="2" width="6.33203125" style="131" customWidth="1"/>
    <col min="3" max="3" width="39.6640625" style="95" customWidth="1"/>
    <col min="4" max="4" width="8.33203125" style="95" customWidth="1"/>
    <col min="5" max="5" width="9" style="95" customWidth="1"/>
    <col min="6" max="6" width="8" style="95" customWidth="1"/>
    <col min="7" max="7" width="9" style="95" customWidth="1"/>
    <col min="8" max="8" width="8.6640625" style="95" customWidth="1"/>
    <col min="9" max="9" width="7.33203125" style="95" customWidth="1"/>
    <col min="10" max="10" width="8" style="95" customWidth="1"/>
    <col min="11" max="11" width="9.109375" style="95" customWidth="1"/>
    <col min="12" max="12" width="7.44140625" style="95" bestFit="1" customWidth="1"/>
    <col min="13" max="13" width="6.33203125" style="95" customWidth="1"/>
    <col min="14" max="14" width="6" style="95" bestFit="1" customWidth="1"/>
    <col min="15" max="15" width="7.33203125" style="95" bestFit="1" customWidth="1"/>
    <col min="16" max="16" width="9.109375" style="95" customWidth="1"/>
    <col min="17" max="17" width="7.33203125" style="95" customWidth="1"/>
    <col min="18" max="18" width="6.33203125" style="95" customWidth="1"/>
    <col min="19" max="19" width="8" style="95" customWidth="1"/>
    <col min="20" max="20" width="7.44140625" style="95" customWidth="1"/>
    <col min="21" max="21" width="7.33203125" style="95" customWidth="1"/>
    <col min="22" max="22" width="7" style="95" customWidth="1"/>
    <col min="23" max="23" width="7.33203125" style="95" customWidth="1"/>
    <col min="24" max="24" width="7.88671875" style="95" customWidth="1"/>
    <col min="25" max="25" width="7.33203125" style="95" customWidth="1"/>
    <col min="26" max="26" width="7" style="95" customWidth="1"/>
    <col min="27" max="27" width="7.33203125" style="95" customWidth="1"/>
    <col min="28" max="28" width="8.77734375" style="95" customWidth="1"/>
    <col min="29" max="29" width="9.88671875" style="650" customWidth="1"/>
    <col min="30" max="30" width="10.109375" style="650" customWidth="1"/>
    <col min="31" max="31" width="12.5546875" style="650" customWidth="1"/>
    <col min="32" max="32" width="10.33203125" style="650" customWidth="1"/>
    <col min="33" max="33" width="9.109375" style="95"/>
    <col min="34" max="34" width="10" style="654" bestFit="1" customWidth="1"/>
    <col min="35" max="38" width="9.109375" style="654"/>
    <col min="39" max="39" width="5.6640625" style="654" customWidth="1"/>
    <col min="40" max="16384" width="9.109375" style="95"/>
  </cols>
  <sheetData>
    <row r="1" spans="1:44" s="90" customFormat="1" ht="32.4" customHeight="1">
      <c r="A1" s="88"/>
      <c r="B1" s="88"/>
      <c r="C1" s="89"/>
      <c r="P1" s="91"/>
      <c r="Q1" s="91"/>
      <c r="R1" s="91"/>
      <c r="S1" s="2562" t="s">
        <v>1441</v>
      </c>
      <c r="T1" s="2562"/>
      <c r="U1" s="2562"/>
      <c r="V1" s="2562"/>
      <c r="W1" s="2562"/>
      <c r="X1" s="2562"/>
      <c r="Y1" s="329" t="s">
        <v>541</v>
      </c>
      <c r="AB1" s="648"/>
      <c r="AC1" s="648"/>
      <c r="AD1" s="648"/>
      <c r="AE1" s="648"/>
      <c r="AF1" s="648"/>
      <c r="AH1" s="652"/>
      <c r="AI1" s="652"/>
      <c r="AJ1" s="652"/>
      <c r="AK1" s="652"/>
      <c r="AL1" s="652"/>
      <c r="AM1" s="652"/>
    </row>
    <row r="2" spans="1:44" s="90" customFormat="1" ht="13.95" customHeight="1">
      <c r="A2" s="88"/>
      <c r="B2" s="88"/>
      <c r="C2" s="89"/>
      <c r="P2" s="91"/>
      <c r="Q2" s="91"/>
      <c r="R2" s="91"/>
      <c r="S2" s="2566" t="str">
        <f>'Вхідні дані'!F1</f>
        <v>станом на 01.09.2023 року</v>
      </c>
      <c r="T2" s="2566"/>
      <c r="U2" s="2566"/>
      <c r="V2" s="2566"/>
      <c r="W2" s="2566"/>
      <c r="X2" s="2566"/>
      <c r="Y2" s="329"/>
      <c r="AB2" s="648"/>
      <c r="AC2" s="648"/>
      <c r="AD2" s="648"/>
      <c r="AE2" s="648"/>
      <c r="AF2" s="648"/>
      <c r="AH2" s="652"/>
      <c r="AI2" s="652"/>
      <c r="AJ2" s="652"/>
      <c r="AK2" s="652"/>
      <c r="AL2" s="652"/>
      <c r="AM2" s="652"/>
    </row>
    <row r="3" spans="1:44" s="90" customFormat="1" ht="13.8">
      <c r="A3" s="88"/>
      <c r="B3" s="88"/>
      <c r="C3" s="2563" t="s">
        <v>432</v>
      </c>
      <c r="D3" s="2563"/>
      <c r="E3" s="2563"/>
      <c r="F3" s="2563"/>
      <c r="G3" s="2563"/>
      <c r="H3" s="2563"/>
      <c r="I3" s="2563"/>
      <c r="J3" s="2563"/>
      <c r="K3" s="2563"/>
      <c r="L3" s="2563"/>
      <c r="M3" s="2563"/>
      <c r="N3" s="2563"/>
      <c r="O3" s="2563"/>
      <c r="P3" s="2563"/>
      <c r="Q3" s="2563"/>
      <c r="R3" s="2563"/>
      <c r="S3" s="2563"/>
      <c r="T3" s="2563"/>
      <c r="U3" s="2563"/>
      <c r="V3" s="2563"/>
      <c r="W3" s="2563"/>
      <c r="X3" s="2563"/>
      <c r="Y3" s="329"/>
      <c r="AB3" s="648"/>
      <c r="AC3" s="648"/>
      <c r="AD3" s="648"/>
      <c r="AE3" s="648"/>
      <c r="AF3" s="648"/>
      <c r="AH3" s="652"/>
      <c r="AI3" s="652"/>
      <c r="AJ3" s="652"/>
      <c r="AK3" s="652"/>
      <c r="AL3" s="652"/>
      <c r="AM3" s="652"/>
    </row>
    <row r="4" spans="1:44" s="90" customFormat="1" ht="13.8">
      <c r="A4" s="88"/>
      <c r="B4" s="88"/>
      <c r="C4" s="2564" t="s">
        <v>947</v>
      </c>
      <c r="D4" s="2564"/>
      <c r="E4" s="2564"/>
      <c r="F4" s="2564"/>
      <c r="G4" s="2564"/>
      <c r="H4" s="2564"/>
      <c r="I4" s="2564"/>
      <c r="J4" s="2564"/>
      <c r="K4" s="2564"/>
      <c r="L4" s="2564"/>
      <c r="M4" s="2564"/>
      <c r="N4" s="2564"/>
      <c r="O4" s="2564"/>
      <c r="P4" s="2564"/>
      <c r="Q4" s="2564"/>
      <c r="R4" s="2564"/>
      <c r="S4" s="2564"/>
      <c r="T4" s="2564"/>
      <c r="U4" s="2564"/>
      <c r="V4" s="2564"/>
      <c r="W4" s="2564"/>
      <c r="X4" s="2564"/>
      <c r="Y4" s="329"/>
      <c r="AB4" s="648"/>
      <c r="AC4" s="648"/>
      <c r="AD4" s="648"/>
      <c r="AE4" s="648"/>
      <c r="AF4" s="648"/>
      <c r="AH4" s="652"/>
      <c r="AI4" s="652"/>
      <c r="AJ4" s="652"/>
      <c r="AK4" s="652"/>
      <c r="AL4" s="652"/>
      <c r="AM4" s="652"/>
    </row>
    <row r="5" spans="1:44" s="90" customFormat="1" ht="13.8">
      <c r="A5" s="88"/>
      <c r="B5" s="88"/>
      <c r="D5" s="92"/>
      <c r="E5" s="92"/>
      <c r="F5" s="92"/>
      <c r="G5" s="92"/>
      <c r="H5" s="92"/>
      <c r="I5" s="92"/>
      <c r="J5" s="92"/>
      <c r="K5" s="92"/>
      <c r="L5" s="92"/>
      <c r="M5" s="92"/>
      <c r="N5" s="92"/>
      <c r="O5" s="92"/>
      <c r="P5" s="92"/>
      <c r="Q5" s="92"/>
      <c r="R5" s="92"/>
      <c r="S5" s="92"/>
      <c r="T5" s="92"/>
      <c r="U5" s="92"/>
      <c r="V5" s="92"/>
      <c r="W5" s="92"/>
      <c r="X5" s="92"/>
      <c r="Y5" s="92"/>
      <c r="Z5" s="92"/>
      <c r="AA5" s="92"/>
      <c r="AB5" s="92"/>
      <c r="AC5" s="648"/>
      <c r="AD5" s="648"/>
      <c r="AE5" s="648"/>
      <c r="AF5" s="648"/>
      <c r="AH5" s="652"/>
      <c r="AI5" s="652"/>
      <c r="AJ5" s="652"/>
      <c r="AK5" s="652"/>
      <c r="AL5" s="652"/>
      <c r="AM5" s="652"/>
    </row>
    <row r="6" spans="1:44" s="94" customFormat="1" thickBot="1">
      <c r="A6" s="93"/>
      <c r="B6" s="93"/>
      <c r="D6" s="2565" t="s">
        <v>197</v>
      </c>
      <c r="E6" s="2565"/>
      <c r="F6" s="2565"/>
      <c r="G6" s="2565"/>
      <c r="H6" s="2565"/>
      <c r="I6" s="2565"/>
      <c r="J6" s="2565"/>
      <c r="K6" s="2565"/>
      <c r="L6" s="2565"/>
      <c r="M6" s="2565"/>
      <c r="N6" s="2565"/>
      <c r="O6" s="2565"/>
      <c r="P6" s="2565"/>
      <c r="Q6" s="2565"/>
      <c r="R6" s="2565"/>
      <c r="S6" s="2565"/>
      <c r="T6" s="2565"/>
      <c r="U6" s="2565"/>
      <c r="V6" s="2565"/>
      <c r="W6" s="2565"/>
      <c r="X6" s="2565"/>
      <c r="Y6" s="329"/>
      <c r="Z6" s="90"/>
      <c r="AA6" s="90"/>
      <c r="AB6" s="648"/>
      <c r="AC6" s="648"/>
      <c r="AD6" s="649"/>
      <c r="AE6" s="649"/>
      <c r="AF6" s="649"/>
      <c r="AH6" s="653"/>
      <c r="AI6" s="653"/>
      <c r="AJ6" s="653"/>
      <c r="AK6" s="653"/>
      <c r="AL6" s="653"/>
      <c r="AM6" s="653"/>
    </row>
    <row r="7" spans="1:44" ht="16.5" customHeight="1">
      <c r="A7" s="2552" t="s">
        <v>7</v>
      </c>
      <c r="B7" s="2553" t="s">
        <v>7</v>
      </c>
      <c r="C7" s="2556" t="s">
        <v>8</v>
      </c>
      <c r="D7" s="2559" t="s">
        <v>34</v>
      </c>
      <c r="E7" s="2542" t="s">
        <v>35</v>
      </c>
      <c r="F7" s="2543"/>
      <c r="G7" s="2543"/>
      <c r="H7" s="2544"/>
      <c r="I7" s="2542" t="s">
        <v>1692</v>
      </c>
      <c r="J7" s="2543"/>
      <c r="K7" s="2543"/>
      <c r="L7" s="2544"/>
      <c r="M7" s="2542" t="s">
        <v>1897</v>
      </c>
      <c r="N7" s="2543"/>
      <c r="O7" s="2543"/>
      <c r="P7" s="2544"/>
      <c r="Q7" s="2542" t="s">
        <v>1898</v>
      </c>
      <c r="R7" s="2543"/>
      <c r="S7" s="2543"/>
      <c r="T7" s="2544"/>
      <c r="U7" s="2542" t="s">
        <v>1899</v>
      </c>
      <c r="V7" s="2543"/>
      <c r="W7" s="2543"/>
      <c r="X7" s="2544"/>
      <c r="Y7" s="2542" t="s">
        <v>1900</v>
      </c>
      <c r="Z7" s="2543"/>
      <c r="AA7" s="2543"/>
      <c r="AB7" s="2544"/>
      <c r="AC7" s="648"/>
    </row>
    <row r="8" spans="1:44" ht="24.6" customHeight="1">
      <c r="A8" s="2552"/>
      <c r="B8" s="2554"/>
      <c r="C8" s="2557"/>
      <c r="D8" s="2560"/>
      <c r="E8" s="2545"/>
      <c r="F8" s="2546"/>
      <c r="G8" s="2546"/>
      <c r="H8" s="2547"/>
      <c r="I8" s="2545"/>
      <c r="J8" s="2546"/>
      <c r="K8" s="2546"/>
      <c r="L8" s="2547"/>
      <c r="M8" s="2545"/>
      <c r="N8" s="2546"/>
      <c r="O8" s="2546"/>
      <c r="P8" s="2547"/>
      <c r="Q8" s="2545"/>
      <c r="R8" s="2546"/>
      <c r="S8" s="2546"/>
      <c r="T8" s="2547"/>
      <c r="U8" s="2545"/>
      <c r="V8" s="2546"/>
      <c r="W8" s="2546"/>
      <c r="X8" s="2547"/>
      <c r="Y8" s="2545"/>
      <c r="Z8" s="2546"/>
      <c r="AA8" s="2546"/>
      <c r="AB8" s="2547"/>
    </row>
    <row r="9" spans="1:44" ht="69">
      <c r="A9" s="2552"/>
      <c r="B9" s="2554"/>
      <c r="C9" s="2557"/>
      <c r="D9" s="2560"/>
      <c r="E9" s="98" t="s">
        <v>198</v>
      </c>
      <c r="F9" s="96" t="s">
        <v>199</v>
      </c>
      <c r="G9" s="96" t="s">
        <v>200</v>
      </c>
      <c r="H9" s="97" t="s">
        <v>439</v>
      </c>
      <c r="I9" s="98" t="s">
        <v>198</v>
      </c>
      <c r="J9" s="96" t="s">
        <v>199</v>
      </c>
      <c r="K9" s="96" t="s">
        <v>200</v>
      </c>
      <c r="L9" s="97" t="s">
        <v>439</v>
      </c>
      <c r="M9" s="98" t="s">
        <v>198</v>
      </c>
      <c r="N9" s="96" t="s">
        <v>199</v>
      </c>
      <c r="O9" s="96" t="s">
        <v>200</v>
      </c>
      <c r="P9" s="97" t="s">
        <v>439</v>
      </c>
      <c r="Q9" s="98" t="s">
        <v>198</v>
      </c>
      <c r="R9" s="96" t="s">
        <v>199</v>
      </c>
      <c r="S9" s="96" t="s">
        <v>200</v>
      </c>
      <c r="T9" s="97" t="s">
        <v>439</v>
      </c>
      <c r="U9" s="98" t="s">
        <v>198</v>
      </c>
      <c r="V9" s="96" t="s">
        <v>199</v>
      </c>
      <c r="W9" s="96" t="s">
        <v>200</v>
      </c>
      <c r="X9" s="97" t="s">
        <v>439</v>
      </c>
      <c r="Y9" s="98" t="s">
        <v>198</v>
      </c>
      <c r="Z9" s="96" t="s">
        <v>199</v>
      </c>
      <c r="AA9" s="96" t="s">
        <v>200</v>
      </c>
      <c r="AB9" s="97" t="s">
        <v>439</v>
      </c>
    </row>
    <row r="10" spans="1:44" ht="15.6" customHeight="1">
      <c r="A10" s="1561"/>
      <c r="B10" s="2555"/>
      <c r="C10" s="2558"/>
      <c r="D10" s="2561"/>
      <c r="E10" s="1562">
        <f>'Вхідні дані'!$F$8</f>
        <v>2021</v>
      </c>
      <c r="F10" s="1318">
        <f>'Вхідні дані'!$F$7</f>
        <v>2022</v>
      </c>
      <c r="G10" s="1563">
        <f>'Вхідні дані'!$F$9</f>
        <v>0</v>
      </c>
      <c r="H10" s="1564" t="str">
        <f>'Вхідні дані'!$F$6</f>
        <v>2023-2024</v>
      </c>
      <c r="I10" s="1562">
        <f>'Вхідні дані'!$F$8</f>
        <v>2021</v>
      </c>
      <c r="J10" s="1318">
        <f>'Вхідні дані'!$F$7</f>
        <v>2022</v>
      </c>
      <c r="K10" s="1563">
        <f>'Вхідні дані'!$F$9</f>
        <v>0</v>
      </c>
      <c r="L10" s="1564" t="str">
        <f>'Вхідні дані'!$F$6</f>
        <v>2023-2024</v>
      </c>
      <c r="M10" s="1562">
        <f>'Вхідні дані'!$F$8</f>
        <v>2021</v>
      </c>
      <c r="N10" s="1318">
        <f>'Вхідні дані'!$F$7</f>
        <v>2022</v>
      </c>
      <c r="O10" s="1563">
        <f>'Вхідні дані'!$F$9</f>
        <v>0</v>
      </c>
      <c r="P10" s="1564" t="str">
        <f>'Вхідні дані'!$F$6</f>
        <v>2023-2024</v>
      </c>
      <c r="Q10" s="1562">
        <f>'Вхідні дані'!$F$8</f>
        <v>2021</v>
      </c>
      <c r="R10" s="1318">
        <f>'Вхідні дані'!$F$7</f>
        <v>2022</v>
      </c>
      <c r="S10" s="1563">
        <f>'Вхідні дані'!$F$9</f>
        <v>0</v>
      </c>
      <c r="T10" s="1564" t="str">
        <f>'Вхідні дані'!$F$6</f>
        <v>2023-2024</v>
      </c>
      <c r="U10" s="1562">
        <f>'Вхідні дані'!$F$8</f>
        <v>2021</v>
      </c>
      <c r="V10" s="1318">
        <f>'Вхідні дані'!$F$7</f>
        <v>2022</v>
      </c>
      <c r="W10" s="1563">
        <f>'Вхідні дані'!$F$9</f>
        <v>0</v>
      </c>
      <c r="X10" s="1564" t="str">
        <f>'Вхідні дані'!$F$6</f>
        <v>2023-2024</v>
      </c>
      <c r="Y10" s="1562">
        <f>'Вхідні дані'!$F$8</f>
        <v>2021</v>
      </c>
      <c r="Z10" s="1318">
        <f>'Вхідні дані'!$F$7</f>
        <v>2022</v>
      </c>
      <c r="AA10" s="1563">
        <f>'Вхідні дані'!$F$9</f>
        <v>0</v>
      </c>
      <c r="AB10" s="1564" t="str">
        <f>'Вхідні дані'!$F$6</f>
        <v>2023-2024</v>
      </c>
    </row>
    <row r="11" spans="1:44">
      <c r="A11" s="99">
        <v>1</v>
      </c>
      <c r="B11" s="338">
        <v>1</v>
      </c>
      <c r="C11" s="339">
        <v>2</v>
      </c>
      <c r="D11" s="341">
        <v>3</v>
      </c>
      <c r="E11" s="342">
        <v>4</v>
      </c>
      <c r="F11" s="340">
        <v>5</v>
      </c>
      <c r="G11" s="339">
        <v>6</v>
      </c>
      <c r="H11" s="343">
        <v>7</v>
      </c>
      <c r="I11" s="342">
        <v>8</v>
      </c>
      <c r="J11" s="340">
        <v>9</v>
      </c>
      <c r="K11" s="339">
        <v>10</v>
      </c>
      <c r="L11" s="343">
        <v>11</v>
      </c>
      <c r="M11" s="342">
        <v>12</v>
      </c>
      <c r="N11" s="340">
        <v>13</v>
      </c>
      <c r="O11" s="339">
        <v>14</v>
      </c>
      <c r="P11" s="343">
        <v>15</v>
      </c>
      <c r="Q11" s="342">
        <v>16</v>
      </c>
      <c r="R11" s="340">
        <v>17</v>
      </c>
      <c r="S11" s="339">
        <v>18</v>
      </c>
      <c r="T11" s="343">
        <v>19</v>
      </c>
      <c r="U11" s="342">
        <v>20</v>
      </c>
      <c r="V11" s="340">
        <v>21</v>
      </c>
      <c r="W11" s="339">
        <v>22</v>
      </c>
      <c r="X11" s="343">
        <v>23</v>
      </c>
      <c r="Y11" s="342">
        <v>20</v>
      </c>
      <c r="Z11" s="340">
        <v>21</v>
      </c>
      <c r="AA11" s="339">
        <v>22</v>
      </c>
      <c r="AB11" s="343">
        <v>23</v>
      </c>
    </row>
    <row r="12" spans="1:44" s="105" customFormat="1">
      <c r="A12" s="100">
        <v>1</v>
      </c>
      <c r="B12" s="101">
        <v>1</v>
      </c>
      <c r="C12" s="4" t="s">
        <v>201</v>
      </c>
      <c r="D12" s="351" t="s">
        <v>36</v>
      </c>
      <c r="E12" s="103">
        <f>E13+E24+E25+E29</f>
        <v>0</v>
      </c>
      <c r="F12" s="102">
        <f t="shared" ref="F12:X12" si="0">F13+F24+F25+F29</f>
        <v>0</v>
      </c>
      <c r="G12" s="102">
        <f t="shared" si="0"/>
        <v>0</v>
      </c>
      <c r="H12" s="104">
        <f t="shared" si="0"/>
        <v>10255.499550927374</v>
      </c>
      <c r="I12" s="103">
        <f t="shared" si="0"/>
        <v>0</v>
      </c>
      <c r="J12" s="102">
        <f t="shared" si="0"/>
        <v>0</v>
      </c>
      <c r="K12" s="102">
        <f>K13+K24+K25+K29</f>
        <v>0</v>
      </c>
      <c r="L12" s="104">
        <f t="shared" si="0"/>
        <v>7745.5997843192235</v>
      </c>
      <c r="M12" s="103">
        <f t="shared" si="0"/>
        <v>0</v>
      </c>
      <c r="N12" s="102">
        <f t="shared" si="0"/>
        <v>0</v>
      </c>
      <c r="O12" s="104">
        <f t="shared" si="0"/>
        <v>0</v>
      </c>
      <c r="P12" s="104">
        <f t="shared" si="0"/>
        <v>590.08514766811277</v>
      </c>
      <c r="Q12" s="103">
        <f t="shared" si="0"/>
        <v>0</v>
      </c>
      <c r="R12" s="102">
        <f t="shared" si="0"/>
        <v>0</v>
      </c>
      <c r="S12" s="102">
        <f t="shared" si="0"/>
        <v>0</v>
      </c>
      <c r="T12" s="104">
        <f t="shared" si="0"/>
        <v>965.06131212586138</v>
      </c>
      <c r="U12" s="103">
        <f t="shared" si="0"/>
        <v>0</v>
      </c>
      <c r="V12" s="102">
        <f t="shared" si="0"/>
        <v>0</v>
      </c>
      <c r="W12" s="102">
        <f t="shared" si="0"/>
        <v>0</v>
      </c>
      <c r="X12" s="104">
        <f t="shared" si="0"/>
        <v>466.56075086958435</v>
      </c>
      <c r="Y12" s="103">
        <f t="shared" ref="Y12:AA12" si="1">Y13+Y24+Y25+Y29</f>
        <v>0</v>
      </c>
      <c r="Z12" s="102">
        <f t="shared" si="1"/>
        <v>0</v>
      </c>
      <c r="AA12" s="102">
        <f t="shared" si="1"/>
        <v>0</v>
      </c>
      <c r="AB12" s="104">
        <f>AB13+AB24+AB25+AB29</f>
        <v>488.19255594459145</v>
      </c>
      <c r="AC12" s="2114">
        <f t="shared" ref="AC12:AC28" si="2">H12-L12-P12-T12-X12-AB12</f>
        <v>5.1159076974727213E-13</v>
      </c>
      <c r="AD12" s="384"/>
      <c r="AE12" s="384"/>
      <c r="AF12" s="384"/>
      <c r="AH12" s="657"/>
      <c r="AI12" s="655"/>
      <c r="AJ12" s="655"/>
      <c r="AK12" s="655"/>
      <c r="AL12" s="655"/>
      <c r="AM12" s="655"/>
      <c r="AN12" s="384"/>
      <c r="AO12" s="384"/>
      <c r="AP12" s="384"/>
      <c r="AQ12" s="384"/>
      <c r="AR12" s="384"/>
    </row>
    <row r="13" spans="1:44">
      <c r="A13" s="106" t="s">
        <v>22</v>
      </c>
      <c r="B13" s="107" t="s">
        <v>22</v>
      </c>
      <c r="C13" s="4" t="s">
        <v>202</v>
      </c>
      <c r="D13" s="352" t="s">
        <v>36</v>
      </c>
      <c r="E13" s="109">
        <f>E14+E18+E19+E22+E23</f>
        <v>0</v>
      </c>
      <c r="F13" s="108">
        <f t="shared" ref="F13:X13" si="3">F14+F18+F19+F22+F23</f>
        <v>0</v>
      </c>
      <c r="G13" s="108">
        <f t="shared" si="3"/>
        <v>0</v>
      </c>
      <c r="H13" s="110">
        <f t="shared" si="3"/>
        <v>9714.0286569070067</v>
      </c>
      <c r="I13" s="109">
        <f t="shared" si="3"/>
        <v>0</v>
      </c>
      <c r="J13" s="108">
        <f t="shared" si="3"/>
        <v>0</v>
      </c>
      <c r="K13" s="108">
        <f t="shared" si="3"/>
        <v>0</v>
      </c>
      <c r="L13" s="110">
        <f t="shared" si="3"/>
        <v>7335.8033069942012</v>
      </c>
      <c r="M13" s="109">
        <f t="shared" si="3"/>
        <v>0</v>
      </c>
      <c r="N13" s="108">
        <f t="shared" si="3"/>
        <v>0</v>
      </c>
      <c r="O13" s="110">
        <f t="shared" si="3"/>
        <v>0</v>
      </c>
      <c r="P13" s="110">
        <f t="shared" si="3"/>
        <v>559.57522184845982</v>
      </c>
      <c r="Q13" s="109">
        <f t="shared" si="3"/>
        <v>0</v>
      </c>
      <c r="R13" s="108">
        <f t="shared" si="3"/>
        <v>0</v>
      </c>
      <c r="S13" s="108">
        <f t="shared" si="3"/>
        <v>0</v>
      </c>
      <c r="T13" s="110">
        <f t="shared" si="3"/>
        <v>914.42554050236731</v>
      </c>
      <c r="U13" s="109">
        <f t="shared" si="3"/>
        <v>0</v>
      </c>
      <c r="V13" s="108">
        <f>V14+V18+V19+V22+V23</f>
        <v>0</v>
      </c>
      <c r="W13" s="108">
        <f t="shared" si="3"/>
        <v>0</v>
      </c>
      <c r="X13" s="110">
        <f t="shared" si="3"/>
        <v>441.72460072867392</v>
      </c>
      <c r="Y13" s="109">
        <f t="shared" ref="Y13" si="4">Y14+Y18+Y19+Y22+Y23</f>
        <v>0</v>
      </c>
      <c r="Z13" s="108">
        <f>Z14+Z18+Z19+Z22+Z23</f>
        <v>0</v>
      </c>
      <c r="AA13" s="108">
        <f t="shared" ref="AA13:AB13" si="5">AA14+AA18+AA19+AA22+AA23</f>
        <v>0</v>
      </c>
      <c r="AB13" s="110">
        <f t="shared" si="5"/>
        <v>462.49998683330477</v>
      </c>
      <c r="AC13" s="2114">
        <f t="shared" si="2"/>
        <v>0</v>
      </c>
      <c r="AD13" s="384"/>
      <c r="AE13" s="384"/>
      <c r="AF13" s="384"/>
      <c r="AH13" s="657"/>
      <c r="AI13" s="655"/>
      <c r="AJ13" s="655"/>
      <c r="AK13" s="655"/>
      <c r="AL13" s="655"/>
      <c r="AN13" s="384"/>
      <c r="AO13" s="384"/>
      <c r="AP13" s="384"/>
      <c r="AQ13" s="384"/>
      <c r="AR13" s="384"/>
    </row>
    <row r="14" spans="1:44">
      <c r="A14" s="106" t="s">
        <v>37</v>
      </c>
      <c r="B14" s="114" t="s">
        <v>37</v>
      </c>
      <c r="C14" s="117" t="s">
        <v>435</v>
      </c>
      <c r="D14" s="124" t="s">
        <v>36</v>
      </c>
      <c r="E14" s="1565">
        <f t="shared" ref="E14" si="6">I14+M14+Q14+U14+Y14</f>
        <v>0</v>
      </c>
      <c r="F14" s="1565">
        <f t="shared" ref="F14" si="7">J14+N14+R14+V14+Z14</f>
        <v>0</v>
      </c>
      <c r="G14" s="1565">
        <f t="shared" ref="G14" si="8">K14+O14+S14+W14+AA14</f>
        <v>0</v>
      </c>
      <c r="H14" s="1565">
        <f t="shared" ref="F14:H28" si="9">L14+P14+T14+X14+AB14</f>
        <v>8302.6957517161845</v>
      </c>
      <c r="I14" s="112">
        <f t="shared" ref="I14" si="10">I15+I16+I17</f>
        <v>0</v>
      </c>
      <c r="J14" s="112">
        <f t="shared" ref="J14" si="11">J15+J16+J17</f>
        <v>0</v>
      </c>
      <c r="K14" s="112">
        <f>K15+K16+K17</f>
        <v>0</v>
      </c>
      <c r="L14" s="113">
        <f>L15+L16+L17</f>
        <v>6266.4817806721203</v>
      </c>
      <c r="M14" s="113">
        <f t="shared" ref="M14:N14" si="12">SUM(M15:M17)</f>
        <v>0</v>
      </c>
      <c r="N14" s="113">
        <f t="shared" si="12"/>
        <v>0</v>
      </c>
      <c r="O14" s="113">
        <f>SUM(O15:O17)</f>
        <v>0</v>
      </c>
      <c r="P14" s="113">
        <f>P15+P16+P17</f>
        <v>480.36083987563558</v>
      </c>
      <c r="Q14" s="112">
        <f t="shared" ref="Q14:R14" si="13">Q15+Q16+Q17</f>
        <v>0</v>
      </c>
      <c r="R14" s="112">
        <f t="shared" si="13"/>
        <v>0</v>
      </c>
      <c r="S14" s="112">
        <f>S15+S16+S17</f>
        <v>0</v>
      </c>
      <c r="T14" s="113">
        <f>T15+T16+T17</f>
        <v>782.8090134241105</v>
      </c>
      <c r="U14" s="112">
        <f t="shared" ref="U14:V14" si="14">U15+U16+U17</f>
        <v>0</v>
      </c>
      <c r="V14" s="112">
        <f t="shared" si="14"/>
        <v>0</v>
      </c>
      <c r="W14" s="112">
        <f>W15+W16+W17</f>
        <v>0</v>
      </c>
      <c r="X14" s="113">
        <f>X15+X16+X17</f>
        <v>377.24410092517337</v>
      </c>
      <c r="Y14" s="112">
        <f t="shared" ref="Y14" si="15">Y15+Y16+Y17</f>
        <v>0</v>
      </c>
      <c r="Z14" s="112">
        <f t="shared" ref="Z14" si="16">Z15+Z16+Z17</f>
        <v>0</v>
      </c>
      <c r="AA14" s="112">
        <f>AA15+AA16+AA17</f>
        <v>0</v>
      </c>
      <c r="AB14" s="113">
        <f>AB15+AB16+AB17</f>
        <v>395.8000168191449</v>
      </c>
      <c r="AC14" s="2114">
        <f t="shared" si="2"/>
        <v>0</v>
      </c>
      <c r="AD14" s="384"/>
      <c r="AE14" s="384"/>
      <c r="AF14" s="384"/>
      <c r="AH14" s="657"/>
      <c r="AI14" s="655"/>
      <c r="AJ14" s="655"/>
      <c r="AK14" s="655"/>
      <c r="AL14" s="655"/>
      <c r="AN14" s="384"/>
      <c r="AO14" s="384"/>
      <c r="AP14" s="384"/>
      <c r="AQ14" s="384"/>
      <c r="AR14" s="384"/>
    </row>
    <row r="15" spans="1:44">
      <c r="A15" s="106"/>
      <c r="B15" s="335" t="s">
        <v>436</v>
      </c>
      <c r="C15" s="337" t="s">
        <v>1553</v>
      </c>
      <c r="D15" s="353" t="s">
        <v>36</v>
      </c>
      <c r="E15" s="1565">
        <f t="shared" ref="E15:E28" si="17">I15+M15+Q15+U15+Y15</f>
        <v>0</v>
      </c>
      <c r="F15" s="108">
        <f t="shared" si="9"/>
        <v>0</v>
      </c>
      <c r="G15" s="108">
        <f t="shared" si="9"/>
        <v>0</v>
      </c>
      <c r="H15" s="1560">
        <f>L15+P15+T15+X15+AB15</f>
        <v>7526.294279271533</v>
      </c>
      <c r="I15" s="909"/>
      <c r="J15" s="112"/>
      <c r="K15" s="903"/>
      <c r="L15" s="110">
        <f>Виробництво_1ст!G13</f>
        <v>5714.6755349139594</v>
      </c>
      <c r="M15" s="909"/>
      <c r="N15" s="112"/>
      <c r="O15" s="904"/>
      <c r="P15" s="110">
        <f>Виробництво_1ст!H13</f>
        <v>416.21628826954287</v>
      </c>
      <c r="Q15" s="909"/>
      <c r="R15" s="112"/>
      <c r="S15" s="903"/>
      <c r="T15" s="110">
        <f>Виробництво_1ст!I13</f>
        <v>690.77286794097972</v>
      </c>
      <c r="U15" s="909"/>
      <c r="V15" s="112"/>
      <c r="W15" s="903"/>
      <c r="X15" s="110">
        <f>Виробництво_1ст!J13</f>
        <v>346.34335688583855</v>
      </c>
      <c r="Y15" s="909"/>
      <c r="Z15" s="112"/>
      <c r="AA15" s="903"/>
      <c r="AB15" s="110">
        <f>Виробництво_1ст!K13</f>
        <v>358.28623126121232</v>
      </c>
      <c r="AC15" s="2114">
        <f t="shared" si="2"/>
        <v>0</v>
      </c>
      <c r="AD15" s="384"/>
      <c r="AE15" s="384"/>
      <c r="AF15" s="384"/>
      <c r="AH15" s="657"/>
      <c r="AI15" s="655"/>
      <c r="AJ15" s="655"/>
      <c r="AK15" s="655"/>
      <c r="AL15" s="655"/>
      <c r="AN15" s="384"/>
      <c r="AO15" s="384"/>
      <c r="AP15" s="384"/>
      <c r="AQ15" s="384"/>
      <c r="AR15" s="384"/>
    </row>
    <row r="16" spans="1:44">
      <c r="A16" s="106"/>
      <c r="B16" s="335" t="s">
        <v>437</v>
      </c>
      <c r="C16" s="337" t="s">
        <v>930</v>
      </c>
      <c r="D16" s="353" t="s">
        <v>36</v>
      </c>
      <c r="E16" s="1565">
        <f t="shared" si="17"/>
        <v>0</v>
      </c>
      <c r="F16" s="108">
        <f t="shared" si="9"/>
        <v>0</v>
      </c>
      <c r="G16" s="108">
        <f t="shared" si="9"/>
        <v>0</v>
      </c>
      <c r="H16" s="1560">
        <f t="shared" ref="H16:H28" si="18">L16+P16+T16+X16+AB16</f>
        <v>166.23909244465176</v>
      </c>
      <c r="I16" s="909"/>
      <c r="J16" s="112"/>
      <c r="K16" s="903"/>
      <c r="L16" s="110">
        <f>Виробництво_1ст!G14</f>
        <v>126.22446575816085</v>
      </c>
      <c r="M16" s="909"/>
      <c r="N16" s="112"/>
      <c r="O16" s="904"/>
      <c r="P16" s="110">
        <f>Виробництво_1ст!H14</f>
        <v>9.1932916060926857</v>
      </c>
      <c r="Q16" s="909"/>
      <c r="R16" s="112"/>
      <c r="S16" s="903"/>
      <c r="T16" s="110">
        <f>Виробництво_1ст!I14</f>
        <v>15.257635483130812</v>
      </c>
      <c r="U16" s="909"/>
      <c r="V16" s="112"/>
      <c r="W16" s="903"/>
      <c r="X16" s="110">
        <f>Виробництво_1ст!J14</f>
        <v>7.6499540393348378</v>
      </c>
      <c r="Y16" s="909"/>
      <c r="Z16" s="112"/>
      <c r="AA16" s="903"/>
      <c r="AB16" s="110">
        <f>Виробництво_1ст!K14</f>
        <v>7.9137455579325913</v>
      </c>
      <c r="AC16" s="2114">
        <f t="shared" si="2"/>
        <v>-1.3322676295501878E-14</v>
      </c>
      <c r="AD16" s="1106"/>
      <c r="AE16" s="1106"/>
      <c r="AF16" s="1106"/>
      <c r="AH16" s="657"/>
      <c r="AI16" s="655"/>
      <c r="AJ16" s="655"/>
      <c r="AK16" s="655"/>
      <c r="AL16" s="655"/>
      <c r="AN16" s="384"/>
      <c r="AO16" s="384"/>
      <c r="AP16" s="384"/>
      <c r="AQ16" s="384"/>
      <c r="AR16" s="384"/>
    </row>
    <row r="17" spans="1:44">
      <c r="A17" s="106"/>
      <c r="B17" s="335" t="s">
        <v>438</v>
      </c>
      <c r="C17" s="337" t="s">
        <v>931</v>
      </c>
      <c r="D17" s="353" t="s">
        <v>36</v>
      </c>
      <c r="E17" s="1565">
        <f t="shared" si="17"/>
        <v>0</v>
      </c>
      <c r="F17" s="108">
        <f t="shared" si="9"/>
        <v>0</v>
      </c>
      <c r="G17" s="108">
        <f t="shared" si="9"/>
        <v>0</v>
      </c>
      <c r="H17" s="1560">
        <f t="shared" si="18"/>
        <v>610.1623800000001</v>
      </c>
      <c r="I17" s="909"/>
      <c r="J17" s="112"/>
      <c r="K17" s="903"/>
      <c r="L17" s="110">
        <f>Виробництво_1ст!G15</f>
        <v>425.58178000000004</v>
      </c>
      <c r="M17" s="909"/>
      <c r="N17" s="112"/>
      <c r="O17" s="904"/>
      <c r="P17" s="110">
        <f>Виробництво_1ст!H15</f>
        <v>54.951260000000005</v>
      </c>
      <c r="Q17" s="909"/>
      <c r="R17" s="112"/>
      <c r="S17" s="903"/>
      <c r="T17" s="110">
        <f>Виробництво_1ст!I15</f>
        <v>76.778509999999997</v>
      </c>
      <c r="U17" s="909"/>
      <c r="V17" s="112"/>
      <c r="W17" s="903"/>
      <c r="X17" s="110">
        <f>Виробництво_1ст!J15</f>
        <v>23.250790000000002</v>
      </c>
      <c r="Y17" s="909"/>
      <c r="Z17" s="112"/>
      <c r="AA17" s="903"/>
      <c r="AB17" s="110">
        <f>Виробництво_1ст!K15</f>
        <v>29.600039999999996</v>
      </c>
      <c r="AC17" s="2114">
        <f t="shared" si="2"/>
        <v>7.460698725481052E-14</v>
      </c>
      <c r="AD17" s="1106"/>
      <c r="AE17" s="1106"/>
      <c r="AF17" s="1106"/>
      <c r="AH17" s="657"/>
      <c r="AI17" s="655"/>
      <c r="AJ17" s="655"/>
      <c r="AK17" s="655"/>
      <c r="AL17" s="655"/>
      <c r="AN17" s="384"/>
      <c r="AO17" s="384"/>
      <c r="AP17" s="384"/>
      <c r="AQ17" s="384"/>
      <c r="AR17" s="384"/>
    </row>
    <row r="18" spans="1:44">
      <c r="A18" s="106" t="s">
        <v>117</v>
      </c>
      <c r="B18" s="114" t="s">
        <v>38</v>
      </c>
      <c r="C18" s="115" t="s">
        <v>39</v>
      </c>
      <c r="D18" s="124" t="s">
        <v>36</v>
      </c>
      <c r="E18" s="1565">
        <f t="shared" si="17"/>
        <v>0</v>
      </c>
      <c r="F18" s="108">
        <f t="shared" si="9"/>
        <v>0</v>
      </c>
      <c r="G18" s="108">
        <f t="shared" si="9"/>
        <v>0</v>
      </c>
      <c r="H18" s="1560">
        <f t="shared" si="18"/>
        <v>1403.2600406893609</v>
      </c>
      <c r="I18" s="907"/>
      <c r="J18" s="108"/>
      <c r="K18" s="108"/>
      <c r="L18" s="110">
        <f>Виробництво_1ст!G16</f>
        <v>1062.0164958004891</v>
      </c>
      <c r="M18" s="910"/>
      <c r="N18" s="112"/>
      <c r="O18" s="110"/>
      <c r="P18" s="110">
        <f>Виробництво_1ст!H16</f>
        <v>79.068626254738618</v>
      </c>
      <c r="Q18" s="909"/>
      <c r="R18" s="112"/>
      <c r="S18" s="112"/>
      <c r="T18" s="110">
        <f>Виробництво_1ст!I16</f>
        <v>131.22617620523283</v>
      </c>
      <c r="U18" s="909"/>
      <c r="V18" s="112"/>
      <c r="W18" s="112"/>
      <c r="X18" s="110">
        <f>Виробництво_1ст!J16</f>
        <v>64.364636109120553</v>
      </c>
      <c r="Y18" s="909"/>
      <c r="Z18" s="112"/>
      <c r="AA18" s="112"/>
      <c r="AB18" s="110">
        <f>Виробництво_1ст!K16</f>
        <v>66.584106319779892</v>
      </c>
      <c r="AC18" s="2114">
        <f t="shared" si="2"/>
        <v>0</v>
      </c>
      <c r="AD18" s="1106"/>
      <c r="AE18" s="1106"/>
      <c r="AF18" s="1106"/>
      <c r="AH18" s="657"/>
      <c r="AI18" s="655"/>
      <c r="AJ18" s="655"/>
      <c r="AK18" s="655"/>
      <c r="AL18" s="655"/>
      <c r="AN18" s="384"/>
      <c r="AO18" s="384"/>
      <c r="AP18" s="384"/>
      <c r="AQ18" s="384"/>
      <c r="AR18" s="384"/>
    </row>
    <row r="19" spans="1:44" ht="54.6" customHeight="1">
      <c r="A19" s="106"/>
      <c r="B19" s="331" t="s">
        <v>40</v>
      </c>
      <c r="C19" s="332" t="s">
        <v>948</v>
      </c>
      <c r="D19" s="124" t="s">
        <v>36</v>
      </c>
      <c r="E19" s="1565">
        <f t="shared" si="17"/>
        <v>0</v>
      </c>
      <c r="F19" s="108">
        <f t="shared" si="9"/>
        <v>0</v>
      </c>
      <c r="G19" s="108">
        <f t="shared" si="9"/>
        <v>0</v>
      </c>
      <c r="H19" s="1560">
        <f t="shared" si="18"/>
        <v>0</v>
      </c>
      <c r="I19" s="109"/>
      <c r="J19" s="108"/>
      <c r="K19" s="108"/>
      <c r="L19" s="110"/>
      <c r="M19" s="109"/>
      <c r="N19" s="108"/>
      <c r="O19" s="110"/>
      <c r="P19" s="110"/>
      <c r="Q19" s="109"/>
      <c r="R19" s="108"/>
      <c r="S19" s="108"/>
      <c r="T19" s="110"/>
      <c r="U19" s="109"/>
      <c r="V19" s="108"/>
      <c r="W19" s="108"/>
      <c r="X19" s="110"/>
      <c r="Y19" s="109"/>
      <c r="Z19" s="108"/>
      <c r="AA19" s="108"/>
      <c r="AB19" s="110"/>
      <c r="AC19" s="2114">
        <f t="shared" si="2"/>
        <v>0</v>
      </c>
      <c r="AD19" s="1106"/>
      <c r="AE19" s="1106"/>
      <c r="AF19" s="1106"/>
      <c r="AH19" s="657"/>
      <c r="AI19" s="655"/>
      <c r="AJ19" s="655"/>
      <c r="AK19" s="655"/>
      <c r="AL19" s="655"/>
      <c r="AN19" s="384"/>
      <c r="AO19" s="384"/>
      <c r="AP19" s="384"/>
      <c r="AQ19" s="384"/>
      <c r="AR19" s="384"/>
    </row>
    <row r="20" spans="1:44">
      <c r="A20" s="106"/>
      <c r="B20" s="333" t="s">
        <v>511</v>
      </c>
      <c r="C20" s="332" t="s">
        <v>512</v>
      </c>
      <c r="D20" s="353" t="s">
        <v>36</v>
      </c>
      <c r="E20" s="1565">
        <f t="shared" si="17"/>
        <v>0</v>
      </c>
      <c r="F20" s="108">
        <f t="shared" si="9"/>
        <v>0</v>
      </c>
      <c r="G20" s="108">
        <f t="shared" si="9"/>
        <v>0</v>
      </c>
      <c r="H20" s="1560">
        <f t="shared" si="18"/>
        <v>0</v>
      </c>
      <c r="I20" s="111"/>
      <c r="J20" s="112"/>
      <c r="K20" s="112"/>
      <c r="L20" s="110"/>
      <c r="M20" s="111"/>
      <c r="N20" s="112"/>
      <c r="O20" s="110"/>
      <c r="P20" s="110"/>
      <c r="Q20" s="111"/>
      <c r="R20" s="112"/>
      <c r="S20" s="112"/>
      <c r="T20" s="110"/>
      <c r="U20" s="111"/>
      <c r="V20" s="112"/>
      <c r="W20" s="112"/>
      <c r="X20" s="110"/>
      <c r="Y20" s="111"/>
      <c r="Z20" s="112"/>
      <c r="AA20" s="112"/>
      <c r="AB20" s="110"/>
      <c r="AC20" s="2114">
        <f t="shared" si="2"/>
        <v>0</v>
      </c>
      <c r="AD20" s="1106"/>
      <c r="AE20" s="1106"/>
      <c r="AF20" s="1106"/>
      <c r="AH20" s="657"/>
      <c r="AI20" s="655"/>
      <c r="AJ20" s="655"/>
      <c r="AK20" s="655"/>
      <c r="AL20" s="655"/>
      <c r="AN20" s="384"/>
      <c r="AO20" s="384"/>
      <c r="AP20" s="384"/>
      <c r="AQ20" s="384"/>
      <c r="AR20" s="384"/>
    </row>
    <row r="21" spans="1:44" ht="22.95" customHeight="1">
      <c r="A21" s="106"/>
      <c r="B21" s="333" t="s">
        <v>513</v>
      </c>
      <c r="C21" s="332" t="s">
        <v>514</v>
      </c>
      <c r="D21" s="353" t="s">
        <v>36</v>
      </c>
      <c r="E21" s="1565">
        <f t="shared" si="17"/>
        <v>0</v>
      </c>
      <c r="F21" s="108">
        <f t="shared" si="9"/>
        <v>0</v>
      </c>
      <c r="G21" s="108">
        <f t="shared" si="9"/>
        <v>0</v>
      </c>
      <c r="H21" s="1560">
        <f t="shared" si="18"/>
        <v>0</v>
      </c>
      <c r="I21" s="111"/>
      <c r="J21" s="112"/>
      <c r="K21" s="112"/>
      <c r="L21" s="110"/>
      <c r="M21" s="111"/>
      <c r="N21" s="112"/>
      <c r="O21" s="110"/>
      <c r="P21" s="110"/>
      <c r="Q21" s="111"/>
      <c r="R21" s="112"/>
      <c r="S21" s="112"/>
      <c r="T21" s="110"/>
      <c r="U21" s="111"/>
      <c r="V21" s="112"/>
      <c r="W21" s="112"/>
      <c r="X21" s="110"/>
      <c r="Y21" s="111"/>
      <c r="Z21" s="112"/>
      <c r="AA21" s="112"/>
      <c r="AB21" s="110"/>
      <c r="AC21" s="2114">
        <f t="shared" si="2"/>
        <v>0</v>
      </c>
      <c r="AD21" s="1106"/>
      <c r="AE21" s="1106"/>
      <c r="AF21" s="1106"/>
      <c r="AH21" s="657"/>
      <c r="AI21" s="655"/>
      <c r="AJ21" s="655"/>
      <c r="AK21" s="655"/>
      <c r="AL21" s="655"/>
      <c r="AN21" s="384"/>
      <c r="AO21" s="384"/>
      <c r="AP21" s="384"/>
      <c r="AQ21" s="384"/>
      <c r="AR21" s="384"/>
    </row>
    <row r="22" spans="1:44" ht="15.75" customHeight="1">
      <c r="A22" s="106" t="s">
        <v>40</v>
      </c>
      <c r="B22" s="331" t="s">
        <v>41</v>
      </c>
      <c r="C22" s="334" t="s">
        <v>784</v>
      </c>
      <c r="D22" s="352" t="s">
        <v>36</v>
      </c>
      <c r="E22" s="1565">
        <f t="shared" si="17"/>
        <v>0</v>
      </c>
      <c r="F22" s="108">
        <f t="shared" si="9"/>
        <v>0</v>
      </c>
      <c r="G22" s="108">
        <f t="shared" si="9"/>
        <v>0</v>
      </c>
      <c r="H22" s="1560">
        <f t="shared" si="18"/>
        <v>8.0728645014612006</v>
      </c>
      <c r="I22" s="907"/>
      <c r="J22" s="108"/>
      <c r="K22" s="905"/>
      <c r="L22" s="110">
        <f>Виробництво_1ст!G17</f>
        <v>7.3050305215916005</v>
      </c>
      <c r="M22" s="910"/>
      <c r="N22" s="112"/>
      <c r="O22" s="906"/>
      <c r="P22" s="110">
        <f>Виробництво_1ст!H17</f>
        <v>0.14575571808560001</v>
      </c>
      <c r="Q22" s="909"/>
      <c r="R22" s="112"/>
      <c r="S22" s="903"/>
      <c r="T22" s="110">
        <f>Виробництво_1ст!I17</f>
        <v>0.39035087302400001</v>
      </c>
      <c r="U22" s="909"/>
      <c r="V22" s="112"/>
      <c r="W22" s="903"/>
      <c r="X22" s="110">
        <f>Виробництво_1ст!J17</f>
        <v>0.11586369437999999</v>
      </c>
      <c r="Y22" s="909"/>
      <c r="Z22" s="112"/>
      <c r="AA22" s="903"/>
      <c r="AB22" s="110">
        <f>Виробництво_1ст!K17</f>
        <v>0.11586369437999999</v>
      </c>
      <c r="AC22" s="2114">
        <f t="shared" si="2"/>
        <v>1.6653345369377348E-16</v>
      </c>
      <c r="AD22" s="1106"/>
      <c r="AE22" s="1106"/>
      <c r="AF22" s="1106"/>
      <c r="AH22" s="657"/>
      <c r="AI22" s="655"/>
      <c r="AJ22" s="655"/>
      <c r="AK22" s="655"/>
      <c r="AL22" s="655"/>
      <c r="AN22" s="811"/>
      <c r="AO22" s="811"/>
      <c r="AP22" s="811"/>
      <c r="AQ22" s="811"/>
      <c r="AR22" s="811"/>
    </row>
    <row r="23" spans="1:44" ht="15" customHeight="1">
      <c r="A23" s="106"/>
      <c r="B23" s="331" t="s">
        <v>42</v>
      </c>
      <c r="C23" s="62" t="s">
        <v>533</v>
      </c>
      <c r="D23" s="352" t="s">
        <v>36</v>
      </c>
      <c r="E23" s="1565">
        <f t="shared" si="17"/>
        <v>0</v>
      </c>
      <c r="F23" s="108">
        <f t="shared" si="9"/>
        <v>0</v>
      </c>
      <c r="G23" s="108">
        <f t="shared" si="9"/>
        <v>0</v>
      </c>
      <c r="H23" s="1560">
        <f t="shared" si="18"/>
        <v>0</v>
      </c>
      <c r="I23" s="907"/>
      <c r="J23" s="108"/>
      <c r="K23" s="905"/>
      <c r="L23" s="110">
        <f>Виробництво_1ст!G18</f>
        <v>0</v>
      </c>
      <c r="M23" s="910"/>
      <c r="N23" s="112"/>
      <c r="O23" s="904"/>
      <c r="P23" s="110">
        <f>Виробництво_1ст!H18</f>
        <v>0</v>
      </c>
      <c r="Q23" s="909"/>
      <c r="R23" s="112"/>
      <c r="S23" s="903"/>
      <c r="T23" s="110">
        <f>Виробництво_1ст!I18</f>
        <v>0</v>
      </c>
      <c r="U23" s="909"/>
      <c r="V23" s="112"/>
      <c r="W23" s="903"/>
      <c r="X23" s="110">
        <f>Виробництво_1ст!J18</f>
        <v>0</v>
      </c>
      <c r="Y23" s="909"/>
      <c r="Z23" s="112"/>
      <c r="AA23" s="903"/>
      <c r="AB23" s="110">
        <f>Виробництво_1ст!K18</f>
        <v>0</v>
      </c>
      <c r="AC23" s="2114">
        <f t="shared" si="2"/>
        <v>0</v>
      </c>
      <c r="AD23" s="1106"/>
      <c r="AE23" s="1106"/>
      <c r="AF23" s="1106"/>
      <c r="AH23" s="657"/>
      <c r="AI23" s="655"/>
      <c r="AJ23" s="655"/>
      <c r="AK23" s="655"/>
      <c r="AL23" s="655"/>
      <c r="AN23" s="811"/>
      <c r="AO23" s="811"/>
      <c r="AP23" s="811"/>
      <c r="AQ23" s="811"/>
      <c r="AR23" s="811"/>
    </row>
    <row r="24" spans="1:44">
      <c r="A24" s="106" t="s">
        <v>23</v>
      </c>
      <c r="B24" s="107" t="s">
        <v>23</v>
      </c>
      <c r="C24" s="4" t="s">
        <v>43</v>
      </c>
      <c r="D24" s="352" t="s">
        <v>36</v>
      </c>
      <c r="E24" s="1565">
        <f t="shared" si="17"/>
        <v>0</v>
      </c>
      <c r="F24" s="108">
        <f t="shared" si="9"/>
        <v>0</v>
      </c>
      <c r="G24" s="108">
        <f t="shared" si="9"/>
        <v>0</v>
      </c>
      <c r="H24" s="1560">
        <f t="shared" si="18"/>
        <v>216</v>
      </c>
      <c r="I24" s="907"/>
      <c r="J24" s="108"/>
      <c r="K24" s="905"/>
      <c r="L24" s="110">
        <f>Виробництво_1ст!G29</f>
        <v>163.47330960854092</v>
      </c>
      <c r="M24" s="910"/>
      <c r="N24" s="112"/>
      <c r="O24" s="904"/>
      <c r="P24" s="110">
        <f>Виробництво_1ст!H29</f>
        <v>12.170818505338078</v>
      </c>
      <c r="Q24" s="909"/>
      <c r="R24" s="112"/>
      <c r="S24" s="903"/>
      <c r="T24" s="110">
        <f>Виробництво_1ст!I29</f>
        <v>20.199288256227756</v>
      </c>
      <c r="U24" s="909"/>
      <c r="V24" s="112"/>
      <c r="W24" s="903"/>
      <c r="X24" s="110">
        <f>Виробництво_1ст!J29</f>
        <v>9.9074733096085392</v>
      </c>
      <c r="Y24" s="909"/>
      <c r="Z24" s="112"/>
      <c r="AA24" s="903"/>
      <c r="AB24" s="110">
        <f>Виробництво_1ст!K29</f>
        <v>10.249110320284698</v>
      </c>
      <c r="AC24" s="2114">
        <f t="shared" si="2"/>
        <v>1.4210854715202004E-14</v>
      </c>
      <c r="AD24" s="1106"/>
      <c r="AE24" s="1106"/>
      <c r="AF24" s="1106"/>
      <c r="AH24" s="657"/>
      <c r="AI24" s="655"/>
      <c r="AJ24" s="655"/>
      <c r="AK24" s="655"/>
      <c r="AL24" s="655"/>
      <c r="AN24" s="811"/>
      <c r="AO24" s="811"/>
      <c r="AP24" s="811"/>
      <c r="AQ24" s="811"/>
      <c r="AR24" s="811"/>
    </row>
    <row r="25" spans="1:44">
      <c r="A25" s="106" t="s">
        <v>44</v>
      </c>
      <c r="B25" s="107" t="s">
        <v>44</v>
      </c>
      <c r="C25" s="4" t="s">
        <v>203</v>
      </c>
      <c r="D25" s="352" t="s">
        <v>36</v>
      </c>
      <c r="E25" s="1565">
        <f t="shared" si="17"/>
        <v>0</v>
      </c>
      <c r="F25" s="108">
        <f t="shared" si="9"/>
        <v>0</v>
      </c>
      <c r="G25" s="108">
        <f t="shared" si="9"/>
        <v>0</v>
      </c>
      <c r="H25" s="1560">
        <f t="shared" si="18"/>
        <v>217.59439999999998</v>
      </c>
      <c r="I25" s="907"/>
      <c r="J25" s="108"/>
      <c r="K25" s="905"/>
      <c r="L25" s="110">
        <f>SUM(L26:L28)</f>
        <v>164.67998481613284</v>
      </c>
      <c r="M25" s="907"/>
      <c r="N25" s="108"/>
      <c r="O25" s="904"/>
      <c r="P25" s="110">
        <f>SUM(P26:P28)</f>
        <v>12.260657176749703</v>
      </c>
      <c r="Q25" s="907"/>
      <c r="R25" s="108"/>
      <c r="S25" s="905"/>
      <c r="T25" s="110">
        <f>SUM(T26:T28)</f>
        <v>20.348388928430204</v>
      </c>
      <c r="U25" s="907"/>
      <c r="V25" s="108"/>
      <c r="W25" s="905"/>
      <c r="X25" s="110">
        <f>SUM(X26:X28)</f>
        <v>9.9806051403716864</v>
      </c>
      <c r="Y25" s="907"/>
      <c r="Z25" s="108"/>
      <c r="AA25" s="905"/>
      <c r="AB25" s="110">
        <f>SUM(AB26:AB28)</f>
        <v>10.32476393831554</v>
      </c>
      <c r="AC25" s="2114">
        <f t="shared" si="2"/>
        <v>0</v>
      </c>
      <c r="AD25" s="1106"/>
      <c r="AE25" s="1106"/>
      <c r="AF25" s="1106"/>
      <c r="AH25" s="657"/>
      <c r="AI25" s="655"/>
      <c r="AJ25" s="655"/>
      <c r="AK25" s="655"/>
      <c r="AL25" s="655"/>
      <c r="AN25" s="811"/>
      <c r="AO25" s="811"/>
      <c r="AP25" s="811"/>
      <c r="AQ25" s="811"/>
      <c r="AR25" s="811"/>
    </row>
    <row r="26" spans="1:44" ht="25.2" customHeight="1">
      <c r="A26" s="106" t="s">
        <v>45</v>
      </c>
      <c r="B26" s="114" t="s">
        <v>45</v>
      </c>
      <c r="C26" s="336" t="s">
        <v>433</v>
      </c>
      <c r="D26" s="124" t="s">
        <v>36</v>
      </c>
      <c r="E26" s="1565">
        <f t="shared" si="17"/>
        <v>0</v>
      </c>
      <c r="F26" s="108">
        <f t="shared" si="9"/>
        <v>0</v>
      </c>
      <c r="G26" s="108">
        <f t="shared" si="9"/>
        <v>0</v>
      </c>
      <c r="H26" s="1560">
        <f t="shared" si="18"/>
        <v>10.454399999999998</v>
      </c>
      <c r="I26" s="907"/>
      <c r="J26" s="108"/>
      <c r="K26" s="905"/>
      <c r="L26" s="110">
        <f>Виробництво_1ст!G32</f>
        <v>7.9121081850533796</v>
      </c>
      <c r="M26" s="910"/>
      <c r="N26" s="112"/>
      <c r="O26" s="904"/>
      <c r="P26" s="110">
        <f>Виробництво_1ст!H32</f>
        <v>0.58906761565836296</v>
      </c>
      <c r="Q26" s="909"/>
      <c r="R26" s="112"/>
      <c r="S26" s="903"/>
      <c r="T26" s="110">
        <f>Виробництво_1ст!I32</f>
        <v>0.9776455516014233</v>
      </c>
      <c r="U26" s="909"/>
      <c r="V26" s="112"/>
      <c r="W26" s="903"/>
      <c r="X26" s="110">
        <f>Виробництво_1ст!J32</f>
        <v>0.4795217081850533</v>
      </c>
      <c r="Y26" s="909"/>
      <c r="Z26" s="112"/>
      <c r="AA26" s="903"/>
      <c r="AB26" s="110">
        <f>Виробництво_1ст!K32</f>
        <v>0.49605693950177937</v>
      </c>
      <c r="AC26" s="2114">
        <f t="shared" si="2"/>
        <v>-6.6613381477509392E-16</v>
      </c>
      <c r="AD26" s="1106"/>
      <c r="AE26" s="1106"/>
      <c r="AF26" s="1106"/>
      <c r="AH26" s="657"/>
      <c r="AI26" s="655"/>
      <c r="AJ26" s="655"/>
      <c r="AK26" s="655"/>
      <c r="AL26" s="655"/>
      <c r="AN26" s="811"/>
      <c r="AO26" s="811"/>
      <c r="AP26" s="811"/>
      <c r="AQ26" s="811"/>
      <c r="AR26" s="811"/>
    </row>
    <row r="27" spans="1:44" ht="11.4" customHeight="1">
      <c r="A27" s="106" t="s">
        <v>46</v>
      </c>
      <c r="B27" s="114" t="s">
        <v>46</v>
      </c>
      <c r="C27" s="344" t="s">
        <v>434</v>
      </c>
      <c r="D27" s="124" t="s">
        <v>36</v>
      </c>
      <c r="E27" s="1565">
        <f t="shared" si="17"/>
        <v>0</v>
      </c>
      <c r="F27" s="108">
        <f t="shared" si="9"/>
        <v>0</v>
      </c>
      <c r="G27" s="108">
        <f t="shared" si="9"/>
        <v>0</v>
      </c>
      <c r="H27" s="1560">
        <f t="shared" si="18"/>
        <v>0</v>
      </c>
      <c r="I27" s="907"/>
      <c r="J27" s="108"/>
      <c r="K27" s="905"/>
      <c r="L27" s="110">
        <f>Виробництво_1ст!G33</f>
        <v>0</v>
      </c>
      <c r="M27" s="910"/>
      <c r="N27" s="112"/>
      <c r="O27" s="904"/>
      <c r="P27" s="110">
        <f>Виробництво_1ст!H33</f>
        <v>0</v>
      </c>
      <c r="Q27" s="909"/>
      <c r="R27" s="112"/>
      <c r="S27" s="903"/>
      <c r="T27" s="110">
        <f>Виробництво_1ст!I33</f>
        <v>0</v>
      </c>
      <c r="U27" s="909"/>
      <c r="V27" s="112"/>
      <c r="W27" s="903"/>
      <c r="X27" s="110">
        <f>Виробництво_1ст!J33</f>
        <v>0</v>
      </c>
      <c r="Y27" s="909"/>
      <c r="Z27" s="112"/>
      <c r="AA27" s="903"/>
      <c r="AB27" s="110">
        <f>Виробництво_1ст!K33</f>
        <v>0</v>
      </c>
      <c r="AC27" s="2114">
        <f t="shared" si="2"/>
        <v>0</v>
      </c>
      <c r="AD27" s="1106"/>
      <c r="AE27" s="1106"/>
      <c r="AF27" s="1106"/>
      <c r="AH27" s="657"/>
      <c r="AI27" s="655"/>
      <c r="AJ27" s="655"/>
      <c r="AK27" s="655"/>
      <c r="AL27" s="655"/>
      <c r="AN27" s="384"/>
      <c r="AO27" s="811"/>
      <c r="AP27" s="811"/>
      <c r="AQ27" s="811"/>
      <c r="AR27" s="811"/>
    </row>
    <row r="28" spans="1:44">
      <c r="A28" s="106" t="s">
        <v>118</v>
      </c>
      <c r="B28" s="114" t="s">
        <v>47</v>
      </c>
      <c r="C28" s="115" t="s">
        <v>48</v>
      </c>
      <c r="D28" s="124" t="s">
        <v>36</v>
      </c>
      <c r="E28" s="1565">
        <f t="shared" si="17"/>
        <v>0</v>
      </c>
      <c r="F28" s="108">
        <f t="shared" si="9"/>
        <v>0</v>
      </c>
      <c r="G28" s="108">
        <f t="shared" si="9"/>
        <v>0</v>
      </c>
      <c r="H28" s="1560">
        <f t="shared" si="18"/>
        <v>207.14000000000001</v>
      </c>
      <c r="I28" s="907"/>
      <c r="J28" s="108"/>
      <c r="K28" s="905"/>
      <c r="L28" s="110">
        <f>Виробництво_1ст!G31-Виробництво_1ст!G32-Виробництво_1ст!G33</f>
        <v>156.76787663107947</v>
      </c>
      <c r="M28" s="910"/>
      <c r="N28" s="112"/>
      <c r="O28" s="904"/>
      <c r="P28" s="110">
        <f>Виробництво_1ст!H31-Виробництво_1ст!H32-Виробництво_1ст!H33</f>
        <v>11.67158956109134</v>
      </c>
      <c r="Q28" s="909"/>
      <c r="R28" s="112"/>
      <c r="S28" s="903"/>
      <c r="T28" s="110">
        <f>Виробництво_1ст!I31-Виробництво_1ст!I32-Виробництво_1ст!I33</f>
        <v>19.370743376828781</v>
      </c>
      <c r="U28" s="909"/>
      <c r="V28" s="112"/>
      <c r="W28" s="903"/>
      <c r="X28" s="110">
        <f>Виробництво_1ст!J31-Виробництво_1ст!J32-Виробництво_1ст!J33</f>
        <v>9.5010834321866326</v>
      </c>
      <c r="Y28" s="909"/>
      <c r="Z28" s="112"/>
      <c r="AA28" s="903"/>
      <c r="AB28" s="110">
        <f>Виробництво_1ст!K31-Виробництво_1ст!K32-Виробництво_1ст!K33</f>
        <v>9.828706998813761</v>
      </c>
      <c r="AC28" s="2114">
        <f t="shared" si="2"/>
        <v>2.8421709430404007E-14</v>
      </c>
      <c r="AD28" s="1106"/>
      <c r="AE28" s="1106"/>
      <c r="AF28" s="1106"/>
      <c r="AH28" s="657"/>
      <c r="AI28" s="655"/>
      <c r="AJ28" s="655"/>
      <c r="AK28" s="655"/>
      <c r="AL28" s="655"/>
      <c r="AN28" s="384"/>
      <c r="AO28" s="811"/>
      <c r="AP28" s="811"/>
      <c r="AQ28" s="811"/>
      <c r="AR28" s="811"/>
    </row>
    <row r="29" spans="1:44" s="105" customFormat="1">
      <c r="A29" s="100" t="s">
        <v>49</v>
      </c>
      <c r="B29" s="118" t="s">
        <v>49</v>
      </c>
      <c r="C29" s="119" t="s">
        <v>204</v>
      </c>
      <c r="D29" s="354" t="s">
        <v>36</v>
      </c>
      <c r="E29" s="103">
        <f>E30+E31+E32</f>
        <v>0</v>
      </c>
      <c r="F29" s="102">
        <f>F30+F31+F32</f>
        <v>0</v>
      </c>
      <c r="G29" s="102">
        <f>G30+G31+G32</f>
        <v>0</v>
      </c>
      <c r="H29" s="2421">
        <f>SUM(H30:H32)</f>
        <v>107.87649402036686</v>
      </c>
      <c r="I29" s="103">
        <f t="shared" ref="I29:X29" si="19">I30+I31+I32</f>
        <v>0</v>
      </c>
      <c r="J29" s="102">
        <f t="shared" si="19"/>
        <v>0</v>
      </c>
      <c r="K29" s="102">
        <f t="shared" si="19"/>
        <v>0</v>
      </c>
      <c r="L29" s="104">
        <f t="shared" si="19"/>
        <v>81.643182900348819</v>
      </c>
      <c r="M29" s="103">
        <f t="shared" si="19"/>
        <v>0</v>
      </c>
      <c r="N29" s="102">
        <f t="shared" si="19"/>
        <v>0</v>
      </c>
      <c r="O29" s="102">
        <f t="shared" si="19"/>
        <v>0</v>
      </c>
      <c r="P29" s="104">
        <f t="shared" si="19"/>
        <v>6.078450137565155</v>
      </c>
      <c r="Q29" s="103">
        <f t="shared" si="19"/>
        <v>0</v>
      </c>
      <c r="R29" s="102">
        <f t="shared" si="19"/>
        <v>0</v>
      </c>
      <c r="S29" s="102">
        <f t="shared" si="19"/>
        <v>0</v>
      </c>
      <c r="T29" s="104">
        <f t="shared" si="19"/>
        <v>10.088094438836203</v>
      </c>
      <c r="U29" s="103">
        <f t="shared" si="19"/>
        <v>0</v>
      </c>
      <c r="V29" s="102">
        <f t="shared" si="19"/>
        <v>0</v>
      </c>
      <c r="W29" s="102">
        <f t="shared" si="19"/>
        <v>0</v>
      </c>
      <c r="X29" s="104">
        <f t="shared" si="19"/>
        <v>4.9480716909302318</v>
      </c>
      <c r="Y29" s="103">
        <f t="shared" ref="Y29:AB29" si="20">Y30+Y31+Y32</f>
        <v>0</v>
      </c>
      <c r="Z29" s="102">
        <f t="shared" si="20"/>
        <v>0</v>
      </c>
      <c r="AA29" s="102">
        <f t="shared" si="20"/>
        <v>0</v>
      </c>
      <c r="AB29" s="104">
        <f t="shared" si="20"/>
        <v>5.1186948526864473</v>
      </c>
      <c r="AC29" s="2114">
        <f>H29-L29-P29-T29-X29-AB29</f>
        <v>0</v>
      </c>
      <c r="AD29" s="1106"/>
      <c r="AE29" s="1106"/>
      <c r="AF29" s="1106"/>
      <c r="AH29" s="657"/>
      <c r="AI29" s="655"/>
      <c r="AJ29" s="655"/>
      <c r="AK29" s="655"/>
      <c r="AL29" s="655"/>
      <c r="AM29" s="655"/>
      <c r="AN29" s="384"/>
      <c r="AO29" s="811"/>
      <c r="AP29" s="811"/>
      <c r="AQ29" s="811"/>
      <c r="AR29" s="811"/>
    </row>
    <row r="30" spans="1:44">
      <c r="A30" s="106" t="s">
        <v>50</v>
      </c>
      <c r="B30" s="114" t="s">
        <v>50</v>
      </c>
      <c r="C30" s="115" t="s">
        <v>51</v>
      </c>
      <c r="D30" s="124" t="s">
        <v>36</v>
      </c>
      <c r="E30" s="361"/>
      <c r="F30" s="361"/>
      <c r="G30" s="361"/>
      <c r="H30" s="110">
        <f>ЗВВ_1ст!G21</f>
        <v>102.22995734234222</v>
      </c>
      <c r="I30" s="907"/>
      <c r="J30" s="108"/>
      <c r="K30" s="905"/>
      <c r="L30" s="110">
        <f>$H30/$H$55*L$55</f>
        <v>77.369766055058506</v>
      </c>
      <c r="M30" s="910"/>
      <c r="N30" s="112"/>
      <c r="O30" s="904"/>
      <c r="P30" s="110">
        <f>$H30/$H$55*P$55</f>
        <v>5.7602882251023191</v>
      </c>
      <c r="Q30" s="909"/>
      <c r="R30" s="112"/>
      <c r="S30" s="903"/>
      <c r="T30" s="110">
        <f>$H30/$H$55*T$55</f>
        <v>9.5600572999066546</v>
      </c>
      <c r="U30" s="909"/>
      <c r="V30" s="112"/>
      <c r="W30" s="903"/>
      <c r="X30" s="110">
        <f>$H30/$H$55*X$55</f>
        <v>4.6890767306096066</v>
      </c>
      <c r="Y30" s="909"/>
      <c r="Z30" s="112"/>
      <c r="AA30" s="903"/>
      <c r="AB30" s="110">
        <f>$H30/$H$55*AB$55</f>
        <v>4.8507690316651111</v>
      </c>
      <c r="AC30" s="2114">
        <f t="shared" ref="AC30:AC44" si="21">H30-L30-P30-T30-X30-AB30</f>
        <v>2.1316282072803006E-14</v>
      </c>
      <c r="AD30" s="1106"/>
      <c r="AE30" s="1106"/>
      <c r="AF30" s="1106"/>
      <c r="AH30" s="657"/>
      <c r="AI30" s="655"/>
      <c r="AJ30" s="655"/>
      <c r="AK30" s="655"/>
      <c r="AL30" s="655"/>
      <c r="AN30" s="384"/>
      <c r="AO30" s="811"/>
      <c r="AP30" s="811"/>
      <c r="AQ30" s="811"/>
      <c r="AR30" s="811"/>
    </row>
    <row r="31" spans="1:44" ht="20.399999999999999">
      <c r="A31" s="106" t="s">
        <v>52</v>
      </c>
      <c r="B31" s="114" t="s">
        <v>52</v>
      </c>
      <c r="C31" s="336" t="s">
        <v>433</v>
      </c>
      <c r="D31" s="124" t="s">
        <v>36</v>
      </c>
      <c r="E31" s="361"/>
      <c r="F31" s="361"/>
      <c r="G31" s="361"/>
      <c r="H31" s="110">
        <f>ЗВВ_1ст!G23</f>
        <v>4.9479299353693627</v>
      </c>
      <c r="I31" s="907"/>
      <c r="J31" s="108"/>
      <c r="K31" s="905"/>
      <c r="L31" s="110">
        <f t="shared" ref="L31:L32" si="22">$H31/$H$55*L$55</f>
        <v>3.7446966770648316</v>
      </c>
      <c r="M31" s="910"/>
      <c r="N31" s="112"/>
      <c r="O31" s="904"/>
      <c r="P31" s="110">
        <f t="shared" ref="P31:P32" si="23">$H31/$H$55*P$55</f>
        <v>0.27879795009495217</v>
      </c>
      <c r="Q31" s="909"/>
      <c r="R31" s="112"/>
      <c r="S31" s="903"/>
      <c r="T31" s="110">
        <f t="shared" ref="T31:T32" si="24">$H31/$H$55*T$55</f>
        <v>0.46270677331548205</v>
      </c>
      <c r="U31" s="909"/>
      <c r="V31" s="112"/>
      <c r="W31" s="903"/>
      <c r="X31" s="110">
        <f t="shared" ref="X31:X32" si="25">$H31/$H$55*X$55</f>
        <v>0.22695131376150493</v>
      </c>
      <c r="Y31" s="909"/>
      <c r="Z31" s="112"/>
      <c r="AA31" s="903"/>
      <c r="AB31" s="110">
        <f t="shared" ref="AB31:AB32" si="26">$H31/$H$55*AB$55</f>
        <v>0.23477722113259131</v>
      </c>
      <c r="AC31" s="2114">
        <f t="shared" si="21"/>
        <v>5.8286708792820718E-16</v>
      </c>
      <c r="AD31" s="1106"/>
      <c r="AE31" s="1106"/>
      <c r="AF31" s="1106"/>
      <c r="AH31" s="657"/>
      <c r="AI31" s="655"/>
      <c r="AJ31" s="655"/>
      <c r="AK31" s="655"/>
      <c r="AL31" s="655"/>
      <c r="AN31" s="384"/>
      <c r="AO31" s="811"/>
      <c r="AP31" s="811"/>
      <c r="AQ31" s="811"/>
      <c r="AR31" s="811"/>
    </row>
    <row r="32" spans="1:44">
      <c r="A32" s="106" t="s">
        <v>53</v>
      </c>
      <c r="B32" s="114" t="s">
        <v>53</v>
      </c>
      <c r="C32" s="115" t="s">
        <v>54</v>
      </c>
      <c r="D32" s="124" t="s">
        <v>36</v>
      </c>
      <c r="E32" s="361"/>
      <c r="F32" s="361"/>
      <c r="G32" s="361"/>
      <c r="H32" s="110">
        <f>ЗВВ_1ст!G8-ЗВВ_1ст!G20</f>
        <v>0.69860674265528644</v>
      </c>
      <c r="I32" s="907"/>
      <c r="J32" s="108"/>
      <c r="K32" s="905"/>
      <c r="L32" s="110">
        <f t="shared" si="22"/>
        <v>0.52872016822547174</v>
      </c>
      <c r="M32" s="910"/>
      <c r="N32" s="112"/>
      <c r="O32" s="904"/>
      <c r="P32" s="110">
        <f t="shared" si="23"/>
        <v>3.9363962367883872E-2</v>
      </c>
      <c r="Q32" s="909"/>
      <c r="R32" s="112"/>
      <c r="S32" s="903"/>
      <c r="T32" s="110">
        <f t="shared" si="24"/>
        <v>6.533036561406691E-2</v>
      </c>
      <c r="U32" s="909"/>
      <c r="V32" s="112"/>
      <c r="W32" s="903"/>
      <c r="X32" s="110">
        <f t="shared" si="25"/>
        <v>3.2043646559119503E-2</v>
      </c>
      <c r="Y32" s="909"/>
      <c r="Z32" s="112"/>
      <c r="AA32" s="903"/>
      <c r="AB32" s="110">
        <f t="shared" si="26"/>
        <v>3.3148599888744315E-2</v>
      </c>
      <c r="AC32" s="2114">
        <f t="shared" si="21"/>
        <v>1.0408340855860843E-16</v>
      </c>
      <c r="AD32" s="1106"/>
      <c r="AE32" s="1106"/>
      <c r="AF32" s="1106"/>
      <c r="AH32" s="657"/>
      <c r="AI32" s="655"/>
      <c r="AJ32" s="655"/>
      <c r="AK32" s="655"/>
      <c r="AL32" s="655"/>
      <c r="AN32" s="384"/>
      <c r="AO32" s="811"/>
      <c r="AP32" s="811"/>
      <c r="AQ32" s="811"/>
      <c r="AR32" s="811"/>
    </row>
    <row r="33" spans="1:44" s="105" customFormat="1">
      <c r="A33" s="100">
        <v>2</v>
      </c>
      <c r="B33" s="118">
        <v>2</v>
      </c>
      <c r="C33" s="119" t="s">
        <v>205</v>
      </c>
      <c r="D33" s="354" t="s">
        <v>36</v>
      </c>
      <c r="E33" s="103">
        <f>E34+E35+E36</f>
        <v>0</v>
      </c>
      <c r="F33" s="102">
        <f>F34+F35+F36</f>
        <v>0</v>
      </c>
      <c r="G33" s="102">
        <f>G34+G35+G36</f>
        <v>0</v>
      </c>
      <c r="H33" s="2421">
        <f>SUM(H34:H36)</f>
        <v>914.10664391922796</v>
      </c>
      <c r="I33" s="103">
        <f t="shared" ref="I33:X33" si="27">I34+I35+I36</f>
        <v>0</v>
      </c>
      <c r="J33" s="102">
        <f t="shared" si="27"/>
        <v>0</v>
      </c>
      <c r="K33" s="104">
        <f t="shared" si="27"/>
        <v>0</v>
      </c>
      <c r="L33" s="104">
        <f t="shared" si="27"/>
        <v>691.81499266959349</v>
      </c>
      <c r="M33" s="103">
        <f t="shared" si="27"/>
        <v>0</v>
      </c>
      <c r="N33" s="102">
        <f t="shared" si="27"/>
        <v>0</v>
      </c>
      <c r="O33" s="104">
        <f t="shared" si="27"/>
        <v>0</v>
      </c>
      <c r="P33" s="104">
        <f t="shared" si="27"/>
        <v>51.50660211881771</v>
      </c>
      <c r="Q33" s="103">
        <f t="shared" si="27"/>
        <v>0</v>
      </c>
      <c r="R33" s="102">
        <f t="shared" si="27"/>
        <v>0</v>
      </c>
      <c r="S33" s="102">
        <f t="shared" si="27"/>
        <v>0</v>
      </c>
      <c r="T33" s="104">
        <f t="shared" si="27"/>
        <v>85.482887025265867</v>
      </c>
      <c r="U33" s="103">
        <f t="shared" si="27"/>
        <v>0</v>
      </c>
      <c r="V33" s="102">
        <f t="shared" si="27"/>
        <v>0</v>
      </c>
      <c r="W33" s="102">
        <f t="shared" si="27"/>
        <v>0</v>
      </c>
      <c r="X33" s="104">
        <f t="shared" si="27"/>
        <v>41.928181373914754</v>
      </c>
      <c r="Y33" s="103">
        <f t="shared" ref="Y33:AB33" si="28">Y34+Y35+Y36</f>
        <v>0</v>
      </c>
      <c r="Z33" s="102">
        <f t="shared" si="28"/>
        <v>0</v>
      </c>
      <c r="AA33" s="102">
        <f t="shared" si="28"/>
        <v>0</v>
      </c>
      <c r="AB33" s="104">
        <f t="shared" si="28"/>
        <v>43.373980731635967</v>
      </c>
      <c r="AC33" s="2114">
        <f t="shared" si="21"/>
        <v>1.7053025658242404E-13</v>
      </c>
      <c r="AD33" s="1106"/>
      <c r="AE33" s="1106"/>
      <c r="AF33" s="1106"/>
      <c r="AH33" s="657"/>
      <c r="AI33" s="655"/>
      <c r="AJ33" s="655"/>
      <c r="AK33" s="655"/>
      <c r="AL33" s="655"/>
      <c r="AM33" s="655"/>
      <c r="AN33" s="384"/>
      <c r="AO33" s="811"/>
      <c r="AP33" s="811"/>
      <c r="AQ33" s="811"/>
      <c r="AR33" s="811"/>
    </row>
    <row r="34" spans="1:44">
      <c r="A34" s="106" t="s">
        <v>24</v>
      </c>
      <c r="B34" s="114" t="s">
        <v>24</v>
      </c>
      <c r="C34" s="115" t="s">
        <v>51</v>
      </c>
      <c r="D34" s="124" t="s">
        <v>36</v>
      </c>
      <c r="E34" s="361"/>
      <c r="F34" s="361"/>
      <c r="G34" s="361"/>
      <c r="H34" s="110">
        <f>Адміністративні_1ст!G21</f>
        <v>785.10961706071248</v>
      </c>
      <c r="I34" s="907"/>
      <c r="J34" s="108"/>
      <c r="K34" s="905"/>
      <c r="L34" s="110">
        <f>$H34/$H$55*L$55</f>
        <v>594.18734956670767</v>
      </c>
      <c r="M34" s="910"/>
      <c r="N34" s="112"/>
      <c r="O34" s="904"/>
      <c r="P34" s="110">
        <f>$H34/$H$55*P$55</f>
        <v>44.238086370562094</v>
      </c>
      <c r="Q34" s="908"/>
      <c r="R34" s="112"/>
      <c r="S34" s="903"/>
      <c r="T34" s="110">
        <f>$H34/$H$55*T$55</f>
        <v>73.419701239564446</v>
      </c>
      <c r="U34" s="908"/>
      <c r="V34" s="112"/>
      <c r="W34" s="903"/>
      <c r="X34" s="110">
        <f>$H34/$H$55*X$55</f>
        <v>36.011354519194398</v>
      </c>
      <c r="Y34" s="908"/>
      <c r="Z34" s="112"/>
      <c r="AA34" s="903"/>
      <c r="AB34" s="110">
        <f>$H34/$H$55*AB$55</f>
        <v>37.253125364683868</v>
      </c>
      <c r="AC34" s="2114">
        <f t="shared" si="21"/>
        <v>0</v>
      </c>
      <c r="AD34" s="1106"/>
      <c r="AE34" s="1106"/>
      <c r="AF34" s="1106"/>
      <c r="AH34" s="657"/>
      <c r="AI34" s="655"/>
      <c r="AJ34" s="655"/>
      <c r="AK34" s="655"/>
      <c r="AL34" s="655"/>
      <c r="AN34" s="384"/>
      <c r="AO34" s="811"/>
      <c r="AP34" s="811"/>
      <c r="AQ34" s="811"/>
      <c r="AR34" s="811"/>
    </row>
    <row r="35" spans="1:44" ht="20.399999999999999">
      <c r="A35" s="106" t="s">
        <v>25</v>
      </c>
      <c r="B35" s="114" t="s">
        <v>25</v>
      </c>
      <c r="C35" s="336" t="s">
        <v>433</v>
      </c>
      <c r="D35" s="124" t="s">
        <v>36</v>
      </c>
      <c r="E35" s="361"/>
      <c r="F35" s="361"/>
      <c r="G35" s="361"/>
      <c r="H35" s="110">
        <f>Адміністративні_1ст!G23</f>
        <v>37.999305465738487</v>
      </c>
      <c r="I35" s="907"/>
      <c r="J35" s="108"/>
      <c r="K35" s="905"/>
      <c r="L35" s="110">
        <f t="shared" ref="L35:L36" si="29">$H35/$H$55*L$55</f>
        <v>28.758667719028651</v>
      </c>
      <c r="M35" s="910"/>
      <c r="N35" s="112"/>
      <c r="O35" s="904"/>
      <c r="P35" s="110">
        <f t="shared" ref="P35:P36" si="30">$H35/$H$55*P$55</f>
        <v>2.1411233803352054</v>
      </c>
      <c r="Q35" s="908"/>
      <c r="R35" s="112"/>
      <c r="S35" s="903"/>
      <c r="T35" s="110">
        <f t="shared" ref="T35:T36" si="31">$H35/$H$55*T$55</f>
        <v>3.5535135399949191</v>
      </c>
      <c r="U35" s="908"/>
      <c r="V35" s="112"/>
      <c r="W35" s="903"/>
      <c r="X35" s="110">
        <f t="shared" ref="X35:X36" si="32">$H35/$H$55*X$55</f>
        <v>1.7429495587290091</v>
      </c>
      <c r="Y35" s="908"/>
      <c r="Z35" s="112"/>
      <c r="AA35" s="903"/>
      <c r="AB35" s="110">
        <f t="shared" ref="AB35:AB36" si="33">$H35/$H$55*AB$55</f>
        <v>1.8030512676506991</v>
      </c>
      <c r="AC35" s="2114">
        <f t="shared" si="21"/>
        <v>3.7747582837255322E-15</v>
      </c>
      <c r="AD35" s="1106"/>
      <c r="AE35" s="1106"/>
      <c r="AF35" s="1106"/>
      <c r="AH35" s="657"/>
      <c r="AI35" s="655"/>
      <c r="AJ35" s="655"/>
      <c r="AK35" s="655"/>
      <c r="AL35" s="655"/>
      <c r="AN35" s="384"/>
      <c r="AO35" s="811"/>
      <c r="AP35" s="811"/>
      <c r="AQ35" s="811"/>
      <c r="AR35" s="811"/>
    </row>
    <row r="36" spans="1:44">
      <c r="A36" s="106" t="s">
        <v>55</v>
      </c>
      <c r="B36" s="114" t="s">
        <v>55</v>
      </c>
      <c r="C36" s="116" t="s">
        <v>54</v>
      </c>
      <c r="D36" s="124" t="s">
        <v>36</v>
      </c>
      <c r="E36" s="361"/>
      <c r="F36" s="361"/>
      <c r="G36" s="361"/>
      <c r="H36" s="110">
        <f>Адміністративні_1ст!G8-Адміністративні_1ст!G20</f>
        <v>90.997721392776953</v>
      </c>
      <c r="I36" s="907"/>
      <c r="J36" s="108"/>
      <c r="K36" s="905"/>
      <c r="L36" s="110">
        <f t="shared" si="29"/>
        <v>68.868975383857276</v>
      </c>
      <c r="M36" s="910"/>
      <c r="N36" s="112"/>
      <c r="O36" s="904"/>
      <c r="P36" s="110">
        <f t="shared" si="30"/>
        <v>5.1273923679204092</v>
      </c>
      <c r="Q36" s="908"/>
      <c r="R36" s="112"/>
      <c r="S36" s="903"/>
      <c r="T36" s="110">
        <f t="shared" si="31"/>
        <v>8.5096722457065024</v>
      </c>
      <c r="U36" s="908"/>
      <c r="V36" s="112"/>
      <c r="W36" s="903"/>
      <c r="X36" s="110">
        <f t="shared" si="32"/>
        <v>4.1738772959913497</v>
      </c>
      <c r="Y36" s="908"/>
      <c r="Z36" s="112"/>
      <c r="AA36" s="903"/>
      <c r="AB36" s="110">
        <f t="shared" si="33"/>
        <v>4.3178040993013971</v>
      </c>
      <c r="AC36" s="2114">
        <f t="shared" si="21"/>
        <v>2.042810365310288E-14</v>
      </c>
      <c r="AD36" s="1106"/>
      <c r="AE36" s="1106"/>
      <c r="AF36" s="1106"/>
      <c r="AH36" s="657"/>
      <c r="AI36" s="655"/>
      <c r="AJ36" s="655"/>
      <c r="AK36" s="655"/>
      <c r="AL36" s="655"/>
      <c r="AN36" s="384"/>
      <c r="AO36" s="811"/>
      <c r="AP36" s="811"/>
      <c r="AQ36" s="811"/>
      <c r="AR36" s="811"/>
    </row>
    <row r="37" spans="1:44">
      <c r="A37" s="106"/>
      <c r="B37" s="107" t="s">
        <v>166</v>
      </c>
      <c r="C37" s="4" t="s">
        <v>206</v>
      </c>
      <c r="D37" s="124" t="s">
        <v>36</v>
      </c>
      <c r="E37" s="109"/>
      <c r="F37" s="108"/>
      <c r="G37" s="108"/>
      <c r="H37" s="110">
        <v>0</v>
      </c>
      <c r="I37" s="109"/>
      <c r="J37" s="108"/>
      <c r="K37" s="108"/>
      <c r="L37" s="110">
        <f t="shared" ref="L37:X37" si="34">L38+L39+L40</f>
        <v>0</v>
      </c>
      <c r="M37" s="109"/>
      <c r="N37" s="108"/>
      <c r="O37" s="110"/>
      <c r="P37" s="110">
        <f>H37*Виробництво_1ст!$H$6</f>
        <v>0</v>
      </c>
      <c r="Q37" s="109">
        <f t="shared" si="34"/>
        <v>0</v>
      </c>
      <c r="R37" s="108">
        <f t="shared" si="34"/>
        <v>0</v>
      </c>
      <c r="S37" s="108">
        <f t="shared" si="34"/>
        <v>0</v>
      </c>
      <c r="T37" s="110">
        <f t="shared" si="34"/>
        <v>0</v>
      </c>
      <c r="U37" s="109">
        <f t="shared" si="34"/>
        <v>0</v>
      </c>
      <c r="V37" s="108">
        <f t="shared" si="34"/>
        <v>0</v>
      </c>
      <c r="W37" s="108">
        <f t="shared" si="34"/>
        <v>0</v>
      </c>
      <c r="X37" s="110">
        <f t="shared" si="34"/>
        <v>0</v>
      </c>
      <c r="Y37" s="109">
        <f t="shared" ref="Y37:AB37" si="35">Y38+Y39+Y40</f>
        <v>0</v>
      </c>
      <c r="Z37" s="108">
        <f t="shared" si="35"/>
        <v>0</v>
      </c>
      <c r="AA37" s="108">
        <f t="shared" si="35"/>
        <v>0</v>
      </c>
      <c r="AB37" s="110">
        <f t="shared" si="35"/>
        <v>0</v>
      </c>
      <c r="AC37" s="2114">
        <f t="shared" si="21"/>
        <v>0</v>
      </c>
      <c r="AD37" s="384"/>
      <c r="AE37" s="657" t="s">
        <v>1977</v>
      </c>
      <c r="AF37" s="384"/>
      <c r="AH37" s="657"/>
      <c r="AI37" s="655"/>
      <c r="AJ37" s="655"/>
      <c r="AK37" s="655"/>
      <c r="AL37" s="655"/>
      <c r="AN37" s="384"/>
      <c r="AO37" s="384"/>
      <c r="AP37" s="384"/>
      <c r="AQ37" s="384"/>
      <c r="AR37" s="384"/>
    </row>
    <row r="38" spans="1:44">
      <c r="A38" s="106"/>
      <c r="B38" s="107" t="s">
        <v>56</v>
      </c>
      <c r="C38" s="4" t="s">
        <v>51</v>
      </c>
      <c r="D38" s="124" t="s">
        <v>36</v>
      </c>
      <c r="E38" s="367"/>
      <c r="F38" s="108"/>
      <c r="G38" s="108"/>
      <c r="H38" s="369">
        <v>0</v>
      </c>
      <c r="I38" s="367"/>
      <c r="J38" s="108"/>
      <c r="K38" s="108"/>
      <c r="L38" s="369">
        <v>0</v>
      </c>
      <c r="M38" s="367"/>
      <c r="N38" s="108"/>
      <c r="O38" s="369"/>
      <c r="P38" s="110">
        <f>H38*Виробництво_1ст!$H$6</f>
        <v>0</v>
      </c>
      <c r="Q38" s="367">
        <v>0</v>
      </c>
      <c r="R38" s="108">
        <v>0</v>
      </c>
      <c r="S38" s="108">
        <v>0</v>
      </c>
      <c r="T38" s="369">
        <v>0</v>
      </c>
      <c r="U38" s="367">
        <v>0</v>
      </c>
      <c r="V38" s="108">
        <v>0</v>
      </c>
      <c r="W38" s="108">
        <v>0</v>
      </c>
      <c r="X38" s="369">
        <v>0</v>
      </c>
      <c r="Y38" s="367">
        <v>0</v>
      </c>
      <c r="Z38" s="108">
        <v>0</v>
      </c>
      <c r="AA38" s="108">
        <v>0</v>
      </c>
      <c r="AB38" s="369">
        <v>0</v>
      </c>
      <c r="AC38" s="2114">
        <f t="shared" si="21"/>
        <v>0</v>
      </c>
      <c r="AD38" s="384"/>
      <c r="AE38" s="657">
        <f>Виробництво_1ст!F10</f>
        <v>10147.623056907007</v>
      </c>
      <c r="AF38" s="384"/>
      <c r="AH38" s="657"/>
      <c r="AI38" s="655"/>
      <c r="AJ38" s="655"/>
      <c r="AK38" s="655"/>
      <c r="AL38" s="655"/>
      <c r="AN38" s="384"/>
      <c r="AO38" s="384"/>
      <c r="AP38" s="384"/>
      <c r="AQ38" s="384"/>
      <c r="AR38" s="384"/>
    </row>
    <row r="39" spans="1:44" ht="20.399999999999999">
      <c r="A39" s="106"/>
      <c r="B39" s="107" t="s">
        <v>57</v>
      </c>
      <c r="C39" s="336" t="s">
        <v>433</v>
      </c>
      <c r="D39" s="124" t="s">
        <v>36</v>
      </c>
      <c r="E39" s="367"/>
      <c r="F39" s="108"/>
      <c r="G39" s="108"/>
      <c r="H39" s="369">
        <v>0</v>
      </c>
      <c r="I39" s="367"/>
      <c r="J39" s="108"/>
      <c r="K39" s="108"/>
      <c r="L39" s="369">
        <v>0</v>
      </c>
      <c r="M39" s="367"/>
      <c r="N39" s="108"/>
      <c r="O39" s="369"/>
      <c r="P39" s="110">
        <f>H39*Виробництво_1ст!$H$6</f>
        <v>0</v>
      </c>
      <c r="Q39" s="367">
        <v>0</v>
      </c>
      <c r="R39" s="108">
        <v>0</v>
      </c>
      <c r="S39" s="108">
        <v>0</v>
      </c>
      <c r="T39" s="369">
        <v>0</v>
      </c>
      <c r="U39" s="367">
        <v>0</v>
      </c>
      <c r="V39" s="108">
        <v>0</v>
      </c>
      <c r="W39" s="108">
        <v>0</v>
      </c>
      <c r="X39" s="369">
        <v>0</v>
      </c>
      <c r="Y39" s="367">
        <v>0</v>
      </c>
      <c r="Z39" s="108">
        <v>0</v>
      </c>
      <c r="AA39" s="108">
        <v>0</v>
      </c>
      <c r="AB39" s="369">
        <v>0</v>
      </c>
      <c r="AC39" s="2114">
        <f t="shared" si="21"/>
        <v>0</v>
      </c>
      <c r="AD39" s="384"/>
      <c r="AE39" s="657">
        <f>ЗВВ_1ст!G8</f>
        <v>107.87649402036686</v>
      </c>
      <c r="AF39" s="384"/>
      <c r="AH39" s="657"/>
      <c r="AI39" s="655"/>
      <c r="AJ39" s="655"/>
      <c r="AK39" s="655"/>
      <c r="AL39" s="655"/>
      <c r="AN39" s="384"/>
      <c r="AO39" s="384"/>
      <c r="AP39" s="384"/>
      <c r="AQ39" s="384"/>
      <c r="AR39" s="384"/>
    </row>
    <row r="40" spans="1:44">
      <c r="A40" s="106"/>
      <c r="B40" s="107" t="s">
        <v>58</v>
      </c>
      <c r="C40" s="4" t="s">
        <v>54</v>
      </c>
      <c r="D40" s="124" t="s">
        <v>36</v>
      </c>
      <c r="E40" s="367"/>
      <c r="F40" s="108"/>
      <c r="G40" s="108"/>
      <c r="H40" s="369">
        <v>0</v>
      </c>
      <c r="I40" s="367"/>
      <c r="J40" s="108"/>
      <c r="K40" s="108"/>
      <c r="L40" s="369">
        <v>0</v>
      </c>
      <c r="M40" s="367"/>
      <c r="N40" s="108"/>
      <c r="O40" s="369"/>
      <c r="P40" s="110">
        <f>H40*Виробництво_1ст!$H$6</f>
        <v>0</v>
      </c>
      <c r="Q40" s="367">
        <v>0</v>
      </c>
      <c r="R40" s="108">
        <v>0</v>
      </c>
      <c r="S40" s="108">
        <v>0</v>
      </c>
      <c r="T40" s="369">
        <v>0</v>
      </c>
      <c r="U40" s="367">
        <v>0</v>
      </c>
      <c r="V40" s="108">
        <v>0</v>
      </c>
      <c r="W40" s="108">
        <v>0</v>
      </c>
      <c r="X40" s="369">
        <v>0</v>
      </c>
      <c r="Y40" s="367">
        <v>0</v>
      </c>
      <c r="Z40" s="108">
        <v>0</v>
      </c>
      <c r="AA40" s="108">
        <v>0</v>
      </c>
      <c r="AB40" s="369">
        <v>0</v>
      </c>
      <c r="AC40" s="2114">
        <f t="shared" si="21"/>
        <v>0</v>
      </c>
      <c r="AD40" s="384"/>
      <c r="AE40" s="657">
        <f>Адміністративні_1ст!G8</f>
        <v>914.10664391922796</v>
      </c>
      <c r="AF40" s="384"/>
      <c r="AH40" s="657"/>
      <c r="AI40" s="655"/>
      <c r="AJ40" s="655"/>
      <c r="AK40" s="655"/>
      <c r="AL40" s="655"/>
      <c r="AN40" s="384"/>
      <c r="AO40" s="384"/>
      <c r="AP40" s="384"/>
      <c r="AQ40" s="384"/>
      <c r="AR40" s="384"/>
    </row>
    <row r="41" spans="1:44">
      <c r="A41" s="106" t="s">
        <v>166</v>
      </c>
      <c r="B41" s="114" t="s">
        <v>167</v>
      </c>
      <c r="C41" s="117" t="s">
        <v>168</v>
      </c>
      <c r="D41" s="124" t="s">
        <v>36</v>
      </c>
      <c r="E41" s="109"/>
      <c r="F41" s="108"/>
      <c r="G41" s="108"/>
      <c r="H41" s="110">
        <v>0</v>
      </c>
      <c r="I41" s="109"/>
      <c r="J41" s="108"/>
      <c r="K41" s="108"/>
      <c r="L41" s="110">
        <f>H41*$L$58/$H$58</f>
        <v>0</v>
      </c>
      <c r="M41" s="364"/>
      <c r="N41" s="112"/>
      <c r="O41" s="110"/>
      <c r="P41" s="110">
        <f>H41*Виробництво_1ст!$H$6</f>
        <v>0</v>
      </c>
      <c r="Q41" s="111" t="e">
        <f>E41*$Q$55/$E$55</f>
        <v>#DIV/0!</v>
      </c>
      <c r="R41" s="112" t="e">
        <f>F41*$R$55/$F$55</f>
        <v>#DIV/0!</v>
      </c>
      <c r="S41" s="112" t="e">
        <f>G41*$S$55/$G$55</f>
        <v>#DIV/0!</v>
      </c>
      <c r="T41" s="110">
        <f>H41*$T$58/$H$58</f>
        <v>0</v>
      </c>
      <c r="U41" s="111" t="e">
        <f>E41*$U$55/$E$55</f>
        <v>#DIV/0!</v>
      </c>
      <c r="V41" s="112" t="e">
        <f>F41*$V$55/$F$55</f>
        <v>#DIV/0!</v>
      </c>
      <c r="W41" s="112" t="e">
        <f>G41*$W$55/$G$55</f>
        <v>#DIV/0!</v>
      </c>
      <c r="X41" s="113">
        <v>0</v>
      </c>
      <c r="Y41" s="111" t="e">
        <f>I41*$U$55/$E$55</f>
        <v>#DIV/0!</v>
      </c>
      <c r="Z41" s="112" t="e">
        <f>J41*$V$55/$F$55</f>
        <v>#DIV/0!</v>
      </c>
      <c r="AA41" s="112" t="e">
        <f>K41*$W$55/$G$55</f>
        <v>#DIV/0!</v>
      </c>
      <c r="AB41" s="113">
        <v>0</v>
      </c>
      <c r="AC41" s="2114">
        <f t="shared" si="21"/>
        <v>0</v>
      </c>
      <c r="AD41" s="384"/>
      <c r="AE41" s="657">
        <f>SUM(AE38:AE40)</f>
        <v>11169.606194846601</v>
      </c>
      <c r="AF41" s="384"/>
      <c r="AH41" s="657"/>
      <c r="AI41" s="655"/>
      <c r="AJ41" s="655"/>
      <c r="AK41" s="655"/>
      <c r="AL41" s="655"/>
      <c r="AN41" s="384"/>
      <c r="AO41" s="384"/>
      <c r="AP41" s="384"/>
      <c r="AQ41" s="384"/>
      <c r="AR41" s="384"/>
    </row>
    <row r="42" spans="1:44">
      <c r="A42" s="106" t="s">
        <v>167</v>
      </c>
      <c r="B42" s="114" t="s">
        <v>162</v>
      </c>
      <c r="C42" s="115" t="s">
        <v>5</v>
      </c>
      <c r="D42" s="124" t="s">
        <v>36</v>
      </c>
      <c r="E42" s="361"/>
      <c r="F42" s="361"/>
      <c r="G42" s="361"/>
      <c r="H42" s="110">
        <v>0</v>
      </c>
      <c r="I42" s="907"/>
      <c r="J42" s="108"/>
      <c r="K42" s="905"/>
      <c r="L42" s="110">
        <f>H42*Виробництво_1ст!$G$6</f>
        <v>0</v>
      </c>
      <c r="M42" s="910"/>
      <c r="N42" s="112"/>
      <c r="O42" s="904"/>
      <c r="P42" s="110">
        <f>H42*Виробництво_1ст!$H$6</f>
        <v>0</v>
      </c>
      <c r="Q42" s="909">
        <v>0</v>
      </c>
      <c r="R42" s="112" t="e">
        <f>F42*$R$55/$F$55</f>
        <v>#DIV/0!</v>
      </c>
      <c r="S42" s="903">
        <v>0</v>
      </c>
      <c r="T42" s="110">
        <f>H42*$T$58/$H$58</f>
        <v>0</v>
      </c>
      <c r="U42" s="909">
        <v>0</v>
      </c>
      <c r="V42" s="112" t="e">
        <f>F42*$V$55/$F$55</f>
        <v>#DIV/0!</v>
      </c>
      <c r="W42" s="903">
        <v>0</v>
      </c>
      <c r="X42" s="110">
        <f>H42*$X$58/$H$58</f>
        <v>0</v>
      </c>
      <c r="Y42" s="909">
        <v>0</v>
      </c>
      <c r="Z42" s="112" t="e">
        <f>J42*$V$55/$F$55</f>
        <v>#DIV/0!</v>
      </c>
      <c r="AA42" s="903">
        <v>0</v>
      </c>
      <c r="AB42" s="110">
        <f>L42*$X$58/$H$58</f>
        <v>0</v>
      </c>
      <c r="AC42" s="2114">
        <f t="shared" si="21"/>
        <v>0</v>
      </c>
      <c r="AD42" s="384"/>
      <c r="AE42" s="657">
        <f>H43-AE41</f>
        <v>0</v>
      </c>
      <c r="AF42" s="384"/>
      <c r="AH42" s="657"/>
      <c r="AI42" s="655"/>
      <c r="AJ42" s="655"/>
      <c r="AK42" s="655"/>
      <c r="AL42" s="655"/>
      <c r="AN42" s="384"/>
      <c r="AO42" s="811"/>
      <c r="AP42" s="811"/>
      <c r="AQ42" s="811"/>
      <c r="AR42" s="811"/>
    </row>
    <row r="43" spans="1:44" s="105" customFormat="1">
      <c r="A43" s="100" t="s">
        <v>162</v>
      </c>
      <c r="B43" s="118" t="s">
        <v>163</v>
      </c>
      <c r="C43" s="119" t="s">
        <v>169</v>
      </c>
      <c r="D43" s="354" t="s">
        <v>36</v>
      </c>
      <c r="E43" s="104">
        <f t="shared" ref="E43:G43" si="36">E42+E41+E37+E33+E12</f>
        <v>0</v>
      </c>
      <c r="F43" s="104">
        <f t="shared" si="36"/>
        <v>0</v>
      </c>
      <c r="G43" s="104">
        <f t="shared" si="36"/>
        <v>0</v>
      </c>
      <c r="H43" s="104">
        <f>H42+H41+H37+H33+H12</f>
        <v>11169.606194846601</v>
      </c>
      <c r="I43" s="103">
        <f t="shared" ref="I43:X43" si="37">I42+I41+I37+I33+I12</f>
        <v>0</v>
      </c>
      <c r="J43" s="102">
        <f t="shared" si="37"/>
        <v>0</v>
      </c>
      <c r="K43" s="102">
        <f>K42+K41+K37+K33+K12</f>
        <v>0</v>
      </c>
      <c r="L43" s="104">
        <f t="shared" si="37"/>
        <v>8437.4147769888168</v>
      </c>
      <c r="M43" s="103">
        <f t="shared" si="37"/>
        <v>0</v>
      </c>
      <c r="N43" s="102">
        <f t="shared" si="37"/>
        <v>0</v>
      </c>
      <c r="O43" s="104">
        <f>O42+O41+O37+O33+O12</f>
        <v>0</v>
      </c>
      <c r="P43" s="104">
        <f>P42+P41+P37+P33+P12</f>
        <v>641.59174978693045</v>
      </c>
      <c r="Q43" s="103" t="e">
        <f t="shared" si="37"/>
        <v>#DIV/0!</v>
      </c>
      <c r="R43" s="102" t="e">
        <f>R42+R41+R37+R33+R12</f>
        <v>#DIV/0!</v>
      </c>
      <c r="S43" s="102" t="e">
        <f>S42+S41+S37+S33+S12</f>
        <v>#DIV/0!</v>
      </c>
      <c r="T43" s="104">
        <f t="shared" si="37"/>
        <v>1050.5441991511273</v>
      </c>
      <c r="U43" s="103" t="e">
        <f t="shared" si="37"/>
        <v>#DIV/0!</v>
      </c>
      <c r="V43" s="102" t="e">
        <f>V42+V41+V37+V33+V12</f>
        <v>#DIV/0!</v>
      </c>
      <c r="W43" s="102" t="e">
        <f t="shared" si="37"/>
        <v>#DIV/0!</v>
      </c>
      <c r="X43" s="104">
        <f t="shared" si="37"/>
        <v>508.48893224349911</v>
      </c>
      <c r="Y43" s="103" t="e">
        <f t="shared" ref="Y43" si="38">Y42+Y41+Y37+Y33+Y12</f>
        <v>#DIV/0!</v>
      </c>
      <c r="Z43" s="102" t="e">
        <f>Z42+Z41+Z37+Z33+Z12</f>
        <v>#DIV/0!</v>
      </c>
      <c r="AA43" s="102" t="e">
        <f t="shared" ref="AA43" si="39">AA42+AA41+AA37+AA33+AA12</f>
        <v>#DIV/0!</v>
      </c>
      <c r="AB43" s="104">
        <f>AB42+AB41+AB37+AB33+AB12</f>
        <v>531.56653667622743</v>
      </c>
      <c r="AC43" s="2114">
        <f t="shared" si="21"/>
        <v>0</v>
      </c>
      <c r="AD43" s="384"/>
      <c r="AE43" s="384"/>
      <c r="AF43" s="384"/>
      <c r="AH43" s="657"/>
      <c r="AI43" s="655"/>
      <c r="AJ43" s="655"/>
      <c r="AK43" s="655"/>
      <c r="AL43" s="655"/>
      <c r="AM43" s="655"/>
      <c r="AN43" s="384"/>
      <c r="AO43" s="811"/>
      <c r="AP43" s="811"/>
      <c r="AQ43" s="811"/>
      <c r="AR43" s="811"/>
    </row>
    <row r="44" spans="1:44" s="105" customFormat="1">
      <c r="A44" s="100" t="s">
        <v>163</v>
      </c>
      <c r="B44" s="118" t="s">
        <v>164</v>
      </c>
      <c r="C44" s="119" t="s">
        <v>1250</v>
      </c>
      <c r="D44" s="354" t="s">
        <v>36</v>
      </c>
      <c r="E44" s="360">
        <v>0</v>
      </c>
      <c r="F44" s="361">
        <v>0</v>
      </c>
      <c r="G44" s="361">
        <v>0</v>
      </c>
      <c r="H44" s="1006">
        <f>L44+P44+T44+X44</f>
        <v>0</v>
      </c>
      <c r="I44" s="360">
        <v>0</v>
      </c>
      <c r="J44" s="361">
        <v>0</v>
      </c>
      <c r="K44" s="362">
        <v>0</v>
      </c>
      <c r="L44" s="1006">
        <v>0</v>
      </c>
      <c r="M44" s="360">
        <v>0</v>
      </c>
      <c r="N44" s="361">
        <v>0</v>
      </c>
      <c r="O44" s="362">
        <v>0</v>
      </c>
      <c r="P44" s="1007">
        <v>0</v>
      </c>
      <c r="Q44" s="360">
        <v>0</v>
      </c>
      <c r="R44" s="361">
        <v>0</v>
      </c>
      <c r="S44" s="362">
        <v>0</v>
      </c>
      <c r="T44" s="1006">
        <v>0</v>
      </c>
      <c r="U44" s="360">
        <v>0</v>
      </c>
      <c r="V44" s="361">
        <v>0</v>
      </c>
      <c r="W44" s="362">
        <v>0</v>
      </c>
      <c r="X44" s="1006">
        <v>0</v>
      </c>
      <c r="Y44" s="360">
        <v>0</v>
      </c>
      <c r="Z44" s="361">
        <v>0</v>
      </c>
      <c r="AA44" s="362">
        <v>0</v>
      </c>
      <c r="AB44" s="1006">
        <v>0</v>
      </c>
      <c r="AC44" s="2114">
        <f t="shared" si="21"/>
        <v>0</v>
      </c>
      <c r="AD44" s="384"/>
      <c r="AE44" s="384"/>
      <c r="AF44" s="384"/>
      <c r="AH44" s="657"/>
      <c r="AI44" s="655"/>
      <c r="AJ44" s="655"/>
      <c r="AK44" s="655"/>
      <c r="AL44" s="655"/>
      <c r="AM44" s="655"/>
      <c r="AN44" s="384"/>
      <c r="AO44" s="384"/>
      <c r="AP44" s="384"/>
      <c r="AQ44" s="384"/>
      <c r="AR44" s="384"/>
    </row>
    <row r="45" spans="1:44" s="105" customFormat="1">
      <c r="A45" s="100">
        <v>7</v>
      </c>
      <c r="B45" s="118" t="s">
        <v>165</v>
      </c>
      <c r="C45" s="659" t="s">
        <v>208</v>
      </c>
      <c r="D45" s="354" t="s">
        <v>36</v>
      </c>
      <c r="E45" s="122">
        <f t="shared" ref="E45:G45" si="40">SUM(E46:E50)</f>
        <v>0</v>
      </c>
      <c r="F45" s="122">
        <f t="shared" si="40"/>
        <v>0</v>
      </c>
      <c r="G45" s="122">
        <f t="shared" si="40"/>
        <v>0</v>
      </c>
      <c r="H45" s="122">
        <f>SUM(H46:H50)</f>
        <v>531.23736780367972</v>
      </c>
      <c r="I45" s="123"/>
      <c r="J45" s="120"/>
      <c r="K45" s="121"/>
      <c r="L45" s="122">
        <f>L46+L47+L48+L49+L50</f>
        <v>401.29167841776075</v>
      </c>
      <c r="M45" s="123"/>
      <c r="N45" s="120"/>
      <c r="O45" s="122"/>
      <c r="P45" s="122">
        <f>P46+P47+P48+P49+P50</f>
        <v>30.514729563036934</v>
      </c>
      <c r="Q45" s="123"/>
      <c r="R45" s="120"/>
      <c r="S45" s="121"/>
      <c r="T45" s="122">
        <f>T46+T47+T48+T49+T50</f>
        <v>49.964907032797512</v>
      </c>
      <c r="U45" s="123"/>
      <c r="V45" s="120"/>
      <c r="W45" s="121">
        <f>W46+W47+W48+W49+W50</f>
        <v>0</v>
      </c>
      <c r="X45" s="122">
        <f>X46+X47+X48+X49+X50</f>
        <v>24.184229704263981</v>
      </c>
      <c r="Y45" s="123"/>
      <c r="Z45" s="120"/>
      <c r="AA45" s="121">
        <f>AA46+AA47+AA48+AA49+AA50</f>
        <v>0</v>
      </c>
      <c r="AB45" s="122">
        <f>AB46+AB47+AB48+AB49+AB50</f>
        <v>25.281823085820569</v>
      </c>
      <c r="AC45" s="2114">
        <f>H45-L45-P45-T45-X45-AB45</f>
        <v>-3.1974423109204508E-14</v>
      </c>
      <c r="AD45" s="384"/>
      <c r="AE45" s="384"/>
      <c r="AF45" s="384"/>
      <c r="AH45" s="657"/>
      <c r="AI45" s="655"/>
      <c r="AJ45" s="655"/>
      <c r="AK45" s="655"/>
      <c r="AL45" s="655"/>
      <c r="AM45" s="655"/>
      <c r="AN45" s="384"/>
      <c r="AO45" s="384"/>
      <c r="AP45" s="384"/>
      <c r="AQ45" s="384"/>
      <c r="AR45" s="384"/>
    </row>
    <row r="46" spans="1:44">
      <c r="A46" s="106" t="s">
        <v>60</v>
      </c>
      <c r="B46" s="114" t="s">
        <v>109</v>
      </c>
      <c r="C46" s="115" t="s">
        <v>61</v>
      </c>
      <c r="D46" s="124" t="s">
        <v>36</v>
      </c>
      <c r="E46" s="110">
        <f>(E47+E48+E49+E50)/(100%-'Вхідні дані'!$D$46)-(E47+E48+E49+E50)</f>
        <v>0</v>
      </c>
      <c r="F46" s="5"/>
      <c r="G46" s="361"/>
      <c r="H46" s="110">
        <f>(H47+H48+H49+H50)/(100%-'Вхідні дані'!$D$46)-(H47+H48+H49+H50)</f>
        <v>95.622726204662285</v>
      </c>
      <c r="I46" s="50"/>
      <c r="J46" s="5"/>
      <c r="K46" s="905"/>
      <c r="L46" s="110">
        <f>(L47+L48+L49+L50)/(100%-'Вхідні дані'!$D$46)-(L47+L48+L49+L50)</f>
        <v>72.232502115196894</v>
      </c>
      <c r="M46" s="50"/>
      <c r="N46" s="5"/>
      <c r="O46" s="903"/>
      <c r="P46" s="110">
        <f>(P47+P48+P49+P50)/(100%-'Вхідні дані'!$D$46)-(P47+P48+P49+P50)</f>
        <v>5.4926513213466457</v>
      </c>
      <c r="Q46" s="50"/>
      <c r="R46" s="5"/>
      <c r="S46" s="903"/>
      <c r="T46" s="110">
        <f>(T47+T48+T49+T50)/(100%-'Вхідні дані'!$D$46)-(T47+T48+T49+T50)</f>
        <v>8.9936832659035488</v>
      </c>
      <c r="U46" s="50"/>
      <c r="V46" s="5"/>
      <c r="W46" s="903"/>
      <c r="X46" s="110">
        <f>(X47+X48+X49+X50)/(100%-'Вхідні дані'!$D$46)-(X47+X48+X49+X50)</f>
        <v>4.3531613467675143</v>
      </c>
      <c r="Y46" s="50"/>
      <c r="Z46" s="5"/>
      <c r="AA46" s="903"/>
      <c r="AB46" s="110">
        <f>(AB47+AB48+AB49+AB50)/(100%-'Вхідні дані'!$D$46)-(AB47+AB48+AB49+AB50)</f>
        <v>4.5507281554477004</v>
      </c>
      <c r="AC46" s="2114">
        <f t="shared" ref="AC46:AC50" si="41">H46-L46-P46-T46-X46-AB46</f>
        <v>-1.7763568394002505E-14</v>
      </c>
      <c r="AD46" s="384"/>
      <c r="AE46" s="384"/>
      <c r="AF46" s="384"/>
      <c r="AH46" s="657"/>
      <c r="AI46" s="655"/>
      <c r="AJ46" s="655"/>
      <c r="AK46" s="655"/>
      <c r="AL46" s="655"/>
      <c r="AN46" s="384"/>
      <c r="AO46" s="384"/>
      <c r="AP46" s="384"/>
      <c r="AQ46" s="384"/>
      <c r="AR46" s="384"/>
    </row>
    <row r="47" spans="1:44">
      <c r="A47" s="106" t="s">
        <v>62</v>
      </c>
      <c r="B47" s="114" t="s">
        <v>111</v>
      </c>
      <c r="C47" s="115" t="s">
        <v>63</v>
      </c>
      <c r="D47" s="124" t="s">
        <v>36</v>
      </c>
      <c r="E47" s="367">
        <f t="shared" ref="E47:E49" si="42">L47+P47+T47+X47+AB47</f>
        <v>0</v>
      </c>
      <c r="F47" s="5"/>
      <c r="G47" s="361"/>
      <c r="H47" s="110">
        <f>(H49+H50)/(100%-'Вхідні дані'!$D$47)*'Вхідні дані'!$D$47</f>
        <v>0</v>
      </c>
      <c r="I47" s="50"/>
      <c r="J47" s="5"/>
      <c r="K47" s="903"/>
      <c r="L47" s="110">
        <f>(L49+L50)/(100%-'Вхідні дані'!$D$47)*'Вхідні дані'!$D$47</f>
        <v>0</v>
      </c>
      <c r="M47" s="50"/>
      <c r="N47" s="5"/>
      <c r="O47" s="903"/>
      <c r="P47" s="110">
        <f>(P49+P50)/(100%-'Вхідні дані'!$D$47)*'Вхідні дані'!$D$47</f>
        <v>0</v>
      </c>
      <c r="Q47" s="50"/>
      <c r="R47" s="5"/>
      <c r="S47" s="903"/>
      <c r="T47" s="110">
        <f>(T49+T50)/(100%-'Вхідні дані'!$D$47)*'Вхідні дані'!$D$47</f>
        <v>0</v>
      </c>
      <c r="U47" s="50"/>
      <c r="V47" s="5"/>
      <c r="W47" s="903"/>
      <c r="X47" s="110">
        <f>(X49+X50)/(100%-'Вхідні дані'!$D$47)*'Вхідні дані'!$D$47</f>
        <v>0</v>
      </c>
      <c r="Y47" s="50"/>
      <c r="Z47" s="5"/>
      <c r="AA47" s="903"/>
      <c r="AB47" s="110">
        <f>(AB49+AB50)/(100%-'Вхідні дані'!$D$47)*'Вхідні дані'!$D$47</f>
        <v>0</v>
      </c>
      <c r="AC47" s="2114">
        <f t="shared" si="41"/>
        <v>0</v>
      </c>
      <c r="AD47" s="384"/>
      <c r="AE47" s="384"/>
      <c r="AF47" s="384"/>
      <c r="AH47" s="657"/>
      <c r="AI47" s="655"/>
      <c r="AJ47" s="655"/>
      <c r="AK47" s="655"/>
      <c r="AL47" s="655"/>
      <c r="AN47" s="384"/>
      <c r="AO47" s="384"/>
      <c r="AP47" s="384"/>
      <c r="AQ47" s="384"/>
      <c r="AR47" s="384"/>
    </row>
    <row r="48" spans="1:44">
      <c r="A48" s="106" t="s">
        <v>64</v>
      </c>
      <c r="B48" s="114" t="s">
        <v>113</v>
      </c>
      <c r="C48" s="115" t="s">
        <v>65</v>
      </c>
      <c r="D48" s="124" t="s">
        <v>36</v>
      </c>
      <c r="E48" s="367">
        <f t="shared" si="42"/>
        <v>0</v>
      </c>
      <c r="F48" s="5"/>
      <c r="G48" s="361"/>
      <c r="H48" s="110">
        <v>0</v>
      </c>
      <c r="I48" s="50"/>
      <c r="J48" s="5"/>
      <c r="K48" s="903"/>
      <c r="L48" s="110">
        <f>H48*$L$58/$H$58</f>
        <v>0</v>
      </c>
      <c r="M48" s="50"/>
      <c r="N48" s="5"/>
      <c r="O48" s="903"/>
      <c r="P48" s="110">
        <f>H48*$P$58/$H$58</f>
        <v>0</v>
      </c>
      <c r="Q48" s="50"/>
      <c r="R48" s="5"/>
      <c r="S48" s="903"/>
      <c r="T48" s="110">
        <f>H48*$T$58/$H$58</f>
        <v>0</v>
      </c>
      <c r="U48" s="50"/>
      <c r="V48" s="5"/>
      <c r="W48" s="903"/>
      <c r="X48" s="110">
        <f>H48*$X$58/$H$58</f>
        <v>0</v>
      </c>
      <c r="Y48" s="50"/>
      <c r="Z48" s="5"/>
      <c r="AA48" s="903"/>
      <c r="AB48" s="110">
        <f>L48*$X$58/$H$58</f>
        <v>0</v>
      </c>
      <c r="AC48" s="2114">
        <f t="shared" si="41"/>
        <v>0</v>
      </c>
      <c r="AD48" s="384"/>
      <c r="AE48" s="384"/>
      <c r="AF48" s="384"/>
      <c r="AH48" s="657"/>
      <c r="AI48" s="655"/>
      <c r="AJ48" s="655"/>
      <c r="AK48" s="655"/>
      <c r="AL48" s="655"/>
      <c r="AN48" s="384"/>
      <c r="AO48" s="384"/>
      <c r="AP48" s="384"/>
      <c r="AQ48" s="384"/>
      <c r="AR48" s="384"/>
    </row>
    <row r="49" spans="1:44">
      <c r="A49" s="106" t="s">
        <v>66</v>
      </c>
      <c r="B49" s="114" t="s">
        <v>115</v>
      </c>
      <c r="C49" s="115" t="s">
        <v>67</v>
      </c>
      <c r="D49" s="124" t="s">
        <v>36</v>
      </c>
      <c r="E49" s="367">
        <f t="shared" si="42"/>
        <v>0</v>
      </c>
      <c r="F49" s="5"/>
      <c r="G49" s="361"/>
      <c r="H49" s="110">
        <v>0</v>
      </c>
      <c r="I49" s="50"/>
      <c r="J49" s="5"/>
      <c r="K49" s="903"/>
      <c r="L49" s="110">
        <f>H49*$L$58/$H$58</f>
        <v>0</v>
      </c>
      <c r="M49" s="50"/>
      <c r="N49" s="5"/>
      <c r="O49" s="903"/>
      <c r="P49" s="110">
        <f>H49*$P$58/$H$58</f>
        <v>0</v>
      </c>
      <c r="Q49" s="50"/>
      <c r="R49" s="5"/>
      <c r="S49" s="903"/>
      <c r="T49" s="110">
        <f>H49*$T$58/$H$58</f>
        <v>0</v>
      </c>
      <c r="U49" s="50"/>
      <c r="V49" s="5"/>
      <c r="W49" s="903"/>
      <c r="X49" s="110">
        <f>H49*$X$58/$H$58</f>
        <v>0</v>
      </c>
      <c r="Y49" s="50"/>
      <c r="Z49" s="5"/>
      <c r="AA49" s="903"/>
      <c r="AB49" s="110">
        <f>L49*$X$58/$H$58</f>
        <v>0</v>
      </c>
      <c r="AC49" s="2114">
        <f t="shared" si="41"/>
        <v>0</v>
      </c>
      <c r="AD49" s="384"/>
      <c r="AE49" s="384"/>
      <c r="AF49" s="384"/>
      <c r="AH49" s="657"/>
      <c r="AI49" s="655"/>
      <c r="AJ49" s="655"/>
      <c r="AK49" s="655"/>
      <c r="AL49" s="655"/>
      <c r="AN49" s="384"/>
      <c r="AO49" s="384"/>
      <c r="AP49" s="384"/>
      <c r="AQ49" s="384"/>
      <c r="AR49" s="384"/>
    </row>
    <row r="50" spans="1:44">
      <c r="A50" s="106" t="s">
        <v>68</v>
      </c>
      <c r="B50" s="114" t="s">
        <v>209</v>
      </c>
      <c r="C50" s="115" t="s">
        <v>82</v>
      </c>
      <c r="D50" s="124" t="s">
        <v>36</v>
      </c>
      <c r="E50" s="110">
        <f t="shared" ref="E50:G50" si="43">I50+M50+Q50+U50+Y50</f>
        <v>0</v>
      </c>
      <c r="F50" s="110">
        <f t="shared" si="43"/>
        <v>0</v>
      </c>
      <c r="G50" s="110">
        <f t="shared" si="43"/>
        <v>0</v>
      </c>
      <c r="H50" s="110">
        <f>L50+P50+T50+X50+AB50</f>
        <v>435.61464159901743</v>
      </c>
      <c r="I50" s="50"/>
      <c r="J50" s="5"/>
      <c r="K50" s="905"/>
      <c r="L50" s="110">
        <f>L43*'Вхідні дані'!$D$45</f>
        <v>329.05917630256386</v>
      </c>
      <c r="M50" s="50"/>
      <c r="N50" s="5"/>
      <c r="O50" s="903"/>
      <c r="P50" s="110">
        <f>P43*'Вхідні дані'!$D$45</f>
        <v>25.022078241690288</v>
      </c>
      <c r="Q50" s="50"/>
      <c r="R50" s="5"/>
      <c r="S50" s="903"/>
      <c r="T50" s="110">
        <f>T43*'Вхідні дані'!$D$45</f>
        <v>40.971223766893964</v>
      </c>
      <c r="U50" s="50"/>
      <c r="V50" s="5"/>
      <c r="W50" s="903"/>
      <c r="X50" s="110">
        <f>X43*'Вхідні дані'!$D$45</f>
        <v>19.831068357496466</v>
      </c>
      <c r="Y50" s="50"/>
      <c r="Z50" s="5"/>
      <c r="AA50" s="903"/>
      <c r="AB50" s="110">
        <f>AB43*'Вхідні дані'!$D$45</f>
        <v>20.731094930372869</v>
      </c>
      <c r="AC50" s="2114">
        <f t="shared" si="41"/>
        <v>0</v>
      </c>
      <c r="AD50" s="384"/>
      <c r="AE50" s="384"/>
      <c r="AF50" s="384"/>
      <c r="AH50" s="657"/>
      <c r="AI50" s="655"/>
      <c r="AJ50" s="655"/>
      <c r="AK50" s="655"/>
      <c r="AL50" s="655"/>
      <c r="AN50" s="384"/>
      <c r="AO50" s="384"/>
      <c r="AP50" s="384"/>
      <c r="AQ50" s="384"/>
      <c r="AR50" s="384"/>
    </row>
    <row r="51" spans="1:44" s="105" customFormat="1" ht="22.95" customHeight="1">
      <c r="A51" s="100">
        <v>8</v>
      </c>
      <c r="B51" s="118" t="s">
        <v>180</v>
      </c>
      <c r="C51" s="119" t="s">
        <v>69</v>
      </c>
      <c r="D51" s="354" t="s">
        <v>36</v>
      </c>
      <c r="E51" s="363">
        <f t="shared" ref="E51:G51" si="44">E43+E44+E45</f>
        <v>0</v>
      </c>
      <c r="F51" s="363">
        <f t="shared" si="44"/>
        <v>0</v>
      </c>
      <c r="G51" s="363">
        <f t="shared" si="44"/>
        <v>0</v>
      </c>
      <c r="H51" s="363">
        <f>H43+H44+H45</f>
        <v>11700.843562650281</v>
      </c>
      <c r="I51" s="388">
        <f t="shared" ref="I51:X51" si="45">I43+I44+I45</f>
        <v>0</v>
      </c>
      <c r="J51" s="389">
        <f t="shared" si="45"/>
        <v>0</v>
      </c>
      <c r="K51" s="389">
        <f>K43+K44+K45</f>
        <v>0</v>
      </c>
      <c r="L51" s="363">
        <f t="shared" si="45"/>
        <v>8838.7064554065782</v>
      </c>
      <c r="M51" s="388">
        <f t="shared" si="45"/>
        <v>0</v>
      </c>
      <c r="N51" s="389">
        <f t="shared" si="45"/>
        <v>0</v>
      </c>
      <c r="O51" s="363">
        <f>O43+O44+O45</f>
        <v>0</v>
      </c>
      <c r="P51" s="363">
        <f>P43+P44+P45</f>
        <v>672.10647934996734</v>
      </c>
      <c r="Q51" s="388" t="e">
        <f t="shared" si="45"/>
        <v>#DIV/0!</v>
      </c>
      <c r="R51" s="389" t="e">
        <f t="shared" si="45"/>
        <v>#DIV/0!</v>
      </c>
      <c r="S51" s="389" t="e">
        <f>S43+S44+S45</f>
        <v>#DIV/0!</v>
      </c>
      <c r="T51" s="363">
        <f t="shared" si="45"/>
        <v>1100.5091061839248</v>
      </c>
      <c r="U51" s="388" t="e">
        <f t="shared" si="45"/>
        <v>#DIV/0!</v>
      </c>
      <c r="V51" s="389" t="e">
        <f>V43+V44+V45</f>
        <v>#DIV/0!</v>
      </c>
      <c r="W51" s="389" t="e">
        <f t="shared" si="45"/>
        <v>#DIV/0!</v>
      </c>
      <c r="X51" s="363">
        <f t="shared" si="45"/>
        <v>532.67316194776311</v>
      </c>
      <c r="Y51" s="388" t="e">
        <f t="shared" ref="Y51" si="46">Y43+Y44+Y45</f>
        <v>#DIV/0!</v>
      </c>
      <c r="Z51" s="389" t="e">
        <f>Z43+Z44+Z45</f>
        <v>#DIV/0!</v>
      </c>
      <c r="AA51" s="389" t="e">
        <f t="shared" ref="AA51:AB51" si="47">AA43+AA44+AA45</f>
        <v>#DIV/0!</v>
      </c>
      <c r="AB51" s="363">
        <f t="shared" si="47"/>
        <v>556.84835976204795</v>
      </c>
      <c r="AC51" s="384"/>
      <c r="AD51" s="384"/>
      <c r="AE51" s="384"/>
      <c r="AF51" s="384"/>
      <c r="AH51" s="657"/>
      <c r="AI51" s="655"/>
      <c r="AJ51" s="655"/>
      <c r="AK51" s="655"/>
      <c r="AL51" s="655"/>
      <c r="AM51" s="655"/>
      <c r="AN51" s="384"/>
      <c r="AO51" s="384"/>
      <c r="AP51" s="384"/>
      <c r="AQ51" s="384"/>
      <c r="AR51" s="384"/>
    </row>
    <row r="52" spans="1:44" s="105" customFormat="1">
      <c r="A52" s="100">
        <v>9</v>
      </c>
      <c r="B52" s="118" t="s">
        <v>181</v>
      </c>
      <c r="C52" s="125" t="s">
        <v>211</v>
      </c>
      <c r="D52" s="354" t="s">
        <v>70</v>
      </c>
      <c r="E52" s="102" t="e">
        <f>E51/E55*1000</f>
        <v>#DIV/0!</v>
      </c>
      <c r="F52" s="102" t="e">
        <f>F51/F55*1000</f>
        <v>#DIV/0!</v>
      </c>
      <c r="G52" s="102" t="e">
        <f>G51/G55*1000</f>
        <v>#DIV/0!</v>
      </c>
      <c r="H52" s="417">
        <f>H51/H58*1000</f>
        <v>1370.7996288725983</v>
      </c>
      <c r="I52" s="366" t="e">
        <f>I51/I55*1000</f>
        <v>#DIV/0!</v>
      </c>
      <c r="J52" s="102" t="e">
        <f>J51/J55*1000</f>
        <v>#DIV/0!</v>
      </c>
      <c r="K52" s="368" t="e">
        <f>K51/K58*1000</f>
        <v>#DIV/0!</v>
      </c>
      <c r="L52" s="417">
        <f>L51/L58*1000</f>
        <v>1368.2089020646943</v>
      </c>
      <c r="M52" s="366" t="e">
        <f>M51/M55*1000</f>
        <v>#DIV/0!</v>
      </c>
      <c r="N52" s="102" t="e">
        <f>N51/N55*1000</f>
        <v>#DIV/0!</v>
      </c>
      <c r="O52" s="104" t="e">
        <f>O51/O58*1000</f>
        <v>#DIV/0!</v>
      </c>
      <c r="P52" s="417">
        <f>P51/P58*1000</f>
        <v>1397.4261063750318</v>
      </c>
      <c r="Q52" s="103" t="e">
        <f>Q51/Q55*1000</f>
        <v>#DIV/0!</v>
      </c>
      <c r="R52" s="102" t="e">
        <f>R51/R55*1000</f>
        <v>#DIV/0!</v>
      </c>
      <c r="S52" s="102" t="e">
        <f>S51/S58*1000</f>
        <v>#DIV/0!</v>
      </c>
      <c r="T52" s="417">
        <f>T51/T58*1000</f>
        <v>1378.6947758184735</v>
      </c>
      <c r="U52" s="103" t="e">
        <f>U51/U55*1000</f>
        <v>#DIV/0!</v>
      </c>
      <c r="V52" s="102" t="e">
        <f>V51/V55*1000</f>
        <v>#DIV/0!</v>
      </c>
      <c r="W52" s="102" t="e">
        <f>W51/W58*1000</f>
        <v>#DIV/0!</v>
      </c>
      <c r="X52" s="417">
        <f>X51/X58*1000</f>
        <v>1360.5310612803723</v>
      </c>
      <c r="Y52" s="103" t="e">
        <f>Y51/Y55*1000</f>
        <v>#DIV/0!</v>
      </c>
      <c r="Z52" s="102" t="e">
        <f>Z51/Z55*1000</f>
        <v>#DIV/0!</v>
      </c>
      <c r="AA52" s="102" t="e">
        <f>AA51/AA58*1000</f>
        <v>#DIV/0!</v>
      </c>
      <c r="AB52" s="417">
        <f>AB51/AB58*1000</f>
        <v>1374.8690426578491</v>
      </c>
      <c r="AC52" s="384"/>
      <c r="AD52" s="384"/>
      <c r="AE52" s="384"/>
      <c r="AF52" s="384"/>
      <c r="AH52" s="655"/>
      <c r="AI52" s="655"/>
      <c r="AJ52" s="655"/>
      <c r="AK52" s="655"/>
      <c r="AL52" s="655"/>
      <c r="AM52" s="655"/>
    </row>
    <row r="53" spans="1:44" s="105" customFormat="1">
      <c r="A53" s="100"/>
      <c r="B53" s="107" t="s">
        <v>83</v>
      </c>
      <c r="C53" s="4" t="s">
        <v>212</v>
      </c>
      <c r="D53" s="354" t="s">
        <v>70</v>
      </c>
      <c r="E53" s="104" t="e">
        <f t="shared" ref="E53:G53" si="48">E14/E58*1000</f>
        <v>#DIV/0!</v>
      </c>
      <c r="F53" s="104" t="e">
        <f t="shared" si="48"/>
        <v>#DIV/0!</v>
      </c>
      <c r="G53" s="104" t="e">
        <f t="shared" si="48"/>
        <v>#DIV/0!</v>
      </c>
      <c r="H53" s="104">
        <f>H14/H58*1000</f>
        <v>972.69331002975423</v>
      </c>
      <c r="I53" s="367" t="e">
        <f>I14/I51*1000</f>
        <v>#DIV/0!</v>
      </c>
      <c r="J53" s="108" t="e">
        <f>J14/J51*1000</f>
        <v>#DIV/0!</v>
      </c>
      <c r="K53" s="369" t="e">
        <f>K14/K51*1000</f>
        <v>#DIV/0!</v>
      </c>
      <c r="L53" s="104">
        <f>L14/L58*1000</f>
        <v>970.03517428698422</v>
      </c>
      <c r="M53" s="367" t="e">
        <f>M14/M51*1000</f>
        <v>#DIV/0!</v>
      </c>
      <c r="N53" s="108" t="e">
        <f>N14/N51*1000</f>
        <v>#DIV/0!</v>
      </c>
      <c r="O53" s="110" t="e">
        <f>O14/O58*1000</f>
        <v>#DIV/0!</v>
      </c>
      <c r="P53" s="104">
        <f>P14/P58*1000</f>
        <v>998.75361828332927</v>
      </c>
      <c r="Q53" s="109" t="e">
        <f>Q14/Q51*1000</f>
        <v>#DIV/0!</v>
      </c>
      <c r="R53" s="108" t="e">
        <f>R14/R51*1000</f>
        <v>#DIV/0!</v>
      </c>
      <c r="S53" s="108" t="e">
        <f>S14/S51*1000</f>
        <v>#DIV/0!</v>
      </c>
      <c r="T53" s="104">
        <f>T14/T58*1000</f>
        <v>980.6867487119747</v>
      </c>
      <c r="U53" s="109" t="e">
        <f>U14/U51*1000</f>
        <v>#DIV/0!</v>
      </c>
      <c r="V53" s="108" t="e">
        <f>V14/V51*1000</f>
        <v>#DIV/0!</v>
      </c>
      <c r="W53" s="108" t="e">
        <f>W14/W51*1000</f>
        <v>#DIV/0!</v>
      </c>
      <c r="X53" s="809">
        <f>X14/X58*1000</f>
        <v>963.54078571696164</v>
      </c>
      <c r="Y53" s="109" t="e">
        <f>Y14/Y51*1000</f>
        <v>#DIV/0!</v>
      </c>
      <c r="Z53" s="108" t="e">
        <f>Z14/Z51*1000</f>
        <v>#DIV/0!</v>
      </c>
      <c r="AA53" s="108" t="e">
        <f>AA14/AA51*1000</f>
        <v>#DIV/0!</v>
      </c>
      <c r="AB53" s="809">
        <f>AB14/AB58*1000</f>
        <v>977.23766384197324</v>
      </c>
      <c r="AC53" s="384"/>
      <c r="AD53" s="384"/>
      <c r="AE53" s="384"/>
      <c r="AF53" s="384"/>
      <c r="AH53" s="655"/>
      <c r="AI53" s="655"/>
      <c r="AJ53" s="655"/>
      <c r="AK53" s="655"/>
      <c r="AL53" s="655"/>
      <c r="AM53" s="655"/>
    </row>
    <row r="54" spans="1:44" s="105" customFormat="1">
      <c r="A54" s="100"/>
      <c r="B54" s="107" t="s">
        <v>85</v>
      </c>
      <c r="C54" s="4" t="s">
        <v>213</v>
      </c>
      <c r="D54" s="354" t="s">
        <v>70</v>
      </c>
      <c r="E54" s="367" t="e">
        <f>(E43-E14)/E51*1000</f>
        <v>#DIV/0!</v>
      </c>
      <c r="F54" s="108" t="e">
        <f>(F43-F14)/F51*1000</f>
        <v>#DIV/0!</v>
      </c>
      <c r="G54" s="108" t="e">
        <f>(G43-G14)/G51*1000</f>
        <v>#DIV/0!</v>
      </c>
      <c r="H54" s="104">
        <f>(H43-H14)/H58*1000</f>
        <v>335.86978155992045</v>
      </c>
      <c r="I54" s="367" t="e">
        <f>(I43-I14)/I51*1000</f>
        <v>#DIV/0!</v>
      </c>
      <c r="J54" s="108" t="e">
        <f>(J43-J14)/J51*1000</f>
        <v>#DIV/0!</v>
      </c>
      <c r="K54" s="369" t="e">
        <f>(K43-K14)/K51*1000</f>
        <v>#DIV/0!</v>
      </c>
      <c r="L54" s="104">
        <f>(L43-L14)/L58*1000</f>
        <v>336.05481371423735</v>
      </c>
      <c r="M54" s="367" t="e">
        <f>(M43-M14)/M51*1000</f>
        <v>#DIV/0!</v>
      </c>
      <c r="N54" s="108" t="e">
        <f>(N43-N14)/N51*1000</f>
        <v>#DIV/0!</v>
      </c>
      <c r="O54" s="110" t="e">
        <f>(O43-O14)/O58*1000</f>
        <v>#DIV/0!</v>
      </c>
      <c r="P54" s="104">
        <f>(P43-P14)/P58*1000</f>
        <v>335.22706533427993</v>
      </c>
      <c r="Q54" s="109" t="e">
        <f>(Q43-Q14)/Q51*1000</f>
        <v>#DIV/0!</v>
      </c>
      <c r="R54" s="108" t="e">
        <f>(R43-R14)/R51*1000</f>
        <v>#DIV/0!</v>
      </c>
      <c r="S54" s="108" t="e">
        <f>(S43-S14)/S51*1000</f>
        <v>#DIV/0!</v>
      </c>
      <c r="T54" s="104">
        <f>(T43-T14)/T58*1000</f>
        <v>335.41303728470558</v>
      </c>
      <c r="U54" s="109" t="e">
        <f>(U43-U14)/U51*1000</f>
        <v>#DIV/0!</v>
      </c>
      <c r="V54" s="108" t="e">
        <f>(V43-V14)/V51*1000</f>
        <v>#DIV/0!</v>
      </c>
      <c r="W54" s="108" t="e">
        <f>(W43-W14)/W51*1000</f>
        <v>#DIV/0!</v>
      </c>
      <c r="X54" s="809">
        <f>(X43-X14)/X58*1000</f>
        <v>335.21994798490709</v>
      </c>
      <c r="Y54" s="109" t="e">
        <f>(Y43-Y14)/Y51*1000</f>
        <v>#DIV/0!</v>
      </c>
      <c r="Z54" s="108" t="e">
        <f>(Z43-Z14)/Z51*1000</f>
        <v>#DIV/0!</v>
      </c>
      <c r="AA54" s="108" t="e">
        <f>(AA43-AA14)/AA51*1000</f>
        <v>#DIV/0!</v>
      </c>
      <c r="AB54" s="809">
        <f>(AB43-AB14)/AB58*1000</f>
        <v>335.21008351476308</v>
      </c>
      <c r="AC54" s="384"/>
      <c r="AD54" s="384"/>
      <c r="AE54" s="384"/>
      <c r="AF54" s="384"/>
      <c r="AH54" s="655"/>
      <c r="AI54" s="655"/>
      <c r="AJ54" s="655"/>
      <c r="AK54" s="655"/>
      <c r="AL54" s="655"/>
      <c r="AM54" s="655"/>
    </row>
    <row r="55" spans="1:44" s="105" customFormat="1">
      <c r="A55" s="100">
        <v>10</v>
      </c>
      <c r="B55" s="345" t="s">
        <v>182</v>
      </c>
      <c r="C55" s="346" t="s">
        <v>515</v>
      </c>
      <c r="D55" s="354" t="s">
        <v>21</v>
      </c>
      <c r="E55" s="350">
        <f t="shared" ref="E55:E58" si="49">I55+M55+Q55+U55+Y55</f>
        <v>0</v>
      </c>
      <c r="F55" s="350">
        <f t="shared" ref="F55:F58" si="50">J55+N55+R55+V55+Z55</f>
        <v>0</v>
      </c>
      <c r="G55" s="350">
        <f t="shared" ref="G55:G58" si="51">K55+O55+S55+W55+AA55</f>
        <v>0</v>
      </c>
      <c r="H55" s="350">
        <f t="shared" ref="H55:H57" si="52">L55+P55+T55+X55+AB55</f>
        <v>8535.7796400000007</v>
      </c>
      <c r="I55" s="109"/>
      <c r="J55" s="108"/>
      <c r="K55" s="112"/>
      <c r="L55" s="110">
        <f>L58</f>
        <v>6460.0562399999999</v>
      </c>
      <c r="M55" s="109"/>
      <c r="N55" s="108"/>
      <c r="O55" s="110"/>
      <c r="P55" s="110">
        <f>P58</f>
        <v>480.96030000000002</v>
      </c>
      <c r="Q55" s="109"/>
      <c r="R55" s="108"/>
      <c r="S55" s="112"/>
      <c r="T55" s="110">
        <f>T58</f>
        <v>798.22533999999996</v>
      </c>
      <c r="U55" s="109"/>
      <c r="V55" s="108"/>
      <c r="W55" s="112"/>
      <c r="X55" s="110">
        <f>X58</f>
        <v>391.51855999999998</v>
      </c>
      <c r="Y55" s="109"/>
      <c r="Z55" s="108"/>
      <c r="AA55" s="112"/>
      <c r="AB55" s="110">
        <f>AB58</f>
        <v>405.01920000000001</v>
      </c>
      <c r="AC55" s="384"/>
      <c r="AD55" s="384"/>
      <c r="AE55" s="384"/>
      <c r="AF55" s="384"/>
      <c r="AH55" s="655"/>
      <c r="AI55" s="655"/>
      <c r="AJ55" s="655"/>
      <c r="AK55" s="655"/>
      <c r="AL55" s="655"/>
      <c r="AM55" s="655"/>
    </row>
    <row r="56" spans="1:44" s="105" customFormat="1" ht="15" customHeight="1">
      <c r="A56" s="100">
        <v>11</v>
      </c>
      <c r="B56" s="345" t="s">
        <v>183</v>
      </c>
      <c r="C56" s="347" t="s">
        <v>72</v>
      </c>
      <c r="D56" s="354" t="s">
        <v>21</v>
      </c>
      <c r="E56" s="350">
        <f t="shared" si="49"/>
        <v>0</v>
      </c>
      <c r="F56" s="350">
        <f t="shared" si="50"/>
        <v>0</v>
      </c>
      <c r="G56" s="350">
        <f t="shared" si="51"/>
        <v>0</v>
      </c>
      <c r="H56" s="350">
        <f t="shared" si="52"/>
        <v>0</v>
      </c>
      <c r="I56" s="111"/>
      <c r="J56" s="112"/>
      <c r="K56" s="112"/>
      <c r="L56" s="113"/>
      <c r="M56" s="111"/>
      <c r="N56" s="112"/>
      <c r="O56" s="113"/>
      <c r="P56" s="113"/>
      <c r="Q56" s="111"/>
      <c r="R56" s="112"/>
      <c r="S56" s="112"/>
      <c r="T56" s="113"/>
      <c r="U56" s="111"/>
      <c r="V56" s="112"/>
      <c r="W56" s="112"/>
      <c r="X56" s="113"/>
      <c r="Y56" s="111"/>
      <c r="Z56" s="112"/>
      <c r="AA56" s="112"/>
      <c r="AB56" s="113"/>
      <c r="AC56" s="384"/>
      <c r="AD56" s="384"/>
      <c r="AE56" s="384"/>
      <c r="AF56" s="384"/>
      <c r="AH56" s="655"/>
      <c r="AI56" s="655"/>
      <c r="AJ56" s="655"/>
      <c r="AK56" s="655"/>
      <c r="AL56" s="655"/>
      <c r="AM56" s="655"/>
    </row>
    <row r="57" spans="1:44" s="105" customFormat="1">
      <c r="A57" s="100">
        <v>12</v>
      </c>
      <c r="B57" s="345" t="s">
        <v>184</v>
      </c>
      <c r="C57" s="348" t="s">
        <v>73</v>
      </c>
      <c r="D57" s="354" t="s">
        <v>70</v>
      </c>
      <c r="E57" s="350">
        <f t="shared" si="49"/>
        <v>0</v>
      </c>
      <c r="F57" s="350">
        <f t="shared" si="50"/>
        <v>0</v>
      </c>
      <c r="G57" s="350">
        <f t="shared" si="51"/>
        <v>0</v>
      </c>
      <c r="H57" s="350">
        <f t="shared" si="52"/>
        <v>0</v>
      </c>
      <c r="I57" s="111"/>
      <c r="J57" s="112"/>
      <c r="K57" s="112"/>
      <c r="L57" s="113"/>
      <c r="M57" s="111"/>
      <c r="N57" s="112"/>
      <c r="O57" s="113"/>
      <c r="P57" s="113"/>
      <c r="Q57" s="111"/>
      <c r="R57" s="112"/>
      <c r="S57" s="112"/>
      <c r="T57" s="113"/>
      <c r="U57" s="111"/>
      <c r="V57" s="112"/>
      <c r="W57" s="112"/>
      <c r="X57" s="113"/>
      <c r="Y57" s="111"/>
      <c r="Z57" s="112"/>
      <c r="AA57" s="112"/>
      <c r="AB57" s="113"/>
      <c r="AC57" s="384"/>
      <c r="AD57" s="384"/>
      <c r="AE57" s="384"/>
      <c r="AF57" s="384"/>
      <c r="AH57" s="655"/>
      <c r="AI57" s="655"/>
      <c r="AJ57" s="655"/>
      <c r="AK57" s="655"/>
      <c r="AL57" s="655"/>
      <c r="AM57" s="655"/>
    </row>
    <row r="58" spans="1:44" s="105" customFormat="1" ht="20.399999999999999">
      <c r="A58" s="100">
        <v>13</v>
      </c>
      <c r="B58" s="345" t="s">
        <v>185</v>
      </c>
      <c r="C58" s="349" t="s">
        <v>974</v>
      </c>
      <c r="D58" s="351" t="s">
        <v>21</v>
      </c>
      <c r="E58" s="350">
        <f t="shared" si="49"/>
        <v>0</v>
      </c>
      <c r="F58" s="350">
        <f t="shared" si="50"/>
        <v>0</v>
      </c>
      <c r="G58" s="350">
        <f t="shared" si="51"/>
        <v>0</v>
      </c>
      <c r="H58" s="1316">
        <f>L58+P58+T58+X58+AB58</f>
        <v>8535.7796400000007</v>
      </c>
      <c r="I58" s="109"/>
      <c r="J58" s="108"/>
      <c r="K58" s="987"/>
      <c r="L58" s="1316">
        <f>'Д 7_РП'!F184</f>
        <v>6460.0562399999999</v>
      </c>
      <c r="M58" s="109"/>
      <c r="N58" s="108"/>
      <c r="O58" s="1305"/>
      <c r="P58" s="1316">
        <f>'Д 7_РП'!G184</f>
        <v>480.96030000000002</v>
      </c>
      <c r="Q58" s="109"/>
      <c r="R58" s="108"/>
      <c r="S58" s="987"/>
      <c r="T58" s="1316">
        <f>'Д 7_РП'!H184</f>
        <v>798.22533999999996</v>
      </c>
      <c r="U58" s="109"/>
      <c r="V58" s="108"/>
      <c r="W58" s="987"/>
      <c r="X58" s="992">
        <f>'Д 7_РП'!I184</f>
        <v>391.51855999999998</v>
      </c>
      <c r="Y58" s="109"/>
      <c r="Z58" s="108"/>
      <c r="AA58" s="987"/>
      <c r="AB58" s="992">
        <f>'Д 7_РП'!J184</f>
        <v>405.01920000000001</v>
      </c>
      <c r="AC58" s="384"/>
      <c r="AD58" s="384"/>
      <c r="AE58" s="384"/>
      <c r="AF58" s="384"/>
      <c r="AG58" s="384"/>
      <c r="AH58" s="655"/>
      <c r="AI58" s="655"/>
      <c r="AJ58" s="655"/>
      <c r="AK58" s="655"/>
      <c r="AL58" s="655"/>
      <c r="AM58" s="655"/>
    </row>
    <row r="59" spans="1:44" s="105" customFormat="1" ht="21" thickBot="1">
      <c r="A59" s="100">
        <v>14</v>
      </c>
      <c r="B59" s="126" t="s">
        <v>186</v>
      </c>
      <c r="C59" s="52" t="s">
        <v>214</v>
      </c>
      <c r="D59" s="355" t="s">
        <v>70</v>
      </c>
      <c r="E59" s="370" t="e">
        <f>E43/E55*1000</f>
        <v>#DIV/0!</v>
      </c>
      <c r="F59" s="356" t="e">
        <f>F43/F55*1000</f>
        <v>#DIV/0!</v>
      </c>
      <c r="G59" s="371" t="e">
        <f>G43/G58*1000</f>
        <v>#DIV/0!</v>
      </c>
      <c r="H59" s="371">
        <f>H43/H58*1000</f>
        <v>1308.5630915896747</v>
      </c>
      <c r="I59" s="370" t="e">
        <f>I43/I55*1000</f>
        <v>#DIV/0!</v>
      </c>
      <c r="J59" s="356" t="e">
        <f>J43/J55*1000</f>
        <v>#DIV/0!</v>
      </c>
      <c r="K59" s="371" t="e">
        <f>K43/K58*1000</f>
        <v>#DIV/0!</v>
      </c>
      <c r="L59" s="371">
        <f>L43/L58*1000</f>
        <v>1306.0899880012216</v>
      </c>
      <c r="M59" s="370" t="e">
        <f>M43/M55*1000</f>
        <v>#DIV/0!</v>
      </c>
      <c r="N59" s="356" t="e">
        <f>N43/N55*1000</f>
        <v>#DIV/0!</v>
      </c>
      <c r="O59" s="371" t="e">
        <f>O43/O58*1000</f>
        <v>#DIV/0!</v>
      </c>
      <c r="P59" s="371">
        <f>P43/P58*1000</f>
        <v>1333.9806836176092</v>
      </c>
      <c r="Q59" s="386" t="e">
        <f>Q43/Q55*1000</f>
        <v>#DIV/0!</v>
      </c>
      <c r="R59" s="356" t="e">
        <f>R43/R55*1000</f>
        <v>#DIV/0!</v>
      </c>
      <c r="S59" s="356" t="e">
        <f>S43/S58*1000</f>
        <v>#DIV/0!</v>
      </c>
      <c r="T59" s="387">
        <f>T43/T58*1000</f>
        <v>1316.0997859966803</v>
      </c>
      <c r="U59" s="386" t="e">
        <f>U43/U55*1000</f>
        <v>#DIV/0!</v>
      </c>
      <c r="V59" s="356" t="e">
        <f>V43/V55*1000</f>
        <v>#DIV/0!</v>
      </c>
      <c r="W59" s="356" t="e">
        <f>W43/W58*1000</f>
        <v>#DIV/0!</v>
      </c>
      <c r="X59" s="387">
        <f>X43/X58*1000</f>
        <v>1298.7607337018687</v>
      </c>
      <c r="Y59" s="386" t="e">
        <f>Y43/Y55*1000</f>
        <v>#DIV/0!</v>
      </c>
      <c r="Z59" s="356" t="e">
        <f>Z43/Z55*1000</f>
        <v>#DIV/0!</v>
      </c>
      <c r="AA59" s="356" t="e">
        <f>AA43/AA58*1000</f>
        <v>#DIV/0!</v>
      </c>
      <c r="AB59" s="387">
        <f>AB43/AB58*1000</f>
        <v>1312.4477473567363</v>
      </c>
      <c r="AC59" s="384"/>
      <c r="AD59" s="384"/>
      <c r="AE59" s="384"/>
      <c r="AF59" s="384"/>
      <c r="AH59" s="655"/>
      <c r="AI59" s="655"/>
      <c r="AJ59" s="655"/>
      <c r="AK59" s="655"/>
      <c r="AL59" s="655"/>
      <c r="AM59" s="655"/>
    </row>
    <row r="60" spans="1:44" s="105" customFormat="1">
      <c r="A60" s="127"/>
      <c r="B60" s="127"/>
      <c r="C60" s="51"/>
      <c r="D60" s="128"/>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384"/>
      <c r="AD60" s="384"/>
      <c r="AE60" s="384"/>
      <c r="AF60" s="384"/>
      <c r="AH60" s="655"/>
      <c r="AI60" s="655"/>
      <c r="AJ60" s="655"/>
      <c r="AK60" s="655"/>
      <c r="AL60" s="655"/>
      <c r="AM60" s="655"/>
    </row>
    <row r="61" spans="1:44">
      <c r="A61" s="130"/>
      <c r="B61" s="130"/>
      <c r="C61" s="2548" t="s">
        <v>215</v>
      </c>
      <c r="D61" s="2548"/>
      <c r="E61" s="2548"/>
      <c r="F61" s="2548"/>
      <c r="G61" s="2548"/>
      <c r="H61" s="2548"/>
      <c r="I61" s="2548"/>
      <c r="J61" s="2548"/>
      <c r="K61" s="2548"/>
      <c r="L61" s="2548"/>
      <c r="M61" s="2548"/>
      <c r="N61" s="2548"/>
      <c r="O61" s="2548"/>
      <c r="P61" s="2548"/>
      <c r="Q61" s="2548"/>
      <c r="R61" s="2548"/>
      <c r="S61" s="2548"/>
      <c r="T61" s="2548"/>
      <c r="U61" s="2548"/>
      <c r="V61" s="2548"/>
      <c r="W61" s="2548"/>
      <c r="X61" s="2548"/>
      <c r="Y61" s="149"/>
      <c r="AB61" s="650"/>
    </row>
    <row r="62" spans="1:44" ht="15" customHeight="1">
      <c r="C62" s="2549" t="s">
        <v>170</v>
      </c>
      <c r="D62" s="2549"/>
      <c r="E62" s="2549"/>
      <c r="F62" s="2549"/>
      <c r="G62" s="2549"/>
      <c r="H62" s="2549"/>
      <c r="I62" s="2549"/>
      <c r="J62" s="2549"/>
      <c r="K62" s="2549"/>
      <c r="L62" s="2549"/>
      <c r="M62" s="2549"/>
      <c r="N62" s="2549"/>
      <c r="O62" s="2549"/>
      <c r="P62" s="2549"/>
      <c r="Q62" s="132"/>
      <c r="R62" s="132"/>
      <c r="S62" s="132"/>
      <c r="T62" s="132"/>
    </row>
    <row r="63" spans="1:44" ht="15" customHeight="1">
      <c r="C63" s="132"/>
      <c r="D63" s="132"/>
      <c r="E63" s="132"/>
      <c r="F63" s="132"/>
      <c r="G63" s="132"/>
      <c r="H63" s="132"/>
      <c r="I63" s="132"/>
      <c r="N63" s="132"/>
      <c r="O63" s="431"/>
      <c r="P63" s="132"/>
    </row>
    <row r="64" spans="1:44" s="134" customFormat="1" ht="15" customHeight="1">
      <c r="A64" s="133"/>
      <c r="B64" s="133"/>
      <c r="C64" s="144" t="str">
        <f>'Вхідні дані'!B13</f>
        <v>Директор підприємства</v>
      </c>
      <c r="J64" s="2550" t="s">
        <v>217</v>
      </c>
      <c r="K64" s="2551"/>
      <c r="L64" s="2551"/>
      <c r="M64" s="2551"/>
      <c r="Q64" s="145" t="str">
        <f>'Вхідні дані'!F13</f>
        <v>Сергій НІКУЛЬЧА</v>
      </c>
      <c r="R64" s="146"/>
      <c r="S64" s="146"/>
      <c r="T64" s="146"/>
      <c r="U64" s="147"/>
      <c r="AC64" s="651"/>
      <c r="AD64" s="651"/>
      <c r="AE64" s="651"/>
      <c r="AF64" s="651"/>
      <c r="AH64" s="656"/>
      <c r="AI64" s="656"/>
      <c r="AJ64" s="656"/>
      <c r="AK64" s="656"/>
      <c r="AL64" s="656"/>
      <c r="AM64" s="656"/>
    </row>
    <row r="65" spans="1:39" s="134" customFormat="1" ht="15.6">
      <c r="A65" s="133"/>
      <c r="B65" s="133"/>
      <c r="C65" s="135" t="s">
        <v>218</v>
      </c>
      <c r="J65" s="2540" t="s">
        <v>196</v>
      </c>
      <c r="K65" s="2540"/>
      <c r="L65" s="2540"/>
      <c r="M65" s="2540"/>
      <c r="Q65" s="2541" t="s">
        <v>216</v>
      </c>
      <c r="R65" s="2541"/>
      <c r="S65" s="2541"/>
      <c r="T65" s="2541"/>
      <c r="AC65" s="651"/>
      <c r="AD65" s="651"/>
      <c r="AE65" s="651"/>
      <c r="AF65" s="651"/>
      <c r="AH65" s="656"/>
      <c r="AI65" s="656"/>
      <c r="AJ65" s="656"/>
      <c r="AK65" s="656"/>
      <c r="AL65" s="656"/>
      <c r="AM65" s="656"/>
    </row>
    <row r="66" spans="1:39">
      <c r="C66"/>
      <c r="D66"/>
      <c r="E66"/>
      <c r="F66"/>
      <c r="G66"/>
      <c r="H66"/>
      <c r="I66"/>
      <c r="J66"/>
      <c r="K66"/>
      <c r="L66"/>
      <c r="M66"/>
      <c r="N66"/>
      <c r="O66"/>
      <c r="P66"/>
      <c r="Q66"/>
      <c r="R66"/>
      <c r="S66"/>
      <c r="T66"/>
      <c r="U66"/>
      <c r="V66"/>
      <c r="W66"/>
      <c r="X66"/>
      <c r="Y66"/>
      <c r="Z66"/>
      <c r="AA66"/>
      <c r="AB66"/>
    </row>
    <row r="67" spans="1:39">
      <c r="C67"/>
      <c r="D67"/>
      <c r="E67"/>
      <c r="F67"/>
      <c r="G67"/>
      <c r="H67"/>
      <c r="I67"/>
      <c r="J67"/>
      <c r="K67"/>
      <c r="L67"/>
      <c r="M67"/>
      <c r="N67"/>
      <c r="O67"/>
      <c r="P67"/>
      <c r="Q67"/>
      <c r="R67"/>
      <c r="S67"/>
      <c r="T67"/>
      <c r="U67"/>
      <c r="V67"/>
      <c r="W67"/>
      <c r="X67"/>
      <c r="Y67"/>
      <c r="Z67"/>
      <c r="AA67"/>
      <c r="AB67"/>
    </row>
    <row r="68" spans="1:39">
      <c r="C68"/>
      <c r="D68"/>
      <c r="E68"/>
      <c r="F68"/>
      <c r="G68"/>
      <c r="H68"/>
      <c r="I68"/>
      <c r="J68"/>
      <c r="K68"/>
      <c r="L68"/>
      <c r="M68"/>
      <c r="N68"/>
      <c r="O68"/>
      <c r="P68"/>
    </row>
    <row r="69" spans="1:39">
      <c r="C69"/>
      <c r="D69"/>
      <c r="L69" s="569"/>
    </row>
    <row r="70" spans="1:39">
      <c r="C70"/>
      <c r="D70"/>
      <c r="L70" s="569"/>
    </row>
    <row r="71" spans="1:39">
      <c r="C71"/>
      <c r="D71"/>
      <c r="E71"/>
      <c r="F71"/>
      <c r="G71"/>
      <c r="H71"/>
      <c r="I71"/>
      <c r="J71"/>
      <c r="K71"/>
      <c r="L71"/>
      <c r="M71"/>
      <c r="N71"/>
      <c r="O71"/>
      <c r="P71"/>
    </row>
    <row r="72" spans="1:39" ht="15" hidden="1" thickBot="1">
      <c r="C72"/>
      <c r="D72"/>
      <c r="E72" s="382">
        <v>107589.02312</v>
      </c>
      <c r="F72" s="382">
        <v>94669.704809999996</v>
      </c>
      <c r="G72" s="382">
        <v>148714.72343489432</v>
      </c>
      <c r="H72" s="382"/>
      <c r="I72" s="382">
        <v>88060.896379462865</v>
      </c>
      <c r="J72" s="382">
        <v>80638.24208287918</v>
      </c>
      <c r="K72" s="382">
        <v>120305.67021857837</v>
      </c>
      <c r="L72" s="382"/>
      <c r="M72" s="382"/>
      <c r="N72" s="382"/>
      <c r="O72" s="382"/>
      <c r="P72" s="382"/>
      <c r="Q72" s="382"/>
      <c r="R72" s="382"/>
      <c r="S72" s="382"/>
      <c r="T72" s="382"/>
      <c r="U72" s="382"/>
      <c r="V72" s="383"/>
      <c r="W72" s="382"/>
      <c r="X72" s="382"/>
      <c r="Y72" s="382"/>
      <c r="Z72" s="383"/>
      <c r="AA72" s="382"/>
      <c r="AB72" s="382"/>
    </row>
    <row r="73" spans="1:39" hidden="1">
      <c r="C73"/>
      <c r="D73"/>
      <c r="E73" s="381">
        <f>E51-E72</f>
        <v>-107589.02312</v>
      </c>
      <c r="F73" s="381">
        <f>F51-F72</f>
        <v>-94669.704809999996</v>
      </c>
      <c r="G73" s="381">
        <f>G51-G72</f>
        <v>-148714.72343489432</v>
      </c>
      <c r="H73" s="381"/>
      <c r="I73" s="381">
        <f>I51-I72</f>
        <v>-88060.896379462865</v>
      </c>
      <c r="J73" s="381">
        <f>J51-J72</f>
        <v>-80638.24208287918</v>
      </c>
      <c r="K73" s="385">
        <f>K51-K72</f>
        <v>-120305.67021857837</v>
      </c>
      <c r="L73" s="381"/>
      <c r="M73" s="381"/>
      <c r="N73" s="381"/>
      <c r="O73" s="381"/>
      <c r="P73" s="381"/>
      <c r="Q73" s="381"/>
      <c r="R73" s="381"/>
      <c r="S73" s="385"/>
      <c r="T73" s="381"/>
      <c r="U73" s="381"/>
      <c r="V73" s="381"/>
      <c r="W73" s="385"/>
      <c r="X73" s="381"/>
      <c r="Y73" s="381"/>
      <c r="Z73" s="381"/>
      <c r="AA73" s="385"/>
      <c r="AB73" s="381"/>
    </row>
    <row r="74" spans="1:39">
      <c r="C74"/>
      <c r="D74"/>
      <c r="E74"/>
      <c r="F74"/>
      <c r="G74"/>
      <c r="H74"/>
      <c r="I74"/>
      <c r="J74"/>
      <c r="K74"/>
      <c r="L74"/>
      <c r="M74"/>
      <c r="N74"/>
      <c r="O74"/>
      <c r="P74"/>
      <c r="T74"/>
      <c r="X74"/>
      <c r="AB74"/>
    </row>
    <row r="75" spans="1:39">
      <c r="C75"/>
      <c r="D75"/>
      <c r="E75"/>
      <c r="F75"/>
      <c r="G75"/>
      <c r="H75"/>
      <c r="I75"/>
      <c r="J75"/>
      <c r="K75"/>
      <c r="L75"/>
      <c r="M75"/>
      <c r="N75"/>
      <c r="O75"/>
      <c r="P75"/>
    </row>
    <row r="76" spans="1:39">
      <c r="C76"/>
      <c r="D76"/>
      <c r="E76"/>
      <c r="F76"/>
      <c r="G76"/>
      <c r="H76"/>
      <c r="I76"/>
      <c r="J76"/>
      <c r="K76"/>
      <c r="L76"/>
      <c r="M76"/>
      <c r="N76"/>
      <c r="O76"/>
      <c r="P76"/>
    </row>
    <row r="77" spans="1:39">
      <c r="C77"/>
      <c r="D77"/>
      <c r="E77"/>
      <c r="F77"/>
      <c r="G77"/>
      <c r="H77"/>
      <c r="I77"/>
      <c r="J77"/>
      <c r="K77"/>
      <c r="L77"/>
      <c r="M77"/>
      <c r="N77"/>
      <c r="O77"/>
      <c r="P77"/>
    </row>
    <row r="78" spans="1:39">
      <c r="C78"/>
      <c r="D78"/>
      <c r="E78"/>
      <c r="F78"/>
      <c r="G78"/>
      <c r="H78"/>
      <c r="I78"/>
      <c r="J78"/>
      <c r="K78"/>
      <c r="L78"/>
      <c r="M78"/>
      <c r="N78"/>
      <c r="O78"/>
      <c r="P78"/>
    </row>
    <row r="79" spans="1:39">
      <c r="C79"/>
      <c r="D79"/>
      <c r="E79"/>
      <c r="F79"/>
      <c r="G79"/>
      <c r="H79"/>
      <c r="I79"/>
      <c r="J79"/>
      <c r="K79"/>
      <c r="L79"/>
      <c r="M79"/>
      <c r="N79"/>
      <c r="O79"/>
      <c r="P79"/>
    </row>
    <row r="80" spans="1:39">
      <c r="C80"/>
      <c r="D80"/>
      <c r="E80"/>
      <c r="F80"/>
      <c r="G80"/>
      <c r="H80"/>
      <c r="I80"/>
      <c r="J80"/>
      <c r="K80"/>
      <c r="L80"/>
      <c r="M80"/>
      <c r="N80"/>
      <c r="O80"/>
      <c r="P80"/>
    </row>
    <row r="81" spans="3:16">
      <c r="C81"/>
      <c r="D81"/>
      <c r="E81"/>
      <c r="F81"/>
      <c r="G81"/>
      <c r="H81"/>
      <c r="I81"/>
      <c r="J81"/>
      <c r="K81"/>
      <c r="L81"/>
      <c r="M81"/>
      <c r="N81"/>
      <c r="O81"/>
      <c r="P81"/>
    </row>
    <row r="82" spans="3:16">
      <c r="C82"/>
      <c r="D82"/>
      <c r="E82"/>
      <c r="F82"/>
      <c r="G82"/>
      <c r="H82"/>
      <c r="I82"/>
      <c r="J82"/>
      <c r="K82"/>
      <c r="L82"/>
      <c r="M82"/>
      <c r="N82"/>
      <c r="O82"/>
      <c r="P82"/>
    </row>
    <row r="83" spans="3:16">
      <c r="C83"/>
      <c r="D83"/>
      <c r="E83"/>
      <c r="F83"/>
      <c r="G83"/>
      <c r="H83"/>
      <c r="I83"/>
      <c r="J83"/>
      <c r="K83"/>
      <c r="L83"/>
      <c r="M83"/>
      <c r="N83"/>
      <c r="O83"/>
      <c r="P83"/>
    </row>
  </sheetData>
  <mergeCells count="20">
    <mergeCell ref="Y7:AB8"/>
    <mergeCell ref="S1:X1"/>
    <mergeCell ref="C3:X3"/>
    <mergeCell ref="C4:X4"/>
    <mergeCell ref="D6:X6"/>
    <mergeCell ref="I7:L8"/>
    <mergeCell ref="S2:X2"/>
    <mergeCell ref="A7:A9"/>
    <mergeCell ref="B7:B10"/>
    <mergeCell ref="C7:C10"/>
    <mergeCell ref="D7:D10"/>
    <mergeCell ref="E7:H8"/>
    <mergeCell ref="J65:M65"/>
    <mergeCell ref="Q65:T65"/>
    <mergeCell ref="M7:P8"/>
    <mergeCell ref="Q7:T8"/>
    <mergeCell ref="U7:X8"/>
    <mergeCell ref="C61:X61"/>
    <mergeCell ref="C62:P62"/>
    <mergeCell ref="J64:M64"/>
  </mergeCells>
  <conditionalFormatting sqref="C1:C2">
    <cfRule type="containsText" dxfId="44" priority="1" operator="containsText" text="Для корек">
      <formula>NOT(ISERROR(SEARCH("Для корек",C1)))</formula>
    </cfRule>
  </conditionalFormatting>
  <pageMargins left="0.23622047244094491" right="0.27559055118110237" top="0.86" bottom="0.23622047244094491" header="0.62992125984251968" footer="0.31496062992125984"/>
  <pageSetup paperSize="9" scale="69" fitToHeight="0" orientation="landscape" r:id="rId1"/>
  <headerFooter differentFirst="1">
    <oddHeader>&amp;Rпродовження додатку 2</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60">
    <tabColor rgb="FF92D050"/>
  </sheetPr>
  <dimension ref="A1:I13"/>
  <sheetViews>
    <sheetView workbookViewId="0">
      <selection activeCell="F20" sqref="F20"/>
    </sheetView>
  </sheetViews>
  <sheetFormatPr defaultRowHeight="14.4"/>
  <cols>
    <col min="2" max="2" width="43.5546875" customWidth="1"/>
    <col min="3" max="3" width="13.109375" customWidth="1"/>
    <col min="4" max="4" width="12" customWidth="1"/>
    <col min="5" max="5" width="12.109375" customWidth="1"/>
    <col min="6" max="6" width="10.44140625" customWidth="1"/>
    <col min="8" max="8" width="37.5546875" customWidth="1"/>
  </cols>
  <sheetData>
    <row r="1" spans="1:9" ht="15.6">
      <c r="A1" s="179"/>
      <c r="B1" s="2983" t="str">
        <f>"Витрати на податки, збори, платежі на "&amp;'Вхідні дані'!F6</f>
        <v>Витрати на податки, збори, платежі на 2023-2024</v>
      </c>
      <c r="C1" s="2983"/>
      <c r="D1" s="2983"/>
      <c r="E1" s="2983"/>
      <c r="F1" s="2983"/>
      <c r="G1" s="179"/>
      <c r="H1" s="179"/>
      <c r="I1" s="179"/>
    </row>
    <row r="2" spans="1:9" ht="15.6">
      <c r="A2" s="179"/>
      <c r="B2" s="1451"/>
      <c r="C2" s="1451"/>
      <c r="D2" s="179"/>
      <c r="E2" s="179"/>
      <c r="F2" s="179"/>
      <c r="G2" s="179"/>
      <c r="H2" s="179"/>
      <c r="I2" s="179"/>
    </row>
    <row r="3" spans="1:9" ht="15.6">
      <c r="A3" s="179"/>
      <c r="B3" s="2986" t="str">
        <f>'Вхідні дані'!$F$5</f>
        <v>ТОВ ДП " Моноліт- Сервіс "</v>
      </c>
      <c r="C3" s="2986"/>
      <c r="D3" s="179"/>
      <c r="E3" s="179"/>
      <c r="F3" s="179"/>
      <c r="G3" s="179"/>
      <c r="H3" s="179"/>
      <c r="I3" s="179"/>
    </row>
    <row r="4" spans="1:9" ht="15" thickBot="1">
      <c r="A4" s="179"/>
      <c r="B4" s="179"/>
      <c r="C4" s="181"/>
      <c r="D4" s="179"/>
      <c r="E4" s="179" t="s">
        <v>1610</v>
      </c>
      <c r="F4" s="179"/>
      <c r="G4" s="179"/>
      <c r="H4" s="179"/>
      <c r="I4" s="179"/>
    </row>
    <row r="5" spans="1:9" ht="28.2" thickBot="1">
      <c r="A5" s="179"/>
      <c r="B5" s="299" t="s">
        <v>668</v>
      </c>
      <c r="C5" s="182" t="s">
        <v>655</v>
      </c>
      <c r="D5" s="183" t="s">
        <v>656</v>
      </c>
      <c r="E5" s="1452"/>
      <c r="F5" s="1453"/>
      <c r="G5" s="179"/>
      <c r="H5" s="1556" t="s">
        <v>1684</v>
      </c>
      <c r="I5" s="179"/>
    </row>
    <row r="6" spans="1:9" ht="18" customHeight="1">
      <c r="A6" s="179"/>
      <c r="B6" s="300" t="s">
        <v>928</v>
      </c>
      <c r="C6" s="1544">
        <v>11.87</v>
      </c>
      <c r="D6" s="1545"/>
      <c r="E6" s="1546"/>
      <c r="F6" s="1547"/>
      <c r="G6" s="179"/>
      <c r="H6" s="179"/>
      <c r="I6" s="179"/>
    </row>
    <row r="7" spans="1:9" ht="18" customHeight="1">
      <c r="A7" s="179"/>
      <c r="B7" s="1534" t="s">
        <v>1676</v>
      </c>
      <c r="C7" s="1548"/>
      <c r="D7" s="1549"/>
      <c r="E7" s="1550"/>
      <c r="F7" s="1551"/>
      <c r="G7" s="179"/>
      <c r="H7" s="179"/>
      <c r="I7" s="179"/>
    </row>
    <row r="8" spans="1:9" ht="31.2" customHeight="1">
      <c r="A8" s="179"/>
      <c r="B8" s="301" t="s">
        <v>669</v>
      </c>
      <c r="C8" s="1552"/>
      <c r="D8" s="1553"/>
      <c r="E8" s="1554"/>
      <c r="F8" s="1555"/>
      <c r="G8" s="179"/>
      <c r="H8" s="179"/>
      <c r="I8" s="179"/>
    </row>
    <row r="9" spans="1:9" ht="15" thickBot="1">
      <c r="A9" s="179"/>
      <c r="B9" s="302" t="s">
        <v>598</v>
      </c>
      <c r="C9" s="303">
        <f>SUM(C6:C8)</f>
        <v>11.87</v>
      </c>
      <c r="D9" s="303">
        <f>SUM(D6:D8)</f>
        <v>0</v>
      </c>
      <c r="E9" s="303">
        <f t="shared" ref="E9:F9" si="0">SUM(E6:E8)</f>
        <v>0</v>
      </c>
      <c r="F9" s="303">
        <f t="shared" si="0"/>
        <v>0</v>
      </c>
      <c r="G9" s="995">
        <f>C9+D9</f>
        <v>11.87</v>
      </c>
      <c r="H9" s="179"/>
      <c r="I9" s="179"/>
    </row>
    <row r="10" spans="1:9">
      <c r="A10" s="179"/>
      <c r="B10" s="179"/>
      <c r="C10" s="181"/>
      <c r="D10" s="179"/>
      <c r="E10" s="179"/>
      <c r="F10" s="179"/>
      <c r="G10" s="179"/>
      <c r="H10" s="179"/>
      <c r="I10" s="179"/>
    </row>
    <row r="11" spans="1:9" ht="33" customHeight="1">
      <c r="A11" s="179"/>
      <c r="B11" s="1474" t="str">
        <f>'Вхідні дані'!B13</f>
        <v>Директор підприємства</v>
      </c>
      <c r="C11" s="1474" t="s">
        <v>353</v>
      </c>
      <c r="D11" s="2984" t="str">
        <f>'Вхідні дані'!$F$13</f>
        <v>Сергій НІКУЛЬЧА</v>
      </c>
      <c r="E11" s="2984"/>
      <c r="F11" s="2984"/>
      <c r="G11" s="179"/>
      <c r="H11" s="179"/>
      <c r="I11" s="179"/>
    </row>
    <row r="12" spans="1:9">
      <c r="A12" s="179"/>
      <c r="B12" s="179"/>
      <c r="C12" s="994" t="s">
        <v>196</v>
      </c>
      <c r="D12" s="2985" t="s">
        <v>951</v>
      </c>
      <c r="E12" s="2985"/>
      <c r="F12" s="2985"/>
      <c r="G12" s="179"/>
      <c r="H12" s="179"/>
      <c r="I12" s="179"/>
    </row>
    <row r="13" spans="1:9">
      <c r="A13" s="179"/>
      <c r="B13" s="179"/>
      <c r="C13" s="181"/>
      <c r="D13" s="179"/>
      <c r="E13" s="179"/>
      <c r="F13" s="179"/>
      <c r="G13" s="179"/>
      <c r="H13" s="179"/>
      <c r="I13" s="179"/>
    </row>
  </sheetData>
  <mergeCells count="4">
    <mergeCell ref="B1:F1"/>
    <mergeCell ref="D11:F11"/>
    <mergeCell ref="D12:F12"/>
    <mergeCell ref="B3:C3"/>
  </mergeCells>
  <pageMargins left="0.7" right="0.3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65">
    <tabColor rgb="FF92D050"/>
    <pageSetUpPr fitToPage="1"/>
  </sheetPr>
  <dimension ref="A1:M10"/>
  <sheetViews>
    <sheetView zoomScale="75" zoomScaleNormal="75" workbookViewId="0">
      <selection activeCell="M4" sqref="M4"/>
    </sheetView>
  </sheetViews>
  <sheetFormatPr defaultColWidth="8.88671875" defaultRowHeight="15.6"/>
  <cols>
    <col min="1" max="1" width="8.88671875" style="184"/>
    <col min="2" max="2" width="6.6640625" style="185" customWidth="1"/>
    <col min="3" max="3" width="33.44140625" style="186" customWidth="1"/>
    <col min="4" max="4" width="12.33203125" style="187" customWidth="1"/>
    <col min="5" max="6" width="10.6640625" style="187" customWidth="1"/>
    <col min="7" max="11" width="12.6640625" style="187" customWidth="1"/>
    <col min="12" max="12" width="6.44140625" style="966" customWidth="1"/>
    <col min="13" max="13" width="55.5546875" style="187" customWidth="1"/>
    <col min="14" max="16384" width="8.88671875" style="187"/>
  </cols>
  <sheetData>
    <row r="1" spans="1:13" s="969" customFormat="1">
      <c r="A1" s="967"/>
      <c r="B1" s="2987" t="s">
        <v>1225</v>
      </c>
      <c r="C1" s="2987"/>
      <c r="D1" s="2987"/>
      <c r="E1" s="2987"/>
      <c r="F1" s="968"/>
      <c r="G1" s="965"/>
      <c r="H1" s="965"/>
      <c r="I1" s="969" t="str">
        <f>'Вхідні дані'!F6</f>
        <v>2023-2024</v>
      </c>
      <c r="J1" s="965"/>
      <c r="K1" s="965"/>
    </row>
    <row r="2" spans="1:13" s="969" customFormat="1" ht="16.2" thickBot="1">
      <c r="A2" s="184"/>
      <c r="B2" s="185"/>
      <c r="C2" s="186"/>
      <c r="D2" s="187"/>
      <c r="E2" s="187"/>
      <c r="F2" s="187"/>
      <c r="G2" s="187"/>
      <c r="H2" s="187"/>
      <c r="I2" s="187"/>
      <c r="J2" s="187"/>
      <c r="K2" s="187" t="s">
        <v>688</v>
      </c>
    </row>
    <row r="3" spans="1:13" s="969" customFormat="1" ht="36.6" customHeight="1" thickBot="1">
      <c r="A3" s="184"/>
      <c r="B3" s="970" t="s">
        <v>689</v>
      </c>
      <c r="C3" s="971" t="s">
        <v>1223</v>
      </c>
      <c r="D3" s="972" t="s">
        <v>655</v>
      </c>
      <c r="E3" s="972" t="s">
        <v>670</v>
      </c>
      <c r="F3" s="972" t="s">
        <v>657</v>
      </c>
      <c r="G3" s="972" t="s">
        <v>691</v>
      </c>
      <c r="H3" s="972" t="s">
        <v>1682</v>
      </c>
      <c r="I3" s="972" t="s">
        <v>692</v>
      </c>
      <c r="J3" s="972" t="s">
        <v>693</v>
      </c>
      <c r="K3" s="973" t="s">
        <v>694</v>
      </c>
      <c r="M3" s="1543" t="s">
        <v>1683</v>
      </c>
    </row>
    <row r="4" spans="1:13" s="969" customFormat="1">
      <c r="B4" s="974">
        <v>1</v>
      </c>
      <c r="C4" s="1440" t="s">
        <v>690</v>
      </c>
      <c r="D4" s="1538"/>
      <c r="E4" s="1538"/>
      <c r="F4" s="1538"/>
      <c r="G4" s="1538"/>
      <c r="H4" s="1539"/>
      <c r="I4" s="1539"/>
      <c r="J4" s="1540"/>
      <c r="K4" s="1541"/>
    </row>
    <row r="5" spans="1:13">
      <c r="B5" s="964">
        <f>B4+1</f>
        <v>2</v>
      </c>
      <c r="C5" s="1439" t="s">
        <v>1507</v>
      </c>
      <c r="D5" s="1542"/>
      <c r="E5" s="1542"/>
      <c r="F5" s="1542"/>
      <c r="G5" s="1542"/>
      <c r="H5" s="1542"/>
      <c r="I5" s="1542"/>
      <c r="J5" s="1542"/>
      <c r="K5" s="1541"/>
    </row>
    <row r="6" spans="1:13">
      <c r="B6" s="964">
        <f>B5+1</f>
        <v>3</v>
      </c>
      <c r="C6" s="1439" t="s">
        <v>1508</v>
      </c>
      <c r="D6" s="1542"/>
      <c r="E6" s="1542"/>
      <c r="F6" s="1542"/>
      <c r="G6" s="1542"/>
      <c r="H6" s="1542"/>
      <c r="I6" s="1542"/>
      <c r="J6" s="1542"/>
      <c r="K6" s="1541"/>
    </row>
    <row r="7" spans="1:13">
      <c r="B7" s="964">
        <f>B6+1</f>
        <v>4</v>
      </c>
      <c r="C7" s="1439" t="s">
        <v>1509</v>
      </c>
      <c r="D7" s="1542"/>
      <c r="E7" s="1542"/>
      <c r="F7" s="1542"/>
      <c r="G7" s="1542"/>
      <c r="H7" s="1542"/>
      <c r="I7" s="1542"/>
      <c r="J7" s="1542"/>
      <c r="K7" s="1541"/>
    </row>
    <row r="8" spans="1:13">
      <c r="B8" s="964">
        <f>B7+1</f>
        <v>5</v>
      </c>
      <c r="C8" s="1439" t="s">
        <v>1510</v>
      </c>
      <c r="D8" s="1542"/>
      <c r="E8" s="1542"/>
      <c r="F8" s="1542"/>
      <c r="G8" s="1542"/>
      <c r="H8" s="1542"/>
      <c r="I8" s="1542"/>
      <c r="J8" s="1542"/>
      <c r="K8" s="1541"/>
    </row>
    <row r="9" spans="1:13" s="189" customFormat="1">
      <c r="A9" s="967"/>
      <c r="B9" s="975"/>
      <c r="C9" s="976" t="s">
        <v>694</v>
      </c>
      <c r="D9" s="977">
        <f>SUM(D4:D8)</f>
        <v>0</v>
      </c>
      <c r="E9" s="977">
        <f t="shared" ref="E9:K9" si="0">SUM(E4:E8)</f>
        <v>0</v>
      </c>
      <c r="F9" s="977">
        <f t="shared" si="0"/>
        <v>0</v>
      </c>
      <c r="G9" s="977">
        <f t="shared" si="0"/>
        <v>0</v>
      </c>
      <c r="H9" s="977">
        <f t="shared" si="0"/>
        <v>0</v>
      </c>
      <c r="I9" s="977">
        <f t="shared" si="0"/>
        <v>0</v>
      </c>
      <c r="J9" s="977">
        <f t="shared" si="0"/>
        <v>0</v>
      </c>
      <c r="K9" s="977">
        <f t="shared" si="0"/>
        <v>0</v>
      </c>
      <c r="L9" s="188"/>
    </row>
    <row r="10" spans="1:13" ht="16.2" thickBot="1">
      <c r="B10" s="978"/>
      <c r="C10" s="979"/>
      <c r="D10" s="980"/>
      <c r="E10" s="980"/>
      <c r="F10" s="980"/>
      <c r="G10" s="980"/>
      <c r="H10" s="980"/>
      <c r="I10" s="980"/>
      <c r="J10" s="980"/>
      <c r="K10" s="981"/>
    </row>
  </sheetData>
  <mergeCells count="1">
    <mergeCell ref="B1:E1"/>
  </mergeCells>
  <pageMargins left="0.15748031496062992" right="0.19685039370078741" top="0.85" bottom="0.31" header="0.19685039370078741" footer="0.23"/>
  <pageSetup paperSize="9" scale="80" fitToHeight="4"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66">
    <tabColor rgb="FF92D050"/>
    <pageSetUpPr fitToPage="1"/>
  </sheetPr>
  <dimension ref="A1:I61"/>
  <sheetViews>
    <sheetView topLeftCell="A28" zoomScaleNormal="100" workbookViewId="0">
      <selection activeCell="I36" sqref="I36"/>
    </sheetView>
  </sheetViews>
  <sheetFormatPr defaultRowHeight="13.8"/>
  <cols>
    <col min="1" max="1" width="7" style="211" bestFit="1" customWidth="1"/>
    <col min="2" max="2" width="44.109375" style="211" customWidth="1"/>
    <col min="3" max="3" width="16.21875" style="211" customWidth="1"/>
    <col min="4" max="4" width="14.33203125" style="211" bestFit="1" customWidth="1"/>
    <col min="5" max="6" width="18.77734375" style="211" customWidth="1"/>
    <col min="7" max="7" width="4" style="211" customWidth="1"/>
    <col min="8" max="8" width="9.109375" style="616"/>
    <col min="9" max="9" width="14.109375" style="616" customWidth="1"/>
    <col min="10" max="230" width="9.109375" style="211"/>
    <col min="231" max="231" width="7" style="211" bestFit="1" customWidth="1"/>
    <col min="232" max="232" width="40.6640625" style="211" customWidth="1"/>
    <col min="233" max="233" width="13.44140625" style="211" customWidth="1"/>
    <col min="234" max="234" width="12.6640625" style="211" customWidth="1"/>
    <col min="235" max="235" width="13.6640625" style="211" customWidth="1"/>
    <col min="236" max="236" width="12.6640625" style="211" customWidth="1"/>
    <col min="237" max="237" width="20.109375" style="211" bestFit="1" customWidth="1"/>
    <col min="238" max="238" width="13.6640625" style="211" customWidth="1"/>
    <col min="239" max="239" width="15.5546875" style="211" customWidth="1"/>
    <col min="240" max="486" width="9.109375" style="211"/>
    <col min="487" max="487" width="7" style="211" bestFit="1" customWidth="1"/>
    <col min="488" max="488" width="40.6640625" style="211" customWidth="1"/>
    <col min="489" max="489" width="13.44140625" style="211" customWidth="1"/>
    <col min="490" max="490" width="12.6640625" style="211" customWidth="1"/>
    <col min="491" max="491" width="13.6640625" style="211" customWidth="1"/>
    <col min="492" max="492" width="12.6640625" style="211" customWidth="1"/>
    <col min="493" max="493" width="20.109375" style="211" bestFit="1" customWidth="1"/>
    <col min="494" max="494" width="13.6640625" style="211" customWidth="1"/>
    <col min="495" max="495" width="15.5546875" style="211" customWidth="1"/>
    <col min="496" max="742" width="9.109375" style="211"/>
    <col min="743" max="743" width="7" style="211" bestFit="1" customWidth="1"/>
    <col min="744" max="744" width="40.6640625" style="211" customWidth="1"/>
    <col min="745" max="745" width="13.44140625" style="211" customWidth="1"/>
    <col min="746" max="746" width="12.6640625" style="211" customWidth="1"/>
    <col min="747" max="747" width="13.6640625" style="211" customWidth="1"/>
    <col min="748" max="748" width="12.6640625" style="211" customWidth="1"/>
    <col min="749" max="749" width="20.109375" style="211" bestFit="1" customWidth="1"/>
    <col min="750" max="750" width="13.6640625" style="211" customWidth="1"/>
    <col min="751" max="751" width="15.5546875" style="211" customWidth="1"/>
    <col min="752" max="998" width="9.109375" style="211"/>
    <col min="999" max="999" width="7" style="211" bestFit="1" customWidth="1"/>
    <col min="1000" max="1000" width="40.6640625" style="211" customWidth="1"/>
    <col min="1001" max="1001" width="13.44140625" style="211" customWidth="1"/>
    <col min="1002" max="1002" width="12.6640625" style="211" customWidth="1"/>
    <col min="1003" max="1003" width="13.6640625" style="211" customWidth="1"/>
    <col min="1004" max="1004" width="12.6640625" style="211" customWidth="1"/>
    <col min="1005" max="1005" width="20.109375" style="211" bestFit="1" customWidth="1"/>
    <col min="1006" max="1006" width="13.6640625" style="211" customWidth="1"/>
    <col min="1007" max="1007" width="15.5546875" style="211" customWidth="1"/>
    <col min="1008" max="1254" width="9.109375" style="211"/>
    <col min="1255" max="1255" width="7" style="211" bestFit="1" customWidth="1"/>
    <col min="1256" max="1256" width="40.6640625" style="211" customWidth="1"/>
    <col min="1257" max="1257" width="13.44140625" style="211" customWidth="1"/>
    <col min="1258" max="1258" width="12.6640625" style="211" customWidth="1"/>
    <col min="1259" max="1259" width="13.6640625" style="211" customWidth="1"/>
    <col min="1260" max="1260" width="12.6640625" style="211" customWidth="1"/>
    <col min="1261" max="1261" width="20.109375" style="211" bestFit="1" customWidth="1"/>
    <col min="1262" max="1262" width="13.6640625" style="211" customWidth="1"/>
    <col min="1263" max="1263" width="15.5546875" style="211" customWidth="1"/>
    <col min="1264" max="1510" width="9.109375" style="211"/>
    <col min="1511" max="1511" width="7" style="211" bestFit="1" customWidth="1"/>
    <col min="1512" max="1512" width="40.6640625" style="211" customWidth="1"/>
    <col min="1513" max="1513" width="13.44140625" style="211" customWidth="1"/>
    <col min="1514" max="1514" width="12.6640625" style="211" customWidth="1"/>
    <col min="1515" max="1515" width="13.6640625" style="211" customWidth="1"/>
    <col min="1516" max="1516" width="12.6640625" style="211" customWidth="1"/>
    <col min="1517" max="1517" width="20.109375" style="211" bestFit="1" customWidth="1"/>
    <col min="1518" max="1518" width="13.6640625" style="211" customWidth="1"/>
    <col min="1519" max="1519" width="15.5546875" style="211" customWidth="1"/>
    <col min="1520" max="1766" width="9.109375" style="211"/>
    <col min="1767" max="1767" width="7" style="211" bestFit="1" customWidth="1"/>
    <col min="1768" max="1768" width="40.6640625" style="211" customWidth="1"/>
    <col min="1769" max="1769" width="13.44140625" style="211" customWidth="1"/>
    <col min="1770" max="1770" width="12.6640625" style="211" customWidth="1"/>
    <col min="1771" max="1771" width="13.6640625" style="211" customWidth="1"/>
    <col min="1772" max="1772" width="12.6640625" style="211" customWidth="1"/>
    <col min="1773" max="1773" width="20.109375" style="211" bestFit="1" customWidth="1"/>
    <col min="1774" max="1774" width="13.6640625" style="211" customWidth="1"/>
    <col min="1775" max="1775" width="15.5546875" style="211" customWidth="1"/>
    <col min="1776" max="2022" width="9.109375" style="211"/>
    <col min="2023" max="2023" width="7" style="211" bestFit="1" customWidth="1"/>
    <col min="2024" max="2024" width="40.6640625" style="211" customWidth="1"/>
    <col min="2025" max="2025" width="13.44140625" style="211" customWidth="1"/>
    <col min="2026" max="2026" width="12.6640625" style="211" customWidth="1"/>
    <col min="2027" max="2027" width="13.6640625" style="211" customWidth="1"/>
    <col min="2028" max="2028" width="12.6640625" style="211" customWidth="1"/>
    <col min="2029" max="2029" width="20.109375" style="211" bestFit="1" customWidth="1"/>
    <col min="2030" max="2030" width="13.6640625" style="211" customWidth="1"/>
    <col min="2031" max="2031" width="15.5546875" style="211" customWidth="1"/>
    <col min="2032" max="2278" width="9.109375" style="211"/>
    <col min="2279" max="2279" width="7" style="211" bestFit="1" customWidth="1"/>
    <col min="2280" max="2280" width="40.6640625" style="211" customWidth="1"/>
    <col min="2281" max="2281" width="13.44140625" style="211" customWidth="1"/>
    <col min="2282" max="2282" width="12.6640625" style="211" customWidth="1"/>
    <col min="2283" max="2283" width="13.6640625" style="211" customWidth="1"/>
    <col min="2284" max="2284" width="12.6640625" style="211" customWidth="1"/>
    <col min="2285" max="2285" width="20.109375" style="211" bestFit="1" customWidth="1"/>
    <col min="2286" max="2286" width="13.6640625" style="211" customWidth="1"/>
    <col min="2287" max="2287" width="15.5546875" style="211" customWidth="1"/>
    <col min="2288" max="2534" width="9.109375" style="211"/>
    <col min="2535" max="2535" width="7" style="211" bestFit="1" customWidth="1"/>
    <col min="2536" max="2536" width="40.6640625" style="211" customWidth="1"/>
    <col min="2537" max="2537" width="13.44140625" style="211" customWidth="1"/>
    <col min="2538" max="2538" width="12.6640625" style="211" customWidth="1"/>
    <col min="2539" max="2539" width="13.6640625" style="211" customWidth="1"/>
    <col min="2540" max="2540" width="12.6640625" style="211" customWidth="1"/>
    <col min="2541" max="2541" width="20.109375" style="211" bestFit="1" customWidth="1"/>
    <col min="2542" max="2542" width="13.6640625" style="211" customWidth="1"/>
    <col min="2543" max="2543" width="15.5546875" style="211" customWidth="1"/>
    <col min="2544" max="2790" width="9.109375" style="211"/>
    <col min="2791" max="2791" width="7" style="211" bestFit="1" customWidth="1"/>
    <col min="2792" max="2792" width="40.6640625" style="211" customWidth="1"/>
    <col min="2793" max="2793" width="13.44140625" style="211" customWidth="1"/>
    <col min="2794" max="2794" width="12.6640625" style="211" customWidth="1"/>
    <col min="2795" max="2795" width="13.6640625" style="211" customWidth="1"/>
    <col min="2796" max="2796" width="12.6640625" style="211" customWidth="1"/>
    <col min="2797" max="2797" width="20.109375" style="211" bestFit="1" customWidth="1"/>
    <col min="2798" max="2798" width="13.6640625" style="211" customWidth="1"/>
    <col min="2799" max="2799" width="15.5546875" style="211" customWidth="1"/>
    <col min="2800" max="3046" width="9.109375" style="211"/>
    <col min="3047" max="3047" width="7" style="211" bestFit="1" customWidth="1"/>
    <col min="3048" max="3048" width="40.6640625" style="211" customWidth="1"/>
    <col min="3049" max="3049" width="13.44140625" style="211" customWidth="1"/>
    <col min="3050" max="3050" width="12.6640625" style="211" customWidth="1"/>
    <col min="3051" max="3051" width="13.6640625" style="211" customWidth="1"/>
    <col min="3052" max="3052" width="12.6640625" style="211" customWidth="1"/>
    <col min="3053" max="3053" width="20.109375" style="211" bestFit="1" customWidth="1"/>
    <col min="3054" max="3054" width="13.6640625" style="211" customWidth="1"/>
    <col min="3055" max="3055" width="15.5546875" style="211" customWidth="1"/>
    <col min="3056" max="3302" width="9.109375" style="211"/>
    <col min="3303" max="3303" width="7" style="211" bestFit="1" customWidth="1"/>
    <col min="3304" max="3304" width="40.6640625" style="211" customWidth="1"/>
    <col min="3305" max="3305" width="13.44140625" style="211" customWidth="1"/>
    <col min="3306" max="3306" width="12.6640625" style="211" customWidth="1"/>
    <col min="3307" max="3307" width="13.6640625" style="211" customWidth="1"/>
    <col min="3308" max="3308" width="12.6640625" style="211" customWidth="1"/>
    <col min="3309" max="3309" width="20.109375" style="211" bestFit="1" customWidth="1"/>
    <col min="3310" max="3310" width="13.6640625" style="211" customWidth="1"/>
    <col min="3311" max="3311" width="15.5546875" style="211" customWidth="1"/>
    <col min="3312" max="3558" width="9.109375" style="211"/>
    <col min="3559" max="3559" width="7" style="211" bestFit="1" customWidth="1"/>
    <col min="3560" max="3560" width="40.6640625" style="211" customWidth="1"/>
    <col min="3561" max="3561" width="13.44140625" style="211" customWidth="1"/>
    <col min="3562" max="3562" width="12.6640625" style="211" customWidth="1"/>
    <col min="3563" max="3563" width="13.6640625" style="211" customWidth="1"/>
    <col min="3564" max="3564" width="12.6640625" style="211" customWidth="1"/>
    <col min="3565" max="3565" width="20.109375" style="211" bestFit="1" customWidth="1"/>
    <col min="3566" max="3566" width="13.6640625" style="211" customWidth="1"/>
    <col min="3567" max="3567" width="15.5546875" style="211" customWidth="1"/>
    <col min="3568" max="3814" width="9.109375" style="211"/>
    <col min="3815" max="3815" width="7" style="211" bestFit="1" customWidth="1"/>
    <col min="3816" max="3816" width="40.6640625" style="211" customWidth="1"/>
    <col min="3817" max="3817" width="13.44140625" style="211" customWidth="1"/>
    <col min="3818" max="3818" width="12.6640625" style="211" customWidth="1"/>
    <col min="3819" max="3819" width="13.6640625" style="211" customWidth="1"/>
    <col min="3820" max="3820" width="12.6640625" style="211" customWidth="1"/>
    <col min="3821" max="3821" width="20.109375" style="211" bestFit="1" customWidth="1"/>
    <col min="3822" max="3822" width="13.6640625" style="211" customWidth="1"/>
    <col min="3823" max="3823" width="15.5546875" style="211" customWidth="1"/>
    <col min="3824" max="4070" width="9.109375" style="211"/>
    <col min="4071" max="4071" width="7" style="211" bestFit="1" customWidth="1"/>
    <col min="4072" max="4072" width="40.6640625" style="211" customWidth="1"/>
    <col min="4073" max="4073" width="13.44140625" style="211" customWidth="1"/>
    <col min="4074" max="4074" width="12.6640625" style="211" customWidth="1"/>
    <col min="4075" max="4075" width="13.6640625" style="211" customWidth="1"/>
    <col min="4076" max="4076" width="12.6640625" style="211" customWidth="1"/>
    <col min="4077" max="4077" width="20.109375" style="211" bestFit="1" customWidth="1"/>
    <col min="4078" max="4078" width="13.6640625" style="211" customWidth="1"/>
    <col min="4079" max="4079" width="15.5546875" style="211" customWidth="1"/>
    <col min="4080" max="4326" width="9.109375" style="211"/>
    <col min="4327" max="4327" width="7" style="211" bestFit="1" customWidth="1"/>
    <col min="4328" max="4328" width="40.6640625" style="211" customWidth="1"/>
    <col min="4329" max="4329" width="13.44140625" style="211" customWidth="1"/>
    <col min="4330" max="4330" width="12.6640625" style="211" customWidth="1"/>
    <col min="4331" max="4331" width="13.6640625" style="211" customWidth="1"/>
    <col min="4332" max="4332" width="12.6640625" style="211" customWidth="1"/>
    <col min="4333" max="4333" width="20.109375" style="211" bestFit="1" customWidth="1"/>
    <col min="4334" max="4334" width="13.6640625" style="211" customWidth="1"/>
    <col min="4335" max="4335" width="15.5546875" style="211" customWidth="1"/>
    <col min="4336" max="4582" width="9.109375" style="211"/>
    <col min="4583" max="4583" width="7" style="211" bestFit="1" customWidth="1"/>
    <col min="4584" max="4584" width="40.6640625" style="211" customWidth="1"/>
    <col min="4585" max="4585" width="13.44140625" style="211" customWidth="1"/>
    <col min="4586" max="4586" width="12.6640625" style="211" customWidth="1"/>
    <col min="4587" max="4587" width="13.6640625" style="211" customWidth="1"/>
    <col min="4588" max="4588" width="12.6640625" style="211" customWidth="1"/>
    <col min="4589" max="4589" width="20.109375" style="211" bestFit="1" customWidth="1"/>
    <col min="4590" max="4590" width="13.6640625" style="211" customWidth="1"/>
    <col min="4591" max="4591" width="15.5546875" style="211" customWidth="1"/>
    <col min="4592" max="4838" width="9.109375" style="211"/>
    <col min="4839" max="4839" width="7" style="211" bestFit="1" customWidth="1"/>
    <col min="4840" max="4840" width="40.6640625" style="211" customWidth="1"/>
    <col min="4841" max="4841" width="13.44140625" style="211" customWidth="1"/>
    <col min="4842" max="4842" width="12.6640625" style="211" customWidth="1"/>
    <col min="4843" max="4843" width="13.6640625" style="211" customWidth="1"/>
    <col min="4844" max="4844" width="12.6640625" style="211" customWidth="1"/>
    <col min="4845" max="4845" width="20.109375" style="211" bestFit="1" customWidth="1"/>
    <col min="4846" max="4846" width="13.6640625" style="211" customWidth="1"/>
    <col min="4847" max="4847" width="15.5546875" style="211" customWidth="1"/>
    <col min="4848" max="5094" width="9.109375" style="211"/>
    <col min="5095" max="5095" width="7" style="211" bestFit="1" customWidth="1"/>
    <col min="5096" max="5096" width="40.6640625" style="211" customWidth="1"/>
    <col min="5097" max="5097" width="13.44140625" style="211" customWidth="1"/>
    <col min="5098" max="5098" width="12.6640625" style="211" customWidth="1"/>
    <col min="5099" max="5099" width="13.6640625" style="211" customWidth="1"/>
    <col min="5100" max="5100" width="12.6640625" style="211" customWidth="1"/>
    <col min="5101" max="5101" width="20.109375" style="211" bestFit="1" customWidth="1"/>
    <col min="5102" max="5102" width="13.6640625" style="211" customWidth="1"/>
    <col min="5103" max="5103" width="15.5546875" style="211" customWidth="1"/>
    <col min="5104" max="5350" width="9.109375" style="211"/>
    <col min="5351" max="5351" width="7" style="211" bestFit="1" customWidth="1"/>
    <col min="5352" max="5352" width="40.6640625" style="211" customWidth="1"/>
    <col min="5353" max="5353" width="13.44140625" style="211" customWidth="1"/>
    <col min="5354" max="5354" width="12.6640625" style="211" customWidth="1"/>
    <col min="5355" max="5355" width="13.6640625" style="211" customWidth="1"/>
    <col min="5356" max="5356" width="12.6640625" style="211" customWidth="1"/>
    <col min="5357" max="5357" width="20.109375" style="211" bestFit="1" customWidth="1"/>
    <col min="5358" max="5358" width="13.6640625" style="211" customWidth="1"/>
    <col min="5359" max="5359" width="15.5546875" style="211" customWidth="1"/>
    <col min="5360" max="5606" width="9.109375" style="211"/>
    <col min="5607" max="5607" width="7" style="211" bestFit="1" customWidth="1"/>
    <col min="5608" max="5608" width="40.6640625" style="211" customWidth="1"/>
    <col min="5609" max="5609" width="13.44140625" style="211" customWidth="1"/>
    <col min="5610" max="5610" width="12.6640625" style="211" customWidth="1"/>
    <col min="5611" max="5611" width="13.6640625" style="211" customWidth="1"/>
    <col min="5612" max="5612" width="12.6640625" style="211" customWidth="1"/>
    <col min="5613" max="5613" width="20.109375" style="211" bestFit="1" customWidth="1"/>
    <col min="5614" max="5614" width="13.6640625" style="211" customWidth="1"/>
    <col min="5615" max="5615" width="15.5546875" style="211" customWidth="1"/>
    <col min="5616" max="5862" width="9.109375" style="211"/>
    <col min="5863" max="5863" width="7" style="211" bestFit="1" customWidth="1"/>
    <col min="5864" max="5864" width="40.6640625" style="211" customWidth="1"/>
    <col min="5865" max="5865" width="13.44140625" style="211" customWidth="1"/>
    <col min="5866" max="5866" width="12.6640625" style="211" customWidth="1"/>
    <col min="5867" max="5867" width="13.6640625" style="211" customWidth="1"/>
    <col min="5868" max="5868" width="12.6640625" style="211" customWidth="1"/>
    <col min="5869" max="5869" width="20.109375" style="211" bestFit="1" customWidth="1"/>
    <col min="5870" max="5870" width="13.6640625" style="211" customWidth="1"/>
    <col min="5871" max="5871" width="15.5546875" style="211" customWidth="1"/>
    <col min="5872" max="6118" width="9.109375" style="211"/>
    <col min="6119" max="6119" width="7" style="211" bestFit="1" customWidth="1"/>
    <col min="6120" max="6120" width="40.6640625" style="211" customWidth="1"/>
    <col min="6121" max="6121" width="13.44140625" style="211" customWidth="1"/>
    <col min="6122" max="6122" width="12.6640625" style="211" customWidth="1"/>
    <col min="6123" max="6123" width="13.6640625" style="211" customWidth="1"/>
    <col min="6124" max="6124" width="12.6640625" style="211" customWidth="1"/>
    <col min="6125" max="6125" width="20.109375" style="211" bestFit="1" customWidth="1"/>
    <col min="6126" max="6126" width="13.6640625" style="211" customWidth="1"/>
    <col min="6127" max="6127" width="15.5546875" style="211" customWidth="1"/>
    <col min="6128" max="6374" width="9.109375" style="211"/>
    <col min="6375" max="6375" width="7" style="211" bestFit="1" customWidth="1"/>
    <col min="6376" max="6376" width="40.6640625" style="211" customWidth="1"/>
    <col min="6377" max="6377" width="13.44140625" style="211" customWidth="1"/>
    <col min="6378" max="6378" width="12.6640625" style="211" customWidth="1"/>
    <col min="6379" max="6379" width="13.6640625" style="211" customWidth="1"/>
    <col min="6380" max="6380" width="12.6640625" style="211" customWidth="1"/>
    <col min="6381" max="6381" width="20.109375" style="211" bestFit="1" customWidth="1"/>
    <col min="6382" max="6382" width="13.6640625" style="211" customWidth="1"/>
    <col min="6383" max="6383" width="15.5546875" style="211" customWidth="1"/>
    <col min="6384" max="6630" width="9.109375" style="211"/>
    <col min="6631" max="6631" width="7" style="211" bestFit="1" customWidth="1"/>
    <col min="6632" max="6632" width="40.6640625" style="211" customWidth="1"/>
    <col min="6633" max="6633" width="13.44140625" style="211" customWidth="1"/>
    <col min="6634" max="6634" width="12.6640625" style="211" customWidth="1"/>
    <col min="6635" max="6635" width="13.6640625" style="211" customWidth="1"/>
    <col min="6636" max="6636" width="12.6640625" style="211" customWidth="1"/>
    <col min="6637" max="6637" width="20.109375" style="211" bestFit="1" customWidth="1"/>
    <col min="6638" max="6638" width="13.6640625" style="211" customWidth="1"/>
    <col min="6639" max="6639" width="15.5546875" style="211" customWidth="1"/>
    <col min="6640" max="6886" width="9.109375" style="211"/>
    <col min="6887" max="6887" width="7" style="211" bestFit="1" customWidth="1"/>
    <col min="6888" max="6888" width="40.6640625" style="211" customWidth="1"/>
    <col min="6889" max="6889" width="13.44140625" style="211" customWidth="1"/>
    <col min="6890" max="6890" width="12.6640625" style="211" customWidth="1"/>
    <col min="6891" max="6891" width="13.6640625" style="211" customWidth="1"/>
    <col min="6892" max="6892" width="12.6640625" style="211" customWidth="1"/>
    <col min="6893" max="6893" width="20.109375" style="211" bestFit="1" customWidth="1"/>
    <col min="6894" max="6894" width="13.6640625" style="211" customWidth="1"/>
    <col min="6895" max="6895" width="15.5546875" style="211" customWidth="1"/>
    <col min="6896" max="7142" width="9.109375" style="211"/>
    <col min="7143" max="7143" width="7" style="211" bestFit="1" customWidth="1"/>
    <col min="7144" max="7144" width="40.6640625" style="211" customWidth="1"/>
    <col min="7145" max="7145" width="13.44140625" style="211" customWidth="1"/>
    <col min="7146" max="7146" width="12.6640625" style="211" customWidth="1"/>
    <col min="7147" max="7147" width="13.6640625" style="211" customWidth="1"/>
    <col min="7148" max="7148" width="12.6640625" style="211" customWidth="1"/>
    <col min="7149" max="7149" width="20.109375" style="211" bestFit="1" customWidth="1"/>
    <col min="7150" max="7150" width="13.6640625" style="211" customWidth="1"/>
    <col min="7151" max="7151" width="15.5546875" style="211" customWidth="1"/>
    <col min="7152" max="7398" width="9.109375" style="211"/>
    <col min="7399" max="7399" width="7" style="211" bestFit="1" customWidth="1"/>
    <col min="7400" max="7400" width="40.6640625" style="211" customWidth="1"/>
    <col min="7401" max="7401" width="13.44140625" style="211" customWidth="1"/>
    <col min="7402" max="7402" width="12.6640625" style="211" customWidth="1"/>
    <col min="7403" max="7403" width="13.6640625" style="211" customWidth="1"/>
    <col min="7404" max="7404" width="12.6640625" style="211" customWidth="1"/>
    <col min="7405" max="7405" width="20.109375" style="211" bestFit="1" customWidth="1"/>
    <col min="7406" max="7406" width="13.6640625" style="211" customWidth="1"/>
    <col min="7407" max="7407" width="15.5546875" style="211" customWidth="1"/>
    <col min="7408" max="7654" width="9.109375" style="211"/>
    <col min="7655" max="7655" width="7" style="211" bestFit="1" customWidth="1"/>
    <col min="7656" max="7656" width="40.6640625" style="211" customWidth="1"/>
    <col min="7657" max="7657" width="13.44140625" style="211" customWidth="1"/>
    <col min="7658" max="7658" width="12.6640625" style="211" customWidth="1"/>
    <col min="7659" max="7659" width="13.6640625" style="211" customWidth="1"/>
    <col min="7660" max="7660" width="12.6640625" style="211" customWidth="1"/>
    <col min="7661" max="7661" width="20.109375" style="211" bestFit="1" customWidth="1"/>
    <col min="7662" max="7662" width="13.6640625" style="211" customWidth="1"/>
    <col min="7663" max="7663" width="15.5546875" style="211" customWidth="1"/>
    <col min="7664" max="7910" width="9.109375" style="211"/>
    <col min="7911" max="7911" width="7" style="211" bestFit="1" customWidth="1"/>
    <col min="7912" max="7912" width="40.6640625" style="211" customWidth="1"/>
    <col min="7913" max="7913" width="13.44140625" style="211" customWidth="1"/>
    <col min="7914" max="7914" width="12.6640625" style="211" customWidth="1"/>
    <col min="7915" max="7915" width="13.6640625" style="211" customWidth="1"/>
    <col min="7916" max="7916" width="12.6640625" style="211" customWidth="1"/>
    <col min="7917" max="7917" width="20.109375" style="211" bestFit="1" customWidth="1"/>
    <col min="7918" max="7918" width="13.6640625" style="211" customWidth="1"/>
    <col min="7919" max="7919" width="15.5546875" style="211" customWidth="1"/>
    <col min="7920" max="8166" width="9.109375" style="211"/>
    <col min="8167" max="8167" width="7" style="211" bestFit="1" customWidth="1"/>
    <col min="8168" max="8168" width="40.6640625" style="211" customWidth="1"/>
    <col min="8169" max="8169" width="13.44140625" style="211" customWidth="1"/>
    <col min="8170" max="8170" width="12.6640625" style="211" customWidth="1"/>
    <col min="8171" max="8171" width="13.6640625" style="211" customWidth="1"/>
    <col min="8172" max="8172" width="12.6640625" style="211" customWidth="1"/>
    <col min="8173" max="8173" width="20.109375" style="211" bestFit="1" customWidth="1"/>
    <col min="8174" max="8174" width="13.6640625" style="211" customWidth="1"/>
    <col min="8175" max="8175" width="15.5546875" style="211" customWidth="1"/>
    <col min="8176" max="8422" width="9.109375" style="211"/>
    <col min="8423" max="8423" width="7" style="211" bestFit="1" customWidth="1"/>
    <col min="8424" max="8424" width="40.6640625" style="211" customWidth="1"/>
    <col min="8425" max="8425" width="13.44140625" style="211" customWidth="1"/>
    <col min="8426" max="8426" width="12.6640625" style="211" customWidth="1"/>
    <col min="8427" max="8427" width="13.6640625" style="211" customWidth="1"/>
    <col min="8428" max="8428" width="12.6640625" style="211" customWidth="1"/>
    <col min="8429" max="8429" width="20.109375" style="211" bestFit="1" customWidth="1"/>
    <col min="8430" max="8430" width="13.6640625" style="211" customWidth="1"/>
    <col min="8431" max="8431" width="15.5546875" style="211" customWidth="1"/>
    <col min="8432" max="8678" width="9.109375" style="211"/>
    <col min="8679" max="8679" width="7" style="211" bestFit="1" customWidth="1"/>
    <col min="8680" max="8680" width="40.6640625" style="211" customWidth="1"/>
    <col min="8681" max="8681" width="13.44140625" style="211" customWidth="1"/>
    <col min="8682" max="8682" width="12.6640625" style="211" customWidth="1"/>
    <col min="8683" max="8683" width="13.6640625" style="211" customWidth="1"/>
    <col min="8684" max="8684" width="12.6640625" style="211" customWidth="1"/>
    <col min="8685" max="8685" width="20.109375" style="211" bestFit="1" customWidth="1"/>
    <col min="8686" max="8686" width="13.6640625" style="211" customWidth="1"/>
    <col min="8687" max="8687" width="15.5546875" style="211" customWidth="1"/>
    <col min="8688" max="8934" width="9.109375" style="211"/>
    <col min="8935" max="8935" width="7" style="211" bestFit="1" customWidth="1"/>
    <col min="8936" max="8936" width="40.6640625" style="211" customWidth="1"/>
    <col min="8937" max="8937" width="13.44140625" style="211" customWidth="1"/>
    <col min="8938" max="8938" width="12.6640625" style="211" customWidth="1"/>
    <col min="8939" max="8939" width="13.6640625" style="211" customWidth="1"/>
    <col min="8940" max="8940" width="12.6640625" style="211" customWidth="1"/>
    <col min="8941" max="8941" width="20.109375" style="211" bestFit="1" customWidth="1"/>
    <col min="8942" max="8942" width="13.6640625" style="211" customWidth="1"/>
    <col min="8943" max="8943" width="15.5546875" style="211" customWidth="1"/>
    <col min="8944" max="9190" width="9.109375" style="211"/>
    <col min="9191" max="9191" width="7" style="211" bestFit="1" customWidth="1"/>
    <col min="9192" max="9192" width="40.6640625" style="211" customWidth="1"/>
    <col min="9193" max="9193" width="13.44140625" style="211" customWidth="1"/>
    <col min="9194" max="9194" width="12.6640625" style="211" customWidth="1"/>
    <col min="9195" max="9195" width="13.6640625" style="211" customWidth="1"/>
    <col min="9196" max="9196" width="12.6640625" style="211" customWidth="1"/>
    <col min="9197" max="9197" width="20.109375" style="211" bestFit="1" customWidth="1"/>
    <col min="9198" max="9198" width="13.6640625" style="211" customWidth="1"/>
    <col min="9199" max="9199" width="15.5546875" style="211" customWidth="1"/>
    <col min="9200" max="9446" width="9.109375" style="211"/>
    <col min="9447" max="9447" width="7" style="211" bestFit="1" customWidth="1"/>
    <col min="9448" max="9448" width="40.6640625" style="211" customWidth="1"/>
    <col min="9449" max="9449" width="13.44140625" style="211" customWidth="1"/>
    <col min="9450" max="9450" width="12.6640625" style="211" customWidth="1"/>
    <col min="9451" max="9451" width="13.6640625" style="211" customWidth="1"/>
    <col min="9452" max="9452" width="12.6640625" style="211" customWidth="1"/>
    <col min="9453" max="9453" width="20.109375" style="211" bestFit="1" customWidth="1"/>
    <col min="9454" max="9454" width="13.6640625" style="211" customWidth="1"/>
    <col min="9455" max="9455" width="15.5546875" style="211" customWidth="1"/>
    <col min="9456" max="9702" width="9.109375" style="211"/>
    <col min="9703" max="9703" width="7" style="211" bestFit="1" customWidth="1"/>
    <col min="9704" max="9704" width="40.6640625" style="211" customWidth="1"/>
    <col min="9705" max="9705" width="13.44140625" style="211" customWidth="1"/>
    <col min="9706" max="9706" width="12.6640625" style="211" customWidth="1"/>
    <col min="9707" max="9707" width="13.6640625" style="211" customWidth="1"/>
    <col min="9708" max="9708" width="12.6640625" style="211" customWidth="1"/>
    <col min="9709" max="9709" width="20.109375" style="211" bestFit="1" customWidth="1"/>
    <col min="9710" max="9710" width="13.6640625" style="211" customWidth="1"/>
    <col min="9711" max="9711" width="15.5546875" style="211" customWidth="1"/>
    <col min="9712" max="9958" width="9.109375" style="211"/>
    <col min="9959" max="9959" width="7" style="211" bestFit="1" customWidth="1"/>
    <col min="9960" max="9960" width="40.6640625" style="211" customWidth="1"/>
    <col min="9961" max="9961" width="13.44140625" style="211" customWidth="1"/>
    <col min="9962" max="9962" width="12.6640625" style="211" customWidth="1"/>
    <col min="9963" max="9963" width="13.6640625" style="211" customWidth="1"/>
    <col min="9964" max="9964" width="12.6640625" style="211" customWidth="1"/>
    <col min="9965" max="9965" width="20.109375" style="211" bestFit="1" customWidth="1"/>
    <col min="9966" max="9966" width="13.6640625" style="211" customWidth="1"/>
    <col min="9967" max="9967" width="15.5546875" style="211" customWidth="1"/>
    <col min="9968" max="10214" width="9.109375" style="211"/>
    <col min="10215" max="10215" width="7" style="211" bestFit="1" customWidth="1"/>
    <col min="10216" max="10216" width="40.6640625" style="211" customWidth="1"/>
    <col min="10217" max="10217" width="13.44140625" style="211" customWidth="1"/>
    <col min="10218" max="10218" width="12.6640625" style="211" customWidth="1"/>
    <col min="10219" max="10219" width="13.6640625" style="211" customWidth="1"/>
    <col min="10220" max="10220" width="12.6640625" style="211" customWidth="1"/>
    <col min="10221" max="10221" width="20.109375" style="211" bestFit="1" customWidth="1"/>
    <col min="10222" max="10222" width="13.6640625" style="211" customWidth="1"/>
    <col min="10223" max="10223" width="15.5546875" style="211" customWidth="1"/>
    <col min="10224" max="10470" width="9.109375" style="211"/>
    <col min="10471" max="10471" width="7" style="211" bestFit="1" customWidth="1"/>
    <col min="10472" max="10472" width="40.6640625" style="211" customWidth="1"/>
    <col min="10473" max="10473" width="13.44140625" style="211" customWidth="1"/>
    <col min="10474" max="10474" width="12.6640625" style="211" customWidth="1"/>
    <col min="10475" max="10475" width="13.6640625" style="211" customWidth="1"/>
    <col min="10476" max="10476" width="12.6640625" style="211" customWidth="1"/>
    <col min="10477" max="10477" width="20.109375" style="211" bestFit="1" customWidth="1"/>
    <col min="10478" max="10478" width="13.6640625" style="211" customWidth="1"/>
    <col min="10479" max="10479" width="15.5546875" style="211" customWidth="1"/>
    <col min="10480" max="10726" width="9.109375" style="211"/>
    <col min="10727" max="10727" width="7" style="211" bestFit="1" customWidth="1"/>
    <col min="10728" max="10728" width="40.6640625" style="211" customWidth="1"/>
    <col min="10729" max="10729" width="13.44140625" style="211" customWidth="1"/>
    <col min="10730" max="10730" width="12.6640625" style="211" customWidth="1"/>
    <col min="10731" max="10731" width="13.6640625" style="211" customWidth="1"/>
    <col min="10732" max="10732" width="12.6640625" style="211" customWidth="1"/>
    <col min="10733" max="10733" width="20.109375" style="211" bestFit="1" customWidth="1"/>
    <col min="10734" max="10734" width="13.6640625" style="211" customWidth="1"/>
    <col min="10735" max="10735" width="15.5546875" style="211" customWidth="1"/>
    <col min="10736" max="10982" width="9.109375" style="211"/>
    <col min="10983" max="10983" width="7" style="211" bestFit="1" customWidth="1"/>
    <col min="10984" max="10984" width="40.6640625" style="211" customWidth="1"/>
    <col min="10985" max="10985" width="13.44140625" style="211" customWidth="1"/>
    <col min="10986" max="10986" width="12.6640625" style="211" customWidth="1"/>
    <col min="10987" max="10987" width="13.6640625" style="211" customWidth="1"/>
    <col min="10988" max="10988" width="12.6640625" style="211" customWidth="1"/>
    <col min="10989" max="10989" width="20.109375" style="211" bestFit="1" customWidth="1"/>
    <col min="10990" max="10990" width="13.6640625" style="211" customWidth="1"/>
    <col min="10991" max="10991" width="15.5546875" style="211" customWidth="1"/>
    <col min="10992" max="11238" width="9.109375" style="211"/>
    <col min="11239" max="11239" width="7" style="211" bestFit="1" customWidth="1"/>
    <col min="11240" max="11240" width="40.6640625" style="211" customWidth="1"/>
    <col min="11241" max="11241" width="13.44140625" style="211" customWidth="1"/>
    <col min="11242" max="11242" width="12.6640625" style="211" customWidth="1"/>
    <col min="11243" max="11243" width="13.6640625" style="211" customWidth="1"/>
    <col min="11244" max="11244" width="12.6640625" style="211" customWidth="1"/>
    <col min="11245" max="11245" width="20.109375" style="211" bestFit="1" customWidth="1"/>
    <col min="11246" max="11246" width="13.6640625" style="211" customWidth="1"/>
    <col min="11247" max="11247" width="15.5546875" style="211" customWidth="1"/>
    <col min="11248" max="11494" width="9.109375" style="211"/>
    <col min="11495" max="11495" width="7" style="211" bestFit="1" customWidth="1"/>
    <col min="11496" max="11496" width="40.6640625" style="211" customWidth="1"/>
    <col min="11497" max="11497" width="13.44140625" style="211" customWidth="1"/>
    <col min="11498" max="11498" width="12.6640625" style="211" customWidth="1"/>
    <col min="11499" max="11499" width="13.6640625" style="211" customWidth="1"/>
    <col min="11500" max="11500" width="12.6640625" style="211" customWidth="1"/>
    <col min="11501" max="11501" width="20.109375" style="211" bestFit="1" customWidth="1"/>
    <col min="11502" max="11502" width="13.6640625" style="211" customWidth="1"/>
    <col min="11503" max="11503" width="15.5546875" style="211" customWidth="1"/>
    <col min="11504" max="11750" width="9.109375" style="211"/>
    <col min="11751" max="11751" width="7" style="211" bestFit="1" customWidth="1"/>
    <col min="11752" max="11752" width="40.6640625" style="211" customWidth="1"/>
    <col min="11753" max="11753" width="13.44140625" style="211" customWidth="1"/>
    <col min="11754" max="11754" width="12.6640625" style="211" customWidth="1"/>
    <col min="11755" max="11755" width="13.6640625" style="211" customWidth="1"/>
    <col min="11756" max="11756" width="12.6640625" style="211" customWidth="1"/>
    <col min="11757" max="11757" width="20.109375" style="211" bestFit="1" customWidth="1"/>
    <col min="11758" max="11758" width="13.6640625" style="211" customWidth="1"/>
    <col min="11759" max="11759" width="15.5546875" style="211" customWidth="1"/>
    <col min="11760" max="12006" width="9.109375" style="211"/>
    <col min="12007" max="12007" width="7" style="211" bestFit="1" customWidth="1"/>
    <col min="12008" max="12008" width="40.6640625" style="211" customWidth="1"/>
    <col min="12009" max="12009" width="13.44140625" style="211" customWidth="1"/>
    <col min="12010" max="12010" width="12.6640625" style="211" customWidth="1"/>
    <col min="12011" max="12011" width="13.6640625" style="211" customWidth="1"/>
    <col min="12012" max="12012" width="12.6640625" style="211" customWidth="1"/>
    <col min="12013" max="12013" width="20.109375" style="211" bestFit="1" customWidth="1"/>
    <col min="12014" max="12014" width="13.6640625" style="211" customWidth="1"/>
    <col min="12015" max="12015" width="15.5546875" style="211" customWidth="1"/>
    <col min="12016" max="12262" width="9.109375" style="211"/>
    <col min="12263" max="12263" width="7" style="211" bestFit="1" customWidth="1"/>
    <col min="12264" max="12264" width="40.6640625" style="211" customWidth="1"/>
    <col min="12265" max="12265" width="13.44140625" style="211" customWidth="1"/>
    <col min="12266" max="12266" width="12.6640625" style="211" customWidth="1"/>
    <col min="12267" max="12267" width="13.6640625" style="211" customWidth="1"/>
    <col min="12268" max="12268" width="12.6640625" style="211" customWidth="1"/>
    <col min="12269" max="12269" width="20.109375" style="211" bestFit="1" customWidth="1"/>
    <col min="12270" max="12270" width="13.6640625" style="211" customWidth="1"/>
    <col min="12271" max="12271" width="15.5546875" style="211" customWidth="1"/>
    <col min="12272" max="12518" width="9.109375" style="211"/>
    <col min="12519" max="12519" width="7" style="211" bestFit="1" customWidth="1"/>
    <col min="12520" max="12520" width="40.6640625" style="211" customWidth="1"/>
    <col min="12521" max="12521" width="13.44140625" style="211" customWidth="1"/>
    <col min="12522" max="12522" width="12.6640625" style="211" customWidth="1"/>
    <col min="12523" max="12523" width="13.6640625" style="211" customWidth="1"/>
    <col min="12524" max="12524" width="12.6640625" style="211" customWidth="1"/>
    <col min="12525" max="12525" width="20.109375" style="211" bestFit="1" customWidth="1"/>
    <col min="12526" max="12526" width="13.6640625" style="211" customWidth="1"/>
    <col min="12527" max="12527" width="15.5546875" style="211" customWidth="1"/>
    <col min="12528" max="12774" width="9.109375" style="211"/>
    <col min="12775" max="12775" width="7" style="211" bestFit="1" customWidth="1"/>
    <col min="12776" max="12776" width="40.6640625" style="211" customWidth="1"/>
    <col min="12777" max="12777" width="13.44140625" style="211" customWidth="1"/>
    <col min="12778" max="12778" width="12.6640625" style="211" customWidth="1"/>
    <col min="12779" max="12779" width="13.6640625" style="211" customWidth="1"/>
    <col min="12780" max="12780" width="12.6640625" style="211" customWidth="1"/>
    <col min="12781" max="12781" width="20.109375" style="211" bestFit="1" customWidth="1"/>
    <col min="12782" max="12782" width="13.6640625" style="211" customWidth="1"/>
    <col min="12783" max="12783" width="15.5546875" style="211" customWidth="1"/>
    <col min="12784" max="13030" width="9.109375" style="211"/>
    <col min="13031" max="13031" width="7" style="211" bestFit="1" customWidth="1"/>
    <col min="13032" max="13032" width="40.6640625" style="211" customWidth="1"/>
    <col min="13033" max="13033" width="13.44140625" style="211" customWidth="1"/>
    <col min="13034" max="13034" width="12.6640625" style="211" customWidth="1"/>
    <col min="13035" max="13035" width="13.6640625" style="211" customWidth="1"/>
    <col min="13036" max="13036" width="12.6640625" style="211" customWidth="1"/>
    <col min="13037" max="13037" width="20.109375" style="211" bestFit="1" customWidth="1"/>
    <col min="13038" max="13038" width="13.6640625" style="211" customWidth="1"/>
    <col min="13039" max="13039" width="15.5546875" style="211" customWidth="1"/>
    <col min="13040" max="13286" width="9.109375" style="211"/>
    <col min="13287" max="13287" width="7" style="211" bestFit="1" customWidth="1"/>
    <col min="13288" max="13288" width="40.6640625" style="211" customWidth="1"/>
    <col min="13289" max="13289" width="13.44140625" style="211" customWidth="1"/>
    <col min="13290" max="13290" width="12.6640625" style="211" customWidth="1"/>
    <col min="13291" max="13291" width="13.6640625" style="211" customWidth="1"/>
    <col min="13292" max="13292" width="12.6640625" style="211" customWidth="1"/>
    <col min="13293" max="13293" width="20.109375" style="211" bestFit="1" customWidth="1"/>
    <col min="13294" max="13294" width="13.6640625" style="211" customWidth="1"/>
    <col min="13295" max="13295" width="15.5546875" style="211" customWidth="1"/>
    <col min="13296" max="13542" width="9.109375" style="211"/>
    <col min="13543" max="13543" width="7" style="211" bestFit="1" customWidth="1"/>
    <col min="13544" max="13544" width="40.6640625" style="211" customWidth="1"/>
    <col min="13545" max="13545" width="13.44140625" style="211" customWidth="1"/>
    <col min="13546" max="13546" width="12.6640625" style="211" customWidth="1"/>
    <col min="13547" max="13547" width="13.6640625" style="211" customWidth="1"/>
    <col min="13548" max="13548" width="12.6640625" style="211" customWidth="1"/>
    <col min="13549" max="13549" width="20.109375" style="211" bestFit="1" customWidth="1"/>
    <col min="13550" max="13550" width="13.6640625" style="211" customWidth="1"/>
    <col min="13551" max="13551" width="15.5546875" style="211" customWidth="1"/>
    <col min="13552" max="13798" width="9.109375" style="211"/>
    <col min="13799" max="13799" width="7" style="211" bestFit="1" customWidth="1"/>
    <col min="13800" max="13800" width="40.6640625" style="211" customWidth="1"/>
    <col min="13801" max="13801" width="13.44140625" style="211" customWidth="1"/>
    <col min="13802" max="13802" width="12.6640625" style="211" customWidth="1"/>
    <col min="13803" max="13803" width="13.6640625" style="211" customWidth="1"/>
    <col min="13804" max="13804" width="12.6640625" style="211" customWidth="1"/>
    <col min="13805" max="13805" width="20.109375" style="211" bestFit="1" customWidth="1"/>
    <col min="13806" max="13806" width="13.6640625" style="211" customWidth="1"/>
    <col min="13807" max="13807" width="15.5546875" style="211" customWidth="1"/>
    <col min="13808" max="14054" width="9.109375" style="211"/>
    <col min="14055" max="14055" width="7" style="211" bestFit="1" customWidth="1"/>
    <col min="14056" max="14056" width="40.6640625" style="211" customWidth="1"/>
    <col min="14057" max="14057" width="13.44140625" style="211" customWidth="1"/>
    <col min="14058" max="14058" width="12.6640625" style="211" customWidth="1"/>
    <col min="14059" max="14059" width="13.6640625" style="211" customWidth="1"/>
    <col min="14060" max="14060" width="12.6640625" style="211" customWidth="1"/>
    <col min="14061" max="14061" width="20.109375" style="211" bestFit="1" customWidth="1"/>
    <col min="14062" max="14062" width="13.6640625" style="211" customWidth="1"/>
    <col min="14063" max="14063" width="15.5546875" style="211" customWidth="1"/>
    <col min="14064" max="14310" width="9.109375" style="211"/>
    <col min="14311" max="14311" width="7" style="211" bestFit="1" customWidth="1"/>
    <col min="14312" max="14312" width="40.6640625" style="211" customWidth="1"/>
    <col min="14313" max="14313" width="13.44140625" style="211" customWidth="1"/>
    <col min="14314" max="14314" width="12.6640625" style="211" customWidth="1"/>
    <col min="14315" max="14315" width="13.6640625" style="211" customWidth="1"/>
    <col min="14316" max="14316" width="12.6640625" style="211" customWidth="1"/>
    <col min="14317" max="14317" width="20.109375" style="211" bestFit="1" customWidth="1"/>
    <col min="14318" max="14318" width="13.6640625" style="211" customWidth="1"/>
    <col min="14319" max="14319" width="15.5546875" style="211" customWidth="1"/>
    <col min="14320" max="14566" width="9.109375" style="211"/>
    <col min="14567" max="14567" width="7" style="211" bestFit="1" customWidth="1"/>
    <col min="14568" max="14568" width="40.6640625" style="211" customWidth="1"/>
    <col min="14569" max="14569" width="13.44140625" style="211" customWidth="1"/>
    <col min="14570" max="14570" width="12.6640625" style="211" customWidth="1"/>
    <col min="14571" max="14571" width="13.6640625" style="211" customWidth="1"/>
    <col min="14572" max="14572" width="12.6640625" style="211" customWidth="1"/>
    <col min="14573" max="14573" width="20.109375" style="211" bestFit="1" customWidth="1"/>
    <col min="14574" max="14574" width="13.6640625" style="211" customWidth="1"/>
    <col min="14575" max="14575" width="15.5546875" style="211" customWidth="1"/>
    <col min="14576" max="14822" width="9.109375" style="211"/>
    <col min="14823" max="14823" width="7" style="211" bestFit="1" customWidth="1"/>
    <col min="14824" max="14824" width="40.6640625" style="211" customWidth="1"/>
    <col min="14825" max="14825" width="13.44140625" style="211" customWidth="1"/>
    <col min="14826" max="14826" width="12.6640625" style="211" customWidth="1"/>
    <col min="14827" max="14827" width="13.6640625" style="211" customWidth="1"/>
    <col min="14828" max="14828" width="12.6640625" style="211" customWidth="1"/>
    <col min="14829" max="14829" width="20.109375" style="211" bestFit="1" customWidth="1"/>
    <col min="14830" max="14830" width="13.6640625" style="211" customWidth="1"/>
    <col min="14831" max="14831" width="15.5546875" style="211" customWidth="1"/>
    <col min="14832" max="15078" width="9.109375" style="211"/>
    <col min="15079" max="15079" width="7" style="211" bestFit="1" customWidth="1"/>
    <col min="15080" max="15080" width="40.6640625" style="211" customWidth="1"/>
    <col min="15081" max="15081" width="13.44140625" style="211" customWidth="1"/>
    <col min="15082" max="15082" width="12.6640625" style="211" customWidth="1"/>
    <col min="15083" max="15083" width="13.6640625" style="211" customWidth="1"/>
    <col min="15084" max="15084" width="12.6640625" style="211" customWidth="1"/>
    <col min="15085" max="15085" width="20.109375" style="211" bestFit="1" customWidth="1"/>
    <col min="15086" max="15086" width="13.6640625" style="211" customWidth="1"/>
    <col min="15087" max="15087" width="15.5546875" style="211" customWidth="1"/>
    <col min="15088" max="15334" width="9.109375" style="211"/>
    <col min="15335" max="15335" width="7" style="211" bestFit="1" customWidth="1"/>
    <col min="15336" max="15336" width="40.6640625" style="211" customWidth="1"/>
    <col min="15337" max="15337" width="13.44140625" style="211" customWidth="1"/>
    <col min="15338" max="15338" width="12.6640625" style="211" customWidth="1"/>
    <col min="15339" max="15339" width="13.6640625" style="211" customWidth="1"/>
    <col min="15340" max="15340" width="12.6640625" style="211" customWidth="1"/>
    <col min="15341" max="15341" width="20.109375" style="211" bestFit="1" customWidth="1"/>
    <col min="15342" max="15342" width="13.6640625" style="211" customWidth="1"/>
    <col min="15343" max="15343" width="15.5546875" style="211" customWidth="1"/>
    <col min="15344" max="15590" width="9.109375" style="211"/>
    <col min="15591" max="15591" width="7" style="211" bestFit="1" customWidth="1"/>
    <col min="15592" max="15592" width="40.6640625" style="211" customWidth="1"/>
    <col min="15593" max="15593" width="13.44140625" style="211" customWidth="1"/>
    <col min="15594" max="15594" width="12.6640625" style="211" customWidth="1"/>
    <col min="15595" max="15595" width="13.6640625" style="211" customWidth="1"/>
    <col min="15596" max="15596" width="12.6640625" style="211" customWidth="1"/>
    <col min="15597" max="15597" width="20.109375" style="211" bestFit="1" customWidth="1"/>
    <col min="15598" max="15598" width="13.6640625" style="211" customWidth="1"/>
    <col min="15599" max="15599" width="15.5546875" style="211" customWidth="1"/>
    <col min="15600" max="15846" width="9.109375" style="211"/>
    <col min="15847" max="15847" width="7" style="211" bestFit="1" customWidth="1"/>
    <col min="15848" max="15848" width="40.6640625" style="211" customWidth="1"/>
    <col min="15849" max="15849" width="13.44140625" style="211" customWidth="1"/>
    <col min="15850" max="15850" width="12.6640625" style="211" customWidth="1"/>
    <col min="15851" max="15851" width="13.6640625" style="211" customWidth="1"/>
    <col min="15852" max="15852" width="12.6640625" style="211" customWidth="1"/>
    <col min="15853" max="15853" width="20.109375" style="211" bestFit="1" customWidth="1"/>
    <col min="15854" max="15854" width="13.6640625" style="211" customWidth="1"/>
    <col min="15855" max="15855" width="15.5546875" style="211" customWidth="1"/>
    <col min="15856" max="16102" width="9.109375" style="211"/>
    <col min="16103" max="16103" width="7" style="211" bestFit="1" customWidth="1"/>
    <col min="16104" max="16104" width="40.6640625" style="211" customWidth="1"/>
    <col min="16105" max="16105" width="13.44140625" style="211" customWidth="1"/>
    <col min="16106" max="16106" width="12.6640625" style="211" customWidth="1"/>
    <col min="16107" max="16107" width="13.6640625" style="211" customWidth="1"/>
    <col min="16108" max="16108" width="12.6640625" style="211" customWidth="1"/>
    <col min="16109" max="16109" width="20.109375" style="211" bestFit="1" customWidth="1"/>
    <col min="16110" max="16110" width="13.6640625" style="211" customWidth="1"/>
    <col min="16111" max="16111" width="15.5546875" style="211" customWidth="1"/>
    <col min="16112" max="16358" width="9.109375" style="211"/>
    <col min="16359" max="16384" width="9.109375" style="211" customWidth="1"/>
  </cols>
  <sheetData>
    <row r="1" spans="1:9" ht="14.4" customHeight="1">
      <c r="E1" s="2989" t="s">
        <v>697</v>
      </c>
      <c r="F1" s="2989"/>
    </row>
    <row r="4" spans="1:9" ht="36.75" customHeight="1">
      <c r="A4" s="2990" t="s">
        <v>949</v>
      </c>
      <c r="B4" s="2990"/>
      <c r="C4" s="2990"/>
      <c r="D4" s="2990"/>
      <c r="E4" s="1531" t="s">
        <v>442</v>
      </c>
      <c r="F4" s="1531" t="str">
        <f>'Вхідні дані'!F6</f>
        <v>2023-2024</v>
      </c>
    </row>
    <row r="5" spans="1:9" ht="14.4" thickBot="1"/>
    <row r="6" spans="1:9" ht="16.2" customHeight="1" thickBot="1">
      <c r="A6" s="2991" t="s">
        <v>689</v>
      </c>
      <c r="B6" s="2991" t="s">
        <v>698</v>
      </c>
      <c r="C6" s="2993" t="s">
        <v>1690</v>
      </c>
      <c r="D6" s="2993"/>
      <c r="E6" s="2993" t="s">
        <v>699</v>
      </c>
      <c r="F6" s="2993"/>
    </row>
    <row r="7" spans="1:9" ht="47.4" thickBot="1">
      <c r="A7" s="2992"/>
      <c r="B7" s="2992"/>
      <c r="C7" s="250" t="s">
        <v>700</v>
      </c>
      <c r="D7" s="406" t="s">
        <v>701</v>
      </c>
      <c r="E7" s="250" t="s">
        <v>700</v>
      </c>
      <c r="F7" s="406" t="s">
        <v>701</v>
      </c>
    </row>
    <row r="8" spans="1:9" ht="16.8" thickBot="1">
      <c r="A8" s="251">
        <v>1</v>
      </c>
      <c r="B8" s="252">
        <v>2</v>
      </c>
      <c r="C8" s="253">
        <v>3</v>
      </c>
      <c r="D8" s="253">
        <v>4</v>
      </c>
      <c r="E8" s="253">
        <v>7</v>
      </c>
      <c r="F8" s="253">
        <v>8</v>
      </c>
    </row>
    <row r="9" spans="1:9" s="257" customFormat="1" ht="30" customHeight="1">
      <c r="A9" s="254" t="s">
        <v>702</v>
      </c>
      <c r="B9" s="255" t="s">
        <v>703</v>
      </c>
      <c r="C9" s="255">
        <f>ШР!H25</f>
        <v>1</v>
      </c>
      <c r="D9" s="256">
        <v>18000</v>
      </c>
      <c r="E9" s="255">
        <f>C9</f>
        <v>1</v>
      </c>
      <c r="F9" s="256">
        <f>D9*12</f>
        <v>216000</v>
      </c>
      <c r="H9" s="2321">
        <f>ШР!H24</f>
        <v>216000</v>
      </c>
      <c r="I9" s="2321"/>
    </row>
    <row r="10" spans="1:9" ht="15.6">
      <c r="A10" s="258"/>
      <c r="B10" s="259" t="s">
        <v>704</v>
      </c>
      <c r="C10" s="259">
        <v>0</v>
      </c>
      <c r="D10" s="260">
        <v>0</v>
      </c>
      <c r="E10" s="407">
        <f>C10</f>
        <v>0</v>
      </c>
      <c r="F10" s="408">
        <f>D10*12</f>
        <v>0</v>
      </c>
    </row>
    <row r="11" spans="1:9" s="257" customFormat="1" ht="17.25" customHeight="1">
      <c r="A11" s="258"/>
      <c r="B11" s="261" t="s">
        <v>705</v>
      </c>
      <c r="C11" s="262"/>
      <c r="D11" s="263">
        <f>SUM(D12:D13)</f>
        <v>3960</v>
      </c>
      <c r="E11" s="409">
        <f>C9</f>
        <v>1</v>
      </c>
      <c r="F11" s="410">
        <f>F12+F13</f>
        <v>10454.4</v>
      </c>
      <c r="H11" s="2321"/>
      <c r="I11" s="2321"/>
    </row>
    <row r="12" spans="1:9" ht="15.6">
      <c r="A12" s="258"/>
      <c r="B12" s="264" t="s">
        <v>706</v>
      </c>
      <c r="C12" s="265">
        <f>'Вхідні дані'!D$43</f>
        <v>0.22</v>
      </c>
      <c r="D12" s="266">
        <f>(D9-D10)*C12</f>
        <v>3960</v>
      </c>
      <c r="E12" s="411">
        <f>E11-C10</f>
        <v>1</v>
      </c>
      <c r="F12" s="412">
        <f>(D12*12)*C12</f>
        <v>10454.4</v>
      </c>
    </row>
    <row r="13" spans="1:9" ht="15.6">
      <c r="A13" s="258"/>
      <c r="B13" s="264" t="s">
        <v>707</v>
      </c>
      <c r="C13" s="267">
        <f>'Вхідні дані'!D$44</f>
        <v>8.4099999999999994E-2</v>
      </c>
      <c r="D13" s="266">
        <f>D10*C13</f>
        <v>0</v>
      </c>
      <c r="E13" s="411">
        <f>C10</f>
        <v>0</v>
      </c>
      <c r="F13" s="412">
        <f>(D13*12)*C13</f>
        <v>0</v>
      </c>
    </row>
    <row r="14" spans="1:9" s="257" customFormat="1" ht="27.6">
      <c r="A14" s="286" t="s">
        <v>708</v>
      </c>
      <c r="B14" s="269" t="s">
        <v>1687</v>
      </c>
      <c r="C14" s="1948">
        <v>0</v>
      </c>
      <c r="D14" s="271">
        <v>0</v>
      </c>
      <c r="E14" s="255">
        <f>C14</f>
        <v>0</v>
      </c>
      <c r="F14" s="256">
        <f>D14*12</f>
        <v>0</v>
      </c>
      <c r="H14" s="2321"/>
      <c r="I14" s="2321"/>
    </row>
    <row r="15" spans="1:9" ht="15.6">
      <c r="A15" s="258"/>
      <c r="B15" s="259" t="s">
        <v>704</v>
      </c>
      <c r="C15" s="259"/>
      <c r="D15" s="260"/>
      <c r="E15" s="407">
        <f>C15</f>
        <v>0</v>
      </c>
      <c r="F15" s="408">
        <f>D15*12</f>
        <v>0</v>
      </c>
    </row>
    <row r="16" spans="1:9" s="257" customFormat="1" ht="16.5" customHeight="1">
      <c r="A16" s="258"/>
      <c r="B16" s="261" t="s">
        <v>705</v>
      </c>
      <c r="C16" s="262"/>
      <c r="D16" s="263">
        <f>SUM(D17:D18)</f>
        <v>0</v>
      </c>
      <c r="E16" s="409">
        <f>C14</f>
        <v>0</v>
      </c>
      <c r="F16" s="410">
        <f>F17+F18</f>
        <v>0</v>
      </c>
      <c r="H16" s="2321"/>
      <c r="I16" s="2321"/>
    </row>
    <row r="17" spans="1:9" ht="18" customHeight="1">
      <c r="A17" s="258"/>
      <c r="B17" s="264" t="s">
        <v>706</v>
      </c>
      <c r="C17" s="265">
        <f>'Вхідні дані'!D$43</f>
        <v>0.22</v>
      </c>
      <c r="D17" s="266">
        <f>(D14-D15)*C17</f>
        <v>0</v>
      </c>
      <c r="E17" s="411">
        <f>E16-C15</f>
        <v>0</v>
      </c>
      <c r="F17" s="412">
        <f>(D17*12)*C17</f>
        <v>0</v>
      </c>
    </row>
    <row r="18" spans="1:9" ht="15.6">
      <c r="A18" s="258"/>
      <c r="B18" s="264" t="s">
        <v>707</v>
      </c>
      <c r="C18" s="267">
        <f>'Вхідні дані'!D$44</f>
        <v>8.4099999999999994E-2</v>
      </c>
      <c r="D18" s="266">
        <f>D15*C18</f>
        <v>0</v>
      </c>
      <c r="E18" s="411">
        <f>C15</f>
        <v>0</v>
      </c>
      <c r="F18" s="412">
        <f>(D18*12)*C18</f>
        <v>0</v>
      </c>
    </row>
    <row r="19" spans="1:9" s="257" customFormat="1" ht="27.6">
      <c r="A19" s="268" t="s">
        <v>709</v>
      </c>
      <c r="B19" s="269" t="s">
        <v>1688</v>
      </c>
      <c r="C19" s="1947">
        <f>ШР!I25</f>
        <v>1.715846994535519</v>
      </c>
      <c r="D19" s="271">
        <f>ШР!E16/366*157</f>
        <v>12010.928961748634</v>
      </c>
      <c r="E19" s="2317">
        <f>C19</f>
        <v>1.715846994535519</v>
      </c>
      <c r="F19" s="256">
        <f>D19*12</f>
        <v>144131.1475409836</v>
      </c>
      <c r="H19" s="2321">
        <f>ШР!I24</f>
        <v>144131.1475409836</v>
      </c>
      <c r="I19" s="2321"/>
    </row>
    <row r="20" spans="1:9" ht="15.6">
      <c r="A20" s="258"/>
      <c r="B20" s="259" t="s">
        <v>704</v>
      </c>
      <c r="C20" s="259"/>
      <c r="D20" s="260">
        <v>0</v>
      </c>
      <c r="E20" s="407">
        <f>C20</f>
        <v>0</v>
      </c>
      <c r="F20" s="408">
        <f>D20*12</f>
        <v>0</v>
      </c>
    </row>
    <row r="21" spans="1:9" s="257" customFormat="1" ht="17.25" customHeight="1">
      <c r="A21" s="258"/>
      <c r="B21" s="261" t="s">
        <v>705</v>
      </c>
      <c r="C21" s="262"/>
      <c r="D21" s="263">
        <f>SUM(D22:D23)</f>
        <v>2642.4043715846997</v>
      </c>
      <c r="E21" s="2318">
        <f>C19</f>
        <v>1.715846994535519</v>
      </c>
      <c r="F21" s="410">
        <f>F22+F23</f>
        <v>6975.9475409836068</v>
      </c>
      <c r="H21" s="2321"/>
      <c r="I21" s="2321"/>
    </row>
    <row r="22" spans="1:9" ht="15.6">
      <c r="A22" s="258"/>
      <c r="B22" s="264" t="s">
        <v>706</v>
      </c>
      <c r="C22" s="265">
        <f>'Вхідні дані'!D$43</f>
        <v>0.22</v>
      </c>
      <c r="D22" s="266">
        <f>(D19-D20)*C22</f>
        <v>2642.4043715846997</v>
      </c>
      <c r="E22" s="2319">
        <f>E21-C20</f>
        <v>1.715846994535519</v>
      </c>
      <c r="F22" s="412">
        <f>(D22*12)*C22</f>
        <v>6975.9475409836068</v>
      </c>
    </row>
    <row r="23" spans="1:9" ht="15.6">
      <c r="A23" s="258"/>
      <c r="B23" s="264" t="s">
        <v>707</v>
      </c>
      <c r="C23" s="267">
        <f>'Вхідні дані'!D$44</f>
        <v>8.4099999999999994E-2</v>
      </c>
      <c r="D23" s="266">
        <f>D20*C23</f>
        <v>0</v>
      </c>
      <c r="E23" s="411">
        <f>C20</f>
        <v>0</v>
      </c>
      <c r="F23" s="412">
        <f>(D23*12)*C23</f>
        <v>0</v>
      </c>
    </row>
    <row r="24" spans="1:9" s="257" customFormat="1" ht="27.6">
      <c r="A24" s="268" t="s">
        <v>710</v>
      </c>
      <c r="B24" s="272" t="s">
        <v>711</v>
      </c>
      <c r="C24" s="270">
        <f>ШР!J25</f>
        <v>0.5</v>
      </c>
      <c r="D24" s="271">
        <f>ШР!E8*0.5</f>
        <v>7000</v>
      </c>
      <c r="E24" s="255">
        <f>C24</f>
        <v>0.5</v>
      </c>
      <c r="F24" s="256">
        <f>D24*12</f>
        <v>84000</v>
      </c>
      <c r="G24" s="1441"/>
      <c r="H24" s="2321">
        <f>ШР!J24</f>
        <v>84000</v>
      </c>
      <c r="I24" s="2321"/>
    </row>
    <row r="25" spans="1:9" ht="15.6">
      <c r="A25" s="258"/>
      <c r="B25" s="259" t="s">
        <v>704</v>
      </c>
      <c r="C25" s="259"/>
      <c r="D25" s="260"/>
      <c r="E25" s="407">
        <f>C25</f>
        <v>0</v>
      </c>
      <c r="F25" s="408">
        <f>D25*12</f>
        <v>0</v>
      </c>
    </row>
    <row r="26" spans="1:9" s="257" customFormat="1" ht="15" customHeight="1">
      <c r="A26" s="258"/>
      <c r="B26" s="261" t="s">
        <v>705</v>
      </c>
      <c r="C26" s="262"/>
      <c r="D26" s="263">
        <f>SUM(D27:D28)</f>
        <v>1540</v>
      </c>
      <c r="E26" s="409">
        <f>C24</f>
        <v>0.5</v>
      </c>
      <c r="F26" s="410">
        <f>F27+F28</f>
        <v>4065.6</v>
      </c>
      <c r="H26" s="2321"/>
      <c r="I26" s="2321"/>
    </row>
    <row r="27" spans="1:9" ht="15.6">
      <c r="A27" s="258"/>
      <c r="B27" s="264" t="s">
        <v>706</v>
      </c>
      <c r="C27" s="265">
        <f>'Вхідні дані'!D$43</f>
        <v>0.22</v>
      </c>
      <c r="D27" s="266">
        <f>(D24-D25)*C27</f>
        <v>1540</v>
      </c>
      <c r="E27" s="411">
        <f>E26-C25</f>
        <v>0.5</v>
      </c>
      <c r="F27" s="412">
        <f>(D27*12)*C27</f>
        <v>4065.6</v>
      </c>
    </row>
    <row r="28" spans="1:9" ht="15.6">
      <c r="A28" s="258"/>
      <c r="B28" s="264" t="s">
        <v>707</v>
      </c>
      <c r="C28" s="267">
        <f>'Вхідні дані'!D$44</f>
        <v>8.4099999999999994E-2</v>
      </c>
      <c r="D28" s="266">
        <f>D25*C28</f>
        <v>0</v>
      </c>
      <c r="E28" s="411">
        <f>C25</f>
        <v>0</v>
      </c>
      <c r="F28" s="412">
        <f>(D28*12)*C28</f>
        <v>0</v>
      </c>
    </row>
    <row r="29" spans="1:9" s="257" customFormat="1" ht="27.6">
      <c r="A29" s="268" t="s">
        <v>712</v>
      </c>
      <c r="B29" s="272" t="s">
        <v>1689</v>
      </c>
      <c r="C29" s="1947">
        <f>ШР!K25</f>
        <v>28.284153005464479</v>
      </c>
      <c r="D29" s="271">
        <f>ШР!E21+ШР!E20+ШР!E17+ШР!E16/366*(366-157)+ШР!E15</f>
        <v>196939.07103825136</v>
      </c>
      <c r="E29" s="2317">
        <f>C29</f>
        <v>28.284153005464479</v>
      </c>
      <c r="F29" s="256">
        <f>D29*12</f>
        <v>2363268.8524590163</v>
      </c>
      <c r="H29" s="2321">
        <f>ШР!K24</f>
        <v>2363268.8524590163</v>
      </c>
      <c r="I29" s="617">
        <f t="shared" ref="I29:I39" si="0">H29-F29</f>
        <v>0</v>
      </c>
    </row>
    <row r="30" spans="1:9" s="257" customFormat="1" ht="15.6">
      <c r="A30" s="273"/>
      <c r="B30" s="259" t="s">
        <v>704</v>
      </c>
      <c r="C30" s="274"/>
      <c r="D30" s="275"/>
      <c r="E30" s="407">
        <f>C30</f>
        <v>0</v>
      </c>
      <c r="F30" s="408">
        <f>D30*12</f>
        <v>0</v>
      </c>
      <c r="H30" s="2321"/>
      <c r="I30" s="617"/>
    </row>
    <row r="31" spans="1:9" s="257" customFormat="1" ht="15.6">
      <c r="A31" s="273"/>
      <c r="B31" s="261" t="s">
        <v>705</v>
      </c>
      <c r="C31" s="262"/>
      <c r="D31" s="263">
        <f>SUM(D32:D33)</f>
        <v>43326.5956284153</v>
      </c>
      <c r="E31" s="2318">
        <f>C29</f>
        <v>28.284153005464479</v>
      </c>
      <c r="F31" s="410">
        <f>F32+F33</f>
        <v>114382.2124590164</v>
      </c>
      <c r="H31" s="2321"/>
      <c r="I31" s="617"/>
    </row>
    <row r="32" spans="1:9" s="257" customFormat="1" ht="15.6">
      <c r="A32" s="273"/>
      <c r="B32" s="264" t="s">
        <v>706</v>
      </c>
      <c r="C32" s="265">
        <f>'Вхідні дані'!D$43</f>
        <v>0.22</v>
      </c>
      <c r="D32" s="266">
        <f>(D29-D30)*C32</f>
        <v>43326.5956284153</v>
      </c>
      <c r="E32" s="2319">
        <f>E31-C30</f>
        <v>28.284153005464479</v>
      </c>
      <c r="F32" s="412">
        <f>(D32*12)*C32</f>
        <v>114382.2124590164</v>
      </c>
      <c r="H32" s="2321"/>
      <c r="I32" s="617"/>
    </row>
    <row r="33" spans="1:9" s="257" customFormat="1" ht="15.6">
      <c r="A33" s="273"/>
      <c r="B33" s="264" t="s">
        <v>707</v>
      </c>
      <c r="C33" s="267">
        <f>'Вхідні дані'!D$44</f>
        <v>8.4099999999999994E-2</v>
      </c>
      <c r="D33" s="266">
        <f>D30*C33</f>
        <v>0</v>
      </c>
      <c r="E33" s="411">
        <f>C30</f>
        <v>0</v>
      </c>
      <c r="F33" s="412">
        <f>(D33*12)*C33</f>
        <v>0</v>
      </c>
      <c r="H33" s="2321"/>
      <c r="I33" s="617"/>
    </row>
    <row r="34" spans="1:9" s="257" customFormat="1" ht="27.6">
      <c r="A34" s="268" t="s">
        <v>713</v>
      </c>
      <c r="B34" s="269" t="s">
        <v>1691</v>
      </c>
      <c r="C34" s="270">
        <v>0</v>
      </c>
      <c r="D34" s="271">
        <v>0</v>
      </c>
      <c r="E34" s="255">
        <f>C34</f>
        <v>0</v>
      </c>
      <c r="F34" s="256">
        <f>D34*12</f>
        <v>0</v>
      </c>
      <c r="H34" s="2321"/>
      <c r="I34" s="617"/>
    </row>
    <row r="35" spans="1:9" s="257" customFormat="1" ht="15.6">
      <c r="A35" s="273"/>
      <c r="B35" s="259" t="s">
        <v>704</v>
      </c>
      <c r="C35" s="274">
        <f>1-1</f>
        <v>0</v>
      </c>
      <c r="D35" s="275">
        <v>0</v>
      </c>
      <c r="E35" s="407">
        <f>C35</f>
        <v>0</v>
      </c>
      <c r="F35" s="408">
        <f>D35*12</f>
        <v>0</v>
      </c>
      <c r="H35" s="2321"/>
      <c r="I35" s="617"/>
    </row>
    <row r="36" spans="1:9" s="257" customFormat="1" ht="15.6">
      <c r="A36" s="273"/>
      <c r="B36" s="261" t="s">
        <v>705</v>
      </c>
      <c r="C36" s="262"/>
      <c r="D36" s="263">
        <f>SUM(D37:D38)</f>
        <v>0</v>
      </c>
      <c r="E36" s="409">
        <f>C34</f>
        <v>0</v>
      </c>
      <c r="F36" s="410">
        <f>F37+F38</f>
        <v>0</v>
      </c>
      <c r="H36" s="2321"/>
      <c r="I36" s="617"/>
    </row>
    <row r="37" spans="1:9" s="257" customFormat="1" ht="15.6">
      <c r="A37" s="273"/>
      <c r="B37" s="264" t="s">
        <v>706</v>
      </c>
      <c r="C37" s="265">
        <f>'Вхідні дані'!D$43</f>
        <v>0.22</v>
      </c>
      <c r="D37" s="266">
        <f>(D34-D35)*C37</f>
        <v>0</v>
      </c>
      <c r="E37" s="411">
        <f>E36-C35</f>
        <v>0</v>
      </c>
      <c r="F37" s="412">
        <f>(D37*12)*C37</f>
        <v>0</v>
      </c>
      <c r="H37" s="2321"/>
      <c r="I37" s="617"/>
    </row>
    <row r="38" spans="1:9" s="257" customFormat="1" ht="15.6">
      <c r="A38" s="273"/>
      <c r="B38" s="264" t="s">
        <v>707</v>
      </c>
      <c r="C38" s="267">
        <f>'Вхідні дані'!D$44</f>
        <v>8.4099999999999994E-2</v>
      </c>
      <c r="D38" s="266">
        <f>D35*C38</f>
        <v>0</v>
      </c>
      <c r="E38" s="411">
        <f>C35</f>
        <v>0</v>
      </c>
      <c r="F38" s="412">
        <f>(D38*12)*C38</f>
        <v>0</v>
      </c>
      <c r="H38" s="2321"/>
      <c r="I38" s="617"/>
    </row>
    <row r="39" spans="1:9" ht="15.6">
      <c r="A39" s="268" t="s">
        <v>712</v>
      </c>
      <c r="B39" s="269" t="s">
        <v>714</v>
      </c>
      <c r="C39" s="270">
        <f>ШР!M25</f>
        <v>6</v>
      </c>
      <c r="D39" s="271">
        <f>ШР!E23+ШР!E22+ШР!E14+ШР!E13+ШР!E12+ШР!E11+ШР!E10</f>
        <v>67400</v>
      </c>
      <c r="E39" s="255">
        <f>C39</f>
        <v>6</v>
      </c>
      <c r="F39" s="256">
        <f>D39*12</f>
        <v>808800</v>
      </c>
      <c r="H39" s="616">
        <f>ШР!M24</f>
        <v>808800</v>
      </c>
      <c r="I39" s="617">
        <f t="shared" si="0"/>
        <v>0</v>
      </c>
    </row>
    <row r="40" spans="1:9" ht="15.6">
      <c r="A40" s="258"/>
      <c r="B40" s="259" t="s">
        <v>704</v>
      </c>
      <c r="C40" s="259"/>
      <c r="D40" s="260"/>
      <c r="E40" s="407">
        <f>C40</f>
        <v>0</v>
      </c>
      <c r="F40" s="408">
        <f>D40*12</f>
        <v>0</v>
      </c>
      <c r="I40" s="617"/>
    </row>
    <row r="41" spans="1:9" s="257" customFormat="1" ht="15.6">
      <c r="A41" s="258"/>
      <c r="B41" s="261" t="s">
        <v>705</v>
      </c>
      <c r="C41" s="262"/>
      <c r="D41" s="263">
        <f>SUM(D42:D43)</f>
        <v>14828</v>
      </c>
      <c r="E41" s="409">
        <f>C39</f>
        <v>6</v>
      </c>
      <c r="F41" s="410">
        <f>F42+F43</f>
        <v>39145.919999999998</v>
      </c>
      <c r="H41" s="2321"/>
      <c r="I41" s="617"/>
    </row>
    <row r="42" spans="1:9" ht="15.6">
      <c r="A42" s="258"/>
      <c r="B42" s="264" t="s">
        <v>706</v>
      </c>
      <c r="C42" s="265">
        <f>'Вхідні дані'!D$43</f>
        <v>0.22</v>
      </c>
      <c r="D42" s="266">
        <f>(D39-D40)*C42</f>
        <v>14828</v>
      </c>
      <c r="E42" s="411">
        <f>E41-C40</f>
        <v>6</v>
      </c>
      <c r="F42" s="412">
        <f>(D42*12)*C42</f>
        <v>39145.919999999998</v>
      </c>
      <c r="I42" s="617"/>
    </row>
    <row r="43" spans="1:9" ht="15.6">
      <c r="A43" s="258"/>
      <c r="B43" s="264" t="s">
        <v>707</v>
      </c>
      <c r="C43" s="267">
        <f>'Вхідні дані'!D$44</f>
        <v>8.4099999999999994E-2</v>
      </c>
      <c r="D43" s="266">
        <f>D40*C43</f>
        <v>0</v>
      </c>
      <c r="E43" s="411">
        <f>C40</f>
        <v>0</v>
      </c>
      <c r="F43" s="412">
        <f>(D43*12)*C43</f>
        <v>0</v>
      </c>
      <c r="I43" s="617"/>
    </row>
    <row r="44" spans="1:9" ht="15.6">
      <c r="A44" s="268" t="s">
        <v>713</v>
      </c>
      <c r="B44" s="269" t="s">
        <v>715</v>
      </c>
      <c r="C44" s="276">
        <f>ШР!N25</f>
        <v>5.5</v>
      </c>
      <c r="D44" s="271">
        <f>ШР!E4+ШР!E5+ШР!E6+ШР!E7+ШР!E8*0.5+ШР!E9+ШР!E19</f>
        <v>88500</v>
      </c>
      <c r="E44" s="255">
        <f>C44</f>
        <v>5.5</v>
      </c>
      <c r="F44" s="256">
        <f>D44*12</f>
        <v>1062000</v>
      </c>
      <c r="H44" s="616">
        <f>ШР!N24</f>
        <v>1062000</v>
      </c>
      <c r="I44" s="617">
        <f>H44-F44</f>
        <v>0</v>
      </c>
    </row>
    <row r="45" spans="1:9" ht="15.6">
      <c r="A45" s="258"/>
      <c r="B45" s="259" t="s">
        <v>704</v>
      </c>
      <c r="C45" s="259">
        <v>0</v>
      </c>
      <c r="D45" s="260"/>
      <c r="E45" s="407">
        <f>C45</f>
        <v>0</v>
      </c>
      <c r="F45" s="408">
        <f>D45*12</f>
        <v>0</v>
      </c>
      <c r="I45" s="617"/>
    </row>
    <row r="46" spans="1:9" s="257" customFormat="1" ht="15.6">
      <c r="A46" s="258"/>
      <c r="B46" s="261" t="s">
        <v>705</v>
      </c>
      <c r="C46" s="262"/>
      <c r="D46" s="263">
        <f>SUM(D47:D48)</f>
        <v>19470</v>
      </c>
      <c r="E46" s="409">
        <f>C44</f>
        <v>5.5</v>
      </c>
      <c r="F46" s="410">
        <f>F47+F48</f>
        <v>51400.800000000003</v>
      </c>
      <c r="H46" s="2321"/>
      <c r="I46" s="617"/>
    </row>
    <row r="47" spans="1:9" ht="15.6">
      <c r="A47" s="258"/>
      <c r="B47" s="264" t="s">
        <v>706</v>
      </c>
      <c r="C47" s="265">
        <f>'Вхідні дані'!D$43</f>
        <v>0.22</v>
      </c>
      <c r="D47" s="266">
        <f>(D44-D45)*C47</f>
        <v>19470</v>
      </c>
      <c r="E47" s="411">
        <f>E46-C45</f>
        <v>5.5</v>
      </c>
      <c r="F47" s="412">
        <f>(D47*12)*C47</f>
        <v>51400.800000000003</v>
      </c>
      <c r="I47" s="617"/>
    </row>
    <row r="48" spans="1:9" ht="16.2" thickBot="1">
      <c r="A48" s="277"/>
      <c r="B48" s="278" t="s">
        <v>707</v>
      </c>
      <c r="C48" s="267">
        <f>'Вхідні дані'!D$44</f>
        <v>8.4099999999999994E-2</v>
      </c>
      <c r="D48" s="266">
        <f>D45*C48</f>
        <v>0</v>
      </c>
      <c r="E48" s="411">
        <f>C45</f>
        <v>0</v>
      </c>
      <c r="F48" s="412">
        <f>(D48*12)*C48</f>
        <v>0</v>
      </c>
      <c r="I48" s="617"/>
    </row>
    <row r="49" spans="1:9" ht="16.2" thickBot="1">
      <c r="A49" s="279" t="s">
        <v>1675</v>
      </c>
      <c r="B49" s="280" t="s">
        <v>716</v>
      </c>
      <c r="C49" s="281">
        <f>C9+C14+C19+C24+C29+C34+C39+C44</f>
        <v>43</v>
      </c>
      <c r="D49" s="281">
        <f t="shared" ref="D49:F49" si="1">D9+D14+D19+D24+D29+D34+D39+D44</f>
        <v>389850</v>
      </c>
      <c r="E49" s="281">
        <f t="shared" si="1"/>
        <v>43</v>
      </c>
      <c r="F49" s="281">
        <f t="shared" si="1"/>
        <v>4678200</v>
      </c>
      <c r="H49" s="616">
        <f>ШР!F24</f>
        <v>4678200</v>
      </c>
      <c r="I49" s="617">
        <f t="shared" ref="I49" si="2">H49-F49</f>
        <v>0</v>
      </c>
    </row>
    <row r="50" spans="1:9" ht="14.4" thickBot="1">
      <c r="A50" s="287"/>
      <c r="B50" s="282" t="s">
        <v>704</v>
      </c>
      <c r="C50" s="574">
        <f>C10+C15+C20+C25+C30+C35+C40+C45</f>
        <v>0</v>
      </c>
      <c r="D50" s="574">
        <f t="shared" ref="D50:F51" si="3">D10+D15+D20+D25+D30+D35+D40+D45</f>
        <v>0</v>
      </c>
      <c r="E50" s="574">
        <f t="shared" si="3"/>
        <v>0</v>
      </c>
      <c r="F50" s="574">
        <f t="shared" si="3"/>
        <v>0</v>
      </c>
    </row>
    <row r="51" spans="1:9" ht="14.4" thickBot="1">
      <c r="A51" s="280"/>
      <c r="B51" s="280" t="s">
        <v>717</v>
      </c>
      <c r="C51" s="280"/>
      <c r="D51" s="283">
        <f t="shared" si="3"/>
        <v>85767</v>
      </c>
      <c r="E51" s="413"/>
      <c r="F51" s="414">
        <f t="shared" si="3"/>
        <v>226424.88</v>
      </c>
    </row>
    <row r="53" spans="1:9">
      <c r="F53" s="284"/>
    </row>
    <row r="54" spans="1:9" ht="18">
      <c r="B54" s="1532" t="str">
        <f>'Вхідні дані'!B13</f>
        <v>Директор підприємства</v>
      </c>
      <c r="C54" s="285"/>
      <c r="D54" s="1533" t="s">
        <v>353</v>
      </c>
      <c r="E54" s="2988" t="str">
        <f>'Вхідні дані'!F13</f>
        <v>Сергій НІКУЛЬЧА</v>
      </c>
      <c r="F54" s="2988"/>
    </row>
    <row r="55" spans="1:9" ht="15.6">
      <c r="B55" s="249" t="s">
        <v>719</v>
      </c>
      <c r="C55" s="285"/>
      <c r="D55" s="249" t="s">
        <v>196</v>
      </c>
      <c r="E55" s="1949"/>
      <c r="F55" s="285"/>
    </row>
    <row r="56" spans="1:9" ht="18">
      <c r="B56" s="1532" t="str">
        <f>'Вхідні дані'!B16</f>
        <v>Головний бухгалтер</v>
      </c>
      <c r="C56" s="285"/>
      <c r="D56" s="1533" t="s">
        <v>353</v>
      </c>
      <c r="E56" s="2988" t="str">
        <f>'Вхідні дані'!F16</f>
        <v>Ольга ПЄТРОВА</v>
      </c>
      <c r="F56" s="2988"/>
    </row>
    <row r="57" spans="1:9" ht="15.6">
      <c r="B57" s="249" t="s">
        <v>719</v>
      </c>
      <c r="C57" s="285"/>
      <c r="D57" s="249" t="s">
        <v>196</v>
      </c>
      <c r="E57" s="1949"/>
      <c r="F57" s="285"/>
    </row>
    <row r="58" spans="1:9">
      <c r="B58" s="190" t="s">
        <v>718</v>
      </c>
      <c r="E58" s="616"/>
      <c r="F58" s="627"/>
    </row>
    <row r="59" spans="1:9">
      <c r="E59" s="616"/>
      <c r="F59" s="617"/>
    </row>
    <row r="60" spans="1:9">
      <c r="E60" s="616"/>
      <c r="F60" s="617"/>
    </row>
    <row r="61" spans="1:9">
      <c r="E61" s="616"/>
      <c r="F61" s="617"/>
    </row>
  </sheetData>
  <mergeCells count="8">
    <mergeCell ref="E54:F54"/>
    <mergeCell ref="E56:F56"/>
    <mergeCell ref="E1:F1"/>
    <mergeCell ref="A4:D4"/>
    <mergeCell ref="A6:A7"/>
    <mergeCell ref="B6:B7"/>
    <mergeCell ref="C6:D6"/>
    <mergeCell ref="E6:F6"/>
  </mergeCells>
  <pageMargins left="0.70866141732283472" right="0.21" top="0.5" bottom="0.47" header="0.31496062992125984" footer="0.31496062992125984"/>
  <pageSetup paperSize="9" scale="66"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5"/>
  <sheetViews>
    <sheetView workbookViewId="0">
      <selection activeCell="D4" sqref="D4:D23"/>
    </sheetView>
  </sheetViews>
  <sheetFormatPr defaultRowHeight="14.4"/>
  <cols>
    <col min="1" max="1" width="5.88671875" customWidth="1"/>
    <col min="2" max="2" width="25.5546875" customWidth="1"/>
    <col min="4" max="4" width="10" customWidth="1"/>
    <col min="5" max="5" width="11.109375" customWidth="1"/>
    <col min="6" max="6" width="12.33203125" customWidth="1"/>
    <col min="7" max="7" width="4.5546875" customWidth="1"/>
    <col min="8" max="14" width="13.21875" customWidth="1"/>
  </cols>
  <sheetData>
    <row r="1" spans="1:14">
      <c r="A1" s="2994" t="s">
        <v>1940</v>
      </c>
      <c r="B1" s="2994"/>
      <c r="C1" s="2994"/>
      <c r="D1" s="2994"/>
      <c r="E1" s="2994"/>
      <c r="F1" s="2994"/>
    </row>
    <row r="2" spans="1:14" ht="15.6">
      <c r="A2" s="2307"/>
    </row>
    <row r="3" spans="1:14" ht="66.599999999999994">
      <c r="A3" s="2308" t="s">
        <v>7</v>
      </c>
      <c r="B3" s="2308" t="s">
        <v>1941</v>
      </c>
      <c r="C3" s="2308" t="s">
        <v>1942</v>
      </c>
      <c r="D3" s="2308" t="s">
        <v>1943</v>
      </c>
      <c r="E3" s="2308" t="s">
        <v>1944</v>
      </c>
      <c r="F3" s="2308" t="s">
        <v>1945</v>
      </c>
      <c r="G3" s="2003"/>
      <c r="H3" s="2309" t="s">
        <v>1260</v>
      </c>
      <c r="I3" s="2309" t="s">
        <v>1946</v>
      </c>
      <c r="J3" s="2309" t="s">
        <v>759</v>
      </c>
      <c r="K3" s="2309" t="s">
        <v>1895</v>
      </c>
      <c r="L3" s="2309" t="s">
        <v>1947</v>
      </c>
      <c r="M3" s="2309" t="s">
        <v>692</v>
      </c>
      <c r="N3" s="2309" t="s">
        <v>1948</v>
      </c>
    </row>
    <row r="4" spans="1:14">
      <c r="A4" s="2308">
        <v>1</v>
      </c>
      <c r="B4" s="2310" t="s">
        <v>1949</v>
      </c>
      <c r="C4" s="2308">
        <v>1</v>
      </c>
      <c r="D4" s="2311">
        <v>20000</v>
      </c>
      <c r="E4" s="2385">
        <f t="shared" ref="E4:E23" si="0">C4*D4</f>
        <v>20000</v>
      </c>
      <c r="F4" s="2308">
        <f t="shared" ref="F4:F23" si="1">E4*12</f>
        <v>240000</v>
      </c>
      <c r="G4" s="2003"/>
      <c r="H4" s="2309"/>
      <c r="I4" s="2309"/>
      <c r="J4" s="2309"/>
      <c r="K4" s="2309"/>
      <c r="L4" s="2309"/>
      <c r="M4" s="2309"/>
      <c r="N4" s="2309">
        <f>F4</f>
        <v>240000</v>
      </c>
    </row>
    <row r="5" spans="1:14">
      <c r="A5" s="2308">
        <v>2</v>
      </c>
      <c r="B5" s="2312" t="s">
        <v>1950</v>
      </c>
      <c r="C5" s="2308">
        <v>1</v>
      </c>
      <c r="D5" s="2311">
        <v>19000</v>
      </c>
      <c r="E5" s="2385">
        <f t="shared" si="0"/>
        <v>19000</v>
      </c>
      <c r="F5" s="2308">
        <f t="shared" si="1"/>
        <v>228000</v>
      </c>
      <c r="G5" s="2003"/>
      <c r="H5" s="2309"/>
      <c r="I5" s="2309"/>
      <c r="J5" s="2309"/>
      <c r="K5" s="2309"/>
      <c r="L5" s="2309"/>
      <c r="M5" s="2309"/>
      <c r="N5" s="2309">
        <f t="shared" ref="N5:N7" si="2">F5</f>
        <v>228000</v>
      </c>
    </row>
    <row r="6" spans="1:14">
      <c r="A6" s="2308">
        <v>3</v>
      </c>
      <c r="B6" s="2312" t="s">
        <v>1951</v>
      </c>
      <c r="C6" s="2308">
        <v>0.5</v>
      </c>
      <c r="D6" s="2311">
        <v>14000</v>
      </c>
      <c r="E6" s="2385">
        <f t="shared" si="0"/>
        <v>7000</v>
      </c>
      <c r="F6" s="2308">
        <f t="shared" si="1"/>
        <v>84000</v>
      </c>
      <c r="G6" s="2003"/>
      <c r="H6" s="2309"/>
      <c r="I6" s="2309"/>
      <c r="J6" s="2309"/>
      <c r="K6" s="2309"/>
      <c r="L6" s="2309"/>
      <c r="M6" s="2309"/>
      <c r="N6" s="2309">
        <f t="shared" si="2"/>
        <v>84000</v>
      </c>
    </row>
    <row r="7" spans="1:14">
      <c r="A7" s="2308">
        <v>4</v>
      </c>
      <c r="B7" s="2312" t="s">
        <v>419</v>
      </c>
      <c r="C7" s="2308">
        <v>1</v>
      </c>
      <c r="D7" s="2311">
        <v>19000</v>
      </c>
      <c r="E7" s="2385">
        <f t="shared" si="0"/>
        <v>19000</v>
      </c>
      <c r="F7" s="2308">
        <f t="shared" si="1"/>
        <v>228000</v>
      </c>
      <c r="G7" s="2003"/>
      <c r="H7" s="2309"/>
      <c r="I7" s="2309"/>
      <c r="J7" s="2309"/>
      <c r="K7" s="2309"/>
      <c r="L7" s="2309"/>
      <c r="M7" s="2309"/>
      <c r="N7" s="2309">
        <f t="shared" si="2"/>
        <v>228000</v>
      </c>
    </row>
    <row r="8" spans="1:14" ht="53.4">
      <c r="A8" s="2308">
        <v>5</v>
      </c>
      <c r="B8" s="2312" t="s">
        <v>1952</v>
      </c>
      <c r="C8" s="2308">
        <v>1</v>
      </c>
      <c r="D8" s="2311">
        <v>14000</v>
      </c>
      <c r="E8" s="2385">
        <f t="shared" si="0"/>
        <v>14000</v>
      </c>
      <c r="F8" s="2308">
        <f t="shared" si="1"/>
        <v>168000</v>
      </c>
      <c r="G8" s="2003"/>
      <c r="H8" s="2309"/>
      <c r="I8" s="2309"/>
      <c r="J8" s="2309">
        <f>F8*0.5</f>
        <v>84000</v>
      </c>
      <c r="K8" s="2309"/>
      <c r="L8" s="2309"/>
      <c r="M8" s="2309"/>
      <c r="N8" s="2309">
        <f>F8*0.5</f>
        <v>84000</v>
      </c>
    </row>
    <row r="9" spans="1:14">
      <c r="A9" s="2308">
        <v>6</v>
      </c>
      <c r="B9" s="2312" t="s">
        <v>418</v>
      </c>
      <c r="C9" s="2308">
        <v>0.5</v>
      </c>
      <c r="D9" s="2311">
        <v>19000</v>
      </c>
      <c r="E9" s="2385">
        <f t="shared" si="0"/>
        <v>9500</v>
      </c>
      <c r="F9" s="2308">
        <f t="shared" si="1"/>
        <v>114000</v>
      </c>
      <c r="G9" s="2003"/>
      <c r="H9" s="2309"/>
      <c r="I9" s="2309"/>
      <c r="J9" s="2309"/>
      <c r="K9" s="2309"/>
      <c r="L9" s="2309"/>
      <c r="M9" s="2309"/>
      <c r="N9" s="2309">
        <f>F9</f>
        <v>114000</v>
      </c>
    </row>
    <row r="10" spans="1:14">
      <c r="A10" s="2308">
        <v>7</v>
      </c>
      <c r="B10" s="2312" t="s">
        <v>1953</v>
      </c>
      <c r="C10" s="2308">
        <v>1</v>
      </c>
      <c r="D10" s="2311">
        <v>14000</v>
      </c>
      <c r="E10" s="2385">
        <f t="shared" si="0"/>
        <v>14000</v>
      </c>
      <c r="F10" s="2308">
        <f t="shared" si="1"/>
        <v>168000</v>
      </c>
      <c r="G10" s="2003"/>
      <c r="H10" s="2309"/>
      <c r="I10" s="2309"/>
      <c r="J10" s="2309"/>
      <c r="K10" s="2309"/>
      <c r="L10" s="2309"/>
      <c r="M10" s="2309">
        <f>F10</f>
        <v>168000</v>
      </c>
      <c r="N10" s="2309"/>
    </row>
    <row r="11" spans="1:14">
      <c r="A11" s="2308">
        <v>8</v>
      </c>
      <c r="B11" s="2312" t="s">
        <v>1953</v>
      </c>
      <c r="C11" s="2308">
        <v>1</v>
      </c>
      <c r="D11" s="2311">
        <v>14000</v>
      </c>
      <c r="E11" s="2385">
        <f t="shared" si="0"/>
        <v>14000</v>
      </c>
      <c r="F11" s="2308">
        <f t="shared" si="1"/>
        <v>168000</v>
      </c>
      <c r="G11" s="2003"/>
      <c r="H11" s="2309"/>
      <c r="I11" s="2309"/>
      <c r="J11" s="2309"/>
      <c r="K11" s="2309"/>
      <c r="L11" s="2309"/>
      <c r="M11" s="2309">
        <f>F11</f>
        <v>168000</v>
      </c>
      <c r="N11" s="2309"/>
    </row>
    <row r="12" spans="1:14">
      <c r="A12" s="2308">
        <v>9</v>
      </c>
      <c r="B12" s="2312" t="s">
        <v>1954</v>
      </c>
      <c r="C12" s="2308">
        <v>0.5</v>
      </c>
      <c r="D12" s="2311">
        <v>13400</v>
      </c>
      <c r="E12" s="2385">
        <f t="shared" si="0"/>
        <v>6700</v>
      </c>
      <c r="F12" s="2308">
        <f t="shared" si="1"/>
        <v>80400</v>
      </c>
      <c r="G12" s="2003"/>
      <c r="H12" s="2309"/>
      <c r="I12" s="2309"/>
      <c r="J12" s="2309"/>
      <c r="K12" s="2309"/>
      <c r="L12" s="2309"/>
      <c r="M12" s="2309">
        <f>F12</f>
        <v>80400</v>
      </c>
      <c r="N12" s="2309"/>
    </row>
    <row r="13" spans="1:14" ht="27">
      <c r="A13" s="2308">
        <v>10</v>
      </c>
      <c r="B13" s="2312" t="s">
        <v>1955</v>
      </c>
      <c r="C13" s="2311">
        <v>0.5</v>
      </c>
      <c r="D13" s="2311">
        <v>12000</v>
      </c>
      <c r="E13" s="2385">
        <f t="shared" si="0"/>
        <v>6000</v>
      </c>
      <c r="F13" s="2308">
        <f t="shared" si="1"/>
        <v>72000</v>
      </c>
      <c r="G13" s="2003"/>
      <c r="H13" s="2309"/>
      <c r="I13" s="2309"/>
      <c r="J13" s="2309"/>
      <c r="K13" s="2309"/>
      <c r="L13" s="2309"/>
      <c r="M13" s="2309">
        <f>F13</f>
        <v>72000</v>
      </c>
      <c r="N13" s="2309"/>
    </row>
    <row r="14" spans="1:14" ht="43.2" customHeight="1">
      <c r="A14" s="2308">
        <v>11</v>
      </c>
      <c r="B14" s="2312" t="s">
        <v>1956</v>
      </c>
      <c r="C14" s="2311">
        <v>1</v>
      </c>
      <c r="D14" s="2311">
        <v>12000</v>
      </c>
      <c r="E14" s="2385">
        <f t="shared" si="0"/>
        <v>12000</v>
      </c>
      <c r="F14" s="2308">
        <f t="shared" si="1"/>
        <v>144000</v>
      </c>
      <c r="G14" s="2003"/>
      <c r="H14" s="2309"/>
      <c r="I14" s="2309"/>
      <c r="J14" s="2309"/>
      <c r="K14" s="2309"/>
      <c r="L14" s="2309"/>
      <c r="M14" s="2309">
        <f>F14</f>
        <v>144000</v>
      </c>
      <c r="N14" s="2309"/>
    </row>
    <row r="15" spans="1:14">
      <c r="A15" s="2308">
        <v>12</v>
      </c>
      <c r="B15" s="2312" t="s">
        <v>1957</v>
      </c>
      <c r="C15" s="2311">
        <v>0.5</v>
      </c>
      <c r="D15" s="2311">
        <v>7000</v>
      </c>
      <c r="E15" s="2385">
        <f t="shared" si="0"/>
        <v>3500</v>
      </c>
      <c r="F15" s="2308">
        <f t="shared" si="1"/>
        <v>42000</v>
      </c>
      <c r="G15" s="2003"/>
      <c r="H15" s="2309"/>
      <c r="I15" s="2309"/>
      <c r="J15" s="2309"/>
      <c r="K15" s="2309">
        <f>F15</f>
        <v>42000</v>
      </c>
      <c r="L15" s="2309"/>
      <c r="M15" s="2309"/>
      <c r="N15" s="2309"/>
    </row>
    <row r="16" spans="1:14">
      <c r="A16" s="2308">
        <v>13</v>
      </c>
      <c r="B16" s="2312" t="s">
        <v>1958</v>
      </c>
      <c r="C16" s="2311">
        <v>4</v>
      </c>
      <c r="D16" s="2311">
        <v>7000</v>
      </c>
      <c r="E16" s="2385">
        <f t="shared" si="0"/>
        <v>28000</v>
      </c>
      <c r="F16" s="2308">
        <f t="shared" si="1"/>
        <v>336000</v>
      </c>
      <c r="G16" s="2003"/>
      <c r="H16" s="2309"/>
      <c r="I16" s="2309">
        <f>F16/366*157</f>
        <v>144131.1475409836</v>
      </c>
      <c r="J16" s="2309"/>
      <c r="K16" s="2309">
        <f>F16/366*(366-157)</f>
        <v>191868.85245901637</v>
      </c>
      <c r="L16" s="2309"/>
      <c r="M16" s="2309"/>
      <c r="N16" s="2309"/>
    </row>
    <row r="17" spans="1:14">
      <c r="A17" s="2308">
        <v>14</v>
      </c>
      <c r="B17" s="2312" t="s">
        <v>1959</v>
      </c>
      <c r="C17" s="2311">
        <v>2</v>
      </c>
      <c r="D17" s="2311">
        <v>10000</v>
      </c>
      <c r="E17" s="2385">
        <f t="shared" si="0"/>
        <v>20000</v>
      </c>
      <c r="F17" s="2308">
        <f t="shared" si="1"/>
        <v>240000</v>
      </c>
      <c r="G17" s="2003"/>
      <c r="H17" s="2309"/>
      <c r="I17" s="2309"/>
      <c r="J17" s="2309"/>
      <c r="K17" s="2309">
        <f>F17</f>
        <v>240000</v>
      </c>
      <c r="L17" s="2309"/>
      <c r="M17" s="2309"/>
      <c r="N17" s="2309"/>
    </row>
    <row r="18" spans="1:14" ht="15.6">
      <c r="A18" s="2308">
        <v>15</v>
      </c>
      <c r="B18" s="2312" t="s">
        <v>1960</v>
      </c>
      <c r="C18" s="2313">
        <v>1</v>
      </c>
      <c r="D18" s="2313">
        <v>18000</v>
      </c>
      <c r="E18" s="2385">
        <f t="shared" si="0"/>
        <v>18000</v>
      </c>
      <c r="F18" s="2308">
        <f t="shared" si="1"/>
        <v>216000</v>
      </c>
      <c r="G18" s="2314"/>
      <c r="H18" s="2315">
        <f>F18</f>
        <v>216000</v>
      </c>
      <c r="I18" s="2315"/>
      <c r="J18" s="2315"/>
      <c r="K18" s="2315"/>
      <c r="L18" s="2315"/>
      <c r="M18" s="2315"/>
      <c r="N18" s="2315"/>
    </row>
    <row r="19" spans="1:14" ht="15.6">
      <c r="A19" s="2308">
        <v>16</v>
      </c>
      <c r="B19" s="2315" t="s">
        <v>1961</v>
      </c>
      <c r="C19" s="2315">
        <v>1</v>
      </c>
      <c r="D19" s="2386">
        <v>7000</v>
      </c>
      <c r="E19" s="2385">
        <f t="shared" si="0"/>
        <v>7000</v>
      </c>
      <c r="F19" s="2308">
        <f t="shared" si="1"/>
        <v>84000</v>
      </c>
      <c r="G19" s="2314"/>
      <c r="H19" s="2315"/>
      <c r="I19" s="2315"/>
      <c r="J19" s="2315"/>
      <c r="K19" s="2315"/>
      <c r="L19" s="2315"/>
      <c r="M19" s="2315"/>
      <c r="N19" s="2315">
        <f>F19</f>
        <v>84000</v>
      </c>
    </row>
    <row r="20" spans="1:14" ht="15.6">
      <c r="A20" s="2308">
        <v>17</v>
      </c>
      <c r="B20" s="2315" t="s">
        <v>1962</v>
      </c>
      <c r="C20" s="23">
        <v>12.8</v>
      </c>
      <c r="D20" s="23">
        <v>6700</v>
      </c>
      <c r="E20" s="2385">
        <f t="shared" si="0"/>
        <v>85760</v>
      </c>
      <c r="F20" s="2308">
        <f t="shared" si="1"/>
        <v>1029120</v>
      </c>
      <c r="H20" s="23"/>
      <c r="I20" s="23"/>
      <c r="J20" s="23"/>
      <c r="K20" s="23">
        <f>F20</f>
        <v>1029120</v>
      </c>
      <c r="L20" s="23"/>
      <c r="M20" s="23"/>
      <c r="N20" s="23"/>
    </row>
    <row r="21" spans="1:14">
      <c r="A21" s="2308">
        <v>18</v>
      </c>
      <c r="B21" s="23" t="s">
        <v>1963</v>
      </c>
      <c r="C21" s="23">
        <v>10.7</v>
      </c>
      <c r="D21" s="23">
        <v>6700</v>
      </c>
      <c r="E21" s="2385">
        <f t="shared" si="0"/>
        <v>71690</v>
      </c>
      <c r="F21" s="2308">
        <f t="shared" si="1"/>
        <v>860280</v>
      </c>
      <c r="H21" s="23"/>
      <c r="I21" s="23"/>
      <c r="J21" s="23"/>
      <c r="K21" s="23">
        <f>F21</f>
        <v>860280</v>
      </c>
      <c r="L21" s="23"/>
      <c r="M21" s="23"/>
      <c r="N21" s="23"/>
    </row>
    <row r="22" spans="1:14">
      <c r="A22" s="2308">
        <v>19</v>
      </c>
      <c r="B22" s="23" t="s">
        <v>1964</v>
      </c>
      <c r="C22" s="23">
        <v>1</v>
      </c>
      <c r="D22" s="23">
        <v>8000</v>
      </c>
      <c r="E22" s="2385">
        <f t="shared" si="0"/>
        <v>8000</v>
      </c>
      <c r="F22" s="2308">
        <f t="shared" si="1"/>
        <v>96000</v>
      </c>
      <c r="H22" s="23"/>
      <c r="I22" s="23"/>
      <c r="J22" s="23"/>
      <c r="K22" s="23"/>
      <c r="L22" s="23"/>
      <c r="M22" s="23">
        <f>F22</f>
        <v>96000</v>
      </c>
      <c r="N22" s="23"/>
    </row>
    <row r="23" spans="1:14">
      <c r="A23" s="2308">
        <v>20</v>
      </c>
      <c r="B23" s="23" t="s">
        <v>1965</v>
      </c>
      <c r="C23" s="23">
        <v>1</v>
      </c>
      <c r="D23" s="23">
        <v>6700</v>
      </c>
      <c r="E23" s="2385">
        <f t="shared" si="0"/>
        <v>6700</v>
      </c>
      <c r="F23" s="2308">
        <f t="shared" si="1"/>
        <v>80400</v>
      </c>
      <c r="H23" s="23"/>
      <c r="I23" s="23"/>
      <c r="J23" s="23"/>
      <c r="K23" s="23"/>
      <c r="L23" s="23"/>
      <c r="M23" s="23">
        <f>F23</f>
        <v>80400</v>
      </c>
      <c r="N23" s="23"/>
    </row>
    <row r="24" spans="1:14">
      <c r="A24" s="23"/>
      <c r="B24" s="23"/>
      <c r="C24" s="23">
        <f>SUM(C4:C23)</f>
        <v>43</v>
      </c>
      <c r="D24" s="23"/>
      <c r="E24" s="23">
        <f>SUM(E4:E23)</f>
        <v>389850</v>
      </c>
      <c r="F24" s="23">
        <f>SUM(F4:F23)</f>
        <v>4678200</v>
      </c>
      <c r="H24" s="23">
        <f>SUM(H4:H23)</f>
        <v>216000</v>
      </c>
      <c r="I24" s="23">
        <f t="shared" ref="I24:N24" si="3">SUM(I4:I23)</f>
        <v>144131.1475409836</v>
      </c>
      <c r="J24" s="23">
        <f t="shared" si="3"/>
        <v>84000</v>
      </c>
      <c r="K24" s="23">
        <f t="shared" si="3"/>
        <v>2363268.8524590163</v>
      </c>
      <c r="L24" s="23">
        <f t="shared" si="3"/>
        <v>0</v>
      </c>
      <c r="M24" s="23">
        <f t="shared" si="3"/>
        <v>808800</v>
      </c>
      <c r="N24" s="23">
        <f t="shared" si="3"/>
        <v>1062000</v>
      </c>
    </row>
    <row r="25" spans="1:14">
      <c r="E25" s="2320">
        <f>E24*12</f>
        <v>4678200</v>
      </c>
      <c r="F25" s="2320">
        <f>E25-F24</f>
        <v>0</v>
      </c>
      <c r="H25">
        <f>1</f>
        <v>1</v>
      </c>
      <c r="I25" s="2316">
        <f>4/366*157</f>
        <v>1.715846994535519</v>
      </c>
      <c r="J25">
        <v>0.5</v>
      </c>
      <c r="K25" s="2316">
        <f>4/366*(366-157)+0.5+2+12.8+10.7</f>
        <v>28.284153005464479</v>
      </c>
      <c r="M25">
        <f>1+1+0.5+0.5+1+1+1</f>
        <v>6</v>
      </c>
      <c r="N25">
        <f>C4+C5+C6+C7+C8+C9+C19-0.5</f>
        <v>5.5</v>
      </c>
    </row>
  </sheetData>
  <mergeCells count="1">
    <mergeCell ref="A1:F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Лист68">
    <tabColor rgb="FF92D050"/>
    <pageSetUpPr fitToPage="1"/>
  </sheetPr>
  <dimension ref="A1:S32"/>
  <sheetViews>
    <sheetView zoomScaleNormal="100" workbookViewId="0">
      <selection activeCell="H14" sqref="H14:S20"/>
    </sheetView>
  </sheetViews>
  <sheetFormatPr defaultColWidth="9.109375" defaultRowHeight="12"/>
  <cols>
    <col min="1" max="1" width="27.33203125" style="628" customWidth="1"/>
    <col min="2" max="3" width="9.5546875" style="1456" customWidth="1"/>
    <col min="4" max="4" width="12.6640625" style="1457" hidden="1" customWidth="1"/>
    <col min="5" max="5" width="14.44140625" style="628" hidden="1" customWidth="1"/>
    <col min="6" max="6" width="15.33203125" style="628" customWidth="1"/>
    <col min="7" max="7" width="13" style="628" customWidth="1"/>
    <col min="8" max="8" width="12.44140625" style="222" customWidth="1"/>
    <col min="9" max="18" width="11" style="222" bestFit="1" customWidth="1"/>
    <col min="19" max="19" width="10.88671875" style="222" customWidth="1"/>
    <col min="20" max="20" width="10" style="628" bestFit="1" customWidth="1"/>
    <col min="21" max="258" width="9.109375" style="628"/>
    <col min="259" max="259" width="23.5546875" style="628" customWidth="1"/>
    <col min="260" max="260" width="14.33203125" style="628" customWidth="1"/>
    <col min="261" max="272" width="11.33203125" style="628" customWidth="1"/>
    <col min="273" max="273" width="10.109375" style="628" customWidth="1"/>
    <col min="274" max="514" width="9.109375" style="628"/>
    <col min="515" max="515" width="23.5546875" style="628" customWidth="1"/>
    <col min="516" max="516" width="14.33203125" style="628" customWidth="1"/>
    <col min="517" max="528" width="11.33203125" style="628" customWidth="1"/>
    <col min="529" max="529" width="10.109375" style="628" customWidth="1"/>
    <col min="530" max="770" width="9.109375" style="628"/>
    <col min="771" max="771" width="23.5546875" style="628" customWidth="1"/>
    <col min="772" max="772" width="14.33203125" style="628" customWidth="1"/>
    <col min="773" max="784" width="11.33203125" style="628" customWidth="1"/>
    <col min="785" max="785" width="10.109375" style="628" customWidth="1"/>
    <col min="786" max="1026" width="9.109375" style="628"/>
    <col min="1027" max="1027" width="23.5546875" style="628" customWidth="1"/>
    <col min="1028" max="1028" width="14.33203125" style="628" customWidth="1"/>
    <col min="1029" max="1040" width="11.33203125" style="628" customWidth="1"/>
    <col min="1041" max="1041" width="10.109375" style="628" customWidth="1"/>
    <col min="1042" max="1282" width="9.109375" style="628"/>
    <col min="1283" max="1283" width="23.5546875" style="628" customWidth="1"/>
    <col min="1284" max="1284" width="14.33203125" style="628" customWidth="1"/>
    <col min="1285" max="1296" width="11.33203125" style="628" customWidth="1"/>
    <col min="1297" max="1297" width="10.109375" style="628" customWidth="1"/>
    <col min="1298" max="1538" width="9.109375" style="628"/>
    <col min="1539" max="1539" width="23.5546875" style="628" customWidth="1"/>
    <col min="1540" max="1540" width="14.33203125" style="628" customWidth="1"/>
    <col min="1541" max="1552" width="11.33203125" style="628" customWidth="1"/>
    <col min="1553" max="1553" width="10.109375" style="628" customWidth="1"/>
    <col min="1554" max="1794" width="9.109375" style="628"/>
    <col min="1795" max="1795" width="23.5546875" style="628" customWidth="1"/>
    <col min="1796" max="1796" width="14.33203125" style="628" customWidth="1"/>
    <col min="1797" max="1808" width="11.33203125" style="628" customWidth="1"/>
    <col min="1809" max="1809" width="10.109375" style="628" customWidth="1"/>
    <col min="1810" max="2050" width="9.109375" style="628"/>
    <col min="2051" max="2051" width="23.5546875" style="628" customWidth="1"/>
    <col min="2052" max="2052" width="14.33203125" style="628" customWidth="1"/>
    <col min="2053" max="2064" width="11.33203125" style="628" customWidth="1"/>
    <col min="2065" max="2065" width="10.109375" style="628" customWidth="1"/>
    <col min="2066" max="2306" width="9.109375" style="628"/>
    <col min="2307" max="2307" width="23.5546875" style="628" customWidth="1"/>
    <col min="2308" max="2308" width="14.33203125" style="628" customWidth="1"/>
    <col min="2309" max="2320" width="11.33203125" style="628" customWidth="1"/>
    <col min="2321" max="2321" width="10.109375" style="628" customWidth="1"/>
    <col min="2322" max="2562" width="9.109375" style="628"/>
    <col min="2563" max="2563" width="23.5546875" style="628" customWidth="1"/>
    <col min="2564" max="2564" width="14.33203125" style="628" customWidth="1"/>
    <col min="2565" max="2576" width="11.33203125" style="628" customWidth="1"/>
    <col min="2577" max="2577" width="10.109375" style="628" customWidth="1"/>
    <col min="2578" max="2818" width="9.109375" style="628"/>
    <col min="2819" max="2819" width="23.5546875" style="628" customWidth="1"/>
    <col min="2820" max="2820" width="14.33203125" style="628" customWidth="1"/>
    <col min="2821" max="2832" width="11.33203125" style="628" customWidth="1"/>
    <col min="2833" max="2833" width="10.109375" style="628" customWidth="1"/>
    <col min="2834" max="3074" width="9.109375" style="628"/>
    <col min="3075" max="3075" width="23.5546875" style="628" customWidth="1"/>
    <col min="3076" max="3076" width="14.33203125" style="628" customWidth="1"/>
    <col min="3077" max="3088" width="11.33203125" style="628" customWidth="1"/>
    <col min="3089" max="3089" width="10.109375" style="628" customWidth="1"/>
    <col min="3090" max="3330" width="9.109375" style="628"/>
    <col min="3331" max="3331" width="23.5546875" style="628" customWidth="1"/>
    <col min="3332" max="3332" width="14.33203125" style="628" customWidth="1"/>
    <col min="3333" max="3344" width="11.33203125" style="628" customWidth="1"/>
    <col min="3345" max="3345" width="10.109375" style="628" customWidth="1"/>
    <col min="3346" max="3586" width="9.109375" style="628"/>
    <col min="3587" max="3587" width="23.5546875" style="628" customWidth="1"/>
    <col min="3588" max="3588" width="14.33203125" style="628" customWidth="1"/>
    <col min="3589" max="3600" width="11.33203125" style="628" customWidth="1"/>
    <col min="3601" max="3601" width="10.109375" style="628" customWidth="1"/>
    <col min="3602" max="3842" width="9.109375" style="628"/>
    <col min="3843" max="3843" width="23.5546875" style="628" customWidth="1"/>
    <col min="3844" max="3844" width="14.33203125" style="628" customWidth="1"/>
    <col min="3845" max="3856" width="11.33203125" style="628" customWidth="1"/>
    <col min="3857" max="3857" width="10.109375" style="628" customWidth="1"/>
    <col min="3858" max="4098" width="9.109375" style="628"/>
    <col min="4099" max="4099" width="23.5546875" style="628" customWidth="1"/>
    <col min="4100" max="4100" width="14.33203125" style="628" customWidth="1"/>
    <col min="4101" max="4112" width="11.33203125" style="628" customWidth="1"/>
    <col min="4113" max="4113" width="10.109375" style="628" customWidth="1"/>
    <col min="4114" max="4354" width="9.109375" style="628"/>
    <col min="4355" max="4355" width="23.5546875" style="628" customWidth="1"/>
    <col min="4356" max="4356" width="14.33203125" style="628" customWidth="1"/>
    <col min="4357" max="4368" width="11.33203125" style="628" customWidth="1"/>
    <col min="4369" max="4369" width="10.109375" style="628" customWidth="1"/>
    <col min="4370" max="4610" width="9.109375" style="628"/>
    <col min="4611" max="4611" width="23.5546875" style="628" customWidth="1"/>
    <col min="4612" max="4612" width="14.33203125" style="628" customWidth="1"/>
    <col min="4613" max="4624" width="11.33203125" style="628" customWidth="1"/>
    <col min="4625" max="4625" width="10.109375" style="628" customWidth="1"/>
    <col min="4626" max="4866" width="9.109375" style="628"/>
    <col min="4867" max="4867" width="23.5546875" style="628" customWidth="1"/>
    <col min="4868" max="4868" width="14.33203125" style="628" customWidth="1"/>
    <col min="4869" max="4880" width="11.33203125" style="628" customWidth="1"/>
    <col min="4881" max="4881" width="10.109375" style="628" customWidth="1"/>
    <col min="4882" max="5122" width="9.109375" style="628"/>
    <col min="5123" max="5123" width="23.5546875" style="628" customWidth="1"/>
    <col min="5124" max="5124" width="14.33203125" style="628" customWidth="1"/>
    <col min="5125" max="5136" width="11.33203125" style="628" customWidth="1"/>
    <col min="5137" max="5137" width="10.109375" style="628" customWidth="1"/>
    <col min="5138" max="5378" width="9.109375" style="628"/>
    <col min="5379" max="5379" width="23.5546875" style="628" customWidth="1"/>
    <col min="5380" max="5380" width="14.33203125" style="628" customWidth="1"/>
    <col min="5381" max="5392" width="11.33203125" style="628" customWidth="1"/>
    <col min="5393" max="5393" width="10.109375" style="628" customWidth="1"/>
    <col min="5394" max="5634" width="9.109375" style="628"/>
    <col min="5635" max="5635" width="23.5546875" style="628" customWidth="1"/>
    <col min="5636" max="5636" width="14.33203125" style="628" customWidth="1"/>
    <col min="5637" max="5648" width="11.33203125" style="628" customWidth="1"/>
    <col min="5649" max="5649" width="10.109375" style="628" customWidth="1"/>
    <col min="5650" max="5890" width="9.109375" style="628"/>
    <col min="5891" max="5891" width="23.5546875" style="628" customWidth="1"/>
    <col min="5892" max="5892" width="14.33203125" style="628" customWidth="1"/>
    <col min="5893" max="5904" width="11.33203125" style="628" customWidth="1"/>
    <col min="5905" max="5905" width="10.109375" style="628" customWidth="1"/>
    <col min="5906" max="6146" width="9.109375" style="628"/>
    <col min="6147" max="6147" width="23.5546875" style="628" customWidth="1"/>
    <col min="6148" max="6148" width="14.33203125" style="628" customWidth="1"/>
    <col min="6149" max="6160" width="11.33203125" style="628" customWidth="1"/>
    <col min="6161" max="6161" width="10.109375" style="628" customWidth="1"/>
    <col min="6162" max="6402" width="9.109375" style="628"/>
    <col min="6403" max="6403" width="23.5546875" style="628" customWidth="1"/>
    <col min="6404" max="6404" width="14.33203125" style="628" customWidth="1"/>
    <col min="6405" max="6416" width="11.33203125" style="628" customWidth="1"/>
    <col min="6417" max="6417" width="10.109375" style="628" customWidth="1"/>
    <col min="6418" max="6658" width="9.109375" style="628"/>
    <col min="6659" max="6659" width="23.5546875" style="628" customWidth="1"/>
    <col min="6660" max="6660" width="14.33203125" style="628" customWidth="1"/>
    <col min="6661" max="6672" width="11.33203125" style="628" customWidth="1"/>
    <col min="6673" max="6673" width="10.109375" style="628" customWidth="1"/>
    <col min="6674" max="6914" width="9.109375" style="628"/>
    <col min="6915" max="6915" width="23.5546875" style="628" customWidth="1"/>
    <col min="6916" max="6916" width="14.33203125" style="628" customWidth="1"/>
    <col min="6917" max="6928" width="11.33203125" style="628" customWidth="1"/>
    <col min="6929" max="6929" width="10.109375" style="628" customWidth="1"/>
    <col min="6930" max="7170" width="9.109375" style="628"/>
    <col min="7171" max="7171" width="23.5546875" style="628" customWidth="1"/>
    <col min="7172" max="7172" width="14.33203125" style="628" customWidth="1"/>
    <col min="7173" max="7184" width="11.33203125" style="628" customWidth="1"/>
    <col min="7185" max="7185" width="10.109375" style="628" customWidth="1"/>
    <col min="7186" max="7426" width="9.109375" style="628"/>
    <col min="7427" max="7427" width="23.5546875" style="628" customWidth="1"/>
    <col min="7428" max="7428" width="14.33203125" style="628" customWidth="1"/>
    <col min="7429" max="7440" width="11.33203125" style="628" customWidth="1"/>
    <col min="7441" max="7441" width="10.109375" style="628" customWidth="1"/>
    <col min="7442" max="7682" width="9.109375" style="628"/>
    <col min="7683" max="7683" width="23.5546875" style="628" customWidth="1"/>
    <col min="7684" max="7684" width="14.33203125" style="628" customWidth="1"/>
    <col min="7685" max="7696" width="11.33203125" style="628" customWidth="1"/>
    <col min="7697" max="7697" width="10.109375" style="628" customWidth="1"/>
    <col min="7698" max="7938" width="9.109375" style="628"/>
    <col min="7939" max="7939" width="23.5546875" style="628" customWidth="1"/>
    <col min="7940" max="7940" width="14.33203125" style="628" customWidth="1"/>
    <col min="7941" max="7952" width="11.33203125" style="628" customWidth="1"/>
    <col min="7953" max="7953" width="10.109375" style="628" customWidth="1"/>
    <col min="7954" max="8194" width="9.109375" style="628"/>
    <col min="8195" max="8195" width="23.5546875" style="628" customWidth="1"/>
    <col min="8196" max="8196" width="14.33203125" style="628" customWidth="1"/>
    <col min="8197" max="8208" width="11.33203125" style="628" customWidth="1"/>
    <col min="8209" max="8209" width="10.109375" style="628" customWidth="1"/>
    <col min="8210" max="8450" width="9.109375" style="628"/>
    <col min="8451" max="8451" width="23.5546875" style="628" customWidth="1"/>
    <col min="8452" max="8452" width="14.33203125" style="628" customWidth="1"/>
    <col min="8453" max="8464" width="11.33203125" style="628" customWidth="1"/>
    <col min="8465" max="8465" width="10.109375" style="628" customWidth="1"/>
    <col min="8466" max="8706" width="9.109375" style="628"/>
    <col min="8707" max="8707" width="23.5546875" style="628" customWidth="1"/>
    <col min="8708" max="8708" width="14.33203125" style="628" customWidth="1"/>
    <col min="8709" max="8720" width="11.33203125" style="628" customWidth="1"/>
    <col min="8721" max="8721" width="10.109375" style="628" customWidth="1"/>
    <col min="8722" max="8962" width="9.109375" style="628"/>
    <col min="8963" max="8963" width="23.5546875" style="628" customWidth="1"/>
    <col min="8964" max="8964" width="14.33203125" style="628" customWidth="1"/>
    <col min="8965" max="8976" width="11.33203125" style="628" customWidth="1"/>
    <col min="8977" max="8977" width="10.109375" style="628" customWidth="1"/>
    <col min="8978" max="9218" width="9.109375" style="628"/>
    <col min="9219" max="9219" width="23.5546875" style="628" customWidth="1"/>
    <col min="9220" max="9220" width="14.33203125" style="628" customWidth="1"/>
    <col min="9221" max="9232" width="11.33203125" style="628" customWidth="1"/>
    <col min="9233" max="9233" width="10.109375" style="628" customWidth="1"/>
    <col min="9234" max="9474" width="9.109375" style="628"/>
    <col min="9475" max="9475" width="23.5546875" style="628" customWidth="1"/>
    <col min="9476" max="9476" width="14.33203125" style="628" customWidth="1"/>
    <col min="9477" max="9488" width="11.33203125" style="628" customWidth="1"/>
    <col min="9489" max="9489" width="10.109375" style="628" customWidth="1"/>
    <col min="9490" max="9730" width="9.109375" style="628"/>
    <col min="9731" max="9731" width="23.5546875" style="628" customWidth="1"/>
    <col min="9732" max="9732" width="14.33203125" style="628" customWidth="1"/>
    <col min="9733" max="9744" width="11.33203125" style="628" customWidth="1"/>
    <col min="9745" max="9745" width="10.109375" style="628" customWidth="1"/>
    <col min="9746" max="9986" width="9.109375" style="628"/>
    <col min="9987" max="9987" width="23.5546875" style="628" customWidth="1"/>
    <col min="9988" max="9988" width="14.33203125" style="628" customWidth="1"/>
    <col min="9989" max="10000" width="11.33203125" style="628" customWidth="1"/>
    <col min="10001" max="10001" width="10.109375" style="628" customWidth="1"/>
    <col min="10002" max="10242" width="9.109375" style="628"/>
    <col min="10243" max="10243" width="23.5546875" style="628" customWidth="1"/>
    <col min="10244" max="10244" width="14.33203125" style="628" customWidth="1"/>
    <col min="10245" max="10256" width="11.33203125" style="628" customWidth="1"/>
    <col min="10257" max="10257" width="10.109375" style="628" customWidth="1"/>
    <col min="10258" max="10498" width="9.109375" style="628"/>
    <col min="10499" max="10499" width="23.5546875" style="628" customWidth="1"/>
    <col min="10500" max="10500" width="14.33203125" style="628" customWidth="1"/>
    <col min="10501" max="10512" width="11.33203125" style="628" customWidth="1"/>
    <col min="10513" max="10513" width="10.109375" style="628" customWidth="1"/>
    <col min="10514" max="10754" width="9.109375" style="628"/>
    <col min="10755" max="10755" width="23.5546875" style="628" customWidth="1"/>
    <col min="10756" max="10756" width="14.33203125" style="628" customWidth="1"/>
    <col min="10757" max="10768" width="11.33203125" style="628" customWidth="1"/>
    <col min="10769" max="10769" width="10.109375" style="628" customWidth="1"/>
    <col min="10770" max="11010" width="9.109375" style="628"/>
    <col min="11011" max="11011" width="23.5546875" style="628" customWidth="1"/>
    <col min="11012" max="11012" width="14.33203125" style="628" customWidth="1"/>
    <col min="11013" max="11024" width="11.33203125" style="628" customWidth="1"/>
    <col min="11025" max="11025" width="10.109375" style="628" customWidth="1"/>
    <col min="11026" max="11266" width="9.109375" style="628"/>
    <col min="11267" max="11267" width="23.5546875" style="628" customWidth="1"/>
    <col min="11268" max="11268" width="14.33203125" style="628" customWidth="1"/>
    <col min="11269" max="11280" width="11.33203125" style="628" customWidth="1"/>
    <col min="11281" max="11281" width="10.109375" style="628" customWidth="1"/>
    <col min="11282" max="11522" width="9.109375" style="628"/>
    <col min="11523" max="11523" width="23.5546875" style="628" customWidth="1"/>
    <col min="11524" max="11524" width="14.33203125" style="628" customWidth="1"/>
    <col min="11525" max="11536" width="11.33203125" style="628" customWidth="1"/>
    <col min="11537" max="11537" width="10.109375" style="628" customWidth="1"/>
    <col min="11538" max="11778" width="9.109375" style="628"/>
    <col min="11779" max="11779" width="23.5546875" style="628" customWidth="1"/>
    <col min="11780" max="11780" width="14.33203125" style="628" customWidth="1"/>
    <col min="11781" max="11792" width="11.33203125" style="628" customWidth="1"/>
    <col min="11793" max="11793" width="10.109375" style="628" customWidth="1"/>
    <col min="11794" max="12034" width="9.109375" style="628"/>
    <col min="12035" max="12035" width="23.5546875" style="628" customWidth="1"/>
    <col min="12036" max="12036" width="14.33203125" style="628" customWidth="1"/>
    <col min="12037" max="12048" width="11.33203125" style="628" customWidth="1"/>
    <col min="12049" max="12049" width="10.109375" style="628" customWidth="1"/>
    <col min="12050" max="12290" width="9.109375" style="628"/>
    <col min="12291" max="12291" width="23.5546875" style="628" customWidth="1"/>
    <col min="12292" max="12292" width="14.33203125" style="628" customWidth="1"/>
    <col min="12293" max="12304" width="11.33203125" style="628" customWidth="1"/>
    <col min="12305" max="12305" width="10.109375" style="628" customWidth="1"/>
    <col min="12306" max="12546" width="9.109375" style="628"/>
    <col min="12547" max="12547" width="23.5546875" style="628" customWidth="1"/>
    <col min="12548" max="12548" width="14.33203125" style="628" customWidth="1"/>
    <col min="12549" max="12560" width="11.33203125" style="628" customWidth="1"/>
    <col min="12561" max="12561" width="10.109375" style="628" customWidth="1"/>
    <col min="12562" max="12802" width="9.109375" style="628"/>
    <col min="12803" max="12803" width="23.5546875" style="628" customWidth="1"/>
    <col min="12804" max="12804" width="14.33203125" style="628" customWidth="1"/>
    <col min="12805" max="12816" width="11.33203125" style="628" customWidth="1"/>
    <col min="12817" max="12817" width="10.109375" style="628" customWidth="1"/>
    <col min="12818" max="13058" width="9.109375" style="628"/>
    <col min="13059" max="13059" width="23.5546875" style="628" customWidth="1"/>
    <col min="13060" max="13060" width="14.33203125" style="628" customWidth="1"/>
    <col min="13061" max="13072" width="11.33203125" style="628" customWidth="1"/>
    <col min="13073" max="13073" width="10.109375" style="628" customWidth="1"/>
    <col min="13074" max="13314" width="9.109375" style="628"/>
    <col min="13315" max="13315" width="23.5546875" style="628" customWidth="1"/>
    <col min="13316" max="13316" width="14.33203125" style="628" customWidth="1"/>
    <col min="13317" max="13328" width="11.33203125" style="628" customWidth="1"/>
    <col min="13329" max="13329" width="10.109375" style="628" customWidth="1"/>
    <col min="13330" max="13570" width="9.109375" style="628"/>
    <col min="13571" max="13571" width="23.5546875" style="628" customWidth="1"/>
    <col min="13572" max="13572" width="14.33203125" style="628" customWidth="1"/>
    <col min="13573" max="13584" width="11.33203125" style="628" customWidth="1"/>
    <col min="13585" max="13585" width="10.109375" style="628" customWidth="1"/>
    <col min="13586" max="13826" width="9.109375" style="628"/>
    <col min="13827" max="13827" width="23.5546875" style="628" customWidth="1"/>
    <col min="13828" max="13828" width="14.33203125" style="628" customWidth="1"/>
    <col min="13829" max="13840" width="11.33203125" style="628" customWidth="1"/>
    <col min="13841" max="13841" width="10.109375" style="628" customWidth="1"/>
    <col min="13842" max="14082" width="9.109375" style="628"/>
    <col min="14083" max="14083" width="23.5546875" style="628" customWidth="1"/>
    <col min="14084" max="14084" width="14.33203125" style="628" customWidth="1"/>
    <col min="14085" max="14096" width="11.33203125" style="628" customWidth="1"/>
    <col min="14097" max="14097" width="10.109375" style="628" customWidth="1"/>
    <col min="14098" max="14338" width="9.109375" style="628"/>
    <col min="14339" max="14339" width="23.5546875" style="628" customWidth="1"/>
    <col min="14340" max="14340" width="14.33203125" style="628" customWidth="1"/>
    <col min="14341" max="14352" width="11.33203125" style="628" customWidth="1"/>
    <col min="14353" max="14353" width="10.109375" style="628" customWidth="1"/>
    <col min="14354" max="14594" width="9.109375" style="628"/>
    <col min="14595" max="14595" width="23.5546875" style="628" customWidth="1"/>
    <col min="14596" max="14596" width="14.33203125" style="628" customWidth="1"/>
    <col min="14597" max="14608" width="11.33203125" style="628" customWidth="1"/>
    <col min="14609" max="14609" width="10.109375" style="628" customWidth="1"/>
    <col min="14610" max="14850" width="9.109375" style="628"/>
    <col min="14851" max="14851" width="23.5546875" style="628" customWidth="1"/>
    <col min="14852" max="14852" width="14.33203125" style="628" customWidth="1"/>
    <col min="14853" max="14864" width="11.33203125" style="628" customWidth="1"/>
    <col min="14865" max="14865" width="10.109375" style="628" customWidth="1"/>
    <col min="14866" max="15106" width="9.109375" style="628"/>
    <col min="15107" max="15107" width="23.5546875" style="628" customWidth="1"/>
    <col min="15108" max="15108" width="14.33203125" style="628" customWidth="1"/>
    <col min="15109" max="15120" width="11.33203125" style="628" customWidth="1"/>
    <col min="15121" max="15121" width="10.109375" style="628" customWidth="1"/>
    <col min="15122" max="15362" width="9.109375" style="628"/>
    <col min="15363" max="15363" width="23.5546875" style="628" customWidth="1"/>
    <col min="15364" max="15364" width="14.33203125" style="628" customWidth="1"/>
    <col min="15365" max="15376" width="11.33203125" style="628" customWidth="1"/>
    <col min="15377" max="15377" width="10.109375" style="628" customWidth="1"/>
    <col min="15378" max="15618" width="9.109375" style="628"/>
    <col min="15619" max="15619" width="23.5546875" style="628" customWidth="1"/>
    <col min="15620" max="15620" width="14.33203125" style="628" customWidth="1"/>
    <col min="15621" max="15632" width="11.33203125" style="628" customWidth="1"/>
    <col min="15633" max="15633" width="10.109375" style="628" customWidth="1"/>
    <col min="15634" max="15874" width="9.109375" style="628"/>
    <col min="15875" max="15875" width="23.5546875" style="628" customWidth="1"/>
    <col min="15876" max="15876" width="14.33203125" style="628" customWidth="1"/>
    <col min="15877" max="15888" width="11.33203125" style="628" customWidth="1"/>
    <col min="15889" max="15889" width="10.109375" style="628" customWidth="1"/>
    <col min="15890" max="16130" width="9.109375" style="628"/>
    <col min="16131" max="16131" width="23.5546875" style="628" customWidth="1"/>
    <col min="16132" max="16132" width="14.33203125" style="628" customWidth="1"/>
    <col min="16133" max="16144" width="11.33203125" style="628" customWidth="1"/>
    <col min="16145" max="16145" width="10.109375" style="628" customWidth="1"/>
    <col min="16146" max="16384" width="9.109375" style="628"/>
  </cols>
  <sheetData>
    <row r="1" spans="1:19" ht="15.6">
      <c r="F1" s="1559" t="s">
        <v>1686</v>
      </c>
      <c r="R1" s="3007" t="s">
        <v>722</v>
      </c>
      <c r="S1" s="3007"/>
    </row>
    <row r="2" spans="1:19">
      <c r="A2" s="1481"/>
    </row>
    <row r="3" spans="1:19" s="1458" customFormat="1" ht="15" customHeight="1">
      <c r="B3" s="1459"/>
      <c r="C3" s="1459"/>
      <c r="D3" s="1460"/>
      <c r="E3" s="3008" t="s">
        <v>721</v>
      </c>
      <c r="F3" s="3008"/>
      <c r="G3" s="3008"/>
      <c r="H3" s="3008"/>
      <c r="I3" s="3008"/>
      <c r="J3" s="3009" t="str">
        <f>'Вхідні дані'!F5&amp;" на плановий період "&amp;'Вхідні дані'!F6</f>
        <v>ТОВ ДП " Моноліт- Сервіс " на плановий період 2023-2024</v>
      </c>
      <c r="K3" s="3009"/>
      <c r="L3" s="3009"/>
      <c r="M3" s="3009"/>
      <c r="N3" s="3009" t="s">
        <v>545</v>
      </c>
      <c r="O3" s="3009"/>
      <c r="P3" s="3009"/>
      <c r="Q3" s="1461"/>
      <c r="R3" s="1461"/>
      <c r="S3" s="1462"/>
    </row>
    <row r="4" spans="1:19" s="1458" customFormat="1" ht="15" thickBot="1">
      <c r="A4" s="1463"/>
      <c r="B4" s="1464"/>
      <c r="C4" s="1464"/>
      <c r="D4" s="1465"/>
      <c r="E4" s="1463"/>
      <c r="F4" s="1463"/>
      <c r="G4" s="1463"/>
      <c r="H4" s="1463"/>
      <c r="I4" s="1463"/>
      <c r="J4" s="1463"/>
      <c r="K4" s="1463"/>
      <c r="L4" s="1462"/>
      <c r="M4" s="1462"/>
      <c r="N4" s="1462"/>
      <c r="O4" s="1462"/>
      <c r="P4" s="1462"/>
      <c r="Q4" s="1462"/>
      <c r="R4" s="1462"/>
      <c r="S4" s="1462"/>
    </row>
    <row r="5" spans="1:19" s="1458" customFormat="1" ht="31.8" customHeight="1" thickBot="1">
      <c r="A5" s="2997" t="s">
        <v>725</v>
      </c>
      <c r="B5" s="1216" t="s">
        <v>673</v>
      </c>
      <c r="C5" s="1216" t="s">
        <v>673</v>
      </c>
      <c r="D5" s="2873" t="str">
        <f>"Тариф "&amp;'Вхідні дані'!$F$9</f>
        <v xml:space="preserve">Тариф </v>
      </c>
      <c r="E5" s="2875"/>
      <c r="F5" s="3003" t="s">
        <v>1613</v>
      </c>
      <c r="G5" s="3001" t="s">
        <v>1615</v>
      </c>
      <c r="H5" s="2999" t="s">
        <v>1614</v>
      </c>
      <c r="I5" s="2999"/>
      <c r="J5" s="2999"/>
      <c r="K5" s="2999"/>
      <c r="L5" s="2999"/>
      <c r="M5" s="2999"/>
      <c r="N5" s="2999"/>
      <c r="O5" s="2999"/>
      <c r="P5" s="2999"/>
      <c r="Q5" s="2999"/>
      <c r="R5" s="2999"/>
      <c r="S5" s="3000"/>
    </row>
    <row r="6" spans="1:19" s="1458" customFormat="1" ht="79.2" customHeight="1" thickBot="1">
      <c r="A6" s="2998"/>
      <c r="B6" s="1217">
        <f>'Вхідні дані'!$F$8</f>
        <v>2021</v>
      </c>
      <c r="C6" s="1217">
        <f>'Вхідні дані'!$F$7</f>
        <v>2022</v>
      </c>
      <c r="D6" s="1216" t="s">
        <v>1496</v>
      </c>
      <c r="E6" s="1466" t="s">
        <v>1616</v>
      </c>
      <c r="F6" s="3004"/>
      <c r="G6" s="3002"/>
      <c r="H6" s="1467">
        <v>45200</v>
      </c>
      <c r="I6" s="1467">
        <v>45231</v>
      </c>
      <c r="J6" s="1467">
        <v>45261</v>
      </c>
      <c r="K6" s="1467">
        <v>45292</v>
      </c>
      <c r="L6" s="1467">
        <v>45323</v>
      </c>
      <c r="M6" s="1467">
        <v>45352</v>
      </c>
      <c r="N6" s="1467">
        <v>45383</v>
      </c>
      <c r="O6" s="1467">
        <v>45413</v>
      </c>
      <c r="P6" s="1467">
        <v>45444</v>
      </c>
      <c r="Q6" s="1467">
        <v>45474</v>
      </c>
      <c r="R6" s="1467">
        <v>45505</v>
      </c>
      <c r="S6" s="1468">
        <v>44805</v>
      </c>
    </row>
    <row r="7" spans="1:19" s="1469" customFormat="1" ht="15.6">
      <c r="A7" s="1455">
        <v>1</v>
      </c>
      <c r="B7" s="623"/>
      <c r="C7" s="623"/>
      <c r="D7" s="1321"/>
      <c r="E7" s="1455">
        <v>2</v>
      </c>
      <c r="F7" s="1455"/>
      <c r="G7" s="1455"/>
      <c r="H7" s="1455">
        <v>3</v>
      </c>
      <c r="I7" s="1455">
        <v>4</v>
      </c>
      <c r="J7" s="1455">
        <v>5</v>
      </c>
      <c r="K7" s="1455">
        <v>6</v>
      </c>
      <c r="L7" s="1455">
        <v>7</v>
      </c>
      <c r="M7" s="1455">
        <v>8</v>
      </c>
      <c r="N7" s="1455">
        <v>9</v>
      </c>
      <c r="O7" s="1455">
        <v>10</v>
      </c>
      <c r="P7" s="1455">
        <v>11</v>
      </c>
      <c r="Q7" s="1455">
        <v>12</v>
      </c>
      <c r="R7" s="1455">
        <v>13</v>
      </c>
      <c r="S7" s="1455">
        <v>14</v>
      </c>
    </row>
    <row r="8" spans="1:19" s="1470" customFormat="1" ht="15.6">
      <c r="A8" s="372" t="s">
        <v>685</v>
      </c>
      <c r="B8" s="623">
        <f>B9+B10+B11+B14+B20</f>
        <v>0</v>
      </c>
      <c r="C8" s="623">
        <f t="shared" ref="C8:G8" si="0">C9+C10+C11+C14+C20</f>
        <v>0</v>
      </c>
      <c r="D8" s="623">
        <f t="shared" si="0"/>
        <v>3123702.4800000004</v>
      </c>
      <c r="E8" s="623">
        <f t="shared" si="0"/>
        <v>20092464.879999999</v>
      </c>
      <c r="F8" s="623">
        <f t="shared" si="0"/>
        <v>0</v>
      </c>
      <c r="G8" s="623">
        <f t="shared" si="0"/>
        <v>18713.579999999998</v>
      </c>
      <c r="H8" s="1558"/>
      <c r="I8" s="1558"/>
      <c r="J8" s="1558"/>
      <c r="K8" s="1558"/>
      <c r="L8" s="1558"/>
      <c r="M8" s="1558"/>
      <c r="N8" s="1558"/>
      <c r="O8" s="1558"/>
      <c r="P8" s="1558"/>
      <c r="Q8" s="1558"/>
      <c r="R8" s="1558"/>
      <c r="S8" s="1558"/>
    </row>
    <row r="9" spans="1:19" s="1470" customFormat="1" ht="15.6">
      <c r="A9" s="1454" t="s">
        <v>1612</v>
      </c>
      <c r="B9" s="623"/>
      <c r="C9" s="623"/>
      <c r="D9" s="623">
        <v>2166000.48</v>
      </c>
      <c r="E9" s="623">
        <v>15930971.230000002</v>
      </c>
      <c r="F9" s="623"/>
      <c r="G9" s="623">
        <f>SUM(H9:S9)</f>
        <v>0</v>
      </c>
      <c r="H9" s="1558"/>
      <c r="I9" s="1558"/>
      <c r="J9" s="1558"/>
      <c r="K9" s="1558"/>
      <c r="L9" s="1558"/>
      <c r="M9" s="1558"/>
      <c r="N9" s="1558"/>
      <c r="O9" s="1558"/>
      <c r="P9" s="1558"/>
      <c r="Q9" s="1558"/>
      <c r="R9" s="1558"/>
      <c r="S9" s="1558"/>
    </row>
    <row r="10" spans="1:19" s="1470" customFormat="1" ht="15.6">
      <c r="A10" s="1454" t="s">
        <v>723</v>
      </c>
      <c r="B10" s="623"/>
      <c r="C10" s="623"/>
      <c r="D10" s="623">
        <v>807411.60000000056</v>
      </c>
      <c r="E10" s="623">
        <v>3303829.8099999959</v>
      </c>
      <c r="F10" s="623"/>
      <c r="G10" s="623">
        <f t="shared" ref="G10:G25" si="1">SUM(H10:S10)</f>
        <v>0</v>
      </c>
      <c r="H10" s="1558"/>
      <c r="I10" s="1558"/>
      <c r="J10" s="1558"/>
      <c r="K10" s="1558"/>
      <c r="L10" s="1558"/>
      <c r="M10" s="1558"/>
      <c r="N10" s="1558"/>
      <c r="O10" s="1558"/>
      <c r="P10" s="1558"/>
      <c r="Q10" s="1558"/>
      <c r="R10" s="1558"/>
      <c r="S10" s="1558"/>
    </row>
    <row r="11" spans="1:19" s="1470" customFormat="1" ht="33.75" customHeight="1">
      <c r="A11" s="1454" t="s">
        <v>684</v>
      </c>
      <c r="B11" s="623"/>
      <c r="C11" s="623"/>
      <c r="D11" s="623">
        <v>15710.519999999995</v>
      </c>
      <c r="E11" s="623">
        <v>44625.919999999998</v>
      </c>
      <c r="F11" s="623"/>
      <c r="G11" s="623">
        <f t="shared" si="1"/>
        <v>0</v>
      </c>
      <c r="H11" s="1558"/>
      <c r="I11" s="1558"/>
      <c r="J11" s="1558"/>
      <c r="K11" s="1558"/>
      <c r="L11" s="1558"/>
      <c r="M11" s="1558"/>
      <c r="N11" s="1558"/>
      <c r="O11" s="1558"/>
      <c r="P11" s="1558"/>
      <c r="Q11" s="1558"/>
      <c r="R11" s="1558"/>
      <c r="S11" s="1558"/>
    </row>
    <row r="12" spans="1:19" s="1470" customFormat="1" ht="30.75" hidden="1" customHeight="1">
      <c r="A12" s="1454" t="s">
        <v>724</v>
      </c>
      <c r="B12" s="623"/>
      <c r="C12" s="623"/>
      <c r="D12" s="623">
        <v>0</v>
      </c>
      <c r="E12" s="623"/>
      <c r="F12" s="623"/>
      <c r="G12" s="623">
        <f t="shared" si="1"/>
        <v>0</v>
      </c>
      <c r="H12" s="1558"/>
      <c r="I12" s="1558"/>
      <c r="J12" s="1558"/>
      <c r="K12" s="1558"/>
      <c r="L12" s="1558"/>
      <c r="M12" s="1558"/>
      <c r="N12" s="1558"/>
      <c r="O12" s="1558"/>
      <c r="P12" s="1558"/>
      <c r="Q12" s="1558"/>
      <c r="R12" s="1558"/>
      <c r="S12" s="1558"/>
    </row>
    <row r="13" spans="1:19" s="1470" customFormat="1" ht="15.6">
      <c r="A13" s="1454" t="s">
        <v>1685</v>
      </c>
      <c r="B13" s="623"/>
      <c r="C13" s="623"/>
      <c r="D13" s="623">
        <v>164413.32</v>
      </c>
      <c r="E13" s="623">
        <v>841122.97</v>
      </c>
      <c r="F13" s="623"/>
      <c r="G13" s="623">
        <f t="shared" si="1"/>
        <v>0</v>
      </c>
      <c r="H13" s="1558"/>
      <c r="I13" s="1558"/>
      <c r="J13" s="1558"/>
      <c r="K13" s="1558"/>
      <c r="L13" s="1558"/>
      <c r="M13" s="1558"/>
      <c r="N13" s="1558"/>
      <c r="O13" s="1558"/>
      <c r="P13" s="1558"/>
      <c r="Q13" s="1558"/>
      <c r="R13" s="1558"/>
      <c r="S13" s="1558"/>
    </row>
    <row r="14" spans="1:19" s="1470" customFormat="1" ht="15.6">
      <c r="A14" s="1454" t="s">
        <v>693</v>
      </c>
      <c r="B14" s="623"/>
      <c r="C14" s="623"/>
      <c r="D14" s="623">
        <v>94087.079999999973</v>
      </c>
      <c r="E14" s="623">
        <v>646911.63000000012</v>
      </c>
      <c r="F14" s="623"/>
      <c r="G14" s="623">
        <f t="shared" si="1"/>
        <v>14519.339999999998</v>
      </c>
      <c r="H14" s="2387">
        <v>1156.98</v>
      </c>
      <c r="I14" s="2387">
        <v>1156.98</v>
      </c>
      <c r="J14" s="2387">
        <v>1156.98</v>
      </c>
      <c r="K14" s="2387">
        <v>1156.98</v>
      </c>
      <c r="L14" s="2387">
        <v>1156.98</v>
      </c>
      <c r="M14" s="2387">
        <v>1156.98</v>
      </c>
      <c r="N14" s="2387">
        <v>1156.98</v>
      </c>
      <c r="O14" s="2387">
        <v>1156.98</v>
      </c>
      <c r="P14" s="2387">
        <v>1156.98</v>
      </c>
      <c r="Q14" s="2387">
        <v>1156.98</v>
      </c>
      <c r="R14" s="2387">
        <v>1474.77</v>
      </c>
      <c r="S14" s="2387">
        <v>1474.77</v>
      </c>
    </row>
    <row r="15" spans="1:19" ht="15.6" hidden="1">
      <c r="A15" s="1322" t="s">
        <v>1557</v>
      </c>
      <c r="B15" s="622"/>
      <c r="C15" s="622"/>
      <c r="D15" s="622"/>
      <c r="E15" s="622"/>
      <c r="F15" s="622"/>
      <c r="G15" s="623">
        <f t="shared" si="1"/>
        <v>0</v>
      </c>
      <c r="H15" s="2388"/>
      <c r="I15" s="2388"/>
      <c r="J15" s="2388"/>
      <c r="K15" s="2388"/>
      <c r="L15" s="2388"/>
      <c r="M15" s="2388"/>
      <c r="N15" s="2388"/>
      <c r="O15" s="2388"/>
      <c r="P15" s="2388"/>
      <c r="Q15" s="2388"/>
      <c r="R15" s="2388"/>
      <c r="S15" s="2388"/>
    </row>
    <row r="16" spans="1:19" ht="15.6" hidden="1">
      <c r="A16" s="1322" t="s">
        <v>1558</v>
      </c>
      <c r="B16" s="622"/>
      <c r="C16" s="622"/>
      <c r="D16" s="622"/>
      <c r="E16" s="622"/>
      <c r="F16" s="622"/>
      <c r="G16" s="623">
        <f t="shared" si="1"/>
        <v>0</v>
      </c>
      <c r="H16" s="2388"/>
      <c r="I16" s="2388"/>
      <c r="J16" s="2388"/>
      <c r="K16" s="2388"/>
      <c r="L16" s="2388"/>
      <c r="M16" s="2388"/>
      <c r="N16" s="2388"/>
      <c r="O16" s="2388"/>
      <c r="P16" s="2388"/>
      <c r="Q16" s="2388"/>
      <c r="R16" s="2388"/>
      <c r="S16" s="2388"/>
    </row>
    <row r="17" spans="1:19" ht="15.6" hidden="1">
      <c r="A17" s="1322" t="s">
        <v>1559</v>
      </c>
      <c r="B17" s="622"/>
      <c r="C17" s="1471"/>
      <c r="D17" s="622"/>
      <c r="E17" s="622"/>
      <c r="F17" s="622"/>
      <c r="G17" s="623">
        <f t="shared" si="1"/>
        <v>0</v>
      </c>
      <c r="H17" s="2388"/>
      <c r="I17" s="2388"/>
      <c r="J17" s="2388"/>
      <c r="K17" s="2388"/>
      <c r="L17" s="2388"/>
      <c r="M17" s="2388"/>
      <c r="N17" s="2388"/>
      <c r="O17" s="2388"/>
      <c r="P17" s="2388"/>
      <c r="Q17" s="2388"/>
      <c r="R17" s="2388"/>
      <c r="S17" s="2388"/>
    </row>
    <row r="18" spans="1:19" ht="15.6" hidden="1">
      <c r="A18" s="1322" t="s">
        <v>1560</v>
      </c>
      <c r="B18" s="622"/>
      <c r="C18" s="622"/>
      <c r="D18" s="622"/>
      <c r="E18" s="622"/>
      <c r="F18" s="622"/>
      <c r="G18" s="623">
        <f t="shared" si="1"/>
        <v>0</v>
      </c>
      <c r="H18" s="2388"/>
      <c r="I18" s="2388"/>
      <c r="J18" s="2388"/>
      <c r="K18" s="2388"/>
      <c r="L18" s="2388"/>
      <c r="M18" s="2388"/>
      <c r="N18" s="2388"/>
      <c r="O18" s="2388"/>
      <c r="P18" s="2388"/>
      <c r="Q18" s="2388"/>
      <c r="R18" s="2388"/>
      <c r="S18" s="2388"/>
    </row>
    <row r="19" spans="1:19" ht="15.6" hidden="1">
      <c r="A19" s="1322" t="s">
        <v>1561</v>
      </c>
      <c r="B19" s="622"/>
      <c r="C19" s="622"/>
      <c r="D19" s="622"/>
      <c r="E19" s="622"/>
      <c r="F19" s="622"/>
      <c r="G19" s="623">
        <f t="shared" si="1"/>
        <v>0</v>
      </c>
      <c r="H19" s="2388"/>
      <c r="I19" s="2388"/>
      <c r="J19" s="2388"/>
      <c r="K19" s="2388"/>
      <c r="L19" s="2388"/>
      <c r="M19" s="2388"/>
      <c r="N19" s="2388"/>
      <c r="O19" s="2388"/>
      <c r="P19" s="2388"/>
      <c r="Q19" s="2388"/>
      <c r="R19" s="2388"/>
      <c r="S19" s="2388"/>
    </row>
    <row r="20" spans="1:19" s="1470" customFormat="1" ht="15.6">
      <c r="A20" s="1454" t="s">
        <v>720</v>
      </c>
      <c r="B20" s="623"/>
      <c r="C20" s="623"/>
      <c r="D20" s="623">
        <v>40492.80000000001</v>
      </c>
      <c r="E20" s="623">
        <v>166126.29</v>
      </c>
      <c r="F20" s="623"/>
      <c r="G20" s="623">
        <f t="shared" si="1"/>
        <v>4194.24</v>
      </c>
      <c r="H20" s="2387">
        <v>349.52</v>
      </c>
      <c r="I20" s="2387">
        <v>349.52</v>
      </c>
      <c r="J20" s="2387">
        <v>349.52</v>
      </c>
      <c r="K20" s="2387">
        <v>349.52</v>
      </c>
      <c r="L20" s="2387">
        <v>349.52</v>
      </c>
      <c r="M20" s="2387">
        <v>349.52</v>
      </c>
      <c r="N20" s="2387">
        <v>349.52</v>
      </c>
      <c r="O20" s="2387">
        <v>349.52</v>
      </c>
      <c r="P20" s="2387">
        <v>349.52</v>
      </c>
      <c r="Q20" s="2387">
        <v>349.52</v>
      </c>
      <c r="R20" s="2387">
        <v>349.52</v>
      </c>
      <c r="S20" s="2387">
        <v>349.52</v>
      </c>
    </row>
    <row r="21" spans="1:19" ht="15.6" hidden="1">
      <c r="A21" s="1322" t="s">
        <v>1557</v>
      </c>
      <c r="B21" s="622">
        <v>82514.990000000005</v>
      </c>
      <c r="C21" s="622">
        <v>40575.42</v>
      </c>
      <c r="D21" s="622"/>
      <c r="E21" s="622"/>
      <c r="F21" s="622"/>
      <c r="G21" s="623">
        <f t="shared" si="1"/>
        <v>0</v>
      </c>
      <c r="H21" s="622"/>
      <c r="I21" s="622"/>
      <c r="J21" s="622"/>
      <c r="K21" s="622"/>
      <c r="L21" s="622"/>
      <c r="M21" s="622"/>
      <c r="N21" s="622"/>
      <c r="O21" s="622"/>
      <c r="P21" s="622"/>
      <c r="Q21" s="622"/>
      <c r="R21" s="622"/>
      <c r="S21" s="622"/>
    </row>
    <row r="22" spans="1:19" ht="15.6" hidden="1">
      <c r="A22" s="1322" t="s">
        <v>1558</v>
      </c>
      <c r="B22" s="622">
        <v>30013.629999999997</v>
      </c>
      <c r="C22" s="622">
        <v>17203.39</v>
      </c>
      <c r="D22" s="622"/>
      <c r="E22" s="622"/>
      <c r="F22" s="622"/>
      <c r="G22" s="623">
        <f t="shared" si="1"/>
        <v>0</v>
      </c>
      <c r="H22" s="622"/>
      <c r="I22" s="622"/>
      <c r="J22" s="622"/>
      <c r="K22" s="622"/>
      <c r="L22" s="622"/>
      <c r="M22" s="622"/>
      <c r="N22" s="622"/>
      <c r="O22" s="622"/>
      <c r="P22" s="622"/>
      <c r="Q22" s="622"/>
      <c r="R22" s="622"/>
      <c r="S22" s="622"/>
    </row>
    <row r="23" spans="1:19" ht="15.6" hidden="1">
      <c r="A23" s="1322" t="s">
        <v>1559</v>
      </c>
      <c r="B23" s="622">
        <v>1270.33</v>
      </c>
      <c r="C23" s="622">
        <v>1451.73</v>
      </c>
      <c r="D23" s="622"/>
      <c r="E23" s="622"/>
      <c r="F23" s="622"/>
      <c r="G23" s="623">
        <f t="shared" si="1"/>
        <v>0</v>
      </c>
      <c r="H23" s="622"/>
      <c r="I23" s="622"/>
      <c r="J23" s="622"/>
      <c r="K23" s="622"/>
      <c r="L23" s="622"/>
      <c r="M23" s="622"/>
      <c r="N23" s="622"/>
      <c r="O23" s="622"/>
      <c r="P23" s="622"/>
      <c r="Q23" s="622"/>
      <c r="R23" s="622"/>
      <c r="S23" s="622"/>
    </row>
    <row r="24" spans="1:19" ht="15.6" hidden="1">
      <c r="A24" s="1322" t="s">
        <v>1560</v>
      </c>
      <c r="B24" s="622">
        <v>19765.09</v>
      </c>
      <c r="C24" s="622">
        <v>9355.15</v>
      </c>
      <c r="D24" s="622"/>
      <c r="E24" s="622"/>
      <c r="F24" s="622"/>
      <c r="G24" s="623">
        <f t="shared" si="1"/>
        <v>0</v>
      </c>
      <c r="H24" s="622"/>
      <c r="I24" s="622"/>
      <c r="J24" s="622"/>
      <c r="K24" s="622"/>
      <c r="L24" s="622"/>
      <c r="M24" s="622"/>
      <c r="N24" s="622"/>
      <c r="O24" s="622"/>
      <c r="P24" s="622"/>
      <c r="Q24" s="622"/>
      <c r="R24" s="622"/>
      <c r="S24" s="622"/>
    </row>
    <row r="25" spans="1:19" ht="15.6" hidden="1">
      <c r="A25" s="1322" t="s">
        <v>1561</v>
      </c>
      <c r="B25" s="622">
        <v>0</v>
      </c>
      <c r="C25" s="622">
        <v>0</v>
      </c>
      <c r="D25" s="622"/>
      <c r="E25" s="622"/>
      <c r="F25" s="622"/>
      <c r="G25" s="623">
        <f t="shared" si="1"/>
        <v>0</v>
      </c>
      <c r="H25" s="622"/>
      <c r="I25" s="622"/>
      <c r="J25" s="622"/>
      <c r="K25" s="622"/>
      <c r="L25" s="622"/>
      <c r="M25" s="622"/>
      <c r="N25" s="622"/>
      <c r="O25" s="622"/>
      <c r="P25" s="622"/>
      <c r="Q25" s="622"/>
      <c r="R25" s="622"/>
      <c r="S25" s="622"/>
    </row>
    <row r="27" spans="1:19" ht="23.25" customHeight="1">
      <c r="R27" s="1472"/>
      <c r="S27" s="1472"/>
    </row>
    <row r="28" spans="1:19" ht="18">
      <c r="A28" s="3005" t="str">
        <f>'Вхідні дані'!B13</f>
        <v>Директор підприємства</v>
      </c>
      <c r="B28" s="3005"/>
      <c r="C28" s="3005"/>
      <c r="E28" s="1473"/>
      <c r="F28" s="1473"/>
      <c r="G28" s="1473"/>
      <c r="H28" s="1474" t="s">
        <v>353</v>
      </c>
      <c r="O28" s="2995" t="str">
        <f>'Вхідні дані'!F13</f>
        <v>Сергій НІКУЛЬЧА</v>
      </c>
      <c r="P28" s="2995"/>
      <c r="Q28" s="2995"/>
      <c r="R28" s="628"/>
      <c r="S28" s="628"/>
    </row>
    <row r="29" spans="1:19" ht="15.6">
      <c r="E29" s="1475"/>
      <c r="F29" s="1475"/>
      <c r="G29" s="1475"/>
      <c r="H29" s="994" t="s">
        <v>196</v>
      </c>
      <c r="O29" s="2996" t="s">
        <v>951</v>
      </c>
      <c r="P29" s="2996"/>
      <c r="Q29" s="2996"/>
      <c r="R29" s="628"/>
      <c r="S29" s="628"/>
    </row>
    <row r="30" spans="1:19" s="222" customFormat="1" ht="18">
      <c r="A30" s="3006" t="str">
        <f>'Вхідні дані'!B16</f>
        <v>Головний бухгалтер</v>
      </c>
      <c r="B30" s="3006"/>
      <c r="C30" s="3006"/>
      <c r="D30" s="1476"/>
      <c r="E30" s="1473"/>
      <c r="F30" s="1473"/>
      <c r="G30" s="1473"/>
      <c r="H30" s="1474" t="s">
        <v>353</v>
      </c>
      <c r="O30" s="2995" t="str">
        <f>'Вхідні дані'!F16</f>
        <v>Ольга ПЄТРОВА</v>
      </c>
      <c r="P30" s="2995"/>
      <c r="Q30" s="2995"/>
    </row>
    <row r="31" spans="1:19" s="222" customFormat="1" ht="15.6">
      <c r="A31" s="1477" t="s">
        <v>718</v>
      </c>
      <c r="B31" s="1456"/>
      <c r="C31" s="1456"/>
      <c r="D31" s="1476"/>
      <c r="F31" s="1477"/>
      <c r="G31" s="1477"/>
      <c r="H31" s="994" t="s">
        <v>196</v>
      </c>
      <c r="O31" s="2996" t="s">
        <v>951</v>
      </c>
      <c r="P31" s="2996"/>
      <c r="Q31" s="2996"/>
    </row>
    <row r="32" spans="1:19" s="222" customFormat="1">
      <c r="A32" s="1478"/>
      <c r="B32" s="1479"/>
      <c r="C32" s="1479"/>
      <c r="D32" s="1480"/>
      <c r="E32" s="628"/>
      <c r="F32" s="628"/>
      <c r="G32" s="628"/>
    </row>
  </sheetData>
  <mergeCells count="15">
    <mergeCell ref="R1:S1"/>
    <mergeCell ref="E3:I3"/>
    <mergeCell ref="J3:M3"/>
    <mergeCell ref="N3:P3"/>
    <mergeCell ref="O28:Q28"/>
    <mergeCell ref="O30:Q30"/>
    <mergeCell ref="O29:Q29"/>
    <mergeCell ref="O31:Q31"/>
    <mergeCell ref="A5:A6"/>
    <mergeCell ref="H5:S5"/>
    <mergeCell ref="G5:G6"/>
    <mergeCell ref="D5:E5"/>
    <mergeCell ref="F5:F6"/>
    <mergeCell ref="A28:C28"/>
    <mergeCell ref="A30:C30"/>
  </mergeCells>
  <pageMargins left="0.28999999999999998" right="0.15748031496062992" top="0.98" bottom="0.27559055118110237" header="0.31496062992125984" footer="0.19685039370078741"/>
  <pageSetup paperSize="9" scale="66" orientation="landscape" horizontalDpi="300" verticalDpi="300"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Лист77">
    <tabColor theme="8" tint="-0.249977111117893"/>
  </sheetPr>
  <dimension ref="A1:G14"/>
  <sheetViews>
    <sheetView workbookViewId="0">
      <selection activeCell="B4" sqref="B4"/>
    </sheetView>
  </sheetViews>
  <sheetFormatPr defaultRowHeight="14.4"/>
  <cols>
    <col min="1" max="1" width="89.6640625" customWidth="1"/>
    <col min="2" max="2" width="19.88671875" customWidth="1"/>
    <col min="3" max="3" width="6.5546875" customWidth="1"/>
    <col min="4" max="4" width="14.5546875" customWidth="1"/>
    <col min="7" max="7" width="13.33203125" customWidth="1"/>
    <col min="8" max="11" width="22.33203125" customWidth="1"/>
  </cols>
  <sheetData>
    <row r="1" spans="1:7" ht="18.600000000000001" customHeight="1">
      <c r="A1" s="2949" t="s">
        <v>1233</v>
      </c>
      <c r="B1" s="2949"/>
      <c r="C1" s="44"/>
      <c r="D1" s="44"/>
      <c r="E1" s="44"/>
    </row>
    <row r="2" spans="1:7" ht="34.950000000000003" customHeight="1">
      <c r="A2" s="3010" t="s">
        <v>1234</v>
      </c>
      <c r="B2" s="3010"/>
      <c r="C2" s="643"/>
      <c r="D2" s="643"/>
      <c r="E2" s="643"/>
    </row>
    <row r="3" spans="1:7" ht="15.6">
      <c r="A3" s="640"/>
      <c r="B3" s="640"/>
      <c r="C3" s="640"/>
      <c r="D3" s="640"/>
      <c r="E3" s="39"/>
    </row>
    <row r="4" spans="1:7" ht="18">
      <c r="A4" s="641" t="s">
        <v>1235</v>
      </c>
      <c r="B4" s="1536">
        <f>B7*B8*B9*B10*B11</f>
        <v>38.073833999999998</v>
      </c>
      <c r="D4" s="3012" t="s">
        <v>1527</v>
      </c>
      <c r="E4" s="23" t="s">
        <v>1681</v>
      </c>
      <c r="F4" s="23"/>
      <c r="G4" s="23"/>
    </row>
    <row r="5" spans="1:7" ht="15.6">
      <c r="A5" s="640"/>
      <c r="B5" s="39"/>
      <c r="D5" s="3013"/>
      <c r="E5" s="3011" t="s">
        <v>1244</v>
      </c>
      <c r="F5" s="3011"/>
      <c r="G5" s="3011"/>
    </row>
    <row r="6" spans="1:7" ht="33.6" customHeight="1">
      <c r="A6" s="642" t="s">
        <v>1236</v>
      </c>
      <c r="B6" s="39"/>
      <c r="D6" s="3014"/>
      <c r="E6" s="567" t="s">
        <v>1245</v>
      </c>
      <c r="F6" s="567" t="s">
        <v>1246</v>
      </c>
      <c r="G6" s="567" t="s">
        <v>1247</v>
      </c>
    </row>
    <row r="7" spans="1:7" ht="35.4" customHeight="1">
      <c r="A7" s="642" t="s">
        <v>1237</v>
      </c>
      <c r="B7" s="39">
        <f>G7</f>
        <v>2589</v>
      </c>
      <c r="D7" s="612" t="s">
        <v>1243</v>
      </c>
      <c r="E7" s="612">
        <v>2589</v>
      </c>
      <c r="F7" s="612">
        <v>2589</v>
      </c>
      <c r="G7" s="1537">
        <v>2589</v>
      </c>
    </row>
    <row r="8" spans="1:7" ht="19.2" customHeight="1">
      <c r="A8" s="642" t="s">
        <v>1238</v>
      </c>
      <c r="B8" s="39">
        <v>2.58</v>
      </c>
    </row>
    <row r="9" spans="1:7" ht="51" customHeight="1">
      <c r="A9" s="642" t="s">
        <v>1239</v>
      </c>
      <c r="B9" s="39">
        <v>2</v>
      </c>
    </row>
    <row r="10" spans="1:7" ht="36.6" customHeight="1">
      <c r="A10" s="642" t="s">
        <v>1240</v>
      </c>
      <c r="B10" s="39">
        <v>0.15</v>
      </c>
    </row>
    <row r="11" spans="1:7" ht="49.2" customHeight="1">
      <c r="A11" s="642" t="s">
        <v>1241</v>
      </c>
      <c r="B11" s="39">
        <v>1.9E-2</v>
      </c>
    </row>
    <row r="12" spans="1:7" ht="33" customHeight="1">
      <c r="A12" s="642" t="s">
        <v>1242</v>
      </c>
      <c r="B12" s="39"/>
    </row>
    <row r="13" spans="1:7" ht="15.6">
      <c r="C13" s="39"/>
      <c r="D13" s="39"/>
      <c r="E13" s="39"/>
    </row>
    <row r="14" spans="1:7" ht="15.6">
      <c r="A14" s="44"/>
      <c r="B14" s="39"/>
      <c r="C14" s="39"/>
      <c r="D14" s="39"/>
      <c r="E14" s="39"/>
    </row>
  </sheetData>
  <mergeCells count="4">
    <mergeCell ref="A2:B2"/>
    <mergeCell ref="E5:G5"/>
    <mergeCell ref="D4:D6"/>
    <mergeCell ref="A1:B1"/>
  </mergeCell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Лист96">
    <tabColor rgb="FF92D050"/>
    <pageSetUpPr fitToPage="1"/>
  </sheetPr>
  <dimension ref="A2:J17"/>
  <sheetViews>
    <sheetView topLeftCell="A3" workbookViewId="0">
      <selection activeCell="C8" sqref="C8:C13"/>
    </sheetView>
  </sheetViews>
  <sheetFormatPr defaultRowHeight="14.4"/>
  <cols>
    <col min="1" max="1" width="5.6640625" customWidth="1"/>
    <col min="2" max="2" width="16.109375" customWidth="1"/>
    <col min="3" max="3" width="13.33203125" customWidth="1"/>
    <col min="4" max="4" width="15.33203125" customWidth="1"/>
    <col min="5" max="5" width="16.21875" customWidth="1"/>
    <col min="6" max="6" width="16.33203125" customWidth="1"/>
    <col min="7" max="7" width="1.6640625" customWidth="1"/>
    <col min="8" max="8" width="13.33203125" customWidth="1"/>
    <col min="10" max="10" width="9.109375" bestFit="1" customWidth="1"/>
  </cols>
  <sheetData>
    <row r="2" spans="1:10">
      <c r="J2" s="629"/>
    </row>
    <row r="3" spans="1:10" s="154" customFormat="1" ht="15.6" customHeight="1">
      <c r="A3" s="3016" t="str">
        <f>"Розрахунок ціни електричної енергії для потреб на планований період "&amp;'Вхідні дані'!F6</f>
        <v>Розрахунок ціни електричної енергії для потреб на планований період 2023-2024</v>
      </c>
      <c r="B3" s="3016"/>
      <c r="C3" s="3016"/>
      <c r="D3" s="3016"/>
      <c r="E3" s="3016"/>
      <c r="F3" s="3016"/>
      <c r="G3" s="3016"/>
      <c r="H3" s="3016"/>
    </row>
    <row r="4" spans="1:10" ht="15.6">
      <c r="A4" s="44"/>
      <c r="B4" s="44"/>
      <c r="C4" s="44"/>
      <c r="D4" s="44"/>
      <c r="E4" s="44"/>
      <c r="F4" s="44"/>
    </row>
    <row r="5" spans="1:10" ht="15.6">
      <c r="A5" s="789" t="str">
        <f>'Вхідні дані'!F1</f>
        <v>станом на 01.09.2023 року</v>
      </c>
      <c r="B5" s="44"/>
      <c r="C5" s="44"/>
      <c r="D5" s="3015"/>
      <c r="E5" s="3015"/>
      <c r="F5" s="3015"/>
      <c r="G5" s="788"/>
      <c r="H5" s="788" t="s">
        <v>1207</v>
      </c>
      <c r="I5" s="789"/>
    </row>
    <row r="6" spans="1:10" ht="111" customHeight="1">
      <c r="A6" s="584" t="s">
        <v>696</v>
      </c>
      <c r="B6" s="584" t="s">
        <v>1208</v>
      </c>
      <c r="C6" s="584" t="s">
        <v>1209</v>
      </c>
      <c r="D6" s="585" t="s">
        <v>1210</v>
      </c>
      <c r="E6" s="585" t="s">
        <v>1573</v>
      </c>
      <c r="F6" s="585" t="s">
        <v>1211</v>
      </c>
      <c r="H6" s="584" t="s">
        <v>1506</v>
      </c>
    </row>
    <row r="7" spans="1:10" s="787" customFormat="1" ht="13.8">
      <c r="A7" s="784">
        <v>1</v>
      </c>
      <c r="B7" s="785">
        <v>2</v>
      </c>
      <c r="C7" s="785">
        <v>3</v>
      </c>
      <c r="D7" s="785">
        <v>4</v>
      </c>
      <c r="E7" s="786">
        <v>5</v>
      </c>
      <c r="F7" s="786">
        <v>6</v>
      </c>
      <c r="H7" s="784">
        <v>7</v>
      </c>
    </row>
    <row r="8" spans="1:10" ht="15.6">
      <c r="A8" s="780">
        <v>1</v>
      </c>
      <c r="B8" s="586" t="s">
        <v>1566</v>
      </c>
      <c r="C8" s="2384">
        <v>2.2000000000000002</v>
      </c>
      <c r="D8" s="2074">
        <v>1.1399999999999999</v>
      </c>
      <c r="E8" s="2075">
        <v>0.1</v>
      </c>
      <c r="F8" s="1535"/>
      <c r="H8" s="587">
        <f t="shared" ref="H8:H14" si="0">C8+D8</f>
        <v>3.34</v>
      </c>
    </row>
    <row r="9" spans="1:10" ht="15.6">
      <c r="A9" s="780">
        <v>2</v>
      </c>
      <c r="B9" s="586" t="s">
        <v>1567</v>
      </c>
      <c r="C9" s="2384">
        <v>2.2000000000000002</v>
      </c>
      <c r="D9" s="2074">
        <v>1.1399999999999999</v>
      </c>
      <c r="E9" s="2075">
        <v>0.1</v>
      </c>
      <c r="F9" s="1535"/>
      <c r="H9" s="587">
        <f t="shared" si="0"/>
        <v>3.34</v>
      </c>
    </row>
    <row r="10" spans="1:10" ht="15.6">
      <c r="A10" s="780">
        <v>3</v>
      </c>
      <c r="B10" s="586" t="s">
        <v>1562</v>
      </c>
      <c r="C10" s="2384">
        <v>2.2000000000000002</v>
      </c>
      <c r="D10" s="2074">
        <v>1.1399999999999999</v>
      </c>
      <c r="E10" s="2075">
        <v>0.1</v>
      </c>
      <c r="F10" s="1535"/>
      <c r="H10" s="587">
        <f t="shared" si="0"/>
        <v>3.34</v>
      </c>
    </row>
    <row r="11" spans="1:10" ht="15.6">
      <c r="A11" s="780">
        <v>4</v>
      </c>
      <c r="B11" s="586" t="s">
        <v>1678</v>
      </c>
      <c r="C11" s="2384">
        <v>2.2000000000000002</v>
      </c>
      <c r="D11" s="2074">
        <v>1.1399999999999999</v>
      </c>
      <c r="E11" s="2075">
        <v>0.1</v>
      </c>
      <c r="F11" s="1535"/>
      <c r="H11" s="587">
        <f t="shared" si="0"/>
        <v>3.34</v>
      </c>
    </row>
    <row r="12" spans="1:10" ht="15.6">
      <c r="A12" s="780">
        <v>5</v>
      </c>
      <c r="B12" s="586" t="s">
        <v>1679</v>
      </c>
      <c r="C12" s="2384">
        <v>2.2000000000000002</v>
      </c>
      <c r="D12" s="2074">
        <v>1.1399999999999999</v>
      </c>
      <c r="E12" s="2075">
        <v>0.1</v>
      </c>
      <c r="F12" s="1535"/>
      <c r="H12" s="587">
        <f t="shared" si="0"/>
        <v>3.34</v>
      </c>
    </row>
    <row r="13" spans="1:10" ht="15.6">
      <c r="A13" s="780">
        <v>6</v>
      </c>
      <c r="B13" s="586" t="s">
        <v>1680</v>
      </c>
      <c r="C13" s="2384">
        <v>2.2000000000000002</v>
      </c>
      <c r="D13" s="2074">
        <v>1.1399999999999999</v>
      </c>
      <c r="E13" s="2075">
        <v>0.1</v>
      </c>
      <c r="F13" s="1535"/>
      <c r="H13" s="587">
        <f t="shared" si="0"/>
        <v>3.34</v>
      </c>
      <c r="J13" s="156"/>
    </row>
    <row r="14" spans="1:10" ht="15.6">
      <c r="A14" s="365"/>
      <c r="B14" s="365" t="s">
        <v>1212</v>
      </c>
      <c r="C14" s="588">
        <f>AVERAGE(C13,C8,C9,C10,C11,C12)</f>
        <v>2.1999999999999997</v>
      </c>
      <c r="D14" s="589">
        <f>D13</f>
        <v>1.1399999999999999</v>
      </c>
      <c r="E14" s="590">
        <f>SUM(E8:E13)/6</f>
        <v>9.9999999999999992E-2</v>
      </c>
      <c r="F14" s="790">
        <f>SUM(F8:F13)/6</f>
        <v>0</v>
      </c>
      <c r="G14" s="791"/>
      <c r="H14" s="587">
        <f t="shared" si="0"/>
        <v>3.34</v>
      </c>
      <c r="J14" s="832"/>
    </row>
    <row r="17" spans="6:8" s="215" customFormat="1" ht="13.95" customHeight="1">
      <c r="F17" s="3017"/>
      <c r="G17" s="3017"/>
      <c r="H17" s="3017"/>
    </row>
  </sheetData>
  <mergeCells count="3">
    <mergeCell ref="D5:F5"/>
    <mergeCell ref="A3:H3"/>
    <mergeCell ref="F17:H17"/>
  </mergeCells>
  <pageMargins left="0.70866141732283472" right="0.51" top="0.74803149606299213" bottom="0.74803149606299213" header="0.31496062992125984" footer="0.31496062992125984"/>
  <pageSetup paperSize="9" scale="91" orientation="portrait" horizontalDpi="0" verticalDpi="0"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97">
    <tabColor rgb="FF92D050"/>
  </sheetPr>
  <dimension ref="A1:I15"/>
  <sheetViews>
    <sheetView workbookViewId="0">
      <selection activeCell="A2" sqref="A2"/>
    </sheetView>
  </sheetViews>
  <sheetFormatPr defaultRowHeight="13.8"/>
  <cols>
    <col min="1" max="1" width="8.88671875" style="9"/>
    <col min="2" max="2" width="17.88671875" style="9" customWidth="1"/>
    <col min="3" max="3" width="13.5546875" style="9" customWidth="1"/>
    <col min="4" max="4" width="13.6640625" style="9" customWidth="1"/>
    <col min="5" max="5" width="14.44140625" style="9" customWidth="1"/>
    <col min="6" max="9" width="13.44140625" style="9" customWidth="1"/>
    <col min="10" max="16384" width="8.88671875" style="9"/>
  </cols>
  <sheetData>
    <row r="1" spans="1:9" ht="30.6" customHeight="1">
      <c r="A1" s="2917" t="str">
        <f>"Розрахунок ціни природного газу для потреб на планований період "&amp;'Вхідні дані'!F6</f>
        <v>Розрахунок ціни природного газу для потреб на планований період 2023-2024</v>
      </c>
      <c r="B1" s="2917"/>
      <c r="C1" s="2917"/>
      <c r="D1" s="2917"/>
      <c r="E1" s="2917"/>
      <c r="F1" s="2917"/>
      <c r="G1" s="2917"/>
      <c r="H1" s="2917"/>
      <c r="I1" s="2917"/>
    </row>
    <row r="2" spans="1:9" ht="19.8" customHeight="1">
      <c r="H2" s="3022" t="s">
        <v>1207</v>
      </c>
      <c r="I2" s="3022"/>
    </row>
    <row r="3" spans="1:9" ht="15.6">
      <c r="A3" s="3018" t="s">
        <v>696</v>
      </c>
      <c r="B3" s="3018" t="s">
        <v>1208</v>
      </c>
      <c r="C3" s="3019" t="s">
        <v>1513</v>
      </c>
      <c r="D3" s="3019"/>
      <c r="E3" s="3019" t="s">
        <v>1514</v>
      </c>
      <c r="F3" s="3019"/>
      <c r="G3" s="3019" t="s">
        <v>1515</v>
      </c>
      <c r="H3" s="3019"/>
      <c r="I3" s="3020" t="s">
        <v>1568</v>
      </c>
    </row>
    <row r="4" spans="1:9" ht="93.6">
      <c r="A4" s="3018"/>
      <c r="B4" s="3018"/>
      <c r="C4" s="584" t="s">
        <v>1569</v>
      </c>
      <c r="D4" s="584" t="s">
        <v>1570</v>
      </c>
      <c r="E4" s="584" t="s">
        <v>1569</v>
      </c>
      <c r="F4" s="584" t="s">
        <v>1571</v>
      </c>
      <c r="G4" s="584" t="s">
        <v>1569</v>
      </c>
      <c r="H4" s="584" t="s">
        <v>1572</v>
      </c>
      <c r="I4" s="3021"/>
    </row>
    <row r="5" spans="1:9" s="41" customFormat="1" ht="13.2">
      <c r="A5" s="647" t="s">
        <v>1259</v>
      </c>
      <c r="B5" s="1328">
        <v>1</v>
      </c>
      <c r="C5" s="1328">
        <v>2</v>
      </c>
      <c r="D5" s="1328">
        <v>3</v>
      </c>
      <c r="E5" s="1328">
        <v>4</v>
      </c>
      <c r="F5" s="1328">
        <v>5</v>
      </c>
      <c r="G5" s="1328">
        <v>6</v>
      </c>
      <c r="H5" s="1328">
        <v>7</v>
      </c>
      <c r="I5" s="786">
        <v>8</v>
      </c>
    </row>
    <row r="6" spans="1:9" ht="15.6">
      <c r="A6" s="780">
        <v>1</v>
      </c>
      <c r="B6" s="586" t="s">
        <v>1563</v>
      </c>
      <c r="C6" s="1338">
        <v>6183.33</v>
      </c>
      <c r="D6" s="1338">
        <v>136.57599999999999</v>
      </c>
      <c r="E6" s="1338"/>
      <c r="F6" s="1338"/>
      <c r="G6" s="1338"/>
      <c r="H6" s="1338"/>
      <c r="I6" s="998">
        <v>1090</v>
      </c>
    </row>
    <row r="7" spans="1:9" ht="15.6">
      <c r="A7" s="780">
        <f>A6+1</f>
        <v>2</v>
      </c>
      <c r="B7" s="586" t="s">
        <v>1564</v>
      </c>
      <c r="C7" s="1338">
        <v>6183.33</v>
      </c>
      <c r="D7" s="1338">
        <v>136.57599999999999</v>
      </c>
      <c r="E7" s="1338"/>
      <c r="F7" s="1338"/>
      <c r="G7" s="1338"/>
      <c r="H7" s="1338"/>
      <c r="I7" s="998">
        <v>1090</v>
      </c>
    </row>
    <row r="8" spans="1:9" ht="15.6">
      <c r="A8" s="780">
        <f>A7+1</f>
        <v>3</v>
      </c>
      <c r="B8" s="586" t="s">
        <v>1565</v>
      </c>
      <c r="C8" s="1338">
        <v>6183.33</v>
      </c>
      <c r="D8" s="1338">
        <v>136.57599999999999</v>
      </c>
      <c r="E8" s="1338"/>
      <c r="F8" s="1338"/>
      <c r="G8" s="1338"/>
      <c r="H8" s="1338"/>
      <c r="I8" s="998">
        <v>1090</v>
      </c>
    </row>
    <row r="9" spans="1:9" ht="15.6">
      <c r="A9" s="780">
        <f>A8+1</f>
        <v>4</v>
      </c>
      <c r="B9" s="586" t="s">
        <v>1566</v>
      </c>
      <c r="C9" s="1338">
        <v>6183.33</v>
      </c>
      <c r="D9" s="1338">
        <v>136.57599999999999</v>
      </c>
      <c r="E9" s="1338"/>
      <c r="F9" s="1338"/>
      <c r="G9" s="1338"/>
      <c r="H9" s="1338"/>
      <c r="I9" s="998">
        <v>1090</v>
      </c>
    </row>
    <row r="10" spans="1:9" ht="15.6">
      <c r="A10" s="780">
        <f>A9+1</f>
        <v>5</v>
      </c>
      <c r="B10" s="586" t="s">
        <v>1567</v>
      </c>
      <c r="C10" s="1338"/>
      <c r="D10" s="1338"/>
      <c r="E10" s="1338"/>
      <c r="F10" s="1339"/>
      <c r="G10" s="1338"/>
      <c r="H10" s="1338"/>
      <c r="I10" s="998">
        <v>1090</v>
      </c>
    </row>
    <row r="11" spans="1:9" ht="15.6">
      <c r="A11" s="780">
        <f>A10+1</f>
        <v>6</v>
      </c>
      <c r="B11" s="586" t="s">
        <v>1562</v>
      </c>
      <c r="C11" s="1338"/>
      <c r="D11" s="1338"/>
      <c r="E11" s="1338"/>
      <c r="F11" s="1339"/>
      <c r="G11" s="1338"/>
      <c r="H11" s="1338"/>
      <c r="I11" s="998">
        <v>1090</v>
      </c>
    </row>
    <row r="12" spans="1:9" ht="15.6">
      <c r="A12" s="365"/>
      <c r="B12" s="365" t="s">
        <v>1212</v>
      </c>
      <c r="C12" s="593">
        <f t="shared" ref="C12:D12" si="0">IF(SUM(C6,C7,C8,C9,C10,C11)=0,0,AVERAGE(C6,C7,C8,C9,C10,C11))</f>
        <v>6183.33</v>
      </c>
      <c r="D12" s="593">
        <f t="shared" si="0"/>
        <v>136.57599999999999</v>
      </c>
      <c r="E12" s="593">
        <f>IF(SUM(E6,E7,E8,E9,E10,E11)=0,0,AVERAGE(E6,E7,E8,E9,E10,E11))</f>
        <v>0</v>
      </c>
      <c r="F12" s="593">
        <f t="shared" ref="F12:I12" si="1">IF(SUM(F6,F7,F8,F9,F10,F11)=0,0,AVERAGE(F6,F7,F8,F9,F10,F11))</f>
        <v>0</v>
      </c>
      <c r="G12" s="593">
        <f t="shared" si="1"/>
        <v>0</v>
      </c>
      <c r="H12" s="593">
        <f t="shared" si="1"/>
        <v>0</v>
      </c>
      <c r="I12" s="593">
        <f t="shared" si="1"/>
        <v>1090</v>
      </c>
    </row>
    <row r="15" spans="1:9" s="215" customFormat="1" ht="13.95" customHeight="1">
      <c r="G15" s="3017"/>
      <c r="H15" s="3017"/>
    </row>
  </sheetData>
  <mergeCells count="9">
    <mergeCell ref="A1:I1"/>
    <mergeCell ref="G15:H15"/>
    <mergeCell ref="A3:A4"/>
    <mergeCell ref="B3:B4"/>
    <mergeCell ref="C3:D3"/>
    <mergeCell ref="E3:F3"/>
    <mergeCell ref="G3:H3"/>
    <mergeCell ref="I3:I4"/>
    <mergeCell ref="H2:I2"/>
  </mergeCells>
  <pageMargins left="0.70866141732283472" right="0.70866141732283472" top="0.74803149606299213" bottom="0.74803149606299213" header="0.31496062992125984" footer="0.31496062992125984"/>
  <pageSetup paperSize="9" orientation="landscape" horizontalDpi="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Лист100">
    <tabColor rgb="FF92D050"/>
    <pageSetUpPr fitToPage="1"/>
  </sheetPr>
  <dimension ref="A1:IX108"/>
  <sheetViews>
    <sheetView topLeftCell="A3" zoomScale="90" zoomScaleNormal="90" zoomScaleSheetLayoutView="80" workbookViewId="0">
      <pane ySplit="11" topLeftCell="A86" activePane="bottomLeft" state="frozen"/>
      <selection activeCell="G8" sqref="G8"/>
      <selection pane="bottomLeft" activeCell="T12" sqref="T12:U12"/>
    </sheetView>
  </sheetViews>
  <sheetFormatPr defaultColWidth="8" defaultRowHeight="13.2" outlineLevelRow="1"/>
  <cols>
    <col min="1" max="1" width="4.6640625" style="2140" customWidth="1"/>
    <col min="2" max="2" width="28.33203125" style="2140" customWidth="1"/>
    <col min="3" max="3" width="6.77734375" style="2141" customWidth="1"/>
    <col min="4" max="4" width="8.88671875" style="2140" hidden="1" customWidth="1"/>
    <col min="5" max="5" width="9.109375" style="2140" hidden="1" customWidth="1"/>
    <col min="6" max="6" width="8.44140625" style="2140" customWidth="1"/>
    <col min="7" max="8" width="7.88671875" style="2140" customWidth="1"/>
    <col min="9" max="10" width="9.33203125" style="2140" customWidth="1"/>
    <col min="11" max="15" width="7.88671875" style="2140" customWidth="1"/>
    <col min="16" max="21" width="8.33203125" style="2140" customWidth="1"/>
    <col min="22" max="22" width="8.109375" style="2140" customWidth="1"/>
    <col min="23" max="23" width="8.33203125" style="2140" customWidth="1"/>
    <col min="24" max="25" width="7.5546875" style="2140" customWidth="1"/>
    <col min="26" max="28" width="8.33203125" style="2140" hidden="1" customWidth="1"/>
    <col min="29" max="29" width="10" style="2140" hidden="1" customWidth="1"/>
    <col min="30" max="30" width="15.5546875" style="2140" hidden="1" customWidth="1"/>
    <col min="31" max="31" width="8.33203125" style="2140" hidden="1" customWidth="1"/>
    <col min="32" max="32" width="9.6640625" style="2140" hidden="1" customWidth="1"/>
    <col min="33" max="33" width="8.33203125" style="2140" hidden="1" customWidth="1"/>
    <col min="34" max="34" width="9.6640625" style="2140" hidden="1" customWidth="1"/>
    <col min="35" max="35" width="8.33203125" style="2140" hidden="1" customWidth="1"/>
    <col min="36" max="36" width="9.44140625" style="2140" hidden="1" customWidth="1"/>
    <col min="37" max="43" width="8.33203125" style="2140" hidden="1" customWidth="1"/>
    <col min="44" max="44" width="11" style="2140" customWidth="1"/>
    <col min="45" max="254" width="8.33203125" style="2140" customWidth="1"/>
    <col min="255" max="255" width="4.6640625" style="2140" customWidth="1"/>
    <col min="256" max="256" width="26.6640625" style="2140" customWidth="1"/>
    <col min="257" max="257" width="5.44140625" style="2140" customWidth="1"/>
    <col min="258" max="16384" width="8" style="2140"/>
  </cols>
  <sheetData>
    <row r="1" spans="1:43" ht="12.75" hidden="1" customHeight="1">
      <c r="L1" s="2142"/>
    </row>
    <row r="2" spans="1:43" ht="12.75" hidden="1" customHeight="1">
      <c r="L2" s="2142"/>
    </row>
    <row r="3" spans="1:43" ht="12.75" hidden="1" customHeight="1">
      <c r="L3" s="2142"/>
      <c r="W3" s="3070"/>
      <c r="X3" s="3070"/>
      <c r="Y3" s="3070"/>
    </row>
    <row r="4" spans="1:43" ht="12.75" hidden="1" customHeight="1">
      <c r="L4" s="2143"/>
      <c r="W4" s="3035"/>
      <c r="X4" s="3035"/>
      <c r="Y4" s="3035"/>
    </row>
    <row r="5" spans="1:43" ht="12.75" customHeight="1">
      <c r="B5" s="2144"/>
      <c r="F5" s="3072" t="e">
        <f>G18+G19+G20+G22+#REF!</f>
        <v>#REF!</v>
      </c>
      <c r="G5" s="3072"/>
      <c r="H5" s="2145"/>
      <c r="I5" s="2145"/>
      <c r="J5" s="2146"/>
      <c r="L5" s="2147"/>
      <c r="O5" s="3073"/>
      <c r="P5" s="3073"/>
      <c r="W5" s="3035"/>
      <c r="X5" s="3035"/>
      <c r="Y5" s="3035"/>
    </row>
    <row r="6" spans="1:43" ht="12.75" hidden="1" customHeight="1">
      <c r="J6" s="2148"/>
      <c r="L6" s="2149"/>
      <c r="W6" s="3035"/>
      <c r="X6" s="3035"/>
      <c r="Y6" s="3035"/>
    </row>
    <row r="7" spans="1:43" ht="12.75" hidden="1" customHeight="1" thickBot="1">
      <c r="L7" s="2142"/>
    </row>
    <row r="8" spans="1:43" ht="13.2" hidden="1" customHeight="1">
      <c r="B8" s="2148"/>
      <c r="L8" s="2142"/>
      <c r="AA8" s="2150" t="str">
        <f>D11</f>
        <v>Факт 2018 року</v>
      </c>
      <c r="AB8" s="2151"/>
      <c r="AC8" s="2151" t="str">
        <f>F11</f>
        <v>Факт 2021 року</v>
      </c>
      <c r="AD8" s="2152" t="str">
        <f>J11</f>
        <v>План 2023-2024 року</v>
      </c>
      <c r="AE8" s="2151"/>
      <c r="AF8" s="2151"/>
      <c r="AG8" s="2151"/>
      <c r="AH8" s="2153"/>
    </row>
    <row r="9" spans="1:43">
      <c r="A9" s="3070" t="s">
        <v>1919</v>
      </c>
      <c r="B9" s="3070"/>
      <c r="C9" s="3070"/>
      <c r="D9" s="3070"/>
      <c r="E9" s="3070"/>
      <c r="F9" s="3070"/>
      <c r="G9" s="3070"/>
      <c r="H9" s="3070"/>
      <c r="I9" s="3070"/>
      <c r="J9" s="3070"/>
      <c r="K9" s="3070"/>
      <c r="L9" s="3070"/>
      <c r="M9" s="3070"/>
      <c r="N9" s="3070"/>
      <c r="O9" s="3070"/>
      <c r="P9" s="3070"/>
      <c r="Q9" s="3070"/>
      <c r="R9" s="3070"/>
      <c r="S9" s="3070"/>
      <c r="T9" s="3070"/>
      <c r="U9" s="3070"/>
      <c r="V9" s="3070"/>
      <c r="W9" s="3070"/>
      <c r="X9" s="3070"/>
      <c r="Y9" s="3070"/>
      <c r="AA9" s="2154"/>
      <c r="AH9" s="2155"/>
    </row>
    <row r="10" spans="1:43">
      <c r="B10" s="2156"/>
      <c r="D10" s="3071" t="s">
        <v>1920</v>
      </c>
      <c r="E10" s="3071"/>
      <c r="F10" s="2157"/>
      <c r="P10" s="2158" t="s">
        <v>791</v>
      </c>
      <c r="Y10" s="2158" t="s">
        <v>792</v>
      </c>
      <c r="AA10" s="2159">
        <f>D18/D27</f>
        <v>5.7998994790461667E-2</v>
      </c>
      <c r="AC10" s="2160" t="e">
        <f>F18/F27</f>
        <v>#DIV/0!</v>
      </c>
      <c r="AD10" s="2160">
        <f>J18/J27</f>
        <v>6.5052981541493429E-2</v>
      </c>
      <c r="AE10" s="2140" t="s">
        <v>1921</v>
      </c>
      <c r="AH10" s="2155"/>
    </row>
    <row r="11" spans="1:43" ht="20.25" customHeight="1" thickBot="1">
      <c r="A11" s="3067" t="s">
        <v>793</v>
      </c>
      <c r="B11" s="3068" t="s">
        <v>340</v>
      </c>
      <c r="C11" s="3069" t="s">
        <v>794</v>
      </c>
      <c r="D11" s="3049" t="s">
        <v>1922</v>
      </c>
      <c r="E11" s="3049"/>
      <c r="F11" s="3049" t="s">
        <v>1498</v>
      </c>
      <c r="G11" s="3049"/>
      <c r="H11" s="3047" t="s">
        <v>1555</v>
      </c>
      <c r="I11" s="3048"/>
      <c r="J11" s="3049" t="s">
        <v>1923</v>
      </c>
      <c r="K11" s="3049"/>
      <c r="L11" s="3049"/>
      <c r="M11" s="3049"/>
      <c r="N11" s="3049"/>
      <c r="O11" s="3049"/>
      <c r="P11" s="3049"/>
      <c r="Q11" s="3049"/>
      <c r="R11" s="3049"/>
      <c r="S11" s="3049"/>
      <c r="T11" s="3049"/>
      <c r="U11" s="3049"/>
      <c r="V11" s="3049"/>
      <c r="W11" s="3049"/>
      <c r="X11" s="3049"/>
      <c r="Y11" s="3049"/>
      <c r="AA11" s="2161" t="e">
        <f>E16/D16</f>
        <v>#REF!</v>
      </c>
      <c r="AB11" s="2162"/>
      <c r="AC11" s="2163" t="e">
        <f>G16/F16</f>
        <v>#DIV/0!</v>
      </c>
      <c r="AD11" s="2163">
        <f>K16/J16</f>
        <v>1</v>
      </c>
      <c r="AE11" s="2162" t="s">
        <v>1924</v>
      </c>
      <c r="AF11" s="2162"/>
      <c r="AG11" s="2162"/>
      <c r="AH11" s="2164"/>
    </row>
    <row r="12" spans="1:43" ht="63" customHeight="1">
      <c r="A12" s="3067"/>
      <c r="B12" s="3068"/>
      <c r="C12" s="3069"/>
      <c r="D12" s="3042" t="s">
        <v>795</v>
      </c>
      <c r="E12" s="3042"/>
      <c r="F12" s="3042" t="s">
        <v>795</v>
      </c>
      <c r="G12" s="3042"/>
      <c r="H12" s="3042" t="s">
        <v>795</v>
      </c>
      <c r="I12" s="3042"/>
      <c r="J12" s="3041" t="s">
        <v>598</v>
      </c>
      <c r="K12" s="3041"/>
      <c r="L12" s="3042" t="s">
        <v>796</v>
      </c>
      <c r="M12" s="3042"/>
      <c r="N12" s="3042" t="s">
        <v>797</v>
      </c>
      <c r="O12" s="3042"/>
      <c r="P12" s="3043" t="s">
        <v>2</v>
      </c>
      <c r="Q12" s="3043"/>
      <c r="R12" s="3043" t="s">
        <v>720</v>
      </c>
      <c r="S12" s="3043"/>
      <c r="T12" s="3043" t="s">
        <v>693</v>
      </c>
      <c r="U12" s="3043"/>
      <c r="V12" s="3043" t="s">
        <v>798</v>
      </c>
      <c r="W12" s="3043"/>
      <c r="X12" s="3043" t="s">
        <v>1925</v>
      </c>
      <c r="Y12" s="3050"/>
      <c r="Z12" s="2165" t="s">
        <v>1926</v>
      </c>
      <c r="AA12" s="2166" t="s">
        <v>1927</v>
      </c>
      <c r="AB12" s="2166" t="s">
        <v>1928</v>
      </c>
      <c r="AC12" s="2166" t="s">
        <v>1929</v>
      </c>
      <c r="AE12" s="3051" t="s">
        <v>1930</v>
      </c>
      <c r="AF12" s="3052"/>
      <c r="AG12" s="3052"/>
      <c r="AH12" s="3052"/>
      <c r="AI12" s="3039"/>
      <c r="AJ12" s="3040"/>
      <c r="AL12" s="3038" t="s">
        <v>1930</v>
      </c>
      <c r="AM12" s="3039"/>
      <c r="AN12" s="3039"/>
      <c r="AO12" s="3039"/>
      <c r="AP12" s="3039"/>
      <c r="AQ12" s="3040"/>
    </row>
    <row r="13" spans="1:43" ht="24">
      <c r="A13" s="3067"/>
      <c r="B13" s="3068"/>
      <c r="C13" s="3069"/>
      <c r="D13" s="2167" t="s">
        <v>799</v>
      </c>
      <c r="E13" s="2167" t="s">
        <v>800</v>
      </c>
      <c r="F13" s="2167" t="s">
        <v>799</v>
      </c>
      <c r="G13" s="2167" t="s">
        <v>800</v>
      </c>
      <c r="H13" s="2167" t="s">
        <v>799</v>
      </c>
      <c r="I13" s="2167" t="s">
        <v>800</v>
      </c>
      <c r="J13" s="2167" t="s">
        <v>799</v>
      </c>
      <c r="K13" s="2167" t="s">
        <v>800</v>
      </c>
      <c r="L13" s="2167" t="s">
        <v>799</v>
      </c>
      <c r="M13" s="2167" t="s">
        <v>800</v>
      </c>
      <c r="N13" s="2167" t="s">
        <v>799</v>
      </c>
      <c r="O13" s="2167" t="s">
        <v>800</v>
      </c>
      <c r="P13" s="2167" t="s">
        <v>799</v>
      </c>
      <c r="Q13" s="2167" t="s">
        <v>800</v>
      </c>
      <c r="R13" s="2167" t="s">
        <v>799</v>
      </c>
      <c r="S13" s="2167" t="s">
        <v>800</v>
      </c>
      <c r="T13" s="2167" t="s">
        <v>799</v>
      </c>
      <c r="U13" s="2167" t="s">
        <v>800</v>
      </c>
      <c r="V13" s="2167" t="s">
        <v>799</v>
      </c>
      <c r="W13" s="2167" t="s">
        <v>800</v>
      </c>
      <c r="X13" s="2167" t="s">
        <v>799</v>
      </c>
      <c r="Y13" s="2168" t="s">
        <v>800</v>
      </c>
      <c r="Z13" s="2167" t="s">
        <v>799</v>
      </c>
      <c r="AA13" s="2167" t="s">
        <v>800</v>
      </c>
      <c r="AB13" s="2167" t="s">
        <v>799</v>
      </c>
      <c r="AC13" s="2167" t="s">
        <v>800</v>
      </c>
      <c r="AE13" s="2167" t="s">
        <v>799</v>
      </c>
      <c r="AF13" s="2169"/>
      <c r="AG13" s="2167" t="s">
        <v>799</v>
      </c>
      <c r="AH13" s="2169"/>
      <c r="AI13" s="2167" t="s">
        <v>799</v>
      </c>
      <c r="AJ13" s="2169"/>
      <c r="AL13" s="2167" t="s">
        <v>800</v>
      </c>
      <c r="AM13" s="2169"/>
      <c r="AN13" s="2167" t="s">
        <v>800</v>
      </c>
      <c r="AO13" s="2169"/>
      <c r="AP13" s="2167" t="s">
        <v>800</v>
      </c>
      <c r="AQ13" s="2169"/>
    </row>
    <row r="14" spans="1:43" ht="12" customHeight="1">
      <c r="A14" s="2170">
        <v>1</v>
      </c>
      <c r="B14" s="1945">
        <v>2</v>
      </c>
      <c r="C14" s="2170">
        <v>3</v>
      </c>
      <c r="F14" s="1945">
        <v>4</v>
      </c>
      <c r="G14" s="2170">
        <v>5</v>
      </c>
      <c r="H14" s="1945">
        <v>6</v>
      </c>
      <c r="I14" s="2170">
        <v>7</v>
      </c>
      <c r="J14" s="1945">
        <v>8</v>
      </c>
      <c r="K14" s="2170">
        <v>9</v>
      </c>
      <c r="L14" s="1945">
        <v>10</v>
      </c>
      <c r="M14" s="2170">
        <v>11</v>
      </c>
      <c r="N14" s="1945">
        <v>12</v>
      </c>
      <c r="O14" s="2170">
        <v>13</v>
      </c>
      <c r="P14" s="1945">
        <v>14</v>
      </c>
      <c r="Q14" s="2170">
        <v>15</v>
      </c>
      <c r="R14" s="1945">
        <v>16</v>
      </c>
      <c r="S14" s="2170">
        <v>17</v>
      </c>
      <c r="T14" s="1945">
        <v>18</v>
      </c>
      <c r="U14" s="2170">
        <v>19</v>
      </c>
      <c r="V14" s="2170">
        <v>20</v>
      </c>
      <c r="W14" s="2170">
        <v>21</v>
      </c>
      <c r="X14" s="2170">
        <v>22</v>
      </c>
      <c r="Y14" s="2171">
        <v>23</v>
      </c>
      <c r="Z14" s="2169"/>
      <c r="AA14" s="2169"/>
      <c r="AB14" s="2169"/>
      <c r="AC14" s="2169"/>
      <c r="AE14" s="2169"/>
      <c r="AF14" s="2169"/>
      <c r="AG14" s="2169"/>
      <c r="AH14" s="2169"/>
      <c r="AI14" s="2169"/>
      <c r="AJ14" s="2169"/>
      <c r="AL14" s="2169"/>
      <c r="AM14" s="2169"/>
      <c r="AN14" s="2169"/>
      <c r="AO14" s="2169"/>
      <c r="AP14" s="2169"/>
      <c r="AQ14" s="2169"/>
    </row>
    <row r="15" spans="1:43" ht="15.75" customHeight="1" thickBot="1">
      <c r="A15" s="3053" t="s">
        <v>801</v>
      </c>
      <c r="B15" s="3054"/>
      <c r="C15" s="3054"/>
      <c r="D15" s="3054"/>
      <c r="E15" s="3054"/>
      <c r="F15" s="3054"/>
      <c r="G15" s="3054"/>
      <c r="H15" s="3054"/>
      <c r="I15" s="3054"/>
      <c r="J15" s="3054"/>
      <c r="K15" s="3054"/>
      <c r="L15" s="3054"/>
      <c r="M15" s="3054"/>
      <c r="N15" s="3054"/>
      <c r="O15" s="3054"/>
      <c r="P15" s="3054"/>
      <c r="Q15" s="3054"/>
      <c r="R15" s="3054"/>
      <c r="S15" s="3054"/>
      <c r="T15" s="3054"/>
      <c r="U15" s="3054"/>
      <c r="V15" s="3054"/>
      <c r="W15" s="3054"/>
      <c r="X15" s="3054"/>
      <c r="Y15" s="3054"/>
      <c r="Z15" s="2169"/>
      <c r="AA15" s="2169"/>
      <c r="AB15" s="2169"/>
      <c r="AC15" s="2169"/>
      <c r="AE15" s="2169"/>
      <c r="AF15" s="2169"/>
      <c r="AG15" s="2169"/>
      <c r="AH15" s="2169"/>
      <c r="AI15" s="2169"/>
      <c r="AJ15" s="2169"/>
      <c r="AL15" s="2169"/>
      <c r="AM15" s="2169"/>
      <c r="AN15" s="2169"/>
      <c r="AO15" s="2169"/>
      <c r="AP15" s="2169"/>
      <c r="AQ15" s="2169"/>
    </row>
    <row r="16" spans="1:43" ht="24.6" thickBot="1">
      <c r="A16" s="2172"/>
      <c r="B16" s="2173" t="s">
        <v>802</v>
      </c>
      <c r="C16" s="2174" t="s">
        <v>803</v>
      </c>
      <c r="D16" s="2175" t="e">
        <f>D17+D26</f>
        <v>#REF!</v>
      </c>
      <c r="E16" s="2175" t="e">
        <f>E17+E26</f>
        <v>#REF!</v>
      </c>
      <c r="F16" s="599">
        <f>F17+F26</f>
        <v>0</v>
      </c>
      <c r="G16" s="599">
        <f>ROUND(G17+G26,2)</f>
        <v>0</v>
      </c>
      <c r="H16" s="2176">
        <f t="shared" ref="H16:Y16" si="0">H17+H26</f>
        <v>0</v>
      </c>
      <c r="I16" s="599">
        <f t="shared" si="0"/>
        <v>0</v>
      </c>
      <c r="J16" s="599">
        <f t="shared" si="0"/>
        <v>286.48733376000001</v>
      </c>
      <c r="K16" s="600">
        <f t="shared" si="0"/>
        <v>286.48733376000001</v>
      </c>
      <c r="L16" s="600">
        <f t="shared" si="0"/>
        <v>231.81233376</v>
      </c>
      <c r="M16" s="600">
        <f t="shared" si="0"/>
        <v>231.81233376</v>
      </c>
      <c r="N16" s="600">
        <f t="shared" si="0"/>
        <v>0</v>
      </c>
      <c r="O16" s="600">
        <f t="shared" si="0"/>
        <v>0</v>
      </c>
      <c r="P16" s="600">
        <f t="shared" si="0"/>
        <v>0</v>
      </c>
      <c r="Q16" s="600">
        <f t="shared" si="0"/>
        <v>0</v>
      </c>
      <c r="R16" s="600">
        <f t="shared" si="0"/>
        <v>38.272500000000001</v>
      </c>
      <c r="S16" s="600">
        <f t="shared" si="0"/>
        <v>38.272500000000001</v>
      </c>
      <c r="T16" s="600">
        <f t="shared" si="0"/>
        <v>16.4025</v>
      </c>
      <c r="U16" s="600">
        <f t="shared" si="0"/>
        <v>16.4025</v>
      </c>
      <c r="V16" s="600">
        <f t="shared" si="0"/>
        <v>0</v>
      </c>
      <c r="W16" s="600">
        <f t="shared" si="0"/>
        <v>0</v>
      </c>
      <c r="X16" s="600">
        <f t="shared" si="0"/>
        <v>0</v>
      </c>
      <c r="Y16" s="2177">
        <f t="shared" si="0"/>
        <v>0</v>
      </c>
      <c r="Z16" s="2178" t="e">
        <f t="shared" ref="Z16:AA23" si="1">IF(J16=0,0,(J16-D16)/D16*100)</f>
        <v>#REF!</v>
      </c>
      <c r="AA16" s="2178" t="e">
        <f t="shared" si="1"/>
        <v>#REF!</v>
      </c>
      <c r="AB16" s="2178" t="e">
        <f t="shared" ref="AB16:AC23" si="2">IF(J16=0,0,(J16-F16)/F16*100)</f>
        <v>#DIV/0!</v>
      </c>
      <c r="AC16" s="2178" t="e">
        <f t="shared" si="2"/>
        <v>#DIV/0!</v>
      </c>
      <c r="AE16" s="2169"/>
      <c r="AF16" s="2169"/>
      <c r="AG16" s="2169"/>
      <c r="AH16" s="2169"/>
      <c r="AI16" s="2169"/>
      <c r="AJ16" s="2169"/>
      <c r="AL16" s="2179" t="e">
        <f>IF(D16=0,,E16/D16)</f>
        <v>#REF!</v>
      </c>
      <c r="AM16" s="2169"/>
      <c r="AN16" s="2179">
        <f>IF(F16=0,,G16/F16)</f>
        <v>0</v>
      </c>
      <c r="AO16" s="2169"/>
      <c r="AP16" s="2179">
        <f>IF(J16=0,,K16/J16)</f>
        <v>1</v>
      </c>
      <c r="AQ16" s="2169"/>
    </row>
    <row r="17" spans="1:258" ht="36">
      <c r="A17" s="2180" t="s">
        <v>804</v>
      </c>
      <c r="B17" s="2181" t="s">
        <v>805</v>
      </c>
      <c r="C17" s="2182" t="s">
        <v>803</v>
      </c>
      <c r="D17" s="2183" t="e">
        <f>D18+D19+D20+D22+D23+#REF!</f>
        <v>#REF!</v>
      </c>
      <c r="E17" s="2184" t="e">
        <f>E18+E19+E20+E22+E23+#REF!</f>
        <v>#REF!</v>
      </c>
      <c r="F17" s="2184">
        <f t="shared" ref="F17:L17" si="3">F18+F19+F20+F22+F23</f>
        <v>0</v>
      </c>
      <c r="G17" s="2184">
        <f t="shared" si="3"/>
        <v>0</v>
      </c>
      <c r="H17" s="2185">
        <f t="shared" si="3"/>
        <v>0</v>
      </c>
      <c r="I17" s="601">
        <f t="shared" si="3"/>
        <v>0</v>
      </c>
      <c r="J17" s="2186">
        <f t="shared" si="3"/>
        <v>225.73733376000001</v>
      </c>
      <c r="K17" s="601">
        <f t="shared" si="3"/>
        <v>225.73733376000001</v>
      </c>
      <c r="L17" s="602">
        <f t="shared" si="3"/>
        <v>225.73733376000001</v>
      </c>
      <c r="M17" s="602">
        <f>M18+M19+M20+M22+M23+M21</f>
        <v>225.73733376000001</v>
      </c>
      <c r="N17" s="602">
        <f>N18+N19+N20+N21+N22+N23</f>
        <v>0</v>
      </c>
      <c r="O17" s="602">
        <f>O18+O19+O20+O22+O23+O21</f>
        <v>0</v>
      </c>
      <c r="P17" s="602"/>
      <c r="Q17" s="602"/>
      <c r="R17" s="602"/>
      <c r="S17" s="602"/>
      <c r="T17" s="602"/>
      <c r="U17" s="602"/>
      <c r="V17" s="602"/>
      <c r="W17" s="602"/>
      <c r="X17" s="602"/>
      <c r="Y17" s="2187"/>
      <c r="Z17" s="2178" t="e">
        <f t="shared" si="1"/>
        <v>#REF!</v>
      </c>
      <c r="AA17" s="2178" t="e">
        <f t="shared" si="1"/>
        <v>#REF!</v>
      </c>
      <c r="AB17" s="2178" t="e">
        <f t="shared" si="2"/>
        <v>#DIV/0!</v>
      </c>
      <c r="AC17" s="2178" t="e">
        <f t="shared" si="2"/>
        <v>#DIV/0!</v>
      </c>
      <c r="AE17" s="2169"/>
      <c r="AF17" s="2169"/>
      <c r="AG17" s="2169"/>
      <c r="AH17" s="2169"/>
      <c r="AI17" s="2169"/>
      <c r="AJ17" s="2169"/>
      <c r="AL17" s="2179" t="e">
        <f t="shared" ref="AL17:AL27" si="4">IF(D17=0,,E17/D17)</f>
        <v>#REF!</v>
      </c>
      <c r="AM17" s="2169"/>
      <c r="AN17" s="2179">
        <f t="shared" ref="AN17:AN27" si="5">IF(F17=0,,G17/F17)</f>
        <v>0</v>
      </c>
      <c r="AO17" s="2169"/>
      <c r="AP17" s="2179">
        <f t="shared" ref="AP17:AP27" si="6">IF(J17=0,,K17/J17)</f>
        <v>1</v>
      </c>
      <c r="AQ17" s="2169"/>
    </row>
    <row r="18" spans="1:258">
      <c r="A18" s="2188" t="s">
        <v>806</v>
      </c>
      <c r="B18" s="2189" t="s">
        <v>807</v>
      </c>
      <c r="C18" s="2190" t="s">
        <v>803</v>
      </c>
      <c r="D18" s="603">
        <f>1917+264</f>
        <v>2181</v>
      </c>
      <c r="E18" s="2191">
        <f>D18*0.291</f>
        <v>634.67099999999994</v>
      </c>
      <c r="F18" s="603">
        <v>0</v>
      </c>
      <c r="G18" s="2191">
        <f>F18*0.291</f>
        <v>0</v>
      </c>
      <c r="H18" s="2192">
        <v>0</v>
      </c>
      <c r="I18" s="2193">
        <f>H18*0.291</f>
        <v>0</v>
      </c>
      <c r="J18" s="2194">
        <f t="shared" ref="J18:K25" si="7">L18+N18</f>
        <v>13.787940000000001</v>
      </c>
      <c r="K18" s="288">
        <f t="shared" si="7"/>
        <v>13.787940000000001</v>
      </c>
      <c r="L18" s="288">
        <f>'[36]7. Вода та сіль Свод'!AR43</f>
        <v>13.787940000000001</v>
      </c>
      <c r="M18" s="288">
        <f>L18</f>
        <v>13.787940000000001</v>
      </c>
      <c r="N18" s="288"/>
      <c r="O18" s="288"/>
      <c r="P18" s="289" t="s">
        <v>300</v>
      </c>
      <c r="Q18" s="289" t="s">
        <v>300</v>
      </c>
      <c r="R18" s="289" t="s">
        <v>300</v>
      </c>
      <c r="S18" s="289" t="s">
        <v>300</v>
      </c>
      <c r="T18" s="289" t="s">
        <v>300</v>
      </c>
      <c r="U18" s="289" t="s">
        <v>300</v>
      </c>
      <c r="V18" s="289" t="s">
        <v>300</v>
      </c>
      <c r="W18" s="289" t="s">
        <v>300</v>
      </c>
      <c r="X18" s="289" t="s">
        <v>300</v>
      </c>
      <c r="Y18" s="2195" t="s">
        <v>300</v>
      </c>
      <c r="Z18" s="2178">
        <f t="shared" si="1"/>
        <v>-99.367815680880327</v>
      </c>
      <c r="AA18" s="2178">
        <f t="shared" si="1"/>
        <v>-97.827545295121396</v>
      </c>
      <c r="AB18" s="2178" t="e">
        <f t="shared" si="2"/>
        <v>#DIV/0!</v>
      </c>
      <c r="AC18" s="2178" t="e">
        <f t="shared" si="2"/>
        <v>#DIV/0!</v>
      </c>
      <c r="AE18" s="2169"/>
      <c r="AF18" s="2169"/>
      <c r="AG18" s="2169"/>
      <c r="AH18" s="2169"/>
      <c r="AI18" s="2169"/>
      <c r="AJ18" s="2169"/>
      <c r="AL18" s="2179">
        <f t="shared" si="4"/>
        <v>0.29099999999999998</v>
      </c>
      <c r="AM18" s="2169"/>
      <c r="AN18" s="2179">
        <f t="shared" si="5"/>
        <v>0</v>
      </c>
      <c r="AO18" s="2169"/>
      <c r="AP18" s="2179">
        <f t="shared" si="6"/>
        <v>1</v>
      </c>
      <c r="AQ18" s="2169"/>
      <c r="AR18" s="2148"/>
    </row>
    <row r="19" spans="1:258">
      <c r="A19" s="2188" t="s">
        <v>808</v>
      </c>
      <c r="B19" s="2189" t="s">
        <v>809</v>
      </c>
      <c r="C19" s="2190" t="s">
        <v>803</v>
      </c>
      <c r="D19" s="603">
        <f>4205</f>
        <v>4205</v>
      </c>
      <c r="E19" s="2191">
        <f>D19*0.291</f>
        <v>1223.655</v>
      </c>
      <c r="F19" s="603">
        <v>0</v>
      </c>
      <c r="G19" s="2191">
        <f>F19*0.291</f>
        <v>0</v>
      </c>
      <c r="H19" s="2192">
        <v>0</v>
      </c>
      <c r="I19" s="2193">
        <f>H19*0.291</f>
        <v>0</v>
      </c>
      <c r="J19" s="2194">
        <f t="shared" si="7"/>
        <v>85.959000000000003</v>
      </c>
      <c r="K19" s="288">
        <f t="shared" si="7"/>
        <v>85.959000000000003</v>
      </c>
      <c r="L19" s="288">
        <f>'[36]7. Вода та сіль Свод'!Q43+'[36]7. Вода та сіль Свод'!V43</f>
        <v>85.959000000000003</v>
      </c>
      <c r="M19" s="288">
        <f>L19</f>
        <v>85.959000000000003</v>
      </c>
      <c r="N19" s="2196"/>
      <c r="O19" s="288">
        <f>N19</f>
        <v>0</v>
      </c>
      <c r="P19" s="289" t="s">
        <v>300</v>
      </c>
      <c r="Q19" s="289" t="s">
        <v>300</v>
      </c>
      <c r="R19" s="289" t="s">
        <v>300</v>
      </c>
      <c r="S19" s="289" t="s">
        <v>300</v>
      </c>
      <c r="T19" s="289" t="s">
        <v>300</v>
      </c>
      <c r="U19" s="289" t="s">
        <v>300</v>
      </c>
      <c r="V19" s="289" t="s">
        <v>300</v>
      </c>
      <c r="W19" s="289" t="s">
        <v>300</v>
      </c>
      <c r="X19" s="289" t="s">
        <v>300</v>
      </c>
      <c r="Y19" s="2195" t="s">
        <v>300</v>
      </c>
      <c r="Z19" s="2178">
        <f t="shared" si="1"/>
        <v>-97.955790725326992</v>
      </c>
      <c r="AA19" s="2178">
        <f t="shared" si="1"/>
        <v>-92.975225860230211</v>
      </c>
      <c r="AB19" s="2178" t="e">
        <f t="shared" si="2"/>
        <v>#DIV/0!</v>
      </c>
      <c r="AC19" s="2178" t="e">
        <f t="shared" si="2"/>
        <v>#DIV/0!</v>
      </c>
      <c r="AD19" s="2140" t="s">
        <v>1931</v>
      </c>
      <c r="AE19" s="2178"/>
      <c r="AF19" s="2197">
        <f>D19+D22-AE19</f>
        <v>6644</v>
      </c>
      <c r="AG19" s="2178"/>
      <c r="AH19" s="2197">
        <f>F19+F22-AG19</f>
        <v>0</v>
      </c>
      <c r="AI19" s="2169"/>
      <c r="AJ19" s="2169"/>
      <c r="AL19" s="2179">
        <f t="shared" si="4"/>
        <v>0.29099999999999998</v>
      </c>
      <c r="AM19" s="2169"/>
      <c r="AN19" s="2179">
        <f t="shared" si="5"/>
        <v>0</v>
      </c>
      <c r="AO19" s="2169"/>
      <c r="AP19" s="2179">
        <f t="shared" si="6"/>
        <v>1</v>
      </c>
      <c r="AQ19" s="2169"/>
    </row>
    <row r="20" spans="1:258" s="2198" customFormat="1" ht="13.5" customHeight="1">
      <c r="A20" s="2188" t="s">
        <v>810</v>
      </c>
      <c r="B20" s="2189" t="s">
        <v>811</v>
      </c>
      <c r="C20" s="2190" t="s">
        <v>803</v>
      </c>
      <c r="D20" s="603">
        <f>10895.2+20064.9</f>
        <v>30960.100000000002</v>
      </c>
      <c r="E20" s="2191">
        <f>D20*0.291</f>
        <v>9009.3891000000003</v>
      </c>
      <c r="F20" s="603">
        <v>0</v>
      </c>
      <c r="G20" s="2191">
        <v>0</v>
      </c>
      <c r="H20" s="2192">
        <v>0</v>
      </c>
      <c r="I20" s="2193">
        <v>0</v>
      </c>
      <c r="J20" s="2194">
        <f t="shared" si="7"/>
        <v>63.620393759999999</v>
      </c>
      <c r="K20" s="288">
        <f t="shared" si="7"/>
        <v>63.620393759999999</v>
      </c>
      <c r="L20" s="288">
        <f>'[36]7. Вода та сіль Свод'!N43</f>
        <v>63.620393759999999</v>
      </c>
      <c r="M20" s="288">
        <f>L20</f>
        <v>63.620393759999999</v>
      </c>
      <c r="N20" s="288"/>
      <c r="O20" s="288">
        <f>N20</f>
        <v>0</v>
      </c>
      <c r="P20" s="289" t="s">
        <v>300</v>
      </c>
      <c r="Q20" s="289" t="s">
        <v>300</v>
      </c>
      <c r="R20" s="289" t="s">
        <v>300</v>
      </c>
      <c r="S20" s="289" t="s">
        <v>300</v>
      </c>
      <c r="T20" s="289" t="s">
        <v>300</v>
      </c>
      <c r="U20" s="289" t="s">
        <v>300</v>
      </c>
      <c r="V20" s="289" t="s">
        <v>300</v>
      </c>
      <c r="W20" s="289" t="s">
        <v>300</v>
      </c>
      <c r="X20" s="289" t="s">
        <v>300</v>
      </c>
      <c r="Y20" s="2195" t="s">
        <v>300</v>
      </c>
      <c r="Z20" s="2178">
        <f t="shared" si="1"/>
        <v>-99.794508435825463</v>
      </c>
      <c r="AA20" s="2178">
        <f t="shared" si="1"/>
        <v>-99.293843422080627</v>
      </c>
      <c r="AB20" s="2178" t="e">
        <f t="shared" si="2"/>
        <v>#DIV/0!</v>
      </c>
      <c r="AC20" s="2178" t="e">
        <f t="shared" si="2"/>
        <v>#DIV/0!</v>
      </c>
      <c r="AD20" s="2140"/>
      <c r="AE20" s="2178"/>
      <c r="AF20" s="2197">
        <f>D20-AE20</f>
        <v>30960.100000000002</v>
      </c>
      <c r="AG20" s="2178"/>
      <c r="AH20" s="2197">
        <f>F20-AG20</f>
        <v>0</v>
      </c>
      <c r="AI20" s="2169"/>
      <c r="AJ20" s="2169"/>
      <c r="AK20" s="2140"/>
      <c r="AL20" s="2179">
        <f t="shared" si="4"/>
        <v>0.29099999999999998</v>
      </c>
      <c r="AM20" s="2169"/>
      <c r="AN20" s="2179">
        <f t="shared" si="5"/>
        <v>0</v>
      </c>
      <c r="AO20" s="2169"/>
      <c r="AP20" s="2179">
        <f t="shared" si="6"/>
        <v>1</v>
      </c>
      <c r="AQ20" s="2169"/>
      <c r="AR20" s="2140"/>
      <c r="AS20" s="2140"/>
      <c r="AT20" s="2140"/>
      <c r="AU20" s="2140"/>
      <c r="AV20" s="2140"/>
      <c r="AW20" s="2140"/>
      <c r="AX20" s="2140"/>
      <c r="AY20" s="2140"/>
      <c r="AZ20" s="2140"/>
      <c r="BA20" s="2140"/>
      <c r="BB20" s="2140"/>
      <c r="BC20" s="2140"/>
      <c r="BD20" s="2140"/>
      <c r="BE20" s="2140"/>
      <c r="BF20" s="2140"/>
      <c r="BG20" s="2140"/>
      <c r="BH20" s="2140"/>
      <c r="BI20" s="2140"/>
      <c r="BJ20" s="2140"/>
      <c r="BK20" s="2140"/>
      <c r="BL20" s="2140"/>
      <c r="BM20" s="2140"/>
      <c r="BN20" s="2140"/>
      <c r="BO20" s="2140"/>
      <c r="BP20" s="2140"/>
      <c r="BQ20" s="2140"/>
      <c r="BR20" s="2140"/>
      <c r="BS20" s="2140"/>
      <c r="BT20" s="2140"/>
      <c r="BU20" s="2140"/>
      <c r="BV20" s="2140"/>
      <c r="BW20" s="2140"/>
      <c r="BX20" s="2140"/>
      <c r="BY20" s="2140"/>
      <c r="BZ20" s="2140"/>
      <c r="CA20" s="2140"/>
      <c r="CB20" s="2140"/>
      <c r="CC20" s="2140"/>
      <c r="CD20" s="2140"/>
      <c r="CE20" s="2140"/>
      <c r="CF20" s="2140"/>
      <c r="CG20" s="2140"/>
      <c r="CH20" s="2140"/>
      <c r="CI20" s="2140"/>
      <c r="CJ20" s="2140"/>
      <c r="CK20" s="2140"/>
      <c r="CL20" s="2140"/>
      <c r="CM20" s="2140"/>
      <c r="CN20" s="2140"/>
      <c r="CO20" s="2140"/>
      <c r="CP20" s="2140"/>
      <c r="CQ20" s="2140"/>
      <c r="CR20" s="2140"/>
      <c r="CS20" s="2140"/>
      <c r="CT20" s="2140"/>
      <c r="CU20" s="2140"/>
      <c r="CV20" s="2140"/>
      <c r="CW20" s="2140"/>
      <c r="CX20" s="2140"/>
      <c r="CY20" s="2140"/>
      <c r="CZ20" s="2140"/>
      <c r="DA20" s="2140"/>
      <c r="DB20" s="2140"/>
      <c r="DC20" s="2140"/>
      <c r="DD20" s="2140"/>
      <c r="DE20" s="2140"/>
      <c r="DF20" s="2140"/>
      <c r="DG20" s="2140"/>
      <c r="DH20" s="2140"/>
      <c r="DI20" s="2140"/>
      <c r="DJ20" s="2140"/>
      <c r="DK20" s="2140"/>
      <c r="DL20" s="2140"/>
      <c r="DM20" s="2140"/>
      <c r="DN20" s="2140"/>
      <c r="DO20" s="2140"/>
      <c r="DP20" s="2140"/>
      <c r="DQ20" s="2140"/>
      <c r="DR20" s="2140"/>
      <c r="DS20" s="2140"/>
      <c r="DT20" s="2140"/>
      <c r="DU20" s="2140"/>
      <c r="DV20" s="2140"/>
      <c r="DW20" s="2140"/>
      <c r="DX20" s="2140"/>
      <c r="DY20" s="2140"/>
      <c r="DZ20" s="2140"/>
      <c r="EA20" s="2140"/>
      <c r="EB20" s="2140"/>
      <c r="EC20" s="2140"/>
      <c r="ED20" s="2140"/>
      <c r="EE20" s="2140"/>
      <c r="EF20" s="2140"/>
      <c r="EG20" s="2140"/>
      <c r="EH20" s="2140"/>
      <c r="EI20" s="2140"/>
      <c r="EJ20" s="2140"/>
      <c r="EK20" s="2140"/>
      <c r="EL20" s="2140"/>
      <c r="EM20" s="2140"/>
      <c r="EN20" s="2140"/>
      <c r="EO20" s="2140"/>
      <c r="EP20" s="2140"/>
      <c r="EQ20" s="2140"/>
      <c r="ER20" s="2140"/>
      <c r="ES20" s="2140"/>
      <c r="ET20" s="2140"/>
      <c r="EU20" s="2140"/>
      <c r="EV20" s="2140"/>
      <c r="EW20" s="2140"/>
      <c r="EX20" s="2140"/>
      <c r="EY20" s="2140"/>
      <c r="EZ20" s="2140"/>
      <c r="FA20" s="2140"/>
      <c r="FB20" s="2140"/>
      <c r="FC20" s="2140"/>
      <c r="FD20" s="2140"/>
      <c r="FE20" s="2140"/>
      <c r="FF20" s="2140"/>
      <c r="FG20" s="2140"/>
      <c r="FH20" s="2140"/>
      <c r="FI20" s="2140"/>
      <c r="FJ20" s="2140"/>
      <c r="FK20" s="2140"/>
      <c r="FL20" s="2140"/>
      <c r="FM20" s="2140"/>
      <c r="FN20" s="2140"/>
      <c r="FO20" s="2140"/>
      <c r="FP20" s="2140"/>
      <c r="FQ20" s="2140"/>
      <c r="FR20" s="2140"/>
      <c r="FS20" s="2140"/>
      <c r="FT20" s="2140"/>
      <c r="FU20" s="2140"/>
      <c r="FV20" s="2140"/>
      <c r="FW20" s="2140"/>
      <c r="FX20" s="2140"/>
      <c r="FY20" s="2140"/>
      <c r="FZ20" s="2140"/>
      <c r="GA20" s="2140"/>
      <c r="GB20" s="2140"/>
      <c r="GC20" s="2140"/>
      <c r="GD20" s="2140"/>
      <c r="GE20" s="2140"/>
      <c r="GF20" s="2140"/>
      <c r="GG20" s="2140"/>
      <c r="GH20" s="2140"/>
      <c r="GI20" s="2140"/>
      <c r="GJ20" s="2140"/>
      <c r="GK20" s="2140"/>
      <c r="GL20" s="2140"/>
      <c r="GM20" s="2140"/>
      <c r="GN20" s="2140"/>
      <c r="GO20" s="2140"/>
      <c r="GP20" s="2140"/>
      <c r="GQ20" s="2140"/>
      <c r="GR20" s="2140"/>
      <c r="GS20" s="2140"/>
      <c r="GT20" s="2140"/>
      <c r="GU20" s="2140"/>
      <c r="GV20" s="2140"/>
      <c r="GW20" s="2140"/>
      <c r="GX20" s="2140"/>
      <c r="GY20" s="2140"/>
      <c r="GZ20" s="2140"/>
      <c r="HA20" s="2140"/>
      <c r="HB20" s="2140"/>
      <c r="HC20" s="2140"/>
      <c r="HD20" s="2140"/>
      <c r="HE20" s="2140"/>
      <c r="HF20" s="2140"/>
      <c r="HG20" s="2140"/>
      <c r="HH20" s="2140"/>
      <c r="HI20" s="2140"/>
      <c r="HJ20" s="2140"/>
      <c r="HK20" s="2140"/>
      <c r="HL20" s="2140"/>
      <c r="HM20" s="2140"/>
      <c r="HN20" s="2140"/>
      <c r="HO20" s="2140"/>
      <c r="HP20" s="2140"/>
      <c r="HQ20" s="2140"/>
      <c r="HR20" s="2140"/>
      <c r="HS20" s="2140"/>
      <c r="HT20" s="2140"/>
      <c r="HU20" s="2140"/>
      <c r="HV20" s="2140"/>
      <c r="HW20" s="2140"/>
      <c r="HX20" s="2140"/>
      <c r="HY20" s="2140"/>
      <c r="HZ20" s="2140"/>
      <c r="IA20" s="2140"/>
      <c r="IB20" s="2140"/>
      <c r="IC20" s="2140"/>
      <c r="ID20" s="2140"/>
      <c r="IE20" s="2140"/>
      <c r="IF20" s="2140"/>
      <c r="IG20" s="2140"/>
      <c r="IH20" s="2140"/>
      <c r="II20" s="2140"/>
      <c r="IJ20" s="2140"/>
      <c r="IK20" s="2140"/>
      <c r="IL20" s="2140"/>
      <c r="IM20" s="2140"/>
      <c r="IN20" s="2140"/>
      <c r="IO20" s="2140"/>
      <c r="IP20" s="2140"/>
      <c r="IQ20" s="2140"/>
      <c r="IR20" s="2140"/>
      <c r="IS20" s="2140"/>
      <c r="IT20" s="2140"/>
      <c r="IU20" s="2140"/>
      <c r="IV20" s="2140"/>
      <c r="IW20" s="2140"/>
      <c r="IX20" s="2140"/>
    </row>
    <row r="21" spans="1:258" ht="36">
      <c r="A21" s="2188" t="s">
        <v>812</v>
      </c>
      <c r="B21" s="290" t="s">
        <v>1219</v>
      </c>
      <c r="C21" s="2190" t="s">
        <v>803</v>
      </c>
      <c r="D21" s="603">
        <f>D90*0.0025*D91*24</f>
        <v>35316.707999999999</v>
      </c>
      <c r="E21" s="2191">
        <f>D21*0.291</f>
        <v>10277.162027999999</v>
      </c>
      <c r="F21" s="603">
        <v>0</v>
      </c>
      <c r="G21" s="2191">
        <f>F21*0.291</f>
        <v>0</v>
      </c>
      <c r="H21" s="2192">
        <v>0</v>
      </c>
      <c r="I21" s="2193">
        <f>H21*0.291</f>
        <v>0</v>
      </c>
      <c r="J21" s="2193">
        <f>J90*0.0025*J91*24</f>
        <v>688.49448000000007</v>
      </c>
      <c r="K21" s="2193">
        <f>J21*0.291</f>
        <v>200.35189368000002</v>
      </c>
      <c r="L21" s="288">
        <v>0</v>
      </c>
      <c r="M21" s="288">
        <v>0</v>
      </c>
      <c r="N21" s="288">
        <v>0</v>
      </c>
      <c r="O21" s="288">
        <f>N21</f>
        <v>0</v>
      </c>
      <c r="P21" s="289" t="s">
        <v>300</v>
      </c>
      <c r="Q21" s="289" t="s">
        <v>300</v>
      </c>
      <c r="R21" s="289" t="s">
        <v>300</v>
      </c>
      <c r="S21" s="289" t="s">
        <v>300</v>
      </c>
      <c r="T21" s="289" t="s">
        <v>300</v>
      </c>
      <c r="U21" s="289" t="s">
        <v>300</v>
      </c>
      <c r="V21" s="289" t="s">
        <v>300</v>
      </c>
      <c r="W21" s="289" t="s">
        <v>300</v>
      </c>
      <c r="X21" s="289" t="s">
        <v>300</v>
      </c>
      <c r="Y21" s="2195" t="s">
        <v>300</v>
      </c>
      <c r="Z21" s="2178">
        <f t="shared" si="1"/>
        <v>-98.050513428375027</v>
      </c>
      <c r="AA21" s="2178">
        <f t="shared" si="1"/>
        <v>-98.050513428375041</v>
      </c>
      <c r="AB21" s="2178" t="e">
        <f t="shared" si="2"/>
        <v>#DIV/0!</v>
      </c>
      <c r="AC21" s="2178" t="e">
        <f t="shared" si="2"/>
        <v>#DIV/0!</v>
      </c>
      <c r="AE21" s="2178"/>
      <c r="AF21" s="2197">
        <f>D21-AE21</f>
        <v>35316.707999999999</v>
      </c>
      <c r="AG21" s="2178"/>
      <c r="AH21" s="2197">
        <f>F21-AG21</f>
        <v>0</v>
      </c>
      <c r="AI21" s="2178"/>
      <c r="AJ21" s="2197">
        <f>J21-AI21</f>
        <v>688.49448000000007</v>
      </c>
      <c r="AL21" s="2179">
        <f t="shared" si="4"/>
        <v>0.29099999999999998</v>
      </c>
      <c r="AM21" s="2169"/>
      <c r="AN21" s="2179">
        <f t="shared" si="5"/>
        <v>0</v>
      </c>
      <c r="AO21" s="2169"/>
      <c r="AP21" s="2179">
        <f t="shared" si="6"/>
        <v>0.29099999999999998</v>
      </c>
      <c r="AQ21" s="2169"/>
    </row>
    <row r="22" spans="1:258" ht="25.5" customHeight="1">
      <c r="A22" s="2188" t="s">
        <v>813</v>
      </c>
      <c r="B22" s="2189" t="s">
        <v>814</v>
      </c>
      <c r="C22" s="2190" t="s">
        <v>803</v>
      </c>
      <c r="D22" s="603">
        <f>2439</f>
        <v>2439</v>
      </c>
      <c r="E22" s="2191">
        <f>D22*0.291</f>
        <v>709.74899999999991</v>
      </c>
      <c r="F22" s="603">
        <v>0</v>
      </c>
      <c r="G22" s="2191">
        <f>F22*0.291</f>
        <v>0</v>
      </c>
      <c r="H22" s="2192">
        <v>0</v>
      </c>
      <c r="I22" s="2193">
        <f>H22*0.291</f>
        <v>0</v>
      </c>
      <c r="J22" s="2194">
        <f t="shared" si="7"/>
        <v>62.37</v>
      </c>
      <c r="K22" s="288">
        <f t="shared" si="7"/>
        <v>62.37</v>
      </c>
      <c r="L22" s="288">
        <f>'[36]7. Вода та сіль Свод'!AY43</f>
        <v>62.37</v>
      </c>
      <c r="M22" s="288">
        <f>L22</f>
        <v>62.37</v>
      </c>
      <c r="N22" s="288">
        <v>0</v>
      </c>
      <c r="O22" s="288">
        <f>N22</f>
        <v>0</v>
      </c>
      <c r="P22" s="289" t="s">
        <v>300</v>
      </c>
      <c r="Q22" s="289" t="s">
        <v>300</v>
      </c>
      <c r="R22" s="289" t="s">
        <v>300</v>
      </c>
      <c r="S22" s="289" t="s">
        <v>300</v>
      </c>
      <c r="T22" s="289" t="s">
        <v>300</v>
      </c>
      <c r="U22" s="289" t="s">
        <v>300</v>
      </c>
      <c r="V22" s="289" t="s">
        <v>300</v>
      </c>
      <c r="W22" s="289" t="s">
        <v>300</v>
      </c>
      <c r="X22" s="289" t="s">
        <v>300</v>
      </c>
      <c r="Y22" s="2195" t="s">
        <v>300</v>
      </c>
      <c r="Z22" s="2178">
        <f t="shared" si="1"/>
        <v>-97.442804428044283</v>
      </c>
      <c r="AA22" s="2178">
        <f t="shared" si="1"/>
        <v>-91.212386350667629</v>
      </c>
      <c r="AB22" s="2178" t="e">
        <f t="shared" si="2"/>
        <v>#DIV/0!</v>
      </c>
      <c r="AC22" s="2178" t="e">
        <f t="shared" si="2"/>
        <v>#DIV/0!</v>
      </c>
      <c r="AE22" s="2169"/>
      <c r="AF22" s="2169"/>
      <c r="AG22" s="2169"/>
      <c r="AH22" s="2169"/>
      <c r="AI22" s="2169"/>
      <c r="AJ22" s="2169"/>
      <c r="AL22" s="2179">
        <f t="shared" si="4"/>
        <v>0.29099999999999998</v>
      </c>
      <c r="AM22" s="2169"/>
      <c r="AN22" s="2179">
        <f t="shared" si="5"/>
        <v>0</v>
      </c>
      <c r="AO22" s="2169"/>
      <c r="AP22" s="2179">
        <f t="shared" si="6"/>
        <v>1</v>
      </c>
      <c r="AQ22" s="2169"/>
    </row>
    <row r="23" spans="1:258" ht="24" customHeight="1">
      <c r="A23" s="2188" t="s">
        <v>815</v>
      </c>
      <c r="B23" s="2189" t="s">
        <v>816</v>
      </c>
      <c r="C23" s="2190" t="s">
        <v>803</v>
      </c>
      <c r="D23" s="603"/>
      <c r="E23" s="2191"/>
      <c r="F23" s="603">
        <v>0</v>
      </c>
      <c r="G23" s="2191">
        <v>0</v>
      </c>
      <c r="H23" s="2192">
        <v>0</v>
      </c>
      <c r="I23" s="2193">
        <v>0</v>
      </c>
      <c r="J23" s="2199">
        <f t="shared" si="7"/>
        <v>0</v>
      </c>
      <c r="K23" s="288">
        <f t="shared" si="7"/>
        <v>0</v>
      </c>
      <c r="L23" s="288">
        <v>0</v>
      </c>
      <c r="M23" s="288">
        <v>0</v>
      </c>
      <c r="N23" s="288">
        <v>0</v>
      </c>
      <c r="O23" s="288">
        <v>0</v>
      </c>
      <c r="P23" s="289" t="s">
        <v>300</v>
      </c>
      <c r="Q23" s="289" t="s">
        <v>300</v>
      </c>
      <c r="R23" s="289" t="s">
        <v>300</v>
      </c>
      <c r="S23" s="289" t="s">
        <v>300</v>
      </c>
      <c r="T23" s="289" t="s">
        <v>300</v>
      </c>
      <c r="U23" s="289" t="s">
        <v>300</v>
      </c>
      <c r="V23" s="289" t="s">
        <v>300</v>
      </c>
      <c r="W23" s="289" t="s">
        <v>300</v>
      </c>
      <c r="X23" s="289" t="s">
        <v>300</v>
      </c>
      <c r="Y23" s="2195" t="s">
        <v>300</v>
      </c>
      <c r="Z23" s="2178">
        <f t="shared" si="1"/>
        <v>0</v>
      </c>
      <c r="AA23" s="2178">
        <f t="shared" si="1"/>
        <v>0</v>
      </c>
      <c r="AB23" s="2178">
        <f t="shared" si="2"/>
        <v>0</v>
      </c>
      <c r="AC23" s="2178">
        <f t="shared" si="2"/>
        <v>0</v>
      </c>
      <c r="AE23" s="2169"/>
      <c r="AF23" s="2169"/>
      <c r="AG23" s="2169"/>
      <c r="AH23" s="2169"/>
      <c r="AI23" s="2169"/>
      <c r="AJ23" s="2169"/>
      <c r="AL23" s="2179">
        <f t="shared" si="4"/>
        <v>0</v>
      </c>
      <c r="AM23" s="2169"/>
      <c r="AN23" s="2179">
        <f t="shared" si="5"/>
        <v>0</v>
      </c>
      <c r="AO23" s="2169"/>
      <c r="AP23" s="2179">
        <f t="shared" si="6"/>
        <v>0</v>
      </c>
      <c r="AQ23" s="2169"/>
    </row>
    <row r="24" spans="1:258">
      <c r="A24" s="2200" t="s">
        <v>817</v>
      </c>
      <c r="B24" s="2201" t="s">
        <v>818</v>
      </c>
      <c r="C24" s="2190" t="s">
        <v>803</v>
      </c>
      <c r="D24" s="2202">
        <v>0</v>
      </c>
      <c r="E24" s="2203">
        <f>D24*0.291</f>
        <v>0</v>
      </c>
      <c r="F24" s="603">
        <v>0</v>
      </c>
      <c r="G24" s="2191">
        <v>0</v>
      </c>
      <c r="H24" s="2193">
        <v>0</v>
      </c>
      <c r="I24" s="2193">
        <v>0</v>
      </c>
      <c r="J24" s="2199">
        <f t="shared" si="7"/>
        <v>0</v>
      </c>
      <c r="K24" s="288">
        <f t="shared" si="7"/>
        <v>0</v>
      </c>
      <c r="L24" s="288">
        <v>0</v>
      </c>
      <c r="M24" s="288">
        <v>0</v>
      </c>
      <c r="N24" s="288">
        <v>0</v>
      </c>
      <c r="O24" s="288">
        <v>0</v>
      </c>
      <c r="P24" s="289" t="s">
        <v>300</v>
      </c>
      <c r="Q24" s="289" t="s">
        <v>300</v>
      </c>
      <c r="R24" s="289" t="s">
        <v>300</v>
      </c>
      <c r="S24" s="289" t="s">
        <v>300</v>
      </c>
      <c r="T24" s="289" t="s">
        <v>300</v>
      </c>
      <c r="U24" s="289" t="s">
        <v>300</v>
      </c>
      <c r="V24" s="289" t="s">
        <v>300</v>
      </c>
      <c r="W24" s="289" t="s">
        <v>300</v>
      </c>
      <c r="X24" s="289" t="s">
        <v>300</v>
      </c>
      <c r="Y24" s="2195" t="s">
        <v>300</v>
      </c>
      <c r="Z24" s="2178"/>
      <c r="AA24" s="2178"/>
      <c r="AB24" s="2178"/>
      <c r="AC24" s="2178"/>
      <c r="AE24" s="2169"/>
      <c r="AF24" s="2169"/>
      <c r="AG24" s="2169"/>
      <c r="AH24" s="2169"/>
      <c r="AI24" s="2169"/>
      <c r="AJ24" s="2169"/>
      <c r="AL24" s="2179"/>
      <c r="AM24" s="2169"/>
      <c r="AN24" s="2179"/>
      <c r="AO24" s="2169"/>
      <c r="AP24" s="2179"/>
      <c r="AQ24" s="2169"/>
    </row>
    <row r="25" spans="1:258" ht="24" customHeight="1">
      <c r="A25" s="2200" t="s">
        <v>819</v>
      </c>
      <c r="B25" s="2201" t="s">
        <v>820</v>
      </c>
      <c r="C25" s="2190" t="s">
        <v>803</v>
      </c>
      <c r="D25" s="2202"/>
      <c r="E25" s="2203"/>
      <c r="F25" s="611">
        <v>0</v>
      </c>
      <c r="G25" s="288">
        <v>0</v>
      </c>
      <c r="H25" s="288">
        <v>0</v>
      </c>
      <c r="I25" s="288">
        <v>0</v>
      </c>
      <c r="J25" s="288">
        <f t="shared" si="7"/>
        <v>0</v>
      </c>
      <c r="K25" s="288">
        <f t="shared" si="7"/>
        <v>0</v>
      </c>
      <c r="L25" s="288">
        <v>0</v>
      </c>
      <c r="M25" s="288">
        <v>0</v>
      </c>
      <c r="N25" s="288">
        <v>0</v>
      </c>
      <c r="O25" s="288">
        <v>0</v>
      </c>
      <c r="P25" s="289" t="s">
        <v>300</v>
      </c>
      <c r="Q25" s="289" t="s">
        <v>300</v>
      </c>
      <c r="R25" s="289" t="s">
        <v>300</v>
      </c>
      <c r="S25" s="289" t="s">
        <v>300</v>
      </c>
      <c r="T25" s="289" t="s">
        <v>300</v>
      </c>
      <c r="U25" s="289" t="s">
        <v>300</v>
      </c>
      <c r="V25" s="289" t="s">
        <v>300</v>
      </c>
      <c r="W25" s="289" t="s">
        <v>300</v>
      </c>
      <c r="X25" s="289" t="s">
        <v>300</v>
      </c>
      <c r="Y25" s="2195" t="s">
        <v>300</v>
      </c>
      <c r="Z25" s="2178"/>
      <c r="AA25" s="2178"/>
      <c r="AB25" s="2178"/>
      <c r="AC25" s="2178"/>
      <c r="AE25" s="2169"/>
      <c r="AF25" s="2169"/>
      <c r="AG25" s="2169"/>
      <c r="AH25" s="2169"/>
      <c r="AI25" s="2169"/>
      <c r="AJ25" s="2169"/>
      <c r="AL25" s="2179"/>
      <c r="AM25" s="2169"/>
      <c r="AN25" s="2179"/>
      <c r="AO25" s="2169"/>
      <c r="AP25" s="2179"/>
      <c r="AQ25" s="2169"/>
    </row>
    <row r="26" spans="1:258" ht="39" customHeight="1" thickBot="1">
      <c r="A26" s="2204" t="s">
        <v>821</v>
      </c>
      <c r="B26" s="2201" t="s">
        <v>822</v>
      </c>
      <c r="C26" s="2205" t="s">
        <v>803</v>
      </c>
      <c r="D26" s="604">
        <f>379+417.23+7.6+30.4+107.4+69.4</f>
        <v>1011.03</v>
      </c>
      <c r="E26" s="2206">
        <f>110.25+417.14+7.51+69.21+30.31+107.25</f>
        <v>741.67</v>
      </c>
      <c r="F26" s="605">
        <v>0</v>
      </c>
      <c r="G26" s="2207">
        <v>0</v>
      </c>
      <c r="H26" s="2208">
        <v>0</v>
      </c>
      <c r="I26" s="2209">
        <v>0</v>
      </c>
      <c r="J26" s="630">
        <f>L26+N26+P26+R26+T26+V26+X26</f>
        <v>60.75</v>
      </c>
      <c r="K26" s="606">
        <f>M26+O26+Q26+S26+U26+W26+Y26</f>
        <v>60.75</v>
      </c>
      <c r="L26" s="288">
        <f>'[36]2. вода крани'!E92</f>
        <v>6.0750000000000002</v>
      </c>
      <c r="M26" s="288">
        <f>L26</f>
        <v>6.0750000000000002</v>
      </c>
      <c r="N26" s="288">
        <f>'[36]2. вода крани'!F92</f>
        <v>0</v>
      </c>
      <c r="O26" s="288">
        <f>N26</f>
        <v>0</v>
      </c>
      <c r="P26" s="606">
        <f>'[36]2. вода крани'!G92</f>
        <v>0</v>
      </c>
      <c r="Q26" s="606">
        <f>P26</f>
        <v>0</v>
      </c>
      <c r="R26" s="606">
        <f>'[36]2. вода крани'!H92</f>
        <v>38.272500000000001</v>
      </c>
      <c r="S26" s="606">
        <f>R26</f>
        <v>38.272500000000001</v>
      </c>
      <c r="T26" s="606">
        <f>'[36]2. вода крани'!I92</f>
        <v>16.4025</v>
      </c>
      <c r="U26" s="606">
        <f>T26</f>
        <v>16.4025</v>
      </c>
      <c r="V26" s="606">
        <f>'[36]2. вода крани'!J92</f>
        <v>0</v>
      </c>
      <c r="W26" s="606">
        <f>V26</f>
        <v>0</v>
      </c>
      <c r="X26" s="606">
        <f>'[36]2. вода крани'!K92</f>
        <v>0</v>
      </c>
      <c r="Y26" s="2206">
        <f>X26</f>
        <v>0</v>
      </c>
      <c r="Z26" s="2178">
        <f>IF(J26=0,0,(J26-D26)/D26*100)</f>
        <v>-93.991276223257472</v>
      </c>
      <c r="AA26" s="2178">
        <f>IF(K26=0,0,(K26-E26)/E26*100)</f>
        <v>-91.809025577413138</v>
      </c>
      <c r="AB26" s="2178" t="e">
        <f>IF(J26=0,0,(J26-F26)/F26*100)</f>
        <v>#DIV/0!</v>
      </c>
      <c r="AC26" s="2178" t="e">
        <f>IF(K26=0,0,(K26-G26)/G26*100)</f>
        <v>#DIV/0!</v>
      </c>
      <c r="AE26" s="2169"/>
      <c r="AF26" s="2169"/>
      <c r="AG26" s="2169"/>
      <c r="AH26" s="2169"/>
      <c r="AI26" s="2169"/>
      <c r="AJ26" s="2169"/>
      <c r="AL26" s="2179">
        <f t="shared" si="4"/>
        <v>0.73357862773607108</v>
      </c>
      <c r="AM26" s="2169"/>
      <c r="AN26" s="2179">
        <f t="shared" si="5"/>
        <v>0</v>
      </c>
      <c r="AO26" s="2169"/>
      <c r="AP26" s="2179">
        <f t="shared" si="6"/>
        <v>1</v>
      </c>
      <c r="AQ26" s="2169"/>
      <c r="AR26" s="2148">
        <f>M26+O26+Q26+S26+U26+W26+Y26</f>
        <v>60.75</v>
      </c>
    </row>
    <row r="27" spans="1:258" ht="47.4" customHeight="1" thickBot="1">
      <c r="A27" s="2210" t="s">
        <v>823</v>
      </c>
      <c r="B27" s="2211" t="s">
        <v>824</v>
      </c>
      <c r="C27" s="2212" t="s">
        <v>803</v>
      </c>
      <c r="D27" s="2213">
        <f>D19+D20+D22</f>
        <v>37604.100000000006</v>
      </c>
      <c r="E27" s="2214" t="s">
        <v>300</v>
      </c>
      <c r="F27" s="2215">
        <f>F19+F20+F22</f>
        <v>0</v>
      </c>
      <c r="G27" s="2216" t="s">
        <v>300</v>
      </c>
      <c r="H27" s="2217">
        <f>H19+H20+H22</f>
        <v>0</v>
      </c>
      <c r="I27" s="2217" t="s">
        <v>300</v>
      </c>
      <c r="J27" s="2218">
        <f>L27+N27</f>
        <v>211.94939375999999</v>
      </c>
      <c r="K27" s="2219" t="s">
        <v>300</v>
      </c>
      <c r="L27" s="2220">
        <f>L22+L20+L19</f>
        <v>211.94939375999999</v>
      </c>
      <c r="M27" s="2221" t="s">
        <v>300</v>
      </c>
      <c r="N27" s="2220">
        <f>N19+N20+N22</f>
        <v>0</v>
      </c>
      <c r="O27" s="2221" t="s">
        <v>300</v>
      </c>
      <c r="P27" s="2221" t="s">
        <v>300</v>
      </c>
      <c r="Q27" s="2221" t="s">
        <v>300</v>
      </c>
      <c r="R27" s="2221" t="s">
        <v>300</v>
      </c>
      <c r="S27" s="2221" t="s">
        <v>300</v>
      </c>
      <c r="T27" s="2221" t="s">
        <v>300</v>
      </c>
      <c r="U27" s="2221" t="s">
        <v>300</v>
      </c>
      <c r="V27" s="2221" t="s">
        <v>300</v>
      </c>
      <c r="W27" s="2221" t="s">
        <v>300</v>
      </c>
      <c r="X27" s="2221" t="s">
        <v>300</v>
      </c>
      <c r="Y27" s="2219" t="s">
        <v>300</v>
      </c>
      <c r="Z27" s="2178">
        <f>IF(J27=0,0,(J27-D27)/D27*100)</f>
        <v>-99.436366263891443</v>
      </c>
      <c r="AA27" s="2178"/>
      <c r="AB27" s="2178" t="e">
        <f>IF(J27=0,0,(J27-F27)/F27*100)</f>
        <v>#DIV/0!</v>
      </c>
      <c r="AC27" s="2178"/>
      <c r="AE27" s="2169"/>
      <c r="AF27" s="2169"/>
      <c r="AG27" s="2169"/>
      <c r="AH27" s="2169"/>
      <c r="AI27" s="2169"/>
      <c r="AJ27" s="2169"/>
      <c r="AL27" s="2179" t="e">
        <f t="shared" si="4"/>
        <v>#VALUE!</v>
      </c>
      <c r="AM27" s="2169"/>
      <c r="AN27" s="2179">
        <f t="shared" si="5"/>
        <v>0</v>
      </c>
      <c r="AO27" s="2169"/>
      <c r="AP27" s="2179" t="e">
        <f t="shared" si="6"/>
        <v>#VALUE!</v>
      </c>
      <c r="AQ27" s="2169"/>
    </row>
    <row r="28" spans="1:258" ht="13.8" thickBot="1">
      <c r="A28" s="3055" t="s">
        <v>825</v>
      </c>
      <c r="B28" s="3056"/>
      <c r="C28" s="3056"/>
      <c r="D28" s="3056"/>
      <c r="E28" s="3056"/>
      <c r="F28" s="3056"/>
      <c r="G28" s="3056"/>
      <c r="H28" s="3056"/>
      <c r="I28" s="3056"/>
      <c r="J28" s="3056"/>
      <c r="K28" s="3056"/>
      <c r="L28" s="3056"/>
      <c r="M28" s="3056"/>
      <c r="N28" s="3056"/>
      <c r="O28" s="3056"/>
      <c r="P28" s="3056"/>
      <c r="Q28" s="3056"/>
      <c r="R28" s="3056"/>
      <c r="S28" s="3056"/>
      <c r="T28" s="3056"/>
      <c r="U28" s="3056"/>
      <c r="V28" s="3056"/>
      <c r="W28" s="3056"/>
      <c r="X28" s="3056"/>
      <c r="Y28" s="3057"/>
      <c r="Z28" s="2222"/>
      <c r="AA28" s="2169"/>
      <c r="AB28" s="2169"/>
      <c r="AC28" s="2169"/>
      <c r="AE28" s="2169"/>
      <c r="AF28" s="2169"/>
      <c r="AG28" s="2169"/>
      <c r="AH28" s="2169"/>
      <c r="AI28" s="2169"/>
      <c r="AJ28" s="2169"/>
      <c r="AL28" s="2169"/>
      <c r="AM28" s="2169"/>
      <c r="AN28" s="2169"/>
      <c r="AO28" s="2169"/>
      <c r="AP28" s="2169"/>
      <c r="AQ28" s="2169"/>
    </row>
    <row r="29" spans="1:258" ht="24">
      <c r="A29" s="2223" t="s">
        <v>826</v>
      </c>
      <c r="B29" s="2224" t="s">
        <v>827</v>
      </c>
      <c r="C29" s="2225" t="s">
        <v>803</v>
      </c>
      <c r="D29" s="2226" t="e">
        <f t="shared" ref="D29:Y29" si="8">SUMIF($C$32:$C$79,$C$32,D$32:D$79)</f>
        <v>#REF!</v>
      </c>
      <c r="E29" s="2227" t="e">
        <f>SUMIF($C$32:$C$79,$C$32,E$32:E$79)</f>
        <v>#REF!</v>
      </c>
      <c r="F29" s="2228">
        <f>SUMIF($C$32:$C$79,$C$32,F$32:F$79)</f>
        <v>0</v>
      </c>
      <c r="G29" s="2229">
        <f>SUMIF($C$32:$C$79,$C$32,G$32:G$79)</f>
        <v>0</v>
      </c>
      <c r="H29" s="2230">
        <f>SUMIF($C$32:$C$79,$C$32,H$32:H$79)</f>
        <v>0</v>
      </c>
      <c r="I29" s="2231">
        <f>SUMIF($C$32:$C$79,$C$32,I$32:I$79)</f>
        <v>0</v>
      </c>
      <c r="J29" s="2232">
        <f t="shared" si="8"/>
        <v>286.48733313600007</v>
      </c>
      <c r="K29" s="2231">
        <f t="shared" si="8"/>
        <v>286.48733313600007</v>
      </c>
      <c r="L29" s="2231">
        <f t="shared" si="8"/>
        <v>231.81233313599998</v>
      </c>
      <c r="M29" s="2231">
        <f t="shared" si="8"/>
        <v>231.81233313599998</v>
      </c>
      <c r="N29" s="2231">
        <f t="shared" si="8"/>
        <v>0</v>
      </c>
      <c r="O29" s="2231">
        <f t="shared" si="8"/>
        <v>0</v>
      </c>
      <c r="P29" s="2231">
        <f t="shared" si="8"/>
        <v>0</v>
      </c>
      <c r="Q29" s="2231">
        <f t="shared" si="8"/>
        <v>0</v>
      </c>
      <c r="R29" s="2231">
        <f t="shared" si="8"/>
        <v>38.272500000000001</v>
      </c>
      <c r="S29" s="2231">
        <f t="shared" si="8"/>
        <v>38.272500000000001</v>
      </c>
      <c r="T29" s="2231">
        <f t="shared" si="8"/>
        <v>16.4025</v>
      </c>
      <c r="U29" s="2231">
        <f t="shared" si="8"/>
        <v>16.4025</v>
      </c>
      <c r="V29" s="2231">
        <f t="shared" si="8"/>
        <v>0</v>
      </c>
      <c r="W29" s="2231">
        <f t="shared" si="8"/>
        <v>0</v>
      </c>
      <c r="X29" s="2231">
        <f t="shared" si="8"/>
        <v>0</v>
      </c>
      <c r="Y29" s="2233">
        <f t="shared" si="8"/>
        <v>0</v>
      </c>
      <c r="Z29" s="2222"/>
      <c r="AA29" s="2169"/>
      <c r="AB29" s="2169"/>
      <c r="AC29" s="2169"/>
      <c r="AE29" s="2169"/>
      <c r="AF29" s="2169"/>
      <c r="AG29" s="2169"/>
      <c r="AH29" s="2169"/>
      <c r="AI29" s="2169"/>
      <c r="AJ29" s="2169"/>
      <c r="AL29" s="2169"/>
      <c r="AM29" s="2169"/>
      <c r="AN29" s="2169"/>
      <c r="AO29" s="2169"/>
      <c r="AP29" s="2169"/>
      <c r="AQ29" s="2169"/>
      <c r="AR29" s="2234"/>
    </row>
    <row r="30" spans="1:258" s="2241" customFormat="1" ht="24">
      <c r="A30" s="2235" t="s">
        <v>828</v>
      </c>
      <c r="B30" s="2189" t="s">
        <v>829</v>
      </c>
      <c r="C30" s="2236" t="s">
        <v>830</v>
      </c>
      <c r="D30" s="2237" t="e">
        <f t="shared" ref="D30:W30" si="9">IF(D29=0,,D31*1000/D29)</f>
        <v>#REF!</v>
      </c>
      <c r="E30" s="2238" t="e">
        <f t="shared" si="9"/>
        <v>#REF!</v>
      </c>
      <c r="F30" s="2237">
        <f t="shared" si="9"/>
        <v>0</v>
      </c>
      <c r="G30" s="2237">
        <f t="shared" si="9"/>
        <v>0</v>
      </c>
      <c r="H30" s="2237">
        <f t="shared" si="9"/>
        <v>0</v>
      </c>
      <c r="I30" s="2237">
        <f t="shared" si="9"/>
        <v>0</v>
      </c>
      <c r="J30" s="2239">
        <f>IF(J29=0,,J31*1000/J29)</f>
        <v>18.45</v>
      </c>
      <c r="K30" s="2240">
        <f t="shared" si="9"/>
        <v>16.374999999999996</v>
      </c>
      <c r="L30" s="997">
        <f t="shared" si="9"/>
        <v>18.45</v>
      </c>
      <c r="M30" s="996">
        <f t="shared" si="9"/>
        <v>16.375</v>
      </c>
      <c r="N30" s="997">
        <f t="shared" si="9"/>
        <v>0</v>
      </c>
      <c r="O30" s="996">
        <f t="shared" si="9"/>
        <v>0</v>
      </c>
      <c r="P30" s="997">
        <f t="shared" si="9"/>
        <v>0</v>
      </c>
      <c r="Q30" s="996">
        <f t="shared" si="9"/>
        <v>0</v>
      </c>
      <c r="R30" s="997">
        <f t="shared" si="9"/>
        <v>18.450000000000003</v>
      </c>
      <c r="S30" s="996">
        <f t="shared" si="9"/>
        <v>16.375</v>
      </c>
      <c r="T30" s="997">
        <f t="shared" si="9"/>
        <v>18.450000000000003</v>
      </c>
      <c r="U30" s="996">
        <f t="shared" si="9"/>
        <v>16.375</v>
      </c>
      <c r="V30" s="997">
        <f t="shared" si="9"/>
        <v>0</v>
      </c>
      <c r="W30" s="996">
        <f t="shared" si="9"/>
        <v>0</v>
      </c>
      <c r="X30" s="997">
        <f>IF(X29=0,,X31*1000/X29)</f>
        <v>0</v>
      </c>
      <c r="Y30" s="1331">
        <f>IF(Y29=0,,Y31*1000/Y29)</f>
        <v>0</v>
      </c>
      <c r="Z30" s="2222"/>
      <c r="AA30" s="2169"/>
      <c r="AB30" s="2169"/>
      <c r="AC30" s="2169"/>
      <c r="AD30" s="2140"/>
      <c r="AE30" s="2169"/>
      <c r="AF30" s="2169"/>
      <c r="AG30" s="2169"/>
      <c r="AH30" s="2169"/>
      <c r="AI30" s="2169"/>
      <c r="AJ30" s="2169"/>
      <c r="AK30" s="2140"/>
      <c r="AL30" s="2169"/>
      <c r="AM30" s="2169"/>
      <c r="AN30" s="2169"/>
      <c r="AO30" s="2169"/>
      <c r="AP30" s="2169"/>
      <c r="AQ30" s="2169"/>
      <c r="AR30" s="2140"/>
      <c r="AS30" s="2140"/>
      <c r="AT30" s="2140"/>
      <c r="AU30" s="2140"/>
      <c r="AV30" s="2140"/>
      <c r="AW30" s="2140"/>
      <c r="AX30" s="2140"/>
      <c r="AY30" s="2140"/>
      <c r="AZ30" s="2140"/>
      <c r="BA30" s="2140"/>
      <c r="BB30" s="2140"/>
      <c r="BC30" s="2140"/>
      <c r="BD30" s="2140"/>
      <c r="BE30" s="2140"/>
      <c r="BF30" s="2140"/>
      <c r="BG30" s="2140"/>
      <c r="BH30" s="2140"/>
      <c r="BI30" s="2140"/>
      <c r="BJ30" s="2140"/>
      <c r="BK30" s="2140"/>
      <c r="BL30" s="2140"/>
      <c r="BM30" s="2140"/>
      <c r="BN30" s="2140"/>
      <c r="BO30" s="2140"/>
      <c r="BP30" s="2140"/>
      <c r="BQ30" s="2140"/>
      <c r="BR30" s="2140"/>
      <c r="BS30" s="2140"/>
      <c r="BT30" s="2140"/>
      <c r="BU30" s="2140"/>
      <c r="BV30" s="2140"/>
      <c r="BW30" s="2140"/>
      <c r="BX30" s="2140"/>
      <c r="BY30" s="2140"/>
      <c r="BZ30" s="2140"/>
      <c r="CA30" s="2140"/>
      <c r="CB30" s="2140"/>
      <c r="CC30" s="2140"/>
      <c r="CD30" s="2140"/>
      <c r="CE30" s="2140"/>
      <c r="CF30" s="2140"/>
      <c r="CG30" s="2140"/>
      <c r="CH30" s="2140"/>
      <c r="CI30" s="2140"/>
      <c r="CJ30" s="2140"/>
      <c r="CK30" s="2140"/>
      <c r="CL30" s="2140"/>
      <c r="CM30" s="2140"/>
      <c r="CN30" s="2140"/>
      <c r="CO30" s="2140"/>
      <c r="CP30" s="2140"/>
      <c r="CQ30" s="2140"/>
      <c r="CR30" s="2140"/>
      <c r="CS30" s="2140"/>
      <c r="CT30" s="2140"/>
      <c r="CU30" s="2140"/>
      <c r="CV30" s="2140"/>
      <c r="CW30" s="2140"/>
      <c r="CX30" s="2140"/>
      <c r="CY30" s="2140"/>
      <c r="CZ30" s="2140"/>
      <c r="DA30" s="2140"/>
      <c r="DB30" s="2140"/>
      <c r="DC30" s="2140"/>
      <c r="DD30" s="2140"/>
      <c r="DE30" s="2140"/>
      <c r="DF30" s="2140"/>
      <c r="DG30" s="2140"/>
      <c r="DH30" s="2140"/>
      <c r="DI30" s="2140"/>
      <c r="DJ30" s="2140"/>
      <c r="DK30" s="2140"/>
      <c r="DL30" s="2140"/>
      <c r="DM30" s="2140"/>
      <c r="DN30" s="2140"/>
      <c r="DO30" s="2140"/>
      <c r="DP30" s="2140"/>
      <c r="DQ30" s="2140"/>
      <c r="DR30" s="2140"/>
      <c r="DS30" s="2140"/>
      <c r="DT30" s="2140"/>
      <c r="DU30" s="2140"/>
      <c r="DV30" s="2140"/>
      <c r="DW30" s="2140"/>
      <c r="DX30" s="2140"/>
      <c r="DY30" s="2140"/>
      <c r="DZ30" s="2140"/>
      <c r="EA30" s="2140"/>
      <c r="EB30" s="2140"/>
      <c r="EC30" s="2140"/>
      <c r="ED30" s="2140"/>
      <c r="EE30" s="2140"/>
      <c r="EF30" s="2140"/>
      <c r="EG30" s="2140"/>
      <c r="EH30" s="2140"/>
      <c r="EI30" s="2140"/>
      <c r="EJ30" s="2140"/>
      <c r="EK30" s="2140"/>
      <c r="EL30" s="2140"/>
      <c r="EM30" s="2140"/>
      <c r="EN30" s="2140"/>
      <c r="EO30" s="2140"/>
      <c r="EP30" s="2140"/>
      <c r="EQ30" s="2140"/>
      <c r="ER30" s="2140"/>
      <c r="ES30" s="2140"/>
      <c r="ET30" s="2140"/>
      <c r="EU30" s="2140"/>
      <c r="EV30" s="2140"/>
      <c r="EW30" s="2140"/>
      <c r="EX30" s="2140"/>
      <c r="EY30" s="2140"/>
      <c r="EZ30" s="2140"/>
      <c r="FA30" s="2140"/>
      <c r="FB30" s="2140"/>
      <c r="FC30" s="2140"/>
      <c r="FD30" s="2140"/>
      <c r="FE30" s="2140"/>
      <c r="FF30" s="2140"/>
      <c r="FG30" s="2140"/>
      <c r="FH30" s="2140"/>
      <c r="FI30" s="2140"/>
      <c r="FJ30" s="2140"/>
      <c r="FK30" s="2140"/>
      <c r="FL30" s="2140"/>
      <c r="FM30" s="2140"/>
      <c r="FN30" s="2140"/>
      <c r="FO30" s="2140"/>
      <c r="FP30" s="2140"/>
      <c r="FQ30" s="2140"/>
      <c r="FR30" s="2140"/>
      <c r="FS30" s="2140"/>
      <c r="FT30" s="2140"/>
      <c r="FU30" s="2140"/>
      <c r="FV30" s="2140"/>
      <c r="FW30" s="2140"/>
      <c r="FX30" s="2140"/>
      <c r="FY30" s="2140"/>
      <c r="FZ30" s="2140"/>
      <c r="GA30" s="2140"/>
      <c r="GB30" s="2140"/>
      <c r="GC30" s="2140"/>
      <c r="GD30" s="2140"/>
      <c r="GE30" s="2140"/>
      <c r="GF30" s="2140"/>
      <c r="GG30" s="2140"/>
      <c r="GH30" s="2140"/>
      <c r="GI30" s="2140"/>
      <c r="GJ30" s="2140"/>
      <c r="GK30" s="2140"/>
      <c r="GL30" s="2140"/>
      <c r="GM30" s="2140"/>
      <c r="GN30" s="2140"/>
      <c r="GO30" s="2140"/>
      <c r="GP30" s="2140"/>
      <c r="GQ30" s="2140"/>
      <c r="GR30" s="2140"/>
      <c r="GS30" s="2140"/>
      <c r="GT30" s="2140"/>
      <c r="GU30" s="2140"/>
      <c r="GV30" s="2140"/>
      <c r="GW30" s="2140"/>
      <c r="GX30" s="2140"/>
      <c r="GY30" s="2140"/>
      <c r="GZ30" s="2140"/>
      <c r="HA30" s="2140"/>
      <c r="HB30" s="2140"/>
      <c r="HC30" s="2140"/>
      <c r="HD30" s="2140"/>
      <c r="HE30" s="2140"/>
      <c r="HF30" s="2140"/>
      <c r="HG30" s="2140"/>
      <c r="HH30" s="2140"/>
      <c r="HI30" s="2140"/>
      <c r="HJ30" s="2140"/>
      <c r="HK30" s="2140"/>
      <c r="HL30" s="2140"/>
      <c r="HM30" s="2140"/>
      <c r="HN30" s="2140"/>
      <c r="HO30" s="2140"/>
      <c r="HP30" s="2140"/>
      <c r="HQ30" s="2140"/>
      <c r="HR30" s="2140"/>
      <c r="HS30" s="2140"/>
      <c r="HT30" s="2140"/>
      <c r="HU30" s="2140"/>
      <c r="HV30" s="2140"/>
      <c r="HW30" s="2140"/>
      <c r="HX30" s="2140"/>
      <c r="HY30" s="2140"/>
      <c r="HZ30" s="2140"/>
      <c r="IA30" s="2140"/>
      <c r="IB30" s="2140"/>
      <c r="IC30" s="2140"/>
      <c r="ID30" s="2140"/>
      <c r="IE30" s="2140"/>
      <c r="IF30" s="2140"/>
      <c r="IG30" s="2140"/>
      <c r="IH30" s="2140"/>
      <c r="II30" s="2140"/>
      <c r="IJ30" s="2140"/>
      <c r="IK30" s="2140"/>
      <c r="IL30" s="2140"/>
      <c r="IM30" s="2140"/>
      <c r="IN30" s="2140"/>
      <c r="IO30" s="2140"/>
      <c r="IP30" s="2140"/>
      <c r="IQ30" s="2140"/>
      <c r="IR30" s="2140"/>
      <c r="IS30" s="2140"/>
      <c r="IT30" s="2140"/>
      <c r="IU30" s="2140"/>
      <c r="IV30" s="2140"/>
      <c r="IW30" s="2140"/>
      <c r="IX30" s="2140"/>
    </row>
    <row r="31" spans="1:258" ht="24">
      <c r="A31" s="2242" t="s">
        <v>831</v>
      </c>
      <c r="B31" s="291" t="s">
        <v>832</v>
      </c>
      <c r="C31" s="2243" t="s">
        <v>833</v>
      </c>
      <c r="D31" s="2244">
        <f>SUMIF($C$32:$C$79,$C$34,D$32:D$79)</f>
        <v>430.96258</v>
      </c>
      <c r="E31" s="2245">
        <f t="shared" ref="E31:Y31" si="10">SUMIF($C$32:$C$79,$C$34,E$32:E$79)</f>
        <v>100.44782000000001</v>
      </c>
      <c r="F31" s="1332">
        <v>0</v>
      </c>
      <c r="G31" s="2246">
        <v>0</v>
      </c>
      <c r="H31" s="2247">
        <v>0</v>
      </c>
      <c r="I31" s="2247">
        <v>0</v>
      </c>
      <c r="J31" s="2248">
        <f t="shared" si="10"/>
        <v>5.2856912963592011</v>
      </c>
      <c r="K31" s="997">
        <f t="shared" si="10"/>
        <v>4.6912300801019997</v>
      </c>
      <c r="L31" s="2302">
        <f t="shared" si="10"/>
        <v>4.2769375463591999</v>
      </c>
      <c r="M31" s="2303">
        <f t="shared" si="10"/>
        <v>3.7959269551019998</v>
      </c>
      <c r="N31" s="997">
        <f t="shared" si="10"/>
        <v>0</v>
      </c>
      <c r="O31" s="997">
        <f t="shared" si="10"/>
        <v>0</v>
      </c>
      <c r="P31" s="996">
        <f t="shared" si="10"/>
        <v>0</v>
      </c>
      <c r="Q31" s="996">
        <f t="shared" si="10"/>
        <v>0</v>
      </c>
      <c r="R31" s="2303">
        <f t="shared" si="10"/>
        <v>0.70612762500000004</v>
      </c>
      <c r="S31" s="2303">
        <f t="shared" si="10"/>
        <v>0.62671218750000002</v>
      </c>
      <c r="T31" s="2303">
        <f t="shared" si="10"/>
        <v>0.30262612500000008</v>
      </c>
      <c r="U31" s="2303">
        <f t="shared" si="10"/>
        <v>0.26859093750000002</v>
      </c>
      <c r="V31" s="996">
        <f t="shared" si="10"/>
        <v>0</v>
      </c>
      <c r="W31" s="996">
        <f t="shared" si="10"/>
        <v>0</v>
      </c>
      <c r="X31" s="997">
        <f t="shared" si="10"/>
        <v>0</v>
      </c>
      <c r="Y31" s="1333">
        <f t="shared" si="10"/>
        <v>0</v>
      </c>
      <c r="Z31" s="2249"/>
      <c r="AA31" s="2250"/>
      <c r="AB31" s="2250"/>
      <c r="AC31" s="2250"/>
      <c r="AD31" s="2241"/>
      <c r="AE31" s="2169"/>
      <c r="AF31" s="2169"/>
      <c r="AG31" s="2169"/>
      <c r="AH31" s="2169"/>
      <c r="AI31" s="2169"/>
      <c r="AJ31" s="2169"/>
      <c r="AK31" s="2241"/>
      <c r="AL31" s="2250"/>
      <c r="AM31" s="2250"/>
      <c r="AN31" s="2250"/>
      <c r="AO31" s="2250"/>
      <c r="AP31" s="2250"/>
      <c r="AQ31" s="2250"/>
      <c r="AR31" s="2251">
        <f>J34+J37+J40+J43+J46+J49</f>
        <v>5.2856912963592011</v>
      </c>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c r="BP31" s="2241"/>
      <c r="BQ31" s="2241"/>
      <c r="BR31" s="2241"/>
      <c r="BS31" s="2241"/>
      <c r="BT31" s="2241"/>
      <c r="BU31" s="2241"/>
      <c r="BV31" s="2241"/>
      <c r="BW31" s="2241"/>
      <c r="BX31" s="2241"/>
      <c r="BY31" s="2241"/>
      <c r="BZ31" s="2241"/>
      <c r="CA31" s="2241"/>
      <c r="CB31" s="2241"/>
      <c r="CC31" s="2241"/>
      <c r="CD31" s="2241"/>
      <c r="CE31" s="2241"/>
      <c r="CF31" s="2241"/>
      <c r="CG31" s="2241"/>
      <c r="CH31" s="2241"/>
      <c r="CI31" s="2241"/>
      <c r="CJ31" s="2241"/>
      <c r="CK31" s="2241"/>
      <c r="CL31" s="2241"/>
      <c r="CM31" s="2241"/>
      <c r="CN31" s="2241"/>
      <c r="CO31" s="2241"/>
      <c r="CP31" s="2241"/>
      <c r="CQ31" s="2241"/>
      <c r="CR31" s="2241"/>
      <c r="CS31" s="2241"/>
      <c r="CT31" s="2241"/>
      <c r="CU31" s="2241"/>
      <c r="CV31" s="2241"/>
      <c r="CW31" s="2241"/>
      <c r="CX31" s="2241"/>
      <c r="CY31" s="2241"/>
      <c r="CZ31" s="2241"/>
      <c r="DA31" s="2241"/>
      <c r="DB31" s="2241"/>
      <c r="DC31" s="2241"/>
      <c r="DD31" s="2241"/>
      <c r="DE31" s="2241"/>
      <c r="DF31" s="2241"/>
      <c r="DG31" s="2241"/>
      <c r="DH31" s="2241"/>
      <c r="DI31" s="2241"/>
      <c r="DJ31" s="2241"/>
      <c r="DK31" s="2241"/>
      <c r="DL31" s="2241"/>
      <c r="DM31" s="2241"/>
      <c r="DN31" s="2241"/>
      <c r="DO31" s="2241"/>
      <c r="DP31" s="2241"/>
      <c r="DQ31" s="2241"/>
      <c r="DR31" s="2241"/>
      <c r="DS31" s="2241"/>
      <c r="DT31" s="2241"/>
      <c r="DU31" s="2241"/>
      <c r="DV31" s="2241"/>
      <c r="DW31" s="2241"/>
      <c r="DX31" s="2241"/>
      <c r="DY31" s="2241"/>
      <c r="DZ31" s="2241"/>
      <c r="EA31" s="2241"/>
      <c r="EB31" s="2241"/>
      <c r="EC31" s="2241"/>
      <c r="ED31" s="2241"/>
      <c r="EE31" s="2241"/>
      <c r="EF31" s="2241"/>
      <c r="EG31" s="2241"/>
      <c r="EH31" s="2241"/>
      <c r="EI31" s="2241"/>
      <c r="EJ31" s="2241"/>
      <c r="EK31" s="2241"/>
      <c r="EL31" s="2241"/>
      <c r="EM31" s="2241"/>
      <c r="EN31" s="2241"/>
      <c r="EO31" s="2241"/>
      <c r="EP31" s="2241"/>
      <c r="EQ31" s="2241"/>
      <c r="ER31" s="2241"/>
      <c r="ES31" s="2241"/>
      <c r="ET31" s="2241"/>
      <c r="EU31" s="2241"/>
      <c r="EV31" s="2241"/>
      <c r="EW31" s="2241"/>
      <c r="EX31" s="2241"/>
      <c r="EY31" s="2241"/>
      <c r="EZ31" s="2241"/>
      <c r="FA31" s="2241"/>
      <c r="FB31" s="2241"/>
      <c r="FC31" s="2241"/>
      <c r="FD31" s="2241"/>
      <c r="FE31" s="2241"/>
      <c r="FF31" s="2241"/>
      <c r="FG31" s="2241"/>
      <c r="FH31" s="2241"/>
      <c r="FI31" s="2241"/>
      <c r="FJ31" s="2241"/>
      <c r="FK31" s="2241"/>
      <c r="FL31" s="2241"/>
      <c r="FM31" s="2241"/>
      <c r="FN31" s="2241"/>
      <c r="FO31" s="2241"/>
      <c r="FP31" s="2241"/>
      <c r="FQ31" s="2241"/>
      <c r="FR31" s="2241"/>
      <c r="FS31" s="2241"/>
      <c r="FT31" s="2241"/>
      <c r="FU31" s="2241"/>
      <c r="FV31" s="2241"/>
      <c r="FW31" s="2241"/>
      <c r="FX31" s="2241"/>
      <c r="FY31" s="2241"/>
      <c r="FZ31" s="2241"/>
      <c r="GA31" s="2241"/>
      <c r="GB31" s="2241"/>
      <c r="GC31" s="2241"/>
      <c r="GD31" s="2241"/>
      <c r="GE31" s="2241"/>
      <c r="GF31" s="2241"/>
      <c r="GG31" s="2241"/>
      <c r="GH31" s="2241"/>
      <c r="GI31" s="2241"/>
      <c r="GJ31" s="2241"/>
      <c r="GK31" s="2241"/>
      <c r="GL31" s="2241"/>
      <c r="GM31" s="2241"/>
      <c r="GN31" s="2241"/>
      <c r="GO31" s="2241"/>
      <c r="GP31" s="2241"/>
      <c r="GQ31" s="2241"/>
      <c r="GR31" s="2241"/>
      <c r="GS31" s="2241"/>
      <c r="GT31" s="2241"/>
      <c r="GU31" s="2241"/>
      <c r="GV31" s="2241"/>
      <c r="GW31" s="2241"/>
      <c r="GX31" s="2241"/>
      <c r="GY31" s="2241"/>
      <c r="GZ31" s="2241"/>
      <c r="HA31" s="2241"/>
      <c r="HB31" s="2241"/>
      <c r="HC31" s="2241"/>
      <c r="HD31" s="2241"/>
      <c r="HE31" s="2241"/>
      <c r="HF31" s="2241"/>
      <c r="HG31" s="2241"/>
      <c r="HH31" s="2241"/>
      <c r="HI31" s="2241"/>
      <c r="HJ31" s="2241"/>
      <c r="HK31" s="2241"/>
      <c r="HL31" s="2241"/>
      <c r="HM31" s="2241"/>
      <c r="HN31" s="2241"/>
      <c r="HO31" s="2241"/>
      <c r="HP31" s="2241"/>
      <c r="HQ31" s="2241"/>
      <c r="HR31" s="2241"/>
      <c r="HS31" s="2241"/>
      <c r="HT31" s="2241"/>
      <c r="HU31" s="2241"/>
      <c r="HV31" s="2241"/>
      <c r="HW31" s="2241"/>
      <c r="HX31" s="2241"/>
      <c r="HY31" s="2241"/>
      <c r="HZ31" s="2241"/>
      <c r="IA31" s="2241"/>
      <c r="IB31" s="2241"/>
      <c r="IC31" s="2241"/>
      <c r="ID31" s="2241"/>
      <c r="IE31" s="2241"/>
      <c r="IF31" s="2241"/>
      <c r="IG31" s="2241"/>
      <c r="IH31" s="2241"/>
      <c r="II31" s="2241"/>
      <c r="IJ31" s="2241"/>
      <c r="IK31" s="2241"/>
      <c r="IL31" s="2241"/>
      <c r="IM31" s="2241"/>
      <c r="IN31" s="2241"/>
      <c r="IO31" s="2241"/>
      <c r="IP31" s="2241"/>
      <c r="IQ31" s="2241"/>
      <c r="IR31" s="2241"/>
      <c r="IS31" s="2241"/>
      <c r="IT31" s="2241"/>
      <c r="IU31" s="2241"/>
      <c r="IV31" s="2241"/>
      <c r="IW31" s="2241"/>
      <c r="IX31" s="2241"/>
    </row>
    <row r="32" spans="1:258" ht="24" customHeight="1">
      <c r="A32" s="3058" t="s">
        <v>834</v>
      </c>
      <c r="B32" s="2252" t="s">
        <v>1932</v>
      </c>
      <c r="C32" s="2236" t="s">
        <v>803</v>
      </c>
      <c r="D32" s="2237" t="e">
        <f t="shared" ref="D32:I32" si="11">D16-D35</f>
        <v>#REF!</v>
      </c>
      <c r="E32" s="2237" t="e">
        <f t="shared" si="11"/>
        <v>#REF!</v>
      </c>
      <c r="F32" s="1330">
        <v>0</v>
      </c>
      <c r="G32" s="2253">
        <v>0</v>
      </c>
      <c r="H32" s="2254">
        <f t="shared" si="11"/>
        <v>0</v>
      </c>
      <c r="I32" s="2254">
        <f t="shared" si="11"/>
        <v>0</v>
      </c>
      <c r="J32" s="2248">
        <f>L32+N32+P32+R32+T32+V32+X32</f>
        <v>47.435784943999998</v>
      </c>
      <c r="K32" s="1330">
        <f>M32+O32+Q32+S32+U32+W32+Y32</f>
        <v>47.435784943999998</v>
      </c>
      <c r="L32" s="1330">
        <f>'[36]7. Вода та сіль Свод'!BA12</f>
        <v>47.435784943999998</v>
      </c>
      <c r="M32" s="1330">
        <f>L32</f>
        <v>47.435784943999998</v>
      </c>
      <c r="N32" s="1330">
        <v>0</v>
      </c>
      <c r="O32" s="1330">
        <v>0</v>
      </c>
      <c r="P32" s="1330">
        <f t="shared" ref="P32:Y33" si="12">P16-P35</f>
        <v>0</v>
      </c>
      <c r="Q32" s="1330">
        <f t="shared" si="12"/>
        <v>0</v>
      </c>
      <c r="R32" s="1330">
        <v>0</v>
      </c>
      <c r="S32" s="1330">
        <v>0</v>
      </c>
      <c r="T32" s="1330">
        <v>0</v>
      </c>
      <c r="U32" s="1330">
        <v>0</v>
      </c>
      <c r="V32" s="1330">
        <f t="shared" si="12"/>
        <v>0</v>
      </c>
      <c r="W32" s="1330">
        <f t="shared" si="12"/>
        <v>0</v>
      </c>
      <c r="X32" s="1330">
        <f t="shared" si="12"/>
        <v>0</v>
      </c>
      <c r="Y32" s="1330">
        <f t="shared" si="12"/>
        <v>0</v>
      </c>
      <c r="Z32" s="2249"/>
      <c r="AA32" s="2250"/>
      <c r="AB32" s="2250"/>
      <c r="AC32" s="2250"/>
      <c r="AD32" s="2241"/>
      <c r="AE32" s="2169"/>
      <c r="AF32" s="2169"/>
      <c r="AG32" s="2169"/>
      <c r="AH32" s="2169"/>
      <c r="AI32" s="2169"/>
      <c r="AJ32" s="2169"/>
      <c r="AK32" s="2241"/>
      <c r="AL32" s="2250"/>
      <c r="AM32" s="2250"/>
      <c r="AN32" s="2250"/>
      <c r="AO32" s="2250"/>
      <c r="AP32" s="2250"/>
      <c r="AQ32" s="2250"/>
      <c r="AR32" s="225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c r="BP32" s="2241"/>
      <c r="BQ32" s="2241"/>
      <c r="BR32" s="2241"/>
      <c r="BS32" s="2241"/>
      <c r="BT32" s="2241"/>
      <c r="BU32" s="2241"/>
      <c r="BV32" s="2241"/>
      <c r="BW32" s="2241"/>
      <c r="BX32" s="2241"/>
      <c r="BY32" s="2241"/>
      <c r="BZ32" s="2241"/>
      <c r="CA32" s="2241"/>
      <c r="CB32" s="2241"/>
      <c r="CC32" s="2241"/>
      <c r="CD32" s="2241"/>
      <c r="CE32" s="2241"/>
      <c r="CF32" s="2241"/>
      <c r="CG32" s="2241"/>
      <c r="CH32" s="2241"/>
      <c r="CI32" s="2241"/>
      <c r="CJ32" s="2241"/>
      <c r="CK32" s="2241"/>
      <c r="CL32" s="2241"/>
      <c r="CM32" s="2241"/>
      <c r="CN32" s="2241"/>
      <c r="CO32" s="2241"/>
      <c r="CP32" s="2241"/>
      <c r="CQ32" s="2241"/>
      <c r="CR32" s="2241"/>
      <c r="CS32" s="2241"/>
      <c r="CT32" s="2241"/>
      <c r="CU32" s="2241"/>
      <c r="CV32" s="2241"/>
      <c r="CW32" s="2241"/>
      <c r="CX32" s="2241"/>
      <c r="CY32" s="2241"/>
      <c r="CZ32" s="2241"/>
      <c r="DA32" s="2241"/>
      <c r="DB32" s="2241"/>
      <c r="DC32" s="2241"/>
      <c r="DD32" s="2241"/>
      <c r="DE32" s="2241"/>
      <c r="DF32" s="2241"/>
      <c r="DG32" s="2241"/>
      <c r="DH32" s="2241"/>
      <c r="DI32" s="2241"/>
      <c r="DJ32" s="2241"/>
      <c r="DK32" s="2241"/>
      <c r="DL32" s="2241"/>
      <c r="DM32" s="2241"/>
      <c r="DN32" s="2241"/>
      <c r="DO32" s="2241"/>
      <c r="DP32" s="2241"/>
      <c r="DQ32" s="2241"/>
      <c r="DR32" s="2241"/>
      <c r="DS32" s="2241"/>
      <c r="DT32" s="2241"/>
      <c r="DU32" s="2241"/>
      <c r="DV32" s="2241"/>
      <c r="DW32" s="2241"/>
      <c r="DX32" s="2241"/>
      <c r="DY32" s="2241"/>
      <c r="DZ32" s="2241"/>
      <c r="EA32" s="2241"/>
      <c r="EB32" s="2241"/>
      <c r="EC32" s="2241"/>
      <c r="ED32" s="2241"/>
      <c r="EE32" s="2241"/>
      <c r="EF32" s="2241"/>
      <c r="EG32" s="2241"/>
      <c r="EH32" s="2241"/>
      <c r="EI32" s="2241"/>
      <c r="EJ32" s="2241"/>
      <c r="EK32" s="2241"/>
      <c r="EL32" s="2241"/>
      <c r="EM32" s="2241"/>
      <c r="EN32" s="2241"/>
      <c r="EO32" s="2241"/>
      <c r="EP32" s="2241"/>
      <c r="EQ32" s="2241"/>
      <c r="ER32" s="2241"/>
      <c r="ES32" s="2241"/>
      <c r="ET32" s="2241"/>
      <c r="EU32" s="2241"/>
      <c r="EV32" s="2241"/>
      <c r="EW32" s="2241"/>
      <c r="EX32" s="2241"/>
      <c r="EY32" s="2241"/>
      <c r="EZ32" s="2241"/>
      <c r="FA32" s="2241"/>
      <c r="FB32" s="2241"/>
      <c r="FC32" s="2241"/>
      <c r="FD32" s="2241"/>
      <c r="FE32" s="2241"/>
      <c r="FF32" s="2241"/>
      <c r="FG32" s="2241"/>
      <c r="FH32" s="2241"/>
      <c r="FI32" s="2241"/>
      <c r="FJ32" s="2241"/>
      <c r="FK32" s="2241"/>
      <c r="FL32" s="2241"/>
      <c r="FM32" s="2241"/>
      <c r="FN32" s="2241"/>
      <c r="FO32" s="2241"/>
      <c r="FP32" s="2241"/>
      <c r="FQ32" s="2241"/>
      <c r="FR32" s="2241"/>
      <c r="FS32" s="2241"/>
      <c r="FT32" s="2241"/>
      <c r="FU32" s="2241"/>
      <c r="FV32" s="2241"/>
      <c r="FW32" s="2241"/>
      <c r="FX32" s="2241"/>
      <c r="FY32" s="2241"/>
      <c r="FZ32" s="2241"/>
      <c r="GA32" s="2241"/>
      <c r="GB32" s="2241"/>
      <c r="GC32" s="2241"/>
      <c r="GD32" s="2241"/>
      <c r="GE32" s="2241"/>
      <c r="GF32" s="2241"/>
      <c r="GG32" s="2241"/>
      <c r="GH32" s="2241"/>
      <c r="GI32" s="2241"/>
      <c r="GJ32" s="2241"/>
      <c r="GK32" s="2241"/>
      <c r="GL32" s="2241"/>
      <c r="GM32" s="2241"/>
      <c r="GN32" s="2241"/>
      <c r="GO32" s="2241"/>
      <c r="GP32" s="2241"/>
      <c r="GQ32" s="2241"/>
      <c r="GR32" s="2241"/>
      <c r="GS32" s="2241"/>
      <c r="GT32" s="2241"/>
      <c r="GU32" s="2241"/>
      <c r="GV32" s="2241"/>
      <c r="GW32" s="2241"/>
      <c r="GX32" s="2241"/>
      <c r="GY32" s="2241"/>
      <c r="GZ32" s="2241"/>
      <c r="HA32" s="2241"/>
      <c r="HB32" s="2241"/>
      <c r="HC32" s="2241"/>
      <c r="HD32" s="2241"/>
      <c r="HE32" s="2241"/>
      <c r="HF32" s="2241"/>
      <c r="HG32" s="2241"/>
      <c r="HH32" s="2241"/>
      <c r="HI32" s="2241"/>
      <c r="HJ32" s="2241"/>
      <c r="HK32" s="2241"/>
      <c r="HL32" s="2241"/>
      <c r="HM32" s="2241"/>
      <c r="HN32" s="2241"/>
      <c r="HO32" s="2241"/>
      <c r="HP32" s="2241"/>
      <c r="HQ32" s="2241"/>
      <c r="HR32" s="2241"/>
      <c r="HS32" s="2241"/>
      <c r="HT32" s="2241"/>
      <c r="HU32" s="2241"/>
      <c r="HV32" s="2241"/>
      <c r="HW32" s="2241"/>
      <c r="HX32" s="2241"/>
      <c r="HY32" s="2241"/>
      <c r="HZ32" s="2241"/>
      <c r="IA32" s="2241"/>
      <c r="IB32" s="2241"/>
      <c r="IC32" s="2241"/>
      <c r="ID32" s="2241"/>
      <c r="IE32" s="2241"/>
      <c r="IF32" s="2241"/>
      <c r="IG32" s="2241"/>
      <c r="IH32" s="2241"/>
      <c r="II32" s="2241"/>
      <c r="IJ32" s="2241"/>
      <c r="IK32" s="2241"/>
      <c r="IL32" s="2241"/>
      <c r="IM32" s="2241"/>
      <c r="IN32" s="2241"/>
      <c r="IO32" s="2241"/>
      <c r="IP32" s="2241"/>
      <c r="IQ32" s="2241"/>
      <c r="IR32" s="2241"/>
      <c r="IS32" s="2241"/>
      <c r="IT32" s="2241"/>
      <c r="IU32" s="2241"/>
      <c r="IV32" s="2241"/>
      <c r="IW32" s="2241"/>
      <c r="IX32" s="2241"/>
    </row>
    <row r="33" spans="1:258" s="2241" customFormat="1" ht="24">
      <c r="A33" s="3059"/>
      <c r="B33" s="2188" t="s">
        <v>835</v>
      </c>
      <c r="C33" s="2236" t="s">
        <v>830</v>
      </c>
      <c r="D33" s="2237" t="e">
        <f>IF(D32=0,,D34*1000/D32)</f>
        <v>#REF!</v>
      </c>
      <c r="E33" s="2238" t="e">
        <f>IF(E32=0,,E34*1000/E32)</f>
        <v>#REF!</v>
      </c>
      <c r="F33" s="2255">
        <f>IF(F32=0,,F34*1000/F32)</f>
        <v>0</v>
      </c>
      <c r="G33" s="2255">
        <f t="shared" ref="G33:I33" si="13">IF(G32=0,,G34*1000/G32)</f>
        <v>0</v>
      </c>
      <c r="H33" s="2237">
        <f t="shared" si="13"/>
        <v>0</v>
      </c>
      <c r="I33" s="2237">
        <f t="shared" si="13"/>
        <v>0</v>
      </c>
      <c r="J33" s="2256">
        <f>J34*1000/J32</f>
        <v>18.450000000000003</v>
      </c>
      <c r="K33" s="2240">
        <f>K34*1000/K32</f>
        <v>16.375</v>
      </c>
      <c r="L33" s="1330">
        <f>22.14/1.2</f>
        <v>18.450000000000003</v>
      </c>
      <c r="M33" s="997">
        <f>19.65/1.2</f>
        <v>16.375</v>
      </c>
      <c r="N33" s="1330">
        <v>0</v>
      </c>
      <c r="O33" s="1330">
        <v>0</v>
      </c>
      <c r="P33" s="1330">
        <f t="shared" si="12"/>
        <v>0</v>
      </c>
      <c r="Q33" s="996">
        <v>0</v>
      </c>
      <c r="R33" s="1330">
        <f>L33</f>
        <v>18.450000000000003</v>
      </c>
      <c r="S33" s="996">
        <f>M33</f>
        <v>16.375</v>
      </c>
      <c r="T33" s="1330">
        <f>L33</f>
        <v>18.450000000000003</v>
      </c>
      <c r="U33" s="996">
        <f>M33</f>
        <v>16.375</v>
      </c>
      <c r="V33" s="1330">
        <v>0</v>
      </c>
      <c r="W33" s="996">
        <v>0</v>
      </c>
      <c r="X33" s="997">
        <v>0</v>
      </c>
      <c r="Y33" s="1331">
        <v>0</v>
      </c>
      <c r="Z33" s="2249"/>
      <c r="AA33" s="2250"/>
      <c r="AB33" s="2250"/>
      <c r="AC33" s="2250"/>
      <c r="AE33" s="2169"/>
      <c r="AF33" s="2169"/>
      <c r="AG33" s="2169"/>
      <c r="AH33" s="2169"/>
      <c r="AI33" s="2169"/>
      <c r="AJ33" s="2169"/>
      <c r="AL33" s="2250"/>
      <c r="AM33" s="2250"/>
      <c r="AN33" s="2250"/>
      <c r="AO33" s="2250"/>
      <c r="AP33" s="2250"/>
      <c r="AQ33" s="2250"/>
    </row>
    <row r="34" spans="1:258" ht="36">
      <c r="A34" s="3060"/>
      <c r="B34" s="2257" t="s">
        <v>1933</v>
      </c>
      <c r="C34" s="2243" t="s">
        <v>833</v>
      </c>
      <c r="D34" s="2244">
        <f>((420630.09+10332.49)/1000)-D37</f>
        <v>430.94152509999998</v>
      </c>
      <c r="E34" s="2245">
        <f>((94610.14+5837.68)/1000)-E37</f>
        <v>100.44309018440001</v>
      </c>
      <c r="F34" s="2258">
        <v>0</v>
      </c>
      <c r="G34" s="2259">
        <v>0</v>
      </c>
      <c r="H34" s="997" t="s">
        <v>1934</v>
      </c>
      <c r="I34" s="997">
        <v>0</v>
      </c>
      <c r="J34" s="2260">
        <f>L34+N34+P34+R34+T34+V34+X34</f>
        <v>0.87519023221680015</v>
      </c>
      <c r="K34" s="996">
        <f>M34+O34+Q34+S34+U34+W34+Y34</f>
        <v>0.77676097845799996</v>
      </c>
      <c r="L34" s="2299">
        <f>L32*L33/1000</f>
        <v>0.87519023221680015</v>
      </c>
      <c r="M34" s="2299">
        <f t="shared" ref="M34:Y34" si="14">M32*M33/1000</f>
        <v>0.77676097845799996</v>
      </c>
      <c r="N34" s="996">
        <f t="shared" si="14"/>
        <v>0</v>
      </c>
      <c r="O34" s="996">
        <f t="shared" si="14"/>
        <v>0</v>
      </c>
      <c r="P34" s="996">
        <f t="shared" si="14"/>
        <v>0</v>
      </c>
      <c r="Q34" s="996">
        <f t="shared" si="14"/>
        <v>0</v>
      </c>
      <c r="R34" s="2261">
        <f t="shared" si="14"/>
        <v>0</v>
      </c>
      <c r="S34" s="2261">
        <f t="shared" si="14"/>
        <v>0</v>
      </c>
      <c r="T34" s="2261">
        <f t="shared" si="14"/>
        <v>0</v>
      </c>
      <c r="U34" s="2261">
        <f t="shared" si="14"/>
        <v>0</v>
      </c>
      <c r="V34" s="2261">
        <f t="shared" si="14"/>
        <v>0</v>
      </c>
      <c r="W34" s="2261">
        <f t="shared" si="14"/>
        <v>0</v>
      </c>
      <c r="X34" s="2261">
        <f t="shared" si="14"/>
        <v>0</v>
      </c>
      <c r="Y34" s="2261">
        <f t="shared" si="14"/>
        <v>0</v>
      </c>
      <c r="Z34" s="2249"/>
      <c r="AA34" s="2250"/>
      <c r="AB34" s="2250"/>
      <c r="AC34" s="2250"/>
      <c r="AD34" s="2241"/>
      <c r="AE34" s="2169"/>
      <c r="AF34" s="2169"/>
      <c r="AG34" s="2169"/>
      <c r="AH34" s="2169"/>
      <c r="AI34" s="2169"/>
      <c r="AJ34" s="2169"/>
      <c r="AK34" s="2241"/>
      <c r="AL34" s="2250"/>
      <c r="AM34" s="2250"/>
      <c r="AN34" s="2250"/>
      <c r="AO34" s="2250"/>
      <c r="AP34" s="2250"/>
      <c r="AQ34" s="2250"/>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c r="BP34" s="2241"/>
      <c r="BQ34" s="2241"/>
      <c r="BR34" s="2241"/>
      <c r="BS34" s="2241"/>
      <c r="BT34" s="2241"/>
      <c r="BU34" s="2241"/>
      <c r="BV34" s="2241"/>
      <c r="BW34" s="2241"/>
      <c r="BX34" s="2241"/>
      <c r="BY34" s="2241"/>
      <c r="BZ34" s="2241"/>
      <c r="CA34" s="2241"/>
      <c r="CB34" s="2241"/>
      <c r="CC34" s="2241"/>
      <c r="CD34" s="2241"/>
      <c r="CE34" s="2241"/>
      <c r="CF34" s="2241"/>
      <c r="CG34" s="2241"/>
      <c r="CH34" s="2241"/>
      <c r="CI34" s="2241"/>
      <c r="CJ34" s="2241"/>
      <c r="CK34" s="2241"/>
      <c r="CL34" s="2241"/>
      <c r="CM34" s="2241"/>
      <c r="CN34" s="2241"/>
      <c r="CO34" s="2241"/>
      <c r="CP34" s="2241"/>
      <c r="CQ34" s="2241"/>
      <c r="CR34" s="2241"/>
      <c r="CS34" s="2241"/>
      <c r="CT34" s="2241"/>
      <c r="CU34" s="2241"/>
      <c r="CV34" s="2241"/>
      <c r="CW34" s="2241"/>
      <c r="CX34" s="2241"/>
      <c r="CY34" s="2241"/>
      <c r="CZ34" s="2241"/>
      <c r="DA34" s="2241"/>
      <c r="DB34" s="2241"/>
      <c r="DC34" s="2241"/>
      <c r="DD34" s="2241"/>
      <c r="DE34" s="2241"/>
      <c r="DF34" s="2241"/>
      <c r="DG34" s="2241"/>
      <c r="DH34" s="2241"/>
      <c r="DI34" s="2241"/>
      <c r="DJ34" s="2241"/>
      <c r="DK34" s="2241"/>
      <c r="DL34" s="2241"/>
      <c r="DM34" s="2241"/>
      <c r="DN34" s="2241"/>
      <c r="DO34" s="2241"/>
      <c r="DP34" s="2241"/>
      <c r="DQ34" s="2241"/>
      <c r="DR34" s="2241"/>
      <c r="DS34" s="2241"/>
      <c r="DT34" s="2241"/>
      <c r="DU34" s="2241"/>
      <c r="DV34" s="2241"/>
      <c r="DW34" s="2241"/>
      <c r="DX34" s="2241"/>
      <c r="DY34" s="2241"/>
      <c r="DZ34" s="2241"/>
      <c r="EA34" s="2241"/>
      <c r="EB34" s="2241"/>
      <c r="EC34" s="2241"/>
      <c r="ED34" s="2241"/>
      <c r="EE34" s="2241"/>
      <c r="EF34" s="2241"/>
      <c r="EG34" s="2241"/>
      <c r="EH34" s="2241"/>
      <c r="EI34" s="2241"/>
      <c r="EJ34" s="2241"/>
      <c r="EK34" s="2241"/>
      <c r="EL34" s="2241"/>
      <c r="EM34" s="2241"/>
      <c r="EN34" s="2241"/>
      <c r="EO34" s="2241"/>
      <c r="EP34" s="2241"/>
      <c r="EQ34" s="2241"/>
      <c r="ER34" s="2241"/>
      <c r="ES34" s="2241"/>
      <c r="ET34" s="2241"/>
      <c r="EU34" s="2241"/>
      <c r="EV34" s="2241"/>
      <c r="EW34" s="2241"/>
      <c r="EX34" s="2241"/>
      <c r="EY34" s="2241"/>
      <c r="EZ34" s="2241"/>
      <c r="FA34" s="2241"/>
      <c r="FB34" s="2241"/>
      <c r="FC34" s="2241"/>
      <c r="FD34" s="2241"/>
      <c r="FE34" s="2241"/>
      <c r="FF34" s="2241"/>
      <c r="FG34" s="2241"/>
      <c r="FH34" s="2241"/>
      <c r="FI34" s="2241"/>
      <c r="FJ34" s="2241"/>
      <c r="FK34" s="2241"/>
      <c r="FL34" s="2241"/>
      <c r="FM34" s="2241"/>
      <c r="FN34" s="2241"/>
      <c r="FO34" s="2241"/>
      <c r="FP34" s="2241"/>
      <c r="FQ34" s="2241"/>
      <c r="FR34" s="2241"/>
      <c r="FS34" s="2241"/>
      <c r="FT34" s="2241"/>
      <c r="FU34" s="2241"/>
      <c r="FV34" s="2241"/>
      <c r="FW34" s="2241"/>
      <c r="FX34" s="2241"/>
      <c r="FY34" s="2241"/>
      <c r="FZ34" s="2241"/>
      <c r="GA34" s="2241"/>
      <c r="GB34" s="2241"/>
      <c r="GC34" s="2241"/>
      <c r="GD34" s="2241"/>
      <c r="GE34" s="2241"/>
      <c r="GF34" s="2241"/>
      <c r="GG34" s="2241"/>
      <c r="GH34" s="2241"/>
      <c r="GI34" s="2241"/>
      <c r="GJ34" s="2241"/>
      <c r="GK34" s="2241"/>
      <c r="GL34" s="2241"/>
      <c r="GM34" s="2241"/>
      <c r="GN34" s="2241"/>
      <c r="GO34" s="2241"/>
      <c r="GP34" s="2241"/>
      <c r="GQ34" s="2241"/>
      <c r="GR34" s="2241"/>
      <c r="GS34" s="2241"/>
      <c r="GT34" s="2241"/>
      <c r="GU34" s="2241"/>
      <c r="GV34" s="2241"/>
      <c r="GW34" s="2241"/>
      <c r="GX34" s="2241"/>
      <c r="GY34" s="2241"/>
      <c r="GZ34" s="2241"/>
      <c r="HA34" s="2241"/>
      <c r="HB34" s="2241"/>
      <c r="HC34" s="2241"/>
      <c r="HD34" s="2241"/>
      <c r="HE34" s="2241"/>
      <c r="HF34" s="2241"/>
      <c r="HG34" s="2241"/>
      <c r="HH34" s="2241"/>
      <c r="HI34" s="2241"/>
      <c r="HJ34" s="2241"/>
      <c r="HK34" s="2241"/>
      <c r="HL34" s="2241"/>
      <c r="HM34" s="2241"/>
      <c r="HN34" s="2241"/>
      <c r="HO34" s="2241"/>
      <c r="HP34" s="2241"/>
      <c r="HQ34" s="2241"/>
      <c r="HR34" s="2241"/>
      <c r="HS34" s="2241"/>
      <c r="HT34" s="2241"/>
      <c r="HU34" s="2241"/>
      <c r="HV34" s="2241"/>
      <c r="HW34" s="2241"/>
      <c r="HX34" s="2241"/>
      <c r="HY34" s="2241"/>
      <c r="HZ34" s="2241"/>
      <c r="IA34" s="2241"/>
      <c r="IB34" s="2241"/>
      <c r="IC34" s="2241"/>
      <c r="ID34" s="2241"/>
      <c r="IE34" s="2241"/>
      <c r="IF34" s="2241"/>
      <c r="IG34" s="2241"/>
      <c r="IH34" s="2241"/>
      <c r="II34" s="2241"/>
      <c r="IJ34" s="2241"/>
      <c r="IK34" s="2241"/>
      <c r="IL34" s="2241"/>
      <c r="IM34" s="2241"/>
      <c r="IN34" s="2241"/>
      <c r="IO34" s="2241"/>
      <c r="IP34" s="2241"/>
      <c r="IQ34" s="2241"/>
      <c r="IR34" s="2241"/>
      <c r="IS34" s="2241"/>
      <c r="IT34" s="2241"/>
      <c r="IU34" s="2241"/>
      <c r="IV34" s="2241"/>
      <c r="IW34" s="2241"/>
      <c r="IX34" s="2241"/>
    </row>
    <row r="35" spans="1:258" ht="23.25" customHeight="1">
      <c r="A35" s="3058" t="s">
        <v>836</v>
      </c>
      <c r="B35" s="2252" t="s">
        <v>1935</v>
      </c>
      <c r="C35" s="2236" t="s">
        <v>803</v>
      </c>
      <c r="D35" s="2237">
        <v>2</v>
      </c>
      <c r="E35" s="2245">
        <f>D35*0.291</f>
        <v>0.58199999999999996</v>
      </c>
      <c r="F35" s="2237">
        <v>0</v>
      </c>
      <c r="G35" s="2245">
        <f>F35*0.291</f>
        <v>0</v>
      </c>
      <c r="H35" s="2237">
        <v>0</v>
      </c>
      <c r="I35" s="2238">
        <f>H35*0.291</f>
        <v>0</v>
      </c>
      <c r="J35" s="2260">
        <f>L35+N35+P35+R35+T35+V35+X35</f>
        <v>217.00319270400001</v>
      </c>
      <c r="K35" s="996">
        <f>M35+O35+Q35+S35+U35+W35+Y35</f>
        <v>217.00319270400001</v>
      </c>
      <c r="L35" s="997">
        <f>'[36]7. Вода та сіль Свод'!BA13+L26</f>
        <v>162.328192704</v>
      </c>
      <c r="M35" s="997">
        <f>L35</f>
        <v>162.328192704</v>
      </c>
      <c r="N35" s="997">
        <v>0</v>
      </c>
      <c r="O35" s="997">
        <v>0</v>
      </c>
      <c r="P35" s="997">
        <v>0</v>
      </c>
      <c r="Q35" s="997">
        <f>P35*0.291</f>
        <v>0</v>
      </c>
      <c r="R35" s="997">
        <f>R26</f>
        <v>38.272500000000001</v>
      </c>
      <c r="S35" s="997">
        <f>R35</f>
        <v>38.272500000000001</v>
      </c>
      <c r="T35" s="997">
        <f>T26</f>
        <v>16.4025</v>
      </c>
      <c r="U35" s="997">
        <f>T35</f>
        <v>16.4025</v>
      </c>
      <c r="V35" s="997">
        <v>0</v>
      </c>
      <c r="W35" s="997">
        <f>V35*0.291</f>
        <v>0</v>
      </c>
      <c r="X35" s="997">
        <v>0</v>
      </c>
      <c r="Y35" s="1333">
        <f>X35*0.291</f>
        <v>0</v>
      </c>
      <c r="Z35" s="2249"/>
      <c r="AA35" s="2250"/>
      <c r="AB35" s="2250"/>
      <c r="AC35" s="2250"/>
      <c r="AD35" s="2241"/>
      <c r="AE35" s="2169"/>
      <c r="AF35" s="2169"/>
      <c r="AG35" s="2169"/>
      <c r="AH35" s="2169"/>
      <c r="AI35" s="2169"/>
      <c r="AJ35" s="2169"/>
      <c r="AK35" s="2241"/>
      <c r="AL35" s="2250"/>
      <c r="AM35" s="2250"/>
      <c r="AN35" s="2250"/>
      <c r="AO35" s="2250"/>
      <c r="AP35" s="2250"/>
      <c r="AQ35" s="2250"/>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c r="BP35" s="2241"/>
      <c r="BQ35" s="2241"/>
      <c r="BR35" s="2241"/>
      <c r="BS35" s="2241"/>
      <c r="BT35" s="2241"/>
      <c r="BU35" s="2241"/>
      <c r="BV35" s="2241"/>
      <c r="BW35" s="2241"/>
      <c r="BX35" s="2241"/>
      <c r="BY35" s="2241"/>
      <c r="BZ35" s="2241"/>
      <c r="CA35" s="2241"/>
      <c r="CB35" s="2241"/>
      <c r="CC35" s="2241"/>
      <c r="CD35" s="2241"/>
      <c r="CE35" s="2241"/>
      <c r="CF35" s="2241"/>
      <c r="CG35" s="2241"/>
      <c r="CH35" s="2241"/>
      <c r="CI35" s="2241"/>
      <c r="CJ35" s="2241"/>
      <c r="CK35" s="2241"/>
      <c r="CL35" s="2241"/>
      <c r="CM35" s="2241"/>
      <c r="CN35" s="2241"/>
      <c r="CO35" s="2241"/>
      <c r="CP35" s="2241"/>
      <c r="CQ35" s="2241"/>
      <c r="CR35" s="2241"/>
      <c r="CS35" s="2241"/>
      <c r="CT35" s="2241"/>
      <c r="CU35" s="2241"/>
      <c r="CV35" s="2241"/>
      <c r="CW35" s="2241"/>
      <c r="CX35" s="2241"/>
      <c r="CY35" s="2241"/>
      <c r="CZ35" s="2241"/>
      <c r="DA35" s="2241"/>
      <c r="DB35" s="2241"/>
      <c r="DC35" s="2241"/>
      <c r="DD35" s="2241"/>
      <c r="DE35" s="2241"/>
      <c r="DF35" s="2241"/>
      <c r="DG35" s="2241"/>
      <c r="DH35" s="2241"/>
      <c r="DI35" s="2241"/>
      <c r="DJ35" s="2241"/>
      <c r="DK35" s="2241"/>
      <c r="DL35" s="2241"/>
      <c r="DM35" s="2241"/>
      <c r="DN35" s="2241"/>
      <c r="DO35" s="2241"/>
      <c r="DP35" s="2241"/>
      <c r="DQ35" s="2241"/>
      <c r="DR35" s="2241"/>
      <c r="DS35" s="2241"/>
      <c r="DT35" s="2241"/>
      <c r="DU35" s="2241"/>
      <c r="DV35" s="2241"/>
      <c r="DW35" s="2241"/>
      <c r="DX35" s="2241"/>
      <c r="DY35" s="2241"/>
      <c r="DZ35" s="2241"/>
      <c r="EA35" s="2241"/>
      <c r="EB35" s="2241"/>
      <c r="EC35" s="2241"/>
      <c r="ED35" s="2241"/>
      <c r="EE35" s="2241"/>
      <c r="EF35" s="2241"/>
      <c r="EG35" s="2241"/>
      <c r="EH35" s="2241"/>
      <c r="EI35" s="2241"/>
      <c r="EJ35" s="2241"/>
      <c r="EK35" s="2241"/>
      <c r="EL35" s="2241"/>
      <c r="EM35" s="2241"/>
      <c r="EN35" s="2241"/>
      <c r="EO35" s="2241"/>
      <c r="EP35" s="2241"/>
      <c r="EQ35" s="2241"/>
      <c r="ER35" s="2241"/>
      <c r="ES35" s="2241"/>
      <c r="ET35" s="2241"/>
      <c r="EU35" s="2241"/>
      <c r="EV35" s="2241"/>
      <c r="EW35" s="2241"/>
      <c r="EX35" s="2241"/>
      <c r="EY35" s="2241"/>
      <c r="EZ35" s="2241"/>
      <c r="FA35" s="2241"/>
      <c r="FB35" s="2241"/>
      <c r="FC35" s="2241"/>
      <c r="FD35" s="2241"/>
      <c r="FE35" s="2241"/>
      <c r="FF35" s="2241"/>
      <c r="FG35" s="2241"/>
      <c r="FH35" s="2241"/>
      <c r="FI35" s="2241"/>
      <c r="FJ35" s="2241"/>
      <c r="FK35" s="2241"/>
      <c r="FL35" s="2241"/>
      <c r="FM35" s="2241"/>
      <c r="FN35" s="2241"/>
      <c r="FO35" s="2241"/>
      <c r="FP35" s="2241"/>
      <c r="FQ35" s="2241"/>
      <c r="FR35" s="2241"/>
      <c r="FS35" s="2241"/>
      <c r="FT35" s="2241"/>
      <c r="FU35" s="2241"/>
      <c r="FV35" s="2241"/>
      <c r="FW35" s="2241"/>
      <c r="FX35" s="2241"/>
      <c r="FY35" s="2241"/>
      <c r="FZ35" s="2241"/>
      <c r="GA35" s="2241"/>
      <c r="GB35" s="2241"/>
      <c r="GC35" s="2241"/>
      <c r="GD35" s="2241"/>
      <c r="GE35" s="2241"/>
      <c r="GF35" s="2241"/>
      <c r="GG35" s="2241"/>
      <c r="GH35" s="2241"/>
      <c r="GI35" s="2241"/>
      <c r="GJ35" s="2241"/>
      <c r="GK35" s="2241"/>
      <c r="GL35" s="2241"/>
      <c r="GM35" s="2241"/>
      <c r="GN35" s="2241"/>
      <c r="GO35" s="2241"/>
      <c r="GP35" s="2241"/>
      <c r="GQ35" s="2241"/>
      <c r="GR35" s="2241"/>
      <c r="GS35" s="2241"/>
      <c r="GT35" s="2241"/>
      <c r="GU35" s="2241"/>
      <c r="GV35" s="2241"/>
      <c r="GW35" s="2241"/>
      <c r="GX35" s="2241"/>
      <c r="GY35" s="2241"/>
      <c r="GZ35" s="2241"/>
      <c r="HA35" s="2241"/>
      <c r="HB35" s="2241"/>
      <c r="HC35" s="2241"/>
      <c r="HD35" s="2241"/>
      <c r="HE35" s="2241"/>
      <c r="HF35" s="2241"/>
      <c r="HG35" s="2241"/>
      <c r="HH35" s="2241"/>
      <c r="HI35" s="2241"/>
      <c r="HJ35" s="2241"/>
      <c r="HK35" s="2241"/>
      <c r="HL35" s="2241"/>
      <c r="HM35" s="2241"/>
      <c r="HN35" s="2241"/>
      <c r="HO35" s="2241"/>
      <c r="HP35" s="2241"/>
      <c r="HQ35" s="2241"/>
      <c r="HR35" s="2241"/>
      <c r="HS35" s="2241"/>
      <c r="HT35" s="2241"/>
      <c r="HU35" s="2241"/>
      <c r="HV35" s="2241"/>
      <c r="HW35" s="2241"/>
      <c r="HX35" s="2241"/>
      <c r="HY35" s="2241"/>
      <c r="HZ35" s="2241"/>
      <c r="IA35" s="2241"/>
      <c r="IB35" s="2241"/>
      <c r="IC35" s="2241"/>
      <c r="ID35" s="2241"/>
      <c r="IE35" s="2241"/>
      <c r="IF35" s="2241"/>
      <c r="IG35" s="2241"/>
      <c r="IH35" s="2241"/>
      <c r="II35" s="2241"/>
      <c r="IJ35" s="2241"/>
      <c r="IK35" s="2241"/>
      <c r="IL35" s="2241"/>
      <c r="IM35" s="2241"/>
      <c r="IN35" s="2241"/>
      <c r="IO35" s="2241"/>
      <c r="IP35" s="2241"/>
      <c r="IQ35" s="2241"/>
      <c r="IR35" s="2241"/>
      <c r="IS35" s="2241"/>
      <c r="IT35" s="2241"/>
      <c r="IU35" s="2241"/>
      <c r="IV35" s="2241"/>
      <c r="IW35" s="2241"/>
      <c r="IX35" s="2241"/>
    </row>
    <row r="36" spans="1:258" s="2241" customFormat="1" ht="24" customHeight="1">
      <c r="A36" s="3059"/>
      <c r="B36" s="2188" t="s">
        <v>837</v>
      </c>
      <c r="C36" s="2236" t="s">
        <v>830</v>
      </c>
      <c r="D36" s="2237" t="e">
        <f>IF(D32=0,,D37*1000/D35)</f>
        <v>#REF!</v>
      </c>
      <c r="E36" s="2238" t="e">
        <f>IF(E32=0,,E37*1000/E35)</f>
        <v>#REF!</v>
      </c>
      <c r="F36" s="2237">
        <f>IF(F35=0,,F37*1000/F35)</f>
        <v>0</v>
      </c>
      <c r="G36" s="2262">
        <f>IF(G35=0,,G37*1000/G35)</f>
        <v>0</v>
      </c>
      <c r="H36" s="2263">
        <f>IFERROR(H37/H35*1000,0)</f>
        <v>0</v>
      </c>
      <c r="I36" s="2263">
        <f>IFERROR(I37/I35*1000,0)</f>
        <v>0</v>
      </c>
      <c r="J36" s="2248">
        <f>IF(J29=0,,J37*1000/J35)</f>
        <v>18.450000000000003</v>
      </c>
      <c r="K36" s="2248">
        <f>IF(K29=0,,K37*1000/K35)</f>
        <v>16.374999999999996</v>
      </c>
      <c r="L36" s="1330">
        <f t="shared" ref="L36:Y36" si="15">L33</f>
        <v>18.450000000000003</v>
      </c>
      <c r="M36" s="1330">
        <f t="shared" si="15"/>
        <v>16.375</v>
      </c>
      <c r="N36" s="1330">
        <f t="shared" si="15"/>
        <v>0</v>
      </c>
      <c r="O36" s="1330">
        <f t="shared" si="15"/>
        <v>0</v>
      </c>
      <c r="P36" s="1330">
        <v>0</v>
      </c>
      <c r="Q36" s="1330">
        <v>0</v>
      </c>
      <c r="R36" s="1330">
        <f t="shared" si="15"/>
        <v>18.450000000000003</v>
      </c>
      <c r="S36" s="1330">
        <f t="shared" si="15"/>
        <v>16.375</v>
      </c>
      <c r="T36" s="1330">
        <f t="shared" si="15"/>
        <v>18.450000000000003</v>
      </c>
      <c r="U36" s="1330">
        <f t="shared" si="15"/>
        <v>16.375</v>
      </c>
      <c r="V36" s="1330">
        <f t="shared" si="15"/>
        <v>0</v>
      </c>
      <c r="W36" s="1330">
        <f t="shared" si="15"/>
        <v>0</v>
      </c>
      <c r="X36" s="1330">
        <f t="shared" si="15"/>
        <v>0</v>
      </c>
      <c r="Y36" s="1330">
        <f t="shared" si="15"/>
        <v>0</v>
      </c>
      <c r="Z36" s="2249"/>
      <c r="AA36" s="2250"/>
      <c r="AB36" s="2250"/>
      <c r="AC36" s="2250"/>
      <c r="AE36" s="2169"/>
      <c r="AF36" s="2169"/>
      <c r="AG36" s="2169"/>
      <c r="AH36" s="2169"/>
      <c r="AI36" s="2169"/>
      <c r="AJ36" s="2169"/>
      <c r="AL36" s="2250"/>
      <c r="AM36" s="2250"/>
      <c r="AN36" s="2250"/>
      <c r="AO36" s="2250"/>
      <c r="AP36" s="2250"/>
      <c r="AQ36" s="2250"/>
    </row>
    <row r="37" spans="1:258" s="2241" customFormat="1" ht="24" customHeight="1">
      <c r="A37" s="3060"/>
      <c r="B37" s="2264" t="s">
        <v>838</v>
      </c>
      <c r="C37" s="2243" t="s">
        <v>833</v>
      </c>
      <c r="D37" s="2244">
        <v>2.1054900000000001E-2</v>
      </c>
      <c r="E37" s="2265">
        <f>0.0047298156</f>
        <v>4.7298156000000003E-3</v>
      </c>
      <c r="F37" s="2244">
        <v>0</v>
      </c>
      <c r="G37" s="2246">
        <f>G35*11.4/1000</f>
        <v>0</v>
      </c>
      <c r="H37" s="2263">
        <v>0</v>
      </c>
      <c r="I37" s="2263">
        <f>I35*11.4/1000</f>
        <v>0</v>
      </c>
      <c r="J37" s="2260">
        <f>L37+N37+P37+R37+T37+V37+X37</f>
        <v>4.0037089053888009</v>
      </c>
      <c r="K37" s="996">
        <f>M37+O37+Q37+S37+U37+W37+Y37</f>
        <v>3.5534272805279996</v>
      </c>
      <c r="L37" s="2300">
        <f>L35*L36/1000</f>
        <v>2.9949551553888005</v>
      </c>
      <c r="M37" s="2300">
        <f t="shared" ref="M37:Y37" si="16">M35*M36/1000</f>
        <v>2.6581241555279997</v>
      </c>
      <c r="N37" s="997">
        <f t="shared" si="16"/>
        <v>0</v>
      </c>
      <c r="O37" s="997">
        <f t="shared" si="16"/>
        <v>0</v>
      </c>
      <c r="P37" s="997">
        <f t="shared" si="16"/>
        <v>0</v>
      </c>
      <c r="Q37" s="997">
        <f t="shared" si="16"/>
        <v>0</v>
      </c>
      <c r="R37" s="997">
        <f t="shared" si="16"/>
        <v>0.70612762500000004</v>
      </c>
      <c r="S37" s="997">
        <f t="shared" si="16"/>
        <v>0.62671218750000002</v>
      </c>
      <c r="T37" s="997">
        <f t="shared" si="16"/>
        <v>0.30262612500000008</v>
      </c>
      <c r="U37" s="997">
        <f t="shared" si="16"/>
        <v>0.26859093750000002</v>
      </c>
      <c r="V37" s="997">
        <f t="shared" si="16"/>
        <v>0</v>
      </c>
      <c r="W37" s="997">
        <f t="shared" si="16"/>
        <v>0</v>
      </c>
      <c r="X37" s="997">
        <f t="shared" si="16"/>
        <v>0</v>
      </c>
      <c r="Y37" s="997">
        <f t="shared" si="16"/>
        <v>0</v>
      </c>
      <c r="Z37" s="2249"/>
      <c r="AA37" s="2250"/>
      <c r="AB37" s="2250"/>
      <c r="AC37" s="2250"/>
      <c r="AE37" s="2169"/>
      <c r="AF37" s="2169"/>
      <c r="AG37" s="2169"/>
      <c r="AH37" s="2169"/>
      <c r="AI37" s="2169"/>
      <c r="AJ37" s="2169"/>
      <c r="AL37" s="2250"/>
      <c r="AM37" s="2250"/>
      <c r="AN37" s="2250"/>
      <c r="AO37" s="2250"/>
      <c r="AP37" s="2250"/>
      <c r="AQ37" s="2250"/>
    </row>
    <row r="38" spans="1:258" s="2241" customFormat="1" ht="25.5" customHeight="1">
      <c r="A38" s="3058" t="s">
        <v>839</v>
      </c>
      <c r="B38" s="2266" t="s">
        <v>1936</v>
      </c>
      <c r="C38" s="2236" t="s">
        <v>803</v>
      </c>
      <c r="D38" s="1330">
        <v>0</v>
      </c>
      <c r="E38" s="1333"/>
      <c r="F38" s="1330"/>
      <c r="G38" s="2267"/>
      <c r="H38" s="997"/>
      <c r="I38" s="997"/>
      <c r="J38" s="2248">
        <f>L38+N38+P38+R38+T38+V38+X38</f>
        <v>4.1853759679999998</v>
      </c>
      <c r="K38" s="997">
        <f>M38+O38+Q38+S38+U38+W38+Y38</f>
        <v>4.1853759679999998</v>
      </c>
      <c r="L38" s="997">
        <f>'[36]7. Вода та сіль Свод'!BA14</f>
        <v>4.1853759679999998</v>
      </c>
      <c r="M38" s="997">
        <f>L38</f>
        <v>4.1853759679999998</v>
      </c>
      <c r="N38" s="997">
        <v>0</v>
      </c>
      <c r="O38" s="997">
        <v>0</v>
      </c>
      <c r="P38" s="997">
        <v>0</v>
      </c>
      <c r="Q38" s="997">
        <v>0</v>
      </c>
      <c r="R38" s="997">
        <v>0</v>
      </c>
      <c r="S38" s="997">
        <v>0</v>
      </c>
      <c r="T38" s="997">
        <v>0</v>
      </c>
      <c r="U38" s="997">
        <v>0</v>
      </c>
      <c r="V38" s="997">
        <v>0</v>
      </c>
      <c r="W38" s="997">
        <v>0</v>
      </c>
      <c r="X38" s="997">
        <v>0</v>
      </c>
      <c r="Y38" s="2268">
        <v>0</v>
      </c>
      <c r="Z38" s="2249"/>
      <c r="AA38" s="2250"/>
      <c r="AB38" s="2250"/>
      <c r="AC38" s="2250"/>
      <c r="AE38" s="2169"/>
      <c r="AF38" s="2169"/>
      <c r="AG38" s="2169"/>
      <c r="AH38" s="2169"/>
      <c r="AI38" s="2169"/>
      <c r="AJ38" s="2169"/>
      <c r="AL38" s="2250"/>
      <c r="AM38" s="2250"/>
      <c r="AN38" s="2250"/>
      <c r="AO38" s="2250"/>
      <c r="AP38" s="2250"/>
      <c r="AQ38" s="2250"/>
    </row>
    <row r="39" spans="1:258" s="2241" customFormat="1" ht="24" customHeight="1">
      <c r="A39" s="3059"/>
      <c r="B39" s="2188" t="s">
        <v>840</v>
      </c>
      <c r="C39" s="2236" t="s">
        <v>830</v>
      </c>
      <c r="D39" s="1330">
        <f t="shared" ref="D39:G39" si="17">IF(D38=0,,D40/1000/D38)</f>
        <v>0</v>
      </c>
      <c r="E39" s="1333">
        <f t="shared" si="17"/>
        <v>0</v>
      </c>
      <c r="F39" s="1330">
        <f t="shared" si="17"/>
        <v>0</v>
      </c>
      <c r="G39" s="2267">
        <f t="shared" si="17"/>
        <v>0</v>
      </c>
      <c r="H39" s="997"/>
      <c r="I39" s="997"/>
      <c r="J39" s="2248">
        <f>22.14/1.2</f>
        <v>18.450000000000003</v>
      </c>
      <c r="K39" s="997">
        <f>19.65/1.2</f>
        <v>16.375</v>
      </c>
      <c r="L39" s="997">
        <f>22.14/1.2</f>
        <v>18.450000000000003</v>
      </c>
      <c r="M39" s="997">
        <f>19.65/1.2</f>
        <v>16.375</v>
      </c>
      <c r="N39" s="997">
        <v>0</v>
      </c>
      <c r="O39" s="997">
        <v>0</v>
      </c>
      <c r="P39" s="997">
        <v>0</v>
      </c>
      <c r="Q39" s="997">
        <v>0</v>
      </c>
      <c r="R39" s="997">
        <f>22.14/1.2</f>
        <v>18.450000000000003</v>
      </c>
      <c r="S39" s="997">
        <f>19.65/1.2</f>
        <v>16.375</v>
      </c>
      <c r="T39" s="997">
        <f>22.14/1.2</f>
        <v>18.450000000000003</v>
      </c>
      <c r="U39" s="997">
        <f>19.65/1.2</f>
        <v>16.375</v>
      </c>
      <c r="V39" s="997">
        <v>0</v>
      </c>
      <c r="W39" s="997">
        <v>0</v>
      </c>
      <c r="X39" s="997">
        <v>0</v>
      </c>
      <c r="Y39" s="2268">
        <v>0</v>
      </c>
      <c r="Z39" s="2249"/>
      <c r="AA39" s="2250"/>
      <c r="AB39" s="2250"/>
      <c r="AC39" s="2250"/>
      <c r="AE39" s="2169"/>
      <c r="AF39" s="2169"/>
      <c r="AG39" s="2169"/>
      <c r="AH39" s="2169"/>
      <c r="AI39" s="2169"/>
      <c r="AJ39" s="2169"/>
      <c r="AL39" s="2250"/>
      <c r="AM39" s="2250"/>
      <c r="AN39" s="2250"/>
      <c r="AO39" s="2250"/>
      <c r="AP39" s="2250"/>
      <c r="AQ39" s="2250"/>
    </row>
    <row r="40" spans="1:258" s="2241" customFormat="1" ht="27" customHeight="1">
      <c r="A40" s="3060"/>
      <c r="B40" s="2257" t="s">
        <v>841</v>
      </c>
      <c r="C40" s="2243" t="s">
        <v>833</v>
      </c>
      <c r="D40" s="1330">
        <v>0</v>
      </c>
      <c r="E40" s="1333"/>
      <c r="F40" s="1330"/>
      <c r="G40" s="2267"/>
      <c r="H40" s="997"/>
      <c r="I40" s="997"/>
      <c r="J40" s="2248">
        <f>L40+N40+P40+R40+T40+V40+X40</f>
        <v>7.7220186609600006E-2</v>
      </c>
      <c r="K40" s="997">
        <f>M40+O40+Q40+S40+U40+W40+Y40</f>
        <v>6.8535531476E-2</v>
      </c>
      <c r="L40" s="2301">
        <f>L38*L39/1000</f>
        <v>7.7220186609600006E-2</v>
      </c>
      <c r="M40" s="2301">
        <f t="shared" ref="M40:Y40" si="18">M38*M39/1000</f>
        <v>6.8535531476E-2</v>
      </c>
      <c r="N40" s="997">
        <f t="shared" si="18"/>
        <v>0</v>
      </c>
      <c r="O40" s="997">
        <f t="shared" si="18"/>
        <v>0</v>
      </c>
      <c r="P40" s="997">
        <f t="shared" si="18"/>
        <v>0</v>
      </c>
      <c r="Q40" s="997">
        <f t="shared" si="18"/>
        <v>0</v>
      </c>
      <c r="R40" s="997">
        <f t="shared" si="18"/>
        <v>0</v>
      </c>
      <c r="S40" s="997">
        <f t="shared" si="18"/>
        <v>0</v>
      </c>
      <c r="T40" s="997">
        <f t="shared" si="18"/>
        <v>0</v>
      </c>
      <c r="U40" s="997">
        <f t="shared" si="18"/>
        <v>0</v>
      </c>
      <c r="V40" s="997">
        <f t="shared" si="18"/>
        <v>0</v>
      </c>
      <c r="W40" s="997">
        <f t="shared" si="18"/>
        <v>0</v>
      </c>
      <c r="X40" s="997">
        <f t="shared" si="18"/>
        <v>0</v>
      </c>
      <c r="Y40" s="997">
        <f t="shared" si="18"/>
        <v>0</v>
      </c>
      <c r="Z40" s="2249"/>
      <c r="AA40" s="2250"/>
      <c r="AB40" s="2250"/>
      <c r="AC40" s="2250"/>
      <c r="AE40" s="2169"/>
      <c r="AF40" s="2169"/>
      <c r="AG40" s="2169"/>
      <c r="AH40" s="2169"/>
      <c r="AI40" s="2169"/>
      <c r="AJ40" s="2169"/>
      <c r="AL40" s="2250"/>
      <c r="AM40" s="2250"/>
      <c r="AN40" s="2250"/>
      <c r="AO40" s="2250"/>
      <c r="AP40" s="2250"/>
      <c r="AQ40" s="2250"/>
    </row>
    <row r="41" spans="1:258" s="2241" customFormat="1" ht="27.75" customHeight="1" outlineLevel="1">
      <c r="A41" s="3058" t="s">
        <v>842</v>
      </c>
      <c r="B41" s="2266" t="s">
        <v>1937</v>
      </c>
      <c r="C41" s="2236" t="s">
        <v>803</v>
      </c>
      <c r="D41" s="1330"/>
      <c r="E41" s="1333"/>
      <c r="F41" s="1330"/>
      <c r="G41" s="2267"/>
      <c r="H41" s="997"/>
      <c r="I41" s="997"/>
      <c r="J41" s="2248">
        <f>L41+N41+P41+R41+T41+V41+X41</f>
        <v>11.208926719999999</v>
      </c>
      <c r="K41" s="997">
        <f>M41+O41+Q41+S41+U41+W41+Y41</f>
        <v>11.208926719999999</v>
      </c>
      <c r="L41" s="997">
        <f>'[36]7. Вода та сіль Свод'!BA15</f>
        <v>11.208926719999999</v>
      </c>
      <c r="M41" s="997">
        <f>L41</f>
        <v>11.208926719999999</v>
      </c>
      <c r="N41" s="997">
        <v>0</v>
      </c>
      <c r="O41" s="997">
        <v>0</v>
      </c>
      <c r="P41" s="997">
        <v>0</v>
      </c>
      <c r="Q41" s="997">
        <v>0</v>
      </c>
      <c r="R41" s="997">
        <v>0</v>
      </c>
      <c r="S41" s="997">
        <v>0</v>
      </c>
      <c r="T41" s="997">
        <v>0</v>
      </c>
      <c r="U41" s="997">
        <v>0</v>
      </c>
      <c r="V41" s="997">
        <v>0</v>
      </c>
      <c r="W41" s="997">
        <v>0</v>
      </c>
      <c r="X41" s="997">
        <v>0</v>
      </c>
      <c r="Y41" s="2269">
        <v>0</v>
      </c>
      <c r="Z41" s="2249"/>
      <c r="AA41" s="2250"/>
      <c r="AB41" s="2250"/>
      <c r="AC41" s="2250"/>
      <c r="AE41" s="2169"/>
      <c r="AF41" s="2169"/>
      <c r="AG41" s="2169"/>
      <c r="AH41" s="2169"/>
      <c r="AI41" s="2169"/>
      <c r="AJ41" s="2169"/>
      <c r="AL41" s="2250"/>
      <c r="AM41" s="2250"/>
      <c r="AN41" s="2250"/>
      <c r="AO41" s="2250"/>
      <c r="AP41" s="2250"/>
      <c r="AQ41" s="2250"/>
    </row>
    <row r="42" spans="1:258" s="2241" customFormat="1" ht="24" outlineLevel="1">
      <c r="A42" s="3059"/>
      <c r="B42" s="2188" t="s">
        <v>843</v>
      </c>
      <c r="C42" s="2236" t="s">
        <v>830</v>
      </c>
      <c r="D42" s="1330">
        <f t="shared" ref="D42:G42" si="19">IF(D41=0,,D43/1000/D41)</f>
        <v>0</v>
      </c>
      <c r="E42" s="1333">
        <f t="shared" si="19"/>
        <v>0</v>
      </c>
      <c r="F42" s="1330">
        <f t="shared" si="19"/>
        <v>0</v>
      </c>
      <c r="G42" s="2267">
        <f t="shared" si="19"/>
        <v>0</v>
      </c>
      <c r="H42" s="997"/>
      <c r="I42" s="997"/>
      <c r="J42" s="2248">
        <f>22.14/1.2</f>
        <v>18.450000000000003</v>
      </c>
      <c r="K42" s="997">
        <f>19.65/1.2</f>
        <v>16.375</v>
      </c>
      <c r="L42" s="997">
        <f>22.14/1.2</f>
        <v>18.450000000000003</v>
      </c>
      <c r="M42" s="997">
        <f>19.65/1.2</f>
        <v>16.375</v>
      </c>
      <c r="N42" s="997">
        <v>0</v>
      </c>
      <c r="O42" s="997">
        <v>0</v>
      </c>
      <c r="P42" s="997">
        <v>0</v>
      </c>
      <c r="Q42" s="997">
        <v>0</v>
      </c>
      <c r="R42" s="997">
        <f>22.14/1.2</f>
        <v>18.450000000000003</v>
      </c>
      <c r="S42" s="997">
        <f>19.65/1.2</f>
        <v>16.375</v>
      </c>
      <c r="T42" s="997">
        <f>22.14/1.2</f>
        <v>18.450000000000003</v>
      </c>
      <c r="U42" s="997">
        <f>19.65/1.2</f>
        <v>16.375</v>
      </c>
      <c r="V42" s="997">
        <v>0</v>
      </c>
      <c r="W42" s="997">
        <v>0</v>
      </c>
      <c r="X42" s="997">
        <v>0</v>
      </c>
      <c r="Y42" s="2269">
        <v>0</v>
      </c>
      <c r="Z42" s="2249"/>
      <c r="AA42" s="2250"/>
      <c r="AB42" s="2250"/>
      <c r="AC42" s="2250"/>
      <c r="AE42" s="2169"/>
      <c r="AF42" s="2169"/>
      <c r="AG42" s="2169"/>
      <c r="AH42" s="2169"/>
      <c r="AI42" s="2169"/>
      <c r="AJ42" s="2169"/>
      <c r="AL42" s="2250"/>
      <c r="AM42" s="2250"/>
      <c r="AN42" s="2250"/>
      <c r="AO42" s="2250"/>
      <c r="AP42" s="2250"/>
      <c r="AQ42" s="2250"/>
    </row>
    <row r="43" spans="1:258" s="2241" customFormat="1" ht="24" outlineLevel="1">
      <c r="A43" s="3060"/>
      <c r="B43" s="2257" t="s">
        <v>844</v>
      </c>
      <c r="C43" s="2243" t="s">
        <v>833</v>
      </c>
      <c r="D43" s="1330"/>
      <c r="E43" s="1333"/>
      <c r="F43" s="1330"/>
      <c r="G43" s="2267"/>
      <c r="H43" s="997"/>
      <c r="I43" s="997"/>
      <c r="J43" s="2248">
        <f>L43+N43+P43+R43+T43+V43+X43</f>
        <v>0.20680469798400003</v>
      </c>
      <c r="K43" s="997">
        <f>M43+O43+Q43+S43+U43+W43+Y43</f>
        <v>0.18354617503999998</v>
      </c>
      <c r="L43" s="2301">
        <f>L41*L42/1000</f>
        <v>0.20680469798400003</v>
      </c>
      <c r="M43" s="2301">
        <f t="shared" ref="M43:AQ43" si="20">M41*M42/1000</f>
        <v>0.18354617503999998</v>
      </c>
      <c r="N43" s="997">
        <f t="shared" si="20"/>
        <v>0</v>
      </c>
      <c r="O43" s="997">
        <f t="shared" si="20"/>
        <v>0</v>
      </c>
      <c r="P43" s="997">
        <f t="shared" si="20"/>
        <v>0</v>
      </c>
      <c r="Q43" s="997">
        <f t="shared" si="20"/>
        <v>0</v>
      </c>
      <c r="R43" s="997">
        <f t="shared" si="20"/>
        <v>0</v>
      </c>
      <c r="S43" s="997">
        <f t="shared" si="20"/>
        <v>0</v>
      </c>
      <c r="T43" s="997">
        <f t="shared" si="20"/>
        <v>0</v>
      </c>
      <c r="U43" s="997">
        <f t="shared" si="20"/>
        <v>0</v>
      </c>
      <c r="V43" s="997">
        <f t="shared" si="20"/>
        <v>0</v>
      </c>
      <c r="W43" s="997">
        <f t="shared" si="20"/>
        <v>0</v>
      </c>
      <c r="X43" s="997">
        <f t="shared" si="20"/>
        <v>0</v>
      </c>
      <c r="Y43" s="997">
        <f t="shared" si="20"/>
        <v>0</v>
      </c>
      <c r="Z43" s="997">
        <f t="shared" si="20"/>
        <v>0</v>
      </c>
      <c r="AA43" s="997">
        <f t="shared" si="20"/>
        <v>0</v>
      </c>
      <c r="AB43" s="997">
        <f t="shared" si="20"/>
        <v>0</v>
      </c>
      <c r="AC43" s="997">
        <f t="shared" si="20"/>
        <v>0</v>
      </c>
      <c r="AD43" s="997">
        <f t="shared" si="20"/>
        <v>0</v>
      </c>
      <c r="AE43" s="997">
        <f t="shared" si="20"/>
        <v>0</v>
      </c>
      <c r="AF43" s="997">
        <f t="shared" si="20"/>
        <v>0</v>
      </c>
      <c r="AG43" s="997">
        <f t="shared" si="20"/>
        <v>0</v>
      </c>
      <c r="AH43" s="997">
        <f t="shared" si="20"/>
        <v>0</v>
      </c>
      <c r="AI43" s="997">
        <f t="shared" si="20"/>
        <v>0</v>
      </c>
      <c r="AJ43" s="997">
        <f t="shared" si="20"/>
        <v>0</v>
      </c>
      <c r="AK43" s="997">
        <f t="shared" si="20"/>
        <v>0</v>
      </c>
      <c r="AL43" s="997">
        <f t="shared" si="20"/>
        <v>0</v>
      </c>
      <c r="AM43" s="997">
        <f t="shared" si="20"/>
        <v>0</v>
      </c>
      <c r="AN43" s="997">
        <f t="shared" si="20"/>
        <v>0</v>
      </c>
      <c r="AO43" s="997">
        <f t="shared" si="20"/>
        <v>0</v>
      </c>
      <c r="AP43" s="997">
        <f t="shared" si="20"/>
        <v>0</v>
      </c>
      <c r="AQ43" s="997">
        <f t="shared" si="20"/>
        <v>0</v>
      </c>
    </row>
    <row r="44" spans="1:258" s="2241" customFormat="1" ht="24" outlineLevel="1">
      <c r="A44" s="3058" t="s">
        <v>845</v>
      </c>
      <c r="B44" s="2266" t="s">
        <v>1938</v>
      </c>
      <c r="C44" s="2236" t="s">
        <v>803</v>
      </c>
      <c r="D44" s="1330"/>
      <c r="E44" s="1333"/>
      <c r="F44" s="1330"/>
      <c r="G44" s="2267"/>
      <c r="H44" s="997"/>
      <c r="I44" s="997"/>
      <c r="J44" s="2248">
        <f>L44+N44+P44+R44+T44+V44+X44</f>
        <v>3.3270263999999998</v>
      </c>
      <c r="K44" s="997">
        <f>M44+O44+Q44+S44+U44+W44+Y44</f>
        <v>3.3270263999999998</v>
      </c>
      <c r="L44" s="997">
        <f>'[36]7. Вода та сіль Свод'!BA16</f>
        <v>3.3270263999999998</v>
      </c>
      <c r="M44" s="997">
        <f>L44</f>
        <v>3.3270263999999998</v>
      </c>
      <c r="N44" s="997">
        <v>0</v>
      </c>
      <c r="O44" s="997">
        <v>0</v>
      </c>
      <c r="P44" s="997">
        <v>0</v>
      </c>
      <c r="Q44" s="997">
        <v>0</v>
      </c>
      <c r="R44" s="997">
        <v>0</v>
      </c>
      <c r="S44" s="997">
        <v>0</v>
      </c>
      <c r="T44" s="997">
        <v>0</v>
      </c>
      <c r="U44" s="997">
        <v>0</v>
      </c>
      <c r="V44" s="997">
        <v>0</v>
      </c>
      <c r="W44" s="997">
        <v>0</v>
      </c>
      <c r="X44" s="997">
        <v>0</v>
      </c>
      <c r="Y44" s="2269">
        <v>0</v>
      </c>
      <c r="Z44" s="2249"/>
      <c r="AA44" s="2250"/>
      <c r="AB44" s="2250"/>
      <c r="AC44" s="2250"/>
      <c r="AE44" s="2169"/>
      <c r="AF44" s="2169"/>
      <c r="AG44" s="2169"/>
      <c r="AH44" s="2169"/>
      <c r="AI44" s="2169"/>
      <c r="AJ44" s="2169"/>
      <c r="AL44" s="2250"/>
      <c r="AM44" s="2250"/>
      <c r="AN44" s="2250"/>
      <c r="AO44" s="2250"/>
      <c r="AP44" s="2250"/>
      <c r="AQ44" s="2250"/>
    </row>
    <row r="45" spans="1:258" s="2241" customFormat="1" ht="24" outlineLevel="1">
      <c r="A45" s="3059"/>
      <c r="B45" s="2188" t="s">
        <v>846</v>
      </c>
      <c r="C45" s="2236" t="s">
        <v>830</v>
      </c>
      <c r="D45" s="1330">
        <f t="shared" ref="D45:G45" si="21">IF(D44=0,,D46/1000/D44)</f>
        <v>0</v>
      </c>
      <c r="E45" s="1333">
        <f t="shared" si="21"/>
        <v>0</v>
      </c>
      <c r="F45" s="1330">
        <f t="shared" si="21"/>
        <v>0</v>
      </c>
      <c r="G45" s="2267">
        <f t="shared" si="21"/>
        <v>0</v>
      </c>
      <c r="H45" s="997"/>
      <c r="I45" s="997"/>
      <c r="J45" s="2248">
        <f>22.14/1.2</f>
        <v>18.450000000000003</v>
      </c>
      <c r="K45" s="997">
        <f>19.65/1.2</f>
        <v>16.375</v>
      </c>
      <c r="L45" s="997">
        <f>22.14/1.2</f>
        <v>18.450000000000003</v>
      </c>
      <c r="M45" s="997">
        <f>19.65/1.2</f>
        <v>16.375</v>
      </c>
      <c r="N45" s="997">
        <v>0</v>
      </c>
      <c r="O45" s="997">
        <v>0</v>
      </c>
      <c r="P45" s="997">
        <v>0</v>
      </c>
      <c r="Q45" s="997">
        <v>0</v>
      </c>
      <c r="R45" s="997">
        <f>22.14/1.2</f>
        <v>18.450000000000003</v>
      </c>
      <c r="S45" s="997">
        <f>19.65/1.2</f>
        <v>16.375</v>
      </c>
      <c r="T45" s="997">
        <f>22.14/1.2</f>
        <v>18.450000000000003</v>
      </c>
      <c r="U45" s="997">
        <f>19.65/1.2</f>
        <v>16.375</v>
      </c>
      <c r="V45" s="997">
        <v>0</v>
      </c>
      <c r="W45" s="997">
        <v>0</v>
      </c>
      <c r="X45" s="997">
        <v>0</v>
      </c>
      <c r="Y45" s="2269">
        <v>0</v>
      </c>
      <c r="Z45" s="2249"/>
      <c r="AA45" s="2250"/>
      <c r="AB45" s="2250"/>
      <c r="AC45" s="2250"/>
      <c r="AE45" s="2169"/>
      <c r="AF45" s="2169"/>
      <c r="AG45" s="2169"/>
      <c r="AH45" s="2169"/>
      <c r="AI45" s="2169"/>
      <c r="AJ45" s="2169"/>
      <c r="AL45" s="2250"/>
      <c r="AM45" s="2250"/>
      <c r="AN45" s="2250"/>
      <c r="AO45" s="2250"/>
      <c r="AP45" s="2250"/>
      <c r="AQ45" s="2250"/>
    </row>
    <row r="46" spans="1:258" s="2241" customFormat="1" ht="24" outlineLevel="1">
      <c r="A46" s="3060"/>
      <c r="B46" s="2257" t="s">
        <v>847</v>
      </c>
      <c r="C46" s="2243" t="s">
        <v>833</v>
      </c>
      <c r="D46" s="1330"/>
      <c r="E46" s="1333"/>
      <c r="F46" s="1330"/>
      <c r="G46" s="2267"/>
      <c r="H46" s="997"/>
      <c r="I46" s="997"/>
      <c r="J46" s="2248">
        <f>L46+N46+P46+R46+T46+V46+X46</f>
        <v>6.1383637080000004E-2</v>
      </c>
      <c r="K46" s="997">
        <f>M46+O46+Q46+S46+U46+W46+Y46</f>
        <v>5.4480057299999995E-2</v>
      </c>
      <c r="L46" s="2301">
        <f>L44*L45/1000</f>
        <v>6.1383637080000004E-2</v>
      </c>
      <c r="M46" s="2301">
        <f t="shared" ref="M46:Y46" si="22">M44*M45/1000</f>
        <v>5.4480057299999995E-2</v>
      </c>
      <c r="N46" s="997">
        <f t="shared" si="22"/>
        <v>0</v>
      </c>
      <c r="O46" s="997">
        <f t="shared" si="22"/>
        <v>0</v>
      </c>
      <c r="P46" s="997">
        <f t="shared" si="22"/>
        <v>0</v>
      </c>
      <c r="Q46" s="997">
        <f t="shared" si="22"/>
        <v>0</v>
      </c>
      <c r="R46" s="997">
        <f t="shared" si="22"/>
        <v>0</v>
      </c>
      <c r="S46" s="997">
        <f t="shared" si="22"/>
        <v>0</v>
      </c>
      <c r="T46" s="997">
        <f t="shared" si="22"/>
        <v>0</v>
      </c>
      <c r="U46" s="997">
        <f t="shared" si="22"/>
        <v>0</v>
      </c>
      <c r="V46" s="997">
        <f t="shared" si="22"/>
        <v>0</v>
      </c>
      <c r="W46" s="997">
        <f t="shared" si="22"/>
        <v>0</v>
      </c>
      <c r="X46" s="997">
        <f t="shared" si="22"/>
        <v>0</v>
      </c>
      <c r="Y46" s="997">
        <f t="shared" si="22"/>
        <v>0</v>
      </c>
      <c r="Z46" s="2249"/>
      <c r="AA46" s="2250"/>
      <c r="AB46" s="2250"/>
      <c r="AC46" s="2250"/>
      <c r="AE46" s="2169"/>
      <c r="AF46" s="2169"/>
      <c r="AG46" s="2169"/>
      <c r="AH46" s="2169"/>
      <c r="AI46" s="2169"/>
      <c r="AJ46" s="2169"/>
      <c r="AL46" s="2250"/>
      <c r="AM46" s="2250"/>
      <c r="AN46" s="2250"/>
      <c r="AO46" s="2250"/>
      <c r="AP46" s="2250"/>
      <c r="AQ46" s="2250"/>
    </row>
    <row r="47" spans="1:258" ht="24" outlineLevel="1">
      <c r="A47" s="3058" t="s">
        <v>848</v>
      </c>
      <c r="B47" s="2266" t="s">
        <v>1939</v>
      </c>
      <c r="C47" s="2236" t="s">
        <v>803</v>
      </c>
      <c r="D47" s="1330"/>
      <c r="E47" s="1333"/>
      <c r="F47" s="1330"/>
      <c r="G47" s="2267"/>
      <c r="H47" s="997"/>
      <c r="I47" s="997"/>
      <c r="J47" s="2248">
        <f>L47+N47+P47+R47+T47+V47+X47</f>
        <v>3.3270263999999998</v>
      </c>
      <c r="K47" s="997">
        <f>M47+O47+Q47+S47+U47+W47+Y47</f>
        <v>3.3270263999999998</v>
      </c>
      <c r="L47" s="997">
        <f>'[36]7. Вода та сіль Свод'!BA17</f>
        <v>3.3270263999999998</v>
      </c>
      <c r="M47" s="997">
        <f>L47</f>
        <v>3.3270263999999998</v>
      </c>
      <c r="N47" s="997">
        <v>0</v>
      </c>
      <c r="O47" s="997">
        <v>0</v>
      </c>
      <c r="P47" s="997">
        <v>0</v>
      </c>
      <c r="Q47" s="997">
        <v>0</v>
      </c>
      <c r="R47" s="997">
        <v>0</v>
      </c>
      <c r="S47" s="997">
        <v>0</v>
      </c>
      <c r="T47" s="997">
        <v>0</v>
      </c>
      <c r="U47" s="997">
        <v>0</v>
      </c>
      <c r="V47" s="997">
        <v>0</v>
      </c>
      <c r="W47" s="997">
        <v>0</v>
      </c>
      <c r="X47" s="997">
        <v>0</v>
      </c>
      <c r="Y47" s="2269">
        <v>0</v>
      </c>
      <c r="Z47" s="2249"/>
      <c r="AA47" s="2250"/>
      <c r="AB47" s="2250"/>
      <c r="AC47" s="2250"/>
      <c r="AD47" s="2241"/>
      <c r="AE47" s="2169"/>
      <c r="AF47" s="2169"/>
      <c r="AG47" s="2169"/>
      <c r="AH47" s="2169"/>
      <c r="AI47" s="2169"/>
      <c r="AJ47" s="2169"/>
      <c r="AK47" s="2241"/>
      <c r="AL47" s="2250"/>
      <c r="AM47" s="2250"/>
      <c r="AN47" s="2250"/>
      <c r="AO47" s="2250"/>
      <c r="AP47" s="2250"/>
      <c r="AQ47" s="2250"/>
      <c r="AR47" s="2241"/>
      <c r="AS47" s="2241"/>
      <c r="AT47" s="2241"/>
      <c r="AU47" s="2241"/>
      <c r="AV47" s="2241"/>
      <c r="AW47" s="2241"/>
      <c r="AX47" s="2241"/>
      <c r="AY47" s="2241"/>
      <c r="AZ47" s="2241"/>
      <c r="BA47" s="2241"/>
      <c r="BB47" s="2241"/>
      <c r="BC47" s="2241"/>
      <c r="BD47" s="2241"/>
      <c r="BE47" s="2241"/>
      <c r="BF47" s="2241"/>
      <c r="BG47" s="2241"/>
      <c r="BH47" s="2241"/>
      <c r="BI47" s="2241"/>
      <c r="BJ47" s="2241"/>
      <c r="BK47" s="2241"/>
      <c r="BL47" s="2241"/>
      <c r="BM47" s="2241"/>
      <c r="BN47" s="2241"/>
      <c r="BO47" s="2241"/>
      <c r="BP47" s="2241"/>
      <c r="BQ47" s="2241"/>
      <c r="BR47" s="2241"/>
      <c r="BS47" s="2241"/>
      <c r="BT47" s="2241"/>
      <c r="BU47" s="2241"/>
      <c r="BV47" s="2241"/>
      <c r="BW47" s="2241"/>
      <c r="BX47" s="2241"/>
      <c r="BY47" s="2241"/>
      <c r="BZ47" s="2241"/>
      <c r="CA47" s="2241"/>
      <c r="CB47" s="2241"/>
      <c r="CC47" s="2241"/>
      <c r="CD47" s="2241"/>
      <c r="CE47" s="2241"/>
      <c r="CF47" s="2241"/>
      <c r="CG47" s="2241"/>
      <c r="CH47" s="2241"/>
      <c r="CI47" s="2241"/>
      <c r="CJ47" s="2241"/>
      <c r="CK47" s="2241"/>
      <c r="CL47" s="2241"/>
      <c r="CM47" s="2241"/>
      <c r="CN47" s="2241"/>
      <c r="CO47" s="2241"/>
      <c r="CP47" s="2241"/>
      <c r="CQ47" s="2241"/>
      <c r="CR47" s="2241"/>
      <c r="CS47" s="2241"/>
      <c r="CT47" s="2241"/>
      <c r="CU47" s="2241"/>
      <c r="CV47" s="2241"/>
      <c r="CW47" s="2241"/>
      <c r="CX47" s="2241"/>
      <c r="CY47" s="2241"/>
      <c r="CZ47" s="2241"/>
      <c r="DA47" s="2241"/>
      <c r="DB47" s="2241"/>
      <c r="DC47" s="2241"/>
      <c r="DD47" s="2241"/>
      <c r="DE47" s="2241"/>
      <c r="DF47" s="2241"/>
      <c r="DG47" s="2241"/>
      <c r="DH47" s="2241"/>
      <c r="DI47" s="2241"/>
      <c r="DJ47" s="2241"/>
      <c r="DK47" s="2241"/>
      <c r="DL47" s="2241"/>
      <c r="DM47" s="2241"/>
      <c r="DN47" s="2241"/>
      <c r="DO47" s="2241"/>
      <c r="DP47" s="2241"/>
      <c r="DQ47" s="2241"/>
      <c r="DR47" s="2241"/>
      <c r="DS47" s="2241"/>
      <c r="DT47" s="2241"/>
      <c r="DU47" s="2241"/>
      <c r="DV47" s="2241"/>
      <c r="DW47" s="2241"/>
      <c r="DX47" s="2241"/>
      <c r="DY47" s="2241"/>
      <c r="DZ47" s="2241"/>
      <c r="EA47" s="2241"/>
      <c r="EB47" s="2241"/>
      <c r="EC47" s="2241"/>
      <c r="ED47" s="2241"/>
      <c r="EE47" s="2241"/>
      <c r="EF47" s="2241"/>
      <c r="EG47" s="2241"/>
      <c r="EH47" s="2241"/>
      <c r="EI47" s="2241"/>
      <c r="EJ47" s="2241"/>
      <c r="EK47" s="2241"/>
      <c r="EL47" s="2241"/>
      <c r="EM47" s="2241"/>
      <c r="EN47" s="2241"/>
      <c r="EO47" s="2241"/>
      <c r="EP47" s="2241"/>
      <c r="EQ47" s="2241"/>
      <c r="ER47" s="2241"/>
      <c r="ES47" s="2241"/>
      <c r="ET47" s="2241"/>
      <c r="EU47" s="2241"/>
      <c r="EV47" s="2241"/>
      <c r="EW47" s="2241"/>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FT47" s="2241"/>
      <c r="FU47" s="2241"/>
      <c r="FV47" s="2241"/>
      <c r="FW47" s="2241"/>
      <c r="FX47" s="2241"/>
      <c r="FY47" s="2241"/>
      <c r="FZ47" s="2241"/>
      <c r="GA47" s="2241"/>
      <c r="GB47" s="2241"/>
      <c r="GC47" s="2241"/>
      <c r="GD47" s="2241"/>
      <c r="GE47" s="2241"/>
      <c r="GF47" s="2241"/>
      <c r="GG47" s="2241"/>
      <c r="GH47" s="2241"/>
      <c r="GI47" s="2241"/>
      <c r="GJ47" s="2241"/>
      <c r="GK47" s="2241"/>
      <c r="GL47" s="2241"/>
      <c r="GM47" s="2241"/>
      <c r="GN47" s="2241"/>
      <c r="GO47" s="2241"/>
      <c r="GP47" s="2241"/>
      <c r="GQ47" s="2241"/>
      <c r="GR47" s="2241"/>
      <c r="GS47" s="2241"/>
      <c r="GT47" s="2241"/>
      <c r="GU47" s="2241"/>
      <c r="GV47" s="2241"/>
      <c r="GW47" s="2241"/>
      <c r="GX47" s="2241"/>
      <c r="GY47" s="2241"/>
      <c r="GZ47" s="2241"/>
      <c r="HA47" s="2241"/>
      <c r="HB47" s="2241"/>
      <c r="HC47" s="2241"/>
      <c r="HD47" s="2241"/>
      <c r="HE47" s="2241"/>
      <c r="HF47" s="2241"/>
      <c r="HG47" s="2241"/>
      <c r="HH47" s="2241"/>
      <c r="HI47" s="2241"/>
      <c r="HJ47" s="2241"/>
      <c r="HK47" s="2241"/>
      <c r="HL47" s="2241"/>
      <c r="HM47" s="2241"/>
      <c r="HN47" s="2241"/>
      <c r="HO47" s="2241"/>
      <c r="HP47" s="2241"/>
      <c r="HQ47" s="2241"/>
      <c r="HR47" s="2241"/>
      <c r="HS47" s="2241"/>
      <c r="HT47" s="2241"/>
      <c r="HU47" s="2241"/>
      <c r="HV47" s="2241"/>
      <c r="HW47" s="2241"/>
      <c r="HX47" s="2241"/>
      <c r="HY47" s="2241"/>
      <c r="HZ47" s="2241"/>
      <c r="IA47" s="2241"/>
      <c r="IB47" s="2241"/>
      <c r="IC47" s="2241"/>
      <c r="ID47" s="2241"/>
      <c r="IE47" s="2241"/>
      <c r="IF47" s="2241"/>
      <c r="IG47" s="2241"/>
      <c r="IH47" s="2241"/>
      <c r="II47" s="2241"/>
      <c r="IJ47" s="2241"/>
      <c r="IK47" s="2241"/>
      <c r="IL47" s="2241"/>
      <c r="IM47" s="2241"/>
      <c r="IN47" s="2241"/>
      <c r="IO47" s="2241"/>
      <c r="IP47" s="2241"/>
      <c r="IQ47" s="2241"/>
      <c r="IR47" s="2241"/>
      <c r="IS47" s="2241"/>
      <c r="IT47" s="2241"/>
      <c r="IU47" s="2241"/>
      <c r="IV47" s="2241"/>
      <c r="IW47" s="2241"/>
      <c r="IX47" s="2241"/>
    </row>
    <row r="48" spans="1:258" ht="24" outlineLevel="1">
      <c r="A48" s="3059"/>
      <c r="B48" s="2188" t="s">
        <v>849</v>
      </c>
      <c r="C48" s="2236" t="s">
        <v>830</v>
      </c>
      <c r="D48" s="1330">
        <f t="shared" ref="D48:G48" si="23">IF(D47=0,,D49/1000/D47)</f>
        <v>0</v>
      </c>
      <c r="E48" s="1333">
        <f t="shared" si="23"/>
        <v>0</v>
      </c>
      <c r="F48" s="1330">
        <f t="shared" si="23"/>
        <v>0</v>
      </c>
      <c r="G48" s="2267">
        <f t="shared" si="23"/>
        <v>0</v>
      </c>
      <c r="H48" s="997"/>
      <c r="I48" s="997"/>
      <c r="J48" s="2248">
        <f>22.14/1.2</f>
        <v>18.450000000000003</v>
      </c>
      <c r="K48" s="997">
        <f>19.65/1.2</f>
        <v>16.375</v>
      </c>
      <c r="L48" s="997">
        <f>22.14/1.2</f>
        <v>18.450000000000003</v>
      </c>
      <c r="M48" s="997">
        <f>19.65/1.2</f>
        <v>16.375</v>
      </c>
      <c r="N48" s="997">
        <v>0</v>
      </c>
      <c r="O48" s="997">
        <v>0</v>
      </c>
      <c r="P48" s="997">
        <v>0</v>
      </c>
      <c r="Q48" s="997">
        <v>0</v>
      </c>
      <c r="R48" s="997">
        <f>22.14/1.2</f>
        <v>18.450000000000003</v>
      </c>
      <c r="S48" s="997">
        <f>19.65/1.2</f>
        <v>16.375</v>
      </c>
      <c r="T48" s="997">
        <f>22.14/1.2</f>
        <v>18.450000000000003</v>
      </c>
      <c r="U48" s="997">
        <f>19.65/1.2</f>
        <v>16.375</v>
      </c>
      <c r="V48" s="997">
        <v>0</v>
      </c>
      <c r="W48" s="997">
        <v>0</v>
      </c>
      <c r="X48" s="997">
        <v>0</v>
      </c>
      <c r="Y48" s="2269">
        <v>0</v>
      </c>
      <c r="Z48" s="2249"/>
      <c r="AA48" s="2250"/>
      <c r="AB48" s="2250"/>
      <c r="AC48" s="2250"/>
      <c r="AD48" s="2241"/>
      <c r="AE48" s="2169"/>
      <c r="AF48" s="2169"/>
      <c r="AG48" s="2169"/>
      <c r="AH48" s="2169"/>
      <c r="AI48" s="2169"/>
      <c r="AJ48" s="2169"/>
      <c r="AK48" s="2241"/>
      <c r="AL48" s="2250"/>
      <c r="AM48" s="2250"/>
      <c r="AN48" s="2250"/>
      <c r="AO48" s="2250"/>
      <c r="AP48" s="2250"/>
      <c r="AQ48" s="2250"/>
      <c r="AR48" s="2241"/>
      <c r="AS48" s="2241"/>
      <c r="AT48" s="2241"/>
      <c r="AU48" s="2241"/>
      <c r="AV48" s="2241"/>
      <c r="AW48" s="2241"/>
      <c r="AX48" s="2241"/>
      <c r="AY48" s="2241"/>
      <c r="AZ48" s="2241"/>
      <c r="BA48" s="2241"/>
      <c r="BB48" s="2241"/>
      <c r="BC48" s="2241"/>
      <c r="BD48" s="2241"/>
      <c r="BE48" s="2241"/>
      <c r="BF48" s="2241"/>
      <c r="BG48" s="2241"/>
      <c r="BH48" s="2241"/>
      <c r="BI48" s="2241"/>
      <c r="BJ48" s="2241"/>
      <c r="BK48" s="2241"/>
      <c r="BL48" s="2241"/>
      <c r="BM48" s="2241"/>
      <c r="BN48" s="2241"/>
      <c r="BO48" s="2241"/>
      <c r="BP48" s="2241"/>
      <c r="BQ48" s="2241"/>
      <c r="BR48" s="2241"/>
      <c r="BS48" s="2241"/>
      <c r="BT48" s="2241"/>
      <c r="BU48" s="2241"/>
      <c r="BV48" s="2241"/>
      <c r="BW48" s="2241"/>
      <c r="BX48" s="2241"/>
      <c r="BY48" s="2241"/>
      <c r="BZ48" s="2241"/>
      <c r="CA48" s="2241"/>
      <c r="CB48" s="2241"/>
      <c r="CC48" s="2241"/>
      <c r="CD48" s="2241"/>
      <c r="CE48" s="2241"/>
      <c r="CF48" s="2241"/>
      <c r="CG48" s="2241"/>
      <c r="CH48" s="2241"/>
      <c r="CI48" s="2241"/>
      <c r="CJ48" s="2241"/>
      <c r="CK48" s="2241"/>
      <c r="CL48" s="2241"/>
      <c r="CM48" s="2241"/>
      <c r="CN48" s="2241"/>
      <c r="CO48" s="2241"/>
      <c r="CP48" s="2241"/>
      <c r="CQ48" s="2241"/>
      <c r="CR48" s="2241"/>
      <c r="CS48" s="2241"/>
      <c r="CT48" s="2241"/>
      <c r="CU48" s="2241"/>
      <c r="CV48" s="2241"/>
      <c r="CW48" s="2241"/>
      <c r="CX48" s="2241"/>
      <c r="CY48" s="2241"/>
      <c r="CZ48" s="2241"/>
      <c r="DA48" s="2241"/>
      <c r="DB48" s="2241"/>
      <c r="DC48" s="2241"/>
      <c r="DD48" s="2241"/>
      <c r="DE48" s="2241"/>
      <c r="DF48" s="2241"/>
      <c r="DG48" s="2241"/>
      <c r="DH48" s="2241"/>
      <c r="DI48" s="2241"/>
      <c r="DJ48" s="2241"/>
      <c r="DK48" s="2241"/>
      <c r="DL48" s="2241"/>
      <c r="DM48" s="2241"/>
      <c r="DN48" s="2241"/>
      <c r="DO48" s="2241"/>
      <c r="DP48" s="2241"/>
      <c r="DQ48" s="2241"/>
      <c r="DR48" s="2241"/>
      <c r="DS48" s="2241"/>
      <c r="DT48" s="2241"/>
      <c r="DU48" s="2241"/>
      <c r="DV48" s="2241"/>
      <c r="DW48" s="2241"/>
      <c r="DX48" s="2241"/>
      <c r="DY48" s="2241"/>
      <c r="DZ48" s="2241"/>
      <c r="EA48" s="2241"/>
      <c r="EB48" s="2241"/>
      <c r="EC48" s="2241"/>
      <c r="ED48" s="2241"/>
      <c r="EE48" s="2241"/>
      <c r="EF48" s="2241"/>
      <c r="EG48" s="2241"/>
      <c r="EH48" s="2241"/>
      <c r="EI48" s="2241"/>
      <c r="EJ48" s="2241"/>
      <c r="EK48" s="2241"/>
      <c r="EL48" s="2241"/>
      <c r="EM48" s="2241"/>
      <c r="EN48" s="2241"/>
      <c r="EO48" s="2241"/>
      <c r="EP48" s="2241"/>
      <c r="EQ48" s="2241"/>
      <c r="ER48" s="2241"/>
      <c r="ES48" s="2241"/>
      <c r="ET48" s="2241"/>
      <c r="EU48" s="2241"/>
      <c r="EV48" s="2241"/>
      <c r="EW48" s="2241"/>
      <c r="EX48" s="2241"/>
      <c r="EY48" s="2241"/>
      <c r="EZ48" s="2241"/>
      <c r="FA48" s="2241"/>
      <c r="FB48" s="2241"/>
      <c r="FC48" s="2241"/>
      <c r="FD48" s="2241"/>
      <c r="FE48" s="2241"/>
      <c r="FF48" s="2241"/>
      <c r="FG48" s="2241"/>
      <c r="FH48" s="2241"/>
      <c r="FI48" s="2241"/>
      <c r="FJ48" s="2241"/>
      <c r="FK48" s="2241"/>
      <c r="FL48" s="2241"/>
      <c r="FM48" s="2241"/>
      <c r="FN48" s="2241"/>
      <c r="FO48" s="2241"/>
      <c r="FP48" s="2241"/>
      <c r="FQ48" s="2241"/>
      <c r="FR48" s="2241"/>
      <c r="FS48" s="2241"/>
      <c r="FT48" s="2241"/>
      <c r="FU48" s="2241"/>
      <c r="FV48" s="2241"/>
      <c r="FW48" s="2241"/>
      <c r="FX48" s="2241"/>
      <c r="FY48" s="2241"/>
      <c r="FZ48" s="2241"/>
      <c r="GA48" s="2241"/>
      <c r="GB48" s="2241"/>
      <c r="GC48" s="2241"/>
      <c r="GD48" s="2241"/>
      <c r="GE48" s="2241"/>
      <c r="GF48" s="2241"/>
      <c r="GG48" s="2241"/>
      <c r="GH48" s="2241"/>
      <c r="GI48" s="2241"/>
      <c r="GJ48" s="2241"/>
      <c r="GK48" s="2241"/>
      <c r="GL48" s="2241"/>
      <c r="GM48" s="2241"/>
      <c r="GN48" s="2241"/>
      <c r="GO48" s="2241"/>
      <c r="GP48" s="2241"/>
      <c r="GQ48" s="2241"/>
      <c r="GR48" s="2241"/>
      <c r="GS48" s="2241"/>
      <c r="GT48" s="2241"/>
      <c r="GU48" s="2241"/>
      <c r="GV48" s="2241"/>
      <c r="GW48" s="2241"/>
      <c r="GX48" s="2241"/>
      <c r="GY48" s="2241"/>
      <c r="GZ48" s="2241"/>
      <c r="HA48" s="2241"/>
      <c r="HB48" s="2241"/>
      <c r="HC48" s="2241"/>
      <c r="HD48" s="2241"/>
      <c r="HE48" s="2241"/>
      <c r="HF48" s="2241"/>
      <c r="HG48" s="2241"/>
      <c r="HH48" s="2241"/>
      <c r="HI48" s="2241"/>
      <c r="HJ48" s="2241"/>
      <c r="HK48" s="2241"/>
      <c r="HL48" s="2241"/>
      <c r="HM48" s="2241"/>
      <c r="HN48" s="2241"/>
      <c r="HO48" s="2241"/>
      <c r="HP48" s="2241"/>
      <c r="HQ48" s="2241"/>
      <c r="HR48" s="2241"/>
      <c r="HS48" s="2241"/>
      <c r="HT48" s="2241"/>
      <c r="HU48" s="2241"/>
      <c r="HV48" s="2241"/>
      <c r="HW48" s="2241"/>
      <c r="HX48" s="2241"/>
      <c r="HY48" s="2241"/>
      <c r="HZ48" s="2241"/>
      <c r="IA48" s="2241"/>
      <c r="IB48" s="2241"/>
      <c r="IC48" s="2241"/>
      <c r="ID48" s="2241"/>
      <c r="IE48" s="2241"/>
      <c r="IF48" s="2241"/>
      <c r="IG48" s="2241"/>
      <c r="IH48" s="2241"/>
      <c r="II48" s="2241"/>
      <c r="IJ48" s="2241"/>
      <c r="IK48" s="2241"/>
      <c r="IL48" s="2241"/>
      <c r="IM48" s="2241"/>
      <c r="IN48" s="2241"/>
      <c r="IO48" s="2241"/>
      <c r="IP48" s="2241"/>
      <c r="IQ48" s="2241"/>
      <c r="IR48" s="2241"/>
      <c r="IS48" s="2241"/>
      <c r="IT48" s="2241"/>
      <c r="IU48" s="2241"/>
      <c r="IV48" s="2241"/>
      <c r="IW48" s="2241"/>
      <c r="IX48" s="2241"/>
    </row>
    <row r="49" spans="1:258" ht="24" outlineLevel="1">
      <c r="A49" s="3060"/>
      <c r="B49" s="2257" t="s">
        <v>850</v>
      </c>
      <c r="C49" s="2243" t="s">
        <v>833</v>
      </c>
      <c r="D49" s="1330"/>
      <c r="E49" s="1333"/>
      <c r="F49" s="1330"/>
      <c r="G49" s="2267"/>
      <c r="H49" s="997"/>
      <c r="I49" s="997"/>
      <c r="J49" s="2248">
        <f>L49+N49+P49+R49+T49+V49+X49</f>
        <v>6.1383637080000004E-2</v>
      </c>
      <c r="K49" s="997">
        <f>M49+O49+Q49+S49+U49+W49+Y49</f>
        <v>5.4480057299999995E-2</v>
      </c>
      <c r="L49" s="2301">
        <f>L47*L48/1000</f>
        <v>6.1383637080000004E-2</v>
      </c>
      <c r="M49" s="2301">
        <f t="shared" ref="M49:Y49" si="24">M47*M48/1000</f>
        <v>5.4480057299999995E-2</v>
      </c>
      <c r="N49" s="997">
        <f t="shared" si="24"/>
        <v>0</v>
      </c>
      <c r="O49" s="997">
        <f t="shared" si="24"/>
        <v>0</v>
      </c>
      <c r="P49" s="997">
        <f t="shared" si="24"/>
        <v>0</v>
      </c>
      <c r="Q49" s="997">
        <f t="shared" si="24"/>
        <v>0</v>
      </c>
      <c r="R49" s="997">
        <f t="shared" si="24"/>
        <v>0</v>
      </c>
      <c r="S49" s="997">
        <f t="shared" si="24"/>
        <v>0</v>
      </c>
      <c r="T49" s="997">
        <f t="shared" si="24"/>
        <v>0</v>
      </c>
      <c r="U49" s="997">
        <f t="shared" si="24"/>
        <v>0</v>
      </c>
      <c r="V49" s="997">
        <f t="shared" si="24"/>
        <v>0</v>
      </c>
      <c r="W49" s="997">
        <f t="shared" si="24"/>
        <v>0</v>
      </c>
      <c r="X49" s="997">
        <f t="shared" si="24"/>
        <v>0</v>
      </c>
      <c r="Y49" s="997">
        <f t="shared" si="24"/>
        <v>0</v>
      </c>
      <c r="Z49" s="2249"/>
      <c r="AA49" s="2250"/>
      <c r="AB49" s="2250"/>
      <c r="AC49" s="2250"/>
      <c r="AD49" s="2241"/>
      <c r="AE49" s="2169"/>
      <c r="AF49" s="2169"/>
      <c r="AG49" s="2169"/>
      <c r="AH49" s="2169"/>
      <c r="AI49" s="2169"/>
      <c r="AJ49" s="2169"/>
      <c r="AK49" s="2241"/>
      <c r="AL49" s="2250"/>
      <c r="AM49" s="2250"/>
      <c r="AN49" s="2250"/>
      <c r="AO49" s="2250"/>
      <c r="AP49" s="2250"/>
      <c r="AQ49" s="2250"/>
      <c r="AR49" s="2241"/>
      <c r="AS49" s="2241"/>
      <c r="AT49" s="2241"/>
      <c r="AU49" s="2241"/>
      <c r="AV49" s="2241"/>
      <c r="AW49" s="2241"/>
      <c r="AX49" s="2241"/>
      <c r="AY49" s="2241"/>
      <c r="AZ49" s="2241"/>
      <c r="BA49" s="2241"/>
      <c r="BB49" s="2241"/>
      <c r="BC49" s="2241"/>
      <c r="BD49" s="2241"/>
      <c r="BE49" s="2241"/>
      <c r="BF49" s="2241"/>
      <c r="BG49" s="2241"/>
      <c r="BH49" s="2241"/>
      <c r="BI49" s="2241"/>
      <c r="BJ49" s="2241"/>
      <c r="BK49" s="2241"/>
      <c r="BL49" s="2241"/>
      <c r="BM49" s="2241"/>
      <c r="BN49" s="2241"/>
      <c r="BO49" s="2241"/>
      <c r="BP49" s="2241"/>
      <c r="BQ49" s="2241"/>
      <c r="BR49" s="2241"/>
      <c r="BS49" s="2241"/>
      <c r="BT49" s="2241"/>
      <c r="BU49" s="2241"/>
      <c r="BV49" s="2241"/>
      <c r="BW49" s="2241"/>
      <c r="BX49" s="2241"/>
      <c r="BY49" s="2241"/>
      <c r="BZ49" s="2241"/>
      <c r="CA49" s="2241"/>
      <c r="CB49" s="2241"/>
      <c r="CC49" s="2241"/>
      <c r="CD49" s="2241"/>
      <c r="CE49" s="2241"/>
      <c r="CF49" s="2241"/>
      <c r="CG49" s="2241"/>
      <c r="CH49" s="2241"/>
      <c r="CI49" s="2241"/>
      <c r="CJ49" s="2241"/>
      <c r="CK49" s="2241"/>
      <c r="CL49" s="2241"/>
      <c r="CM49" s="2241"/>
      <c r="CN49" s="2241"/>
      <c r="CO49" s="2241"/>
      <c r="CP49" s="2241"/>
      <c r="CQ49" s="2241"/>
      <c r="CR49" s="2241"/>
      <c r="CS49" s="2241"/>
      <c r="CT49" s="2241"/>
      <c r="CU49" s="2241"/>
      <c r="CV49" s="2241"/>
      <c r="CW49" s="2241"/>
      <c r="CX49" s="2241"/>
      <c r="CY49" s="2241"/>
      <c r="CZ49" s="2241"/>
      <c r="DA49" s="2241"/>
      <c r="DB49" s="2241"/>
      <c r="DC49" s="2241"/>
      <c r="DD49" s="2241"/>
      <c r="DE49" s="2241"/>
      <c r="DF49" s="2241"/>
      <c r="DG49" s="2241"/>
      <c r="DH49" s="2241"/>
      <c r="DI49" s="2241"/>
      <c r="DJ49" s="2241"/>
      <c r="DK49" s="2241"/>
      <c r="DL49" s="2241"/>
      <c r="DM49" s="2241"/>
      <c r="DN49" s="2241"/>
      <c r="DO49" s="2241"/>
      <c r="DP49" s="2241"/>
      <c r="DQ49" s="2241"/>
      <c r="DR49" s="2241"/>
      <c r="DS49" s="2241"/>
      <c r="DT49" s="2241"/>
      <c r="DU49" s="2241"/>
      <c r="DV49" s="2241"/>
      <c r="DW49" s="2241"/>
      <c r="DX49" s="2241"/>
      <c r="DY49" s="2241"/>
      <c r="DZ49" s="2241"/>
      <c r="EA49" s="2241"/>
      <c r="EB49" s="2241"/>
      <c r="EC49" s="2241"/>
      <c r="ED49" s="2241"/>
      <c r="EE49" s="2241"/>
      <c r="EF49" s="2241"/>
      <c r="EG49" s="2241"/>
      <c r="EH49" s="2241"/>
      <c r="EI49" s="2241"/>
      <c r="EJ49" s="2241"/>
      <c r="EK49" s="2241"/>
      <c r="EL49" s="2241"/>
      <c r="EM49" s="2241"/>
      <c r="EN49" s="2241"/>
      <c r="EO49" s="2241"/>
      <c r="EP49" s="2241"/>
      <c r="EQ49" s="2241"/>
      <c r="ER49" s="2241"/>
      <c r="ES49" s="2241"/>
      <c r="ET49" s="2241"/>
      <c r="EU49" s="2241"/>
      <c r="EV49" s="2241"/>
      <c r="EW49" s="2241"/>
      <c r="EX49" s="2241"/>
      <c r="EY49" s="2241"/>
      <c r="EZ49" s="2241"/>
      <c r="FA49" s="2241"/>
      <c r="FB49" s="2241"/>
      <c r="FC49" s="2241"/>
      <c r="FD49" s="2241"/>
      <c r="FE49" s="2241"/>
      <c r="FF49" s="2241"/>
      <c r="FG49" s="2241"/>
      <c r="FH49" s="2241"/>
      <c r="FI49" s="2241"/>
      <c r="FJ49" s="2241"/>
      <c r="FK49" s="2241"/>
      <c r="FL49" s="2241"/>
      <c r="FM49" s="2241"/>
      <c r="FN49" s="2241"/>
      <c r="FO49" s="2241"/>
      <c r="FP49" s="2241"/>
      <c r="FQ49" s="2241"/>
      <c r="FR49" s="2241"/>
      <c r="FS49" s="2241"/>
      <c r="FT49" s="2241"/>
      <c r="FU49" s="2241"/>
      <c r="FV49" s="2241"/>
      <c r="FW49" s="2241"/>
      <c r="FX49" s="2241"/>
      <c r="FY49" s="2241"/>
      <c r="FZ49" s="2241"/>
      <c r="GA49" s="2241"/>
      <c r="GB49" s="2241"/>
      <c r="GC49" s="2241"/>
      <c r="GD49" s="2241"/>
      <c r="GE49" s="2241"/>
      <c r="GF49" s="2241"/>
      <c r="GG49" s="2241"/>
      <c r="GH49" s="2241"/>
      <c r="GI49" s="2241"/>
      <c r="GJ49" s="2241"/>
      <c r="GK49" s="2241"/>
      <c r="GL49" s="2241"/>
      <c r="GM49" s="2241"/>
      <c r="GN49" s="2241"/>
      <c r="GO49" s="2241"/>
      <c r="GP49" s="2241"/>
      <c r="GQ49" s="2241"/>
      <c r="GR49" s="2241"/>
      <c r="GS49" s="2241"/>
      <c r="GT49" s="2241"/>
      <c r="GU49" s="2241"/>
      <c r="GV49" s="2241"/>
      <c r="GW49" s="2241"/>
      <c r="GX49" s="2241"/>
      <c r="GY49" s="2241"/>
      <c r="GZ49" s="2241"/>
      <c r="HA49" s="2241"/>
      <c r="HB49" s="2241"/>
      <c r="HC49" s="2241"/>
      <c r="HD49" s="2241"/>
      <c r="HE49" s="2241"/>
      <c r="HF49" s="2241"/>
      <c r="HG49" s="2241"/>
      <c r="HH49" s="2241"/>
      <c r="HI49" s="2241"/>
      <c r="HJ49" s="2241"/>
      <c r="HK49" s="2241"/>
      <c r="HL49" s="2241"/>
      <c r="HM49" s="2241"/>
      <c r="HN49" s="2241"/>
      <c r="HO49" s="2241"/>
      <c r="HP49" s="2241"/>
      <c r="HQ49" s="2241"/>
      <c r="HR49" s="2241"/>
      <c r="HS49" s="2241"/>
      <c r="HT49" s="2241"/>
      <c r="HU49" s="2241"/>
      <c r="HV49" s="2241"/>
      <c r="HW49" s="2241"/>
      <c r="HX49" s="2241"/>
      <c r="HY49" s="2241"/>
      <c r="HZ49" s="2241"/>
      <c r="IA49" s="2241"/>
      <c r="IB49" s="2241"/>
      <c r="IC49" s="2241"/>
      <c r="ID49" s="2241"/>
      <c r="IE49" s="2241"/>
      <c r="IF49" s="2241"/>
      <c r="IG49" s="2241"/>
      <c r="IH49" s="2241"/>
      <c r="II49" s="2241"/>
      <c r="IJ49" s="2241"/>
      <c r="IK49" s="2241"/>
      <c r="IL49" s="2241"/>
      <c r="IM49" s="2241"/>
      <c r="IN49" s="2241"/>
      <c r="IO49" s="2241"/>
      <c r="IP49" s="2241"/>
      <c r="IQ49" s="2241"/>
      <c r="IR49" s="2241"/>
      <c r="IS49" s="2241"/>
      <c r="IT49" s="2241"/>
      <c r="IU49" s="2241"/>
      <c r="IV49" s="2241"/>
      <c r="IW49" s="2241"/>
      <c r="IX49" s="2241"/>
    </row>
    <row r="50" spans="1:258" hidden="1" outlineLevel="1">
      <c r="A50" s="3058" t="s">
        <v>851</v>
      </c>
      <c r="B50" s="2188" t="s">
        <v>852</v>
      </c>
      <c r="C50" s="2236" t="s">
        <v>803</v>
      </c>
      <c r="D50" s="1330"/>
      <c r="E50" s="1333"/>
      <c r="F50" s="1330"/>
      <c r="G50" s="2267"/>
      <c r="H50" s="997"/>
      <c r="I50" s="997"/>
      <c r="J50" s="2248">
        <f>L50+N50+P50+R50+T50+V50+X50</f>
        <v>0</v>
      </c>
      <c r="K50" s="997">
        <f>M50+O50+Q50+S50+U50+W50+Y50</f>
        <v>0</v>
      </c>
      <c r="L50" s="997"/>
      <c r="M50" s="997"/>
      <c r="N50" s="997"/>
      <c r="O50" s="997"/>
      <c r="P50" s="997"/>
      <c r="Q50" s="997"/>
      <c r="R50" s="997"/>
      <c r="S50" s="997"/>
      <c r="T50" s="997"/>
      <c r="U50" s="997"/>
      <c r="V50" s="997"/>
      <c r="W50" s="997"/>
      <c r="X50" s="997"/>
      <c r="Y50" s="2269"/>
      <c r="Z50" s="2249"/>
      <c r="AA50" s="2250"/>
      <c r="AB50" s="2250"/>
      <c r="AC50" s="2250"/>
      <c r="AD50" s="2241"/>
      <c r="AE50" s="2169"/>
      <c r="AF50" s="2169"/>
      <c r="AG50" s="2169"/>
      <c r="AH50" s="2169"/>
      <c r="AI50" s="2169"/>
      <c r="AJ50" s="2169"/>
      <c r="AK50" s="2241"/>
      <c r="AL50" s="2250"/>
      <c r="AM50" s="2250"/>
      <c r="AN50" s="2250"/>
      <c r="AO50" s="2250"/>
      <c r="AP50" s="2250"/>
      <c r="AQ50" s="2250"/>
      <c r="AR50" s="2241"/>
      <c r="AS50" s="2241"/>
      <c r="AT50" s="2241"/>
      <c r="AU50" s="2241"/>
      <c r="AV50" s="2241"/>
      <c r="AW50" s="2241"/>
      <c r="AX50" s="2241"/>
      <c r="AY50" s="2241"/>
      <c r="AZ50" s="2241"/>
      <c r="BA50" s="2241"/>
      <c r="BB50" s="2241"/>
      <c r="BC50" s="2241"/>
      <c r="BD50" s="2241"/>
      <c r="BE50" s="2241"/>
      <c r="BF50" s="2241"/>
      <c r="BG50" s="2241"/>
      <c r="BH50" s="2241"/>
      <c r="BI50" s="2241"/>
      <c r="BJ50" s="2241"/>
      <c r="BK50" s="2241"/>
      <c r="BL50" s="2241"/>
      <c r="BM50" s="2241"/>
      <c r="BN50" s="2241"/>
      <c r="BO50" s="2241"/>
      <c r="BP50" s="2241"/>
      <c r="BQ50" s="2241"/>
      <c r="BR50" s="2241"/>
      <c r="BS50" s="2241"/>
      <c r="BT50" s="2241"/>
      <c r="BU50" s="2241"/>
      <c r="BV50" s="2241"/>
      <c r="BW50" s="2241"/>
      <c r="BX50" s="2241"/>
      <c r="BY50" s="2241"/>
      <c r="BZ50" s="2241"/>
      <c r="CA50" s="2241"/>
      <c r="CB50" s="2241"/>
      <c r="CC50" s="2241"/>
      <c r="CD50" s="2241"/>
      <c r="CE50" s="2241"/>
      <c r="CF50" s="2241"/>
      <c r="CG50" s="2241"/>
      <c r="CH50" s="2241"/>
      <c r="CI50" s="2241"/>
      <c r="CJ50" s="2241"/>
      <c r="CK50" s="2241"/>
      <c r="CL50" s="2241"/>
      <c r="CM50" s="2241"/>
      <c r="CN50" s="2241"/>
      <c r="CO50" s="2241"/>
      <c r="CP50" s="2241"/>
      <c r="CQ50" s="2241"/>
      <c r="CR50" s="2241"/>
      <c r="CS50" s="2241"/>
      <c r="CT50" s="2241"/>
      <c r="CU50" s="2241"/>
      <c r="CV50" s="2241"/>
      <c r="CW50" s="2241"/>
      <c r="CX50" s="2241"/>
      <c r="CY50" s="2241"/>
      <c r="CZ50" s="2241"/>
      <c r="DA50" s="2241"/>
      <c r="DB50" s="2241"/>
      <c r="DC50" s="2241"/>
      <c r="DD50" s="2241"/>
      <c r="DE50" s="2241"/>
      <c r="DF50" s="2241"/>
      <c r="DG50" s="2241"/>
      <c r="DH50" s="2241"/>
      <c r="DI50" s="2241"/>
      <c r="DJ50" s="2241"/>
      <c r="DK50" s="2241"/>
      <c r="DL50" s="2241"/>
      <c r="DM50" s="2241"/>
      <c r="DN50" s="2241"/>
      <c r="DO50" s="2241"/>
      <c r="DP50" s="2241"/>
      <c r="DQ50" s="2241"/>
      <c r="DR50" s="2241"/>
      <c r="DS50" s="2241"/>
      <c r="DT50" s="2241"/>
      <c r="DU50" s="2241"/>
      <c r="DV50" s="2241"/>
      <c r="DW50" s="2241"/>
      <c r="DX50" s="2241"/>
      <c r="DY50" s="2241"/>
      <c r="DZ50" s="2241"/>
      <c r="EA50" s="2241"/>
      <c r="EB50" s="2241"/>
      <c r="EC50" s="2241"/>
      <c r="ED50" s="2241"/>
      <c r="EE50" s="2241"/>
      <c r="EF50" s="2241"/>
      <c r="EG50" s="2241"/>
      <c r="EH50" s="2241"/>
      <c r="EI50" s="2241"/>
      <c r="EJ50" s="2241"/>
      <c r="EK50" s="2241"/>
      <c r="EL50" s="2241"/>
      <c r="EM50" s="2241"/>
      <c r="EN50" s="2241"/>
      <c r="EO50" s="2241"/>
      <c r="EP50" s="2241"/>
      <c r="EQ50" s="2241"/>
      <c r="ER50" s="2241"/>
      <c r="ES50" s="2241"/>
      <c r="ET50" s="2241"/>
      <c r="EU50" s="2241"/>
      <c r="EV50" s="2241"/>
      <c r="EW50" s="2241"/>
      <c r="EX50" s="2241"/>
      <c r="EY50" s="2241"/>
      <c r="EZ50" s="2241"/>
      <c r="FA50" s="2241"/>
      <c r="FB50" s="2241"/>
      <c r="FC50" s="2241"/>
      <c r="FD50" s="2241"/>
      <c r="FE50" s="2241"/>
      <c r="FF50" s="2241"/>
      <c r="FG50" s="2241"/>
      <c r="FH50" s="2241"/>
      <c r="FI50" s="2241"/>
      <c r="FJ50" s="2241"/>
      <c r="FK50" s="2241"/>
      <c r="FL50" s="2241"/>
      <c r="FM50" s="2241"/>
      <c r="FN50" s="2241"/>
      <c r="FO50" s="2241"/>
      <c r="FP50" s="2241"/>
      <c r="FQ50" s="2241"/>
      <c r="FR50" s="2241"/>
      <c r="FS50" s="2241"/>
      <c r="FT50" s="2241"/>
      <c r="FU50" s="2241"/>
      <c r="FV50" s="2241"/>
      <c r="FW50" s="2241"/>
      <c r="FX50" s="2241"/>
      <c r="FY50" s="2241"/>
      <c r="FZ50" s="2241"/>
      <c r="GA50" s="2241"/>
      <c r="GB50" s="2241"/>
      <c r="GC50" s="2241"/>
      <c r="GD50" s="2241"/>
      <c r="GE50" s="2241"/>
      <c r="GF50" s="2241"/>
      <c r="GG50" s="2241"/>
      <c r="GH50" s="2241"/>
      <c r="GI50" s="2241"/>
      <c r="GJ50" s="2241"/>
      <c r="GK50" s="2241"/>
      <c r="GL50" s="2241"/>
      <c r="GM50" s="2241"/>
      <c r="GN50" s="2241"/>
      <c r="GO50" s="2241"/>
      <c r="GP50" s="2241"/>
      <c r="GQ50" s="2241"/>
      <c r="GR50" s="2241"/>
      <c r="GS50" s="2241"/>
      <c r="GT50" s="2241"/>
      <c r="GU50" s="2241"/>
      <c r="GV50" s="2241"/>
      <c r="GW50" s="2241"/>
      <c r="GX50" s="2241"/>
      <c r="GY50" s="2241"/>
      <c r="GZ50" s="2241"/>
      <c r="HA50" s="2241"/>
      <c r="HB50" s="2241"/>
      <c r="HC50" s="2241"/>
      <c r="HD50" s="2241"/>
      <c r="HE50" s="2241"/>
      <c r="HF50" s="2241"/>
      <c r="HG50" s="2241"/>
      <c r="HH50" s="2241"/>
      <c r="HI50" s="2241"/>
      <c r="HJ50" s="2241"/>
      <c r="HK50" s="2241"/>
      <c r="HL50" s="2241"/>
      <c r="HM50" s="2241"/>
      <c r="HN50" s="2241"/>
      <c r="HO50" s="2241"/>
      <c r="HP50" s="2241"/>
      <c r="HQ50" s="2241"/>
      <c r="HR50" s="2241"/>
      <c r="HS50" s="2241"/>
      <c r="HT50" s="2241"/>
      <c r="HU50" s="2241"/>
      <c r="HV50" s="2241"/>
      <c r="HW50" s="2241"/>
      <c r="HX50" s="2241"/>
      <c r="HY50" s="2241"/>
      <c r="HZ50" s="2241"/>
      <c r="IA50" s="2241"/>
      <c r="IB50" s="2241"/>
      <c r="IC50" s="2241"/>
      <c r="ID50" s="2241"/>
      <c r="IE50" s="2241"/>
      <c r="IF50" s="2241"/>
      <c r="IG50" s="2241"/>
      <c r="IH50" s="2241"/>
      <c r="II50" s="2241"/>
      <c r="IJ50" s="2241"/>
      <c r="IK50" s="2241"/>
      <c r="IL50" s="2241"/>
      <c r="IM50" s="2241"/>
      <c r="IN50" s="2241"/>
      <c r="IO50" s="2241"/>
      <c r="IP50" s="2241"/>
      <c r="IQ50" s="2241"/>
      <c r="IR50" s="2241"/>
      <c r="IS50" s="2241"/>
      <c r="IT50" s="2241"/>
      <c r="IU50" s="2241"/>
      <c r="IV50" s="2241"/>
      <c r="IW50" s="2241"/>
      <c r="IX50" s="2241"/>
    </row>
    <row r="51" spans="1:258" ht="24" hidden="1" outlineLevel="1">
      <c r="A51" s="3059"/>
      <c r="B51" s="2188" t="s">
        <v>853</v>
      </c>
      <c r="C51" s="2236" t="s">
        <v>830</v>
      </c>
      <c r="D51" s="1330">
        <f t="shared" ref="D51:K51" si="25">IF(D50=0,,D52/1000/D50)</f>
        <v>0</v>
      </c>
      <c r="E51" s="1333">
        <f t="shared" si="25"/>
        <v>0</v>
      </c>
      <c r="F51" s="1330">
        <f t="shared" si="25"/>
        <v>0</v>
      </c>
      <c r="G51" s="2267">
        <f t="shared" si="25"/>
        <v>0</v>
      </c>
      <c r="H51" s="997"/>
      <c r="I51" s="997"/>
      <c r="J51" s="2248">
        <f t="shared" si="25"/>
        <v>0</v>
      </c>
      <c r="K51" s="997">
        <f t="shared" si="25"/>
        <v>0</v>
      </c>
      <c r="L51" s="997"/>
      <c r="M51" s="997"/>
      <c r="N51" s="997"/>
      <c r="O51" s="997"/>
      <c r="P51" s="997"/>
      <c r="Q51" s="997"/>
      <c r="R51" s="997"/>
      <c r="S51" s="997"/>
      <c r="T51" s="997"/>
      <c r="U51" s="997"/>
      <c r="V51" s="997"/>
      <c r="W51" s="997"/>
      <c r="X51" s="997"/>
      <c r="Y51" s="2269"/>
      <c r="Z51" s="2249"/>
      <c r="AA51" s="2250"/>
      <c r="AB51" s="2250"/>
      <c r="AC51" s="2250"/>
      <c r="AD51" s="2241"/>
      <c r="AE51" s="2169"/>
      <c r="AF51" s="2169"/>
      <c r="AG51" s="2169"/>
      <c r="AH51" s="2169"/>
      <c r="AI51" s="2169"/>
      <c r="AJ51" s="2169"/>
      <c r="AK51" s="2241"/>
      <c r="AL51" s="2250"/>
      <c r="AM51" s="2250"/>
      <c r="AN51" s="2250"/>
      <c r="AO51" s="2250"/>
      <c r="AP51" s="2250"/>
      <c r="AQ51" s="2250"/>
      <c r="AR51" s="2241"/>
      <c r="AS51" s="2241"/>
      <c r="AT51" s="2241"/>
      <c r="AU51" s="2241"/>
      <c r="AV51" s="2241"/>
      <c r="AW51" s="2241"/>
      <c r="AX51" s="2241"/>
      <c r="AY51" s="2241"/>
      <c r="AZ51" s="2241"/>
      <c r="BA51" s="2241"/>
      <c r="BB51" s="2241"/>
      <c r="BC51" s="2241"/>
      <c r="BD51" s="2241"/>
      <c r="BE51" s="2241"/>
      <c r="BF51" s="2241"/>
      <c r="BG51" s="2241"/>
      <c r="BH51" s="2241"/>
      <c r="BI51" s="2241"/>
      <c r="BJ51" s="2241"/>
      <c r="BK51" s="2241"/>
      <c r="BL51" s="2241"/>
      <c r="BM51" s="2241"/>
      <c r="BN51" s="2241"/>
      <c r="BO51" s="2241"/>
      <c r="BP51" s="2241"/>
      <c r="BQ51" s="2241"/>
      <c r="BR51" s="2241"/>
      <c r="BS51" s="2241"/>
      <c r="BT51" s="2241"/>
      <c r="BU51" s="2241"/>
      <c r="BV51" s="2241"/>
      <c r="BW51" s="2241"/>
      <c r="BX51" s="2241"/>
      <c r="BY51" s="2241"/>
      <c r="BZ51" s="2241"/>
      <c r="CA51" s="2241"/>
      <c r="CB51" s="2241"/>
      <c r="CC51" s="2241"/>
      <c r="CD51" s="2241"/>
      <c r="CE51" s="2241"/>
      <c r="CF51" s="2241"/>
      <c r="CG51" s="2241"/>
      <c r="CH51" s="2241"/>
      <c r="CI51" s="2241"/>
      <c r="CJ51" s="2241"/>
      <c r="CK51" s="2241"/>
      <c r="CL51" s="2241"/>
      <c r="CM51" s="2241"/>
      <c r="CN51" s="2241"/>
      <c r="CO51" s="2241"/>
      <c r="CP51" s="2241"/>
      <c r="CQ51" s="2241"/>
      <c r="CR51" s="2241"/>
      <c r="CS51" s="2241"/>
      <c r="CT51" s="2241"/>
      <c r="CU51" s="2241"/>
      <c r="CV51" s="2241"/>
      <c r="CW51" s="2241"/>
      <c r="CX51" s="2241"/>
      <c r="CY51" s="2241"/>
      <c r="CZ51" s="2241"/>
      <c r="DA51" s="2241"/>
      <c r="DB51" s="2241"/>
      <c r="DC51" s="2241"/>
      <c r="DD51" s="2241"/>
      <c r="DE51" s="2241"/>
      <c r="DF51" s="2241"/>
      <c r="DG51" s="2241"/>
      <c r="DH51" s="2241"/>
      <c r="DI51" s="2241"/>
      <c r="DJ51" s="2241"/>
      <c r="DK51" s="2241"/>
      <c r="DL51" s="2241"/>
      <c r="DM51" s="2241"/>
      <c r="DN51" s="2241"/>
      <c r="DO51" s="2241"/>
      <c r="DP51" s="2241"/>
      <c r="DQ51" s="2241"/>
      <c r="DR51" s="2241"/>
      <c r="DS51" s="2241"/>
      <c r="DT51" s="2241"/>
      <c r="DU51" s="2241"/>
      <c r="DV51" s="2241"/>
      <c r="DW51" s="2241"/>
      <c r="DX51" s="2241"/>
      <c r="DY51" s="2241"/>
      <c r="DZ51" s="2241"/>
      <c r="EA51" s="2241"/>
      <c r="EB51" s="2241"/>
      <c r="EC51" s="2241"/>
      <c r="ED51" s="2241"/>
      <c r="EE51" s="2241"/>
      <c r="EF51" s="2241"/>
      <c r="EG51" s="2241"/>
      <c r="EH51" s="2241"/>
      <c r="EI51" s="2241"/>
      <c r="EJ51" s="2241"/>
      <c r="EK51" s="2241"/>
      <c r="EL51" s="2241"/>
      <c r="EM51" s="2241"/>
      <c r="EN51" s="2241"/>
      <c r="EO51" s="2241"/>
      <c r="EP51" s="2241"/>
      <c r="EQ51" s="2241"/>
      <c r="ER51" s="2241"/>
      <c r="ES51" s="2241"/>
      <c r="ET51" s="2241"/>
      <c r="EU51" s="2241"/>
      <c r="EV51" s="2241"/>
      <c r="EW51" s="2241"/>
      <c r="EX51" s="2241"/>
      <c r="EY51" s="2241"/>
      <c r="EZ51" s="2241"/>
      <c r="FA51" s="2241"/>
      <c r="FB51" s="2241"/>
      <c r="FC51" s="2241"/>
      <c r="FD51" s="2241"/>
      <c r="FE51" s="2241"/>
      <c r="FF51" s="2241"/>
      <c r="FG51" s="2241"/>
      <c r="FH51" s="2241"/>
      <c r="FI51" s="2241"/>
      <c r="FJ51" s="2241"/>
      <c r="FK51" s="2241"/>
      <c r="FL51" s="2241"/>
      <c r="FM51" s="2241"/>
      <c r="FN51" s="2241"/>
      <c r="FO51" s="2241"/>
      <c r="FP51" s="2241"/>
      <c r="FQ51" s="2241"/>
      <c r="FR51" s="2241"/>
      <c r="FS51" s="2241"/>
      <c r="FT51" s="2241"/>
      <c r="FU51" s="2241"/>
      <c r="FV51" s="2241"/>
      <c r="FW51" s="2241"/>
      <c r="FX51" s="2241"/>
      <c r="FY51" s="2241"/>
      <c r="FZ51" s="2241"/>
      <c r="GA51" s="2241"/>
      <c r="GB51" s="2241"/>
      <c r="GC51" s="2241"/>
      <c r="GD51" s="2241"/>
      <c r="GE51" s="2241"/>
      <c r="GF51" s="2241"/>
      <c r="GG51" s="2241"/>
      <c r="GH51" s="2241"/>
      <c r="GI51" s="2241"/>
      <c r="GJ51" s="2241"/>
      <c r="GK51" s="2241"/>
      <c r="GL51" s="2241"/>
      <c r="GM51" s="2241"/>
      <c r="GN51" s="2241"/>
      <c r="GO51" s="2241"/>
      <c r="GP51" s="2241"/>
      <c r="GQ51" s="2241"/>
      <c r="GR51" s="2241"/>
      <c r="GS51" s="2241"/>
      <c r="GT51" s="2241"/>
      <c r="GU51" s="2241"/>
      <c r="GV51" s="2241"/>
      <c r="GW51" s="2241"/>
      <c r="GX51" s="2241"/>
      <c r="GY51" s="2241"/>
      <c r="GZ51" s="2241"/>
      <c r="HA51" s="2241"/>
      <c r="HB51" s="2241"/>
      <c r="HC51" s="2241"/>
      <c r="HD51" s="2241"/>
      <c r="HE51" s="2241"/>
      <c r="HF51" s="2241"/>
      <c r="HG51" s="2241"/>
      <c r="HH51" s="2241"/>
      <c r="HI51" s="2241"/>
      <c r="HJ51" s="2241"/>
      <c r="HK51" s="2241"/>
      <c r="HL51" s="2241"/>
      <c r="HM51" s="2241"/>
      <c r="HN51" s="2241"/>
      <c r="HO51" s="2241"/>
      <c r="HP51" s="2241"/>
      <c r="HQ51" s="2241"/>
      <c r="HR51" s="2241"/>
      <c r="HS51" s="2241"/>
      <c r="HT51" s="2241"/>
      <c r="HU51" s="2241"/>
      <c r="HV51" s="2241"/>
      <c r="HW51" s="2241"/>
      <c r="HX51" s="2241"/>
      <c r="HY51" s="2241"/>
      <c r="HZ51" s="2241"/>
      <c r="IA51" s="2241"/>
      <c r="IB51" s="2241"/>
      <c r="IC51" s="2241"/>
      <c r="ID51" s="2241"/>
      <c r="IE51" s="2241"/>
      <c r="IF51" s="2241"/>
      <c r="IG51" s="2241"/>
      <c r="IH51" s="2241"/>
      <c r="II51" s="2241"/>
      <c r="IJ51" s="2241"/>
      <c r="IK51" s="2241"/>
      <c r="IL51" s="2241"/>
      <c r="IM51" s="2241"/>
      <c r="IN51" s="2241"/>
      <c r="IO51" s="2241"/>
      <c r="IP51" s="2241"/>
      <c r="IQ51" s="2241"/>
      <c r="IR51" s="2241"/>
      <c r="IS51" s="2241"/>
      <c r="IT51" s="2241"/>
      <c r="IU51" s="2241"/>
      <c r="IV51" s="2241"/>
      <c r="IW51" s="2241"/>
      <c r="IX51" s="2241"/>
    </row>
    <row r="52" spans="1:258" ht="24" hidden="1" outlineLevel="1">
      <c r="A52" s="3060"/>
      <c r="B52" s="2257" t="s">
        <v>854</v>
      </c>
      <c r="C52" s="2243" t="s">
        <v>833</v>
      </c>
      <c r="D52" s="1330"/>
      <c r="E52" s="1333"/>
      <c r="F52" s="1330"/>
      <c r="G52" s="2267"/>
      <c r="H52" s="997"/>
      <c r="I52" s="997"/>
      <c r="J52" s="2248">
        <f>L52+N52+P52+R52+T52+V52+X52</f>
        <v>0</v>
      </c>
      <c r="K52" s="997">
        <f>M52+O52+Q52+S52+U52+W52+Y52</f>
        <v>0</v>
      </c>
      <c r="L52" s="997">
        <f>L50*L51/1000</f>
        <v>0</v>
      </c>
      <c r="M52" s="997">
        <f t="shared" ref="M52:Y52" si="26">M50*M51/1000</f>
        <v>0</v>
      </c>
      <c r="N52" s="997">
        <f t="shared" si="26"/>
        <v>0</v>
      </c>
      <c r="O52" s="997">
        <f t="shared" si="26"/>
        <v>0</v>
      </c>
      <c r="P52" s="997">
        <f t="shared" si="26"/>
        <v>0</v>
      </c>
      <c r="Q52" s="997">
        <f t="shared" si="26"/>
        <v>0</v>
      </c>
      <c r="R52" s="997">
        <f t="shared" si="26"/>
        <v>0</v>
      </c>
      <c r="S52" s="997">
        <f t="shared" si="26"/>
        <v>0</v>
      </c>
      <c r="T52" s="997">
        <f t="shared" si="26"/>
        <v>0</v>
      </c>
      <c r="U52" s="997">
        <f t="shared" si="26"/>
        <v>0</v>
      </c>
      <c r="V52" s="997">
        <f t="shared" si="26"/>
        <v>0</v>
      </c>
      <c r="W52" s="997">
        <f t="shared" si="26"/>
        <v>0</v>
      </c>
      <c r="X52" s="997">
        <f t="shared" si="26"/>
        <v>0</v>
      </c>
      <c r="Y52" s="1333">
        <f t="shared" si="26"/>
        <v>0</v>
      </c>
      <c r="Z52" s="2249"/>
      <c r="AA52" s="2250"/>
      <c r="AB52" s="2250"/>
      <c r="AC52" s="2250"/>
      <c r="AD52" s="2241"/>
      <c r="AE52" s="2169"/>
      <c r="AF52" s="2169"/>
      <c r="AG52" s="2169"/>
      <c r="AH52" s="2169"/>
      <c r="AI52" s="2169"/>
      <c r="AJ52" s="2169"/>
      <c r="AK52" s="2241"/>
      <c r="AL52" s="2250"/>
      <c r="AM52" s="2250"/>
      <c r="AN52" s="2250"/>
      <c r="AO52" s="2250"/>
      <c r="AP52" s="2250"/>
      <c r="AQ52" s="2250"/>
      <c r="AR52" s="2241"/>
      <c r="AS52" s="2241"/>
      <c r="AT52" s="2241"/>
      <c r="AU52" s="2241"/>
      <c r="AV52" s="2241"/>
      <c r="AW52" s="2241"/>
      <c r="AX52" s="2241"/>
      <c r="AY52" s="2241"/>
      <c r="AZ52" s="2241"/>
      <c r="BA52" s="2241"/>
      <c r="BB52" s="2241"/>
      <c r="BC52" s="2241"/>
      <c r="BD52" s="2241"/>
      <c r="BE52" s="2241"/>
      <c r="BF52" s="2241"/>
      <c r="BG52" s="2241"/>
      <c r="BH52" s="2241"/>
      <c r="BI52" s="2241"/>
      <c r="BJ52" s="2241"/>
      <c r="BK52" s="2241"/>
      <c r="BL52" s="2241"/>
      <c r="BM52" s="2241"/>
      <c r="BN52" s="2241"/>
      <c r="BO52" s="2241"/>
      <c r="BP52" s="2241"/>
      <c r="BQ52" s="2241"/>
      <c r="BR52" s="2241"/>
      <c r="BS52" s="2241"/>
      <c r="BT52" s="2241"/>
      <c r="BU52" s="2241"/>
      <c r="BV52" s="2241"/>
      <c r="BW52" s="2241"/>
      <c r="BX52" s="2241"/>
      <c r="BY52" s="2241"/>
      <c r="BZ52" s="2241"/>
      <c r="CA52" s="2241"/>
      <c r="CB52" s="2241"/>
      <c r="CC52" s="2241"/>
      <c r="CD52" s="2241"/>
      <c r="CE52" s="2241"/>
      <c r="CF52" s="2241"/>
      <c r="CG52" s="2241"/>
      <c r="CH52" s="2241"/>
      <c r="CI52" s="2241"/>
      <c r="CJ52" s="2241"/>
      <c r="CK52" s="2241"/>
      <c r="CL52" s="2241"/>
      <c r="CM52" s="2241"/>
      <c r="CN52" s="2241"/>
      <c r="CO52" s="2241"/>
      <c r="CP52" s="2241"/>
      <c r="CQ52" s="2241"/>
      <c r="CR52" s="2241"/>
      <c r="CS52" s="2241"/>
      <c r="CT52" s="2241"/>
      <c r="CU52" s="2241"/>
      <c r="CV52" s="2241"/>
      <c r="CW52" s="2241"/>
      <c r="CX52" s="2241"/>
      <c r="CY52" s="2241"/>
      <c r="CZ52" s="2241"/>
      <c r="DA52" s="2241"/>
      <c r="DB52" s="2241"/>
      <c r="DC52" s="2241"/>
      <c r="DD52" s="2241"/>
      <c r="DE52" s="2241"/>
      <c r="DF52" s="2241"/>
      <c r="DG52" s="2241"/>
      <c r="DH52" s="2241"/>
      <c r="DI52" s="2241"/>
      <c r="DJ52" s="2241"/>
      <c r="DK52" s="2241"/>
      <c r="DL52" s="2241"/>
      <c r="DM52" s="2241"/>
      <c r="DN52" s="2241"/>
      <c r="DO52" s="2241"/>
      <c r="DP52" s="2241"/>
      <c r="DQ52" s="2241"/>
      <c r="DR52" s="2241"/>
      <c r="DS52" s="2241"/>
      <c r="DT52" s="2241"/>
      <c r="DU52" s="2241"/>
      <c r="DV52" s="2241"/>
      <c r="DW52" s="2241"/>
      <c r="DX52" s="2241"/>
      <c r="DY52" s="2241"/>
      <c r="DZ52" s="2241"/>
      <c r="EA52" s="2241"/>
      <c r="EB52" s="2241"/>
      <c r="EC52" s="2241"/>
      <c r="ED52" s="2241"/>
      <c r="EE52" s="2241"/>
      <c r="EF52" s="2241"/>
      <c r="EG52" s="2241"/>
      <c r="EH52" s="2241"/>
      <c r="EI52" s="2241"/>
      <c r="EJ52" s="2241"/>
      <c r="EK52" s="2241"/>
      <c r="EL52" s="2241"/>
      <c r="EM52" s="2241"/>
      <c r="EN52" s="2241"/>
      <c r="EO52" s="2241"/>
      <c r="EP52" s="2241"/>
      <c r="EQ52" s="2241"/>
      <c r="ER52" s="2241"/>
      <c r="ES52" s="2241"/>
      <c r="ET52" s="2241"/>
      <c r="EU52" s="2241"/>
      <c r="EV52" s="2241"/>
      <c r="EW52" s="2241"/>
      <c r="EX52" s="2241"/>
      <c r="EY52" s="2241"/>
      <c r="EZ52" s="2241"/>
      <c r="FA52" s="2241"/>
      <c r="FB52" s="2241"/>
      <c r="FC52" s="2241"/>
      <c r="FD52" s="2241"/>
      <c r="FE52" s="2241"/>
      <c r="FF52" s="2241"/>
      <c r="FG52" s="2241"/>
      <c r="FH52" s="2241"/>
      <c r="FI52" s="2241"/>
      <c r="FJ52" s="2241"/>
      <c r="FK52" s="2241"/>
      <c r="FL52" s="2241"/>
      <c r="FM52" s="2241"/>
      <c r="FN52" s="2241"/>
      <c r="FO52" s="2241"/>
      <c r="FP52" s="2241"/>
      <c r="FQ52" s="2241"/>
      <c r="FR52" s="2241"/>
      <c r="FS52" s="2241"/>
      <c r="FT52" s="2241"/>
      <c r="FU52" s="2241"/>
      <c r="FV52" s="2241"/>
      <c r="FW52" s="2241"/>
      <c r="FX52" s="2241"/>
      <c r="FY52" s="2241"/>
      <c r="FZ52" s="2241"/>
      <c r="GA52" s="2241"/>
      <c r="GB52" s="2241"/>
      <c r="GC52" s="2241"/>
      <c r="GD52" s="2241"/>
      <c r="GE52" s="2241"/>
      <c r="GF52" s="2241"/>
      <c r="GG52" s="2241"/>
      <c r="GH52" s="2241"/>
      <c r="GI52" s="2241"/>
      <c r="GJ52" s="2241"/>
      <c r="GK52" s="2241"/>
      <c r="GL52" s="2241"/>
      <c r="GM52" s="2241"/>
      <c r="GN52" s="2241"/>
      <c r="GO52" s="2241"/>
      <c r="GP52" s="2241"/>
      <c r="GQ52" s="2241"/>
      <c r="GR52" s="2241"/>
      <c r="GS52" s="2241"/>
      <c r="GT52" s="2241"/>
      <c r="GU52" s="2241"/>
      <c r="GV52" s="2241"/>
      <c r="GW52" s="2241"/>
      <c r="GX52" s="2241"/>
      <c r="GY52" s="2241"/>
      <c r="GZ52" s="2241"/>
      <c r="HA52" s="2241"/>
      <c r="HB52" s="2241"/>
      <c r="HC52" s="2241"/>
      <c r="HD52" s="2241"/>
      <c r="HE52" s="2241"/>
      <c r="HF52" s="2241"/>
      <c r="HG52" s="2241"/>
      <c r="HH52" s="2241"/>
      <c r="HI52" s="2241"/>
      <c r="HJ52" s="2241"/>
      <c r="HK52" s="2241"/>
      <c r="HL52" s="2241"/>
      <c r="HM52" s="2241"/>
      <c r="HN52" s="2241"/>
      <c r="HO52" s="2241"/>
      <c r="HP52" s="2241"/>
      <c r="HQ52" s="2241"/>
      <c r="HR52" s="2241"/>
      <c r="HS52" s="2241"/>
      <c r="HT52" s="2241"/>
      <c r="HU52" s="2241"/>
      <c r="HV52" s="2241"/>
      <c r="HW52" s="2241"/>
      <c r="HX52" s="2241"/>
      <c r="HY52" s="2241"/>
      <c r="HZ52" s="2241"/>
      <c r="IA52" s="2241"/>
      <c r="IB52" s="2241"/>
      <c r="IC52" s="2241"/>
      <c r="ID52" s="2241"/>
      <c r="IE52" s="2241"/>
      <c r="IF52" s="2241"/>
      <c r="IG52" s="2241"/>
      <c r="IH52" s="2241"/>
      <c r="II52" s="2241"/>
      <c r="IJ52" s="2241"/>
      <c r="IK52" s="2241"/>
      <c r="IL52" s="2241"/>
      <c r="IM52" s="2241"/>
      <c r="IN52" s="2241"/>
      <c r="IO52" s="2241"/>
      <c r="IP52" s="2241"/>
      <c r="IQ52" s="2241"/>
      <c r="IR52" s="2241"/>
      <c r="IS52" s="2241"/>
      <c r="IT52" s="2241"/>
      <c r="IU52" s="2241"/>
      <c r="IV52" s="2241"/>
      <c r="IW52" s="2241"/>
      <c r="IX52" s="2241"/>
    </row>
    <row r="53" spans="1:258" hidden="1" outlineLevel="1">
      <c r="A53" s="3058" t="s">
        <v>855</v>
      </c>
      <c r="B53" s="2188" t="s">
        <v>856</v>
      </c>
      <c r="C53" s="2236" t="s">
        <v>803</v>
      </c>
      <c r="D53" s="1330"/>
      <c r="E53" s="1333"/>
      <c r="F53" s="1330"/>
      <c r="G53" s="2267"/>
      <c r="H53" s="997"/>
      <c r="I53" s="997"/>
      <c r="J53" s="2248">
        <f>L53+N53+P53+R53+T53+V53+X53</f>
        <v>0</v>
      </c>
      <c r="K53" s="997">
        <f>M53+O53+Q53+S53+U53+W53+Y53</f>
        <v>0</v>
      </c>
      <c r="L53" s="997"/>
      <c r="M53" s="997"/>
      <c r="N53" s="997"/>
      <c r="O53" s="997"/>
      <c r="P53" s="997"/>
      <c r="Q53" s="997"/>
      <c r="R53" s="997"/>
      <c r="S53" s="997"/>
      <c r="T53" s="997"/>
      <c r="U53" s="997"/>
      <c r="V53" s="997"/>
      <c r="W53" s="997"/>
      <c r="X53" s="997"/>
      <c r="Y53" s="2269"/>
      <c r="Z53" s="2249"/>
      <c r="AA53" s="2250"/>
      <c r="AB53" s="2250"/>
      <c r="AC53" s="2250"/>
      <c r="AD53" s="2241"/>
      <c r="AE53" s="2169"/>
      <c r="AF53" s="2169"/>
      <c r="AG53" s="2169"/>
      <c r="AH53" s="2169"/>
      <c r="AI53" s="2169"/>
      <c r="AJ53" s="2169"/>
      <c r="AK53" s="2241"/>
      <c r="AL53" s="2250"/>
      <c r="AM53" s="2250"/>
      <c r="AN53" s="2250"/>
      <c r="AO53" s="2250"/>
      <c r="AP53" s="2250"/>
      <c r="AQ53" s="2250"/>
      <c r="AR53" s="2241"/>
      <c r="AS53" s="2241"/>
      <c r="AT53" s="2241"/>
      <c r="AU53" s="2241"/>
      <c r="AV53" s="2241"/>
      <c r="AW53" s="2241"/>
      <c r="AX53" s="2241"/>
      <c r="AY53" s="2241"/>
      <c r="AZ53" s="2241"/>
      <c r="BA53" s="2241"/>
      <c r="BB53" s="2241"/>
      <c r="BC53" s="2241"/>
      <c r="BD53" s="2241"/>
      <c r="BE53" s="2241"/>
      <c r="BF53" s="2241"/>
      <c r="BG53" s="2241"/>
      <c r="BH53" s="2241"/>
      <c r="BI53" s="2241"/>
      <c r="BJ53" s="2241"/>
      <c r="BK53" s="2241"/>
      <c r="BL53" s="2241"/>
      <c r="BM53" s="2241"/>
      <c r="BN53" s="2241"/>
      <c r="BO53" s="2241"/>
      <c r="BP53" s="2241"/>
      <c r="BQ53" s="2241"/>
      <c r="BR53" s="2241"/>
      <c r="BS53" s="2241"/>
      <c r="BT53" s="2241"/>
      <c r="BU53" s="2241"/>
      <c r="BV53" s="2241"/>
      <c r="BW53" s="2241"/>
      <c r="BX53" s="2241"/>
      <c r="BY53" s="2241"/>
      <c r="BZ53" s="2241"/>
      <c r="CA53" s="2241"/>
      <c r="CB53" s="2241"/>
      <c r="CC53" s="2241"/>
      <c r="CD53" s="2241"/>
      <c r="CE53" s="2241"/>
      <c r="CF53" s="2241"/>
      <c r="CG53" s="2241"/>
      <c r="CH53" s="2241"/>
      <c r="CI53" s="2241"/>
      <c r="CJ53" s="2241"/>
      <c r="CK53" s="2241"/>
      <c r="CL53" s="2241"/>
      <c r="CM53" s="2241"/>
      <c r="CN53" s="2241"/>
      <c r="CO53" s="2241"/>
      <c r="CP53" s="2241"/>
      <c r="CQ53" s="2241"/>
      <c r="CR53" s="2241"/>
      <c r="CS53" s="2241"/>
      <c r="CT53" s="2241"/>
      <c r="CU53" s="2241"/>
      <c r="CV53" s="2241"/>
      <c r="CW53" s="2241"/>
      <c r="CX53" s="2241"/>
      <c r="CY53" s="2241"/>
      <c r="CZ53" s="2241"/>
      <c r="DA53" s="2241"/>
      <c r="DB53" s="2241"/>
      <c r="DC53" s="2241"/>
      <c r="DD53" s="2241"/>
      <c r="DE53" s="2241"/>
      <c r="DF53" s="2241"/>
      <c r="DG53" s="2241"/>
      <c r="DH53" s="2241"/>
      <c r="DI53" s="2241"/>
      <c r="DJ53" s="2241"/>
      <c r="DK53" s="2241"/>
      <c r="DL53" s="2241"/>
      <c r="DM53" s="2241"/>
      <c r="DN53" s="2241"/>
      <c r="DO53" s="2241"/>
      <c r="DP53" s="2241"/>
      <c r="DQ53" s="2241"/>
      <c r="DR53" s="2241"/>
      <c r="DS53" s="2241"/>
      <c r="DT53" s="2241"/>
      <c r="DU53" s="2241"/>
      <c r="DV53" s="2241"/>
      <c r="DW53" s="2241"/>
      <c r="DX53" s="2241"/>
      <c r="DY53" s="2241"/>
      <c r="DZ53" s="2241"/>
      <c r="EA53" s="2241"/>
      <c r="EB53" s="2241"/>
      <c r="EC53" s="2241"/>
      <c r="ED53" s="2241"/>
      <c r="EE53" s="2241"/>
      <c r="EF53" s="2241"/>
      <c r="EG53" s="2241"/>
      <c r="EH53" s="2241"/>
      <c r="EI53" s="2241"/>
      <c r="EJ53" s="2241"/>
      <c r="EK53" s="2241"/>
      <c r="EL53" s="2241"/>
      <c r="EM53" s="2241"/>
      <c r="EN53" s="2241"/>
      <c r="EO53" s="2241"/>
      <c r="EP53" s="2241"/>
      <c r="EQ53" s="2241"/>
      <c r="ER53" s="2241"/>
      <c r="ES53" s="2241"/>
      <c r="ET53" s="2241"/>
      <c r="EU53" s="2241"/>
      <c r="EV53" s="2241"/>
      <c r="EW53" s="2241"/>
      <c r="EX53" s="2241"/>
      <c r="EY53" s="2241"/>
      <c r="EZ53" s="2241"/>
      <c r="FA53" s="2241"/>
      <c r="FB53" s="2241"/>
      <c r="FC53" s="2241"/>
      <c r="FD53" s="2241"/>
      <c r="FE53" s="2241"/>
      <c r="FF53" s="2241"/>
      <c r="FG53" s="2241"/>
      <c r="FH53" s="2241"/>
      <c r="FI53" s="2241"/>
      <c r="FJ53" s="2241"/>
      <c r="FK53" s="2241"/>
      <c r="FL53" s="2241"/>
      <c r="FM53" s="2241"/>
      <c r="FN53" s="2241"/>
      <c r="FO53" s="2241"/>
      <c r="FP53" s="2241"/>
      <c r="FQ53" s="2241"/>
      <c r="FR53" s="2241"/>
      <c r="FS53" s="2241"/>
      <c r="FT53" s="2241"/>
      <c r="FU53" s="2241"/>
      <c r="FV53" s="2241"/>
      <c r="FW53" s="2241"/>
      <c r="FX53" s="2241"/>
      <c r="FY53" s="2241"/>
      <c r="FZ53" s="2241"/>
      <c r="GA53" s="2241"/>
      <c r="GB53" s="2241"/>
      <c r="GC53" s="2241"/>
      <c r="GD53" s="2241"/>
      <c r="GE53" s="2241"/>
      <c r="GF53" s="2241"/>
      <c r="GG53" s="2241"/>
      <c r="GH53" s="2241"/>
      <c r="GI53" s="2241"/>
      <c r="GJ53" s="2241"/>
      <c r="GK53" s="2241"/>
      <c r="GL53" s="2241"/>
      <c r="GM53" s="2241"/>
      <c r="GN53" s="2241"/>
      <c r="GO53" s="2241"/>
      <c r="GP53" s="2241"/>
      <c r="GQ53" s="2241"/>
      <c r="GR53" s="2241"/>
      <c r="GS53" s="2241"/>
      <c r="GT53" s="2241"/>
      <c r="GU53" s="2241"/>
      <c r="GV53" s="2241"/>
      <c r="GW53" s="2241"/>
      <c r="GX53" s="2241"/>
      <c r="GY53" s="2241"/>
      <c r="GZ53" s="2241"/>
      <c r="HA53" s="2241"/>
      <c r="HB53" s="2241"/>
      <c r="HC53" s="2241"/>
      <c r="HD53" s="2241"/>
      <c r="HE53" s="2241"/>
      <c r="HF53" s="2241"/>
      <c r="HG53" s="2241"/>
      <c r="HH53" s="2241"/>
      <c r="HI53" s="2241"/>
      <c r="HJ53" s="2241"/>
      <c r="HK53" s="2241"/>
      <c r="HL53" s="2241"/>
      <c r="HM53" s="2241"/>
      <c r="HN53" s="2241"/>
      <c r="HO53" s="2241"/>
      <c r="HP53" s="2241"/>
      <c r="HQ53" s="2241"/>
      <c r="HR53" s="2241"/>
      <c r="HS53" s="2241"/>
      <c r="HT53" s="2241"/>
      <c r="HU53" s="2241"/>
      <c r="HV53" s="2241"/>
      <c r="HW53" s="2241"/>
      <c r="HX53" s="2241"/>
      <c r="HY53" s="2241"/>
      <c r="HZ53" s="2241"/>
      <c r="IA53" s="2241"/>
      <c r="IB53" s="2241"/>
      <c r="IC53" s="2241"/>
      <c r="ID53" s="2241"/>
      <c r="IE53" s="2241"/>
      <c r="IF53" s="2241"/>
      <c r="IG53" s="2241"/>
      <c r="IH53" s="2241"/>
      <c r="II53" s="2241"/>
      <c r="IJ53" s="2241"/>
      <c r="IK53" s="2241"/>
      <c r="IL53" s="2241"/>
      <c r="IM53" s="2241"/>
      <c r="IN53" s="2241"/>
      <c r="IO53" s="2241"/>
      <c r="IP53" s="2241"/>
      <c r="IQ53" s="2241"/>
      <c r="IR53" s="2241"/>
      <c r="IS53" s="2241"/>
      <c r="IT53" s="2241"/>
      <c r="IU53" s="2241"/>
      <c r="IV53" s="2241"/>
      <c r="IW53" s="2241"/>
      <c r="IX53" s="2241"/>
    </row>
    <row r="54" spans="1:258" ht="24" hidden="1" outlineLevel="1">
      <c r="A54" s="3059"/>
      <c r="B54" s="2188" t="s">
        <v>857</v>
      </c>
      <c r="C54" s="2236" t="s">
        <v>830</v>
      </c>
      <c r="D54" s="1330">
        <f t="shared" ref="D54:K54" si="27">IF(D53=0,,D55/1000/D53)</f>
        <v>0</v>
      </c>
      <c r="E54" s="1333">
        <f t="shared" si="27"/>
        <v>0</v>
      </c>
      <c r="F54" s="1330">
        <f t="shared" si="27"/>
        <v>0</v>
      </c>
      <c r="G54" s="2267">
        <f t="shared" si="27"/>
        <v>0</v>
      </c>
      <c r="H54" s="997"/>
      <c r="I54" s="997"/>
      <c r="J54" s="2248">
        <f t="shared" si="27"/>
        <v>0</v>
      </c>
      <c r="K54" s="997">
        <f t="shared" si="27"/>
        <v>0</v>
      </c>
      <c r="L54" s="997"/>
      <c r="M54" s="997"/>
      <c r="N54" s="997"/>
      <c r="O54" s="997"/>
      <c r="P54" s="997"/>
      <c r="Q54" s="997"/>
      <c r="R54" s="997"/>
      <c r="S54" s="997"/>
      <c r="T54" s="997"/>
      <c r="U54" s="997"/>
      <c r="V54" s="997"/>
      <c r="W54" s="997"/>
      <c r="X54" s="997"/>
      <c r="Y54" s="2269"/>
      <c r="Z54" s="2249"/>
      <c r="AA54" s="2250"/>
      <c r="AB54" s="2250"/>
      <c r="AC54" s="2250"/>
      <c r="AD54" s="2241"/>
      <c r="AE54" s="2169"/>
      <c r="AF54" s="2169"/>
      <c r="AG54" s="2169"/>
      <c r="AH54" s="2169"/>
      <c r="AI54" s="2169"/>
      <c r="AJ54" s="2169"/>
      <c r="AK54" s="2241"/>
      <c r="AL54" s="2250"/>
      <c r="AM54" s="2250"/>
      <c r="AN54" s="2250"/>
      <c r="AO54" s="2250"/>
      <c r="AP54" s="2250"/>
      <c r="AQ54" s="2250"/>
      <c r="AR54" s="2241"/>
      <c r="AS54" s="2241"/>
      <c r="AT54" s="2241"/>
      <c r="AU54" s="2241"/>
      <c r="AV54" s="2241"/>
      <c r="AW54" s="2241"/>
      <c r="AX54" s="2241"/>
      <c r="AY54" s="2241"/>
      <c r="AZ54" s="2241"/>
      <c r="BA54" s="2241"/>
      <c r="BB54" s="2241"/>
      <c r="BC54" s="2241"/>
      <c r="BD54" s="2241"/>
      <c r="BE54" s="2241"/>
      <c r="BF54" s="2241"/>
      <c r="BG54" s="2241"/>
      <c r="BH54" s="2241"/>
      <c r="BI54" s="2241"/>
      <c r="BJ54" s="2241"/>
      <c r="BK54" s="2241"/>
      <c r="BL54" s="2241"/>
      <c r="BM54" s="2241"/>
      <c r="BN54" s="2241"/>
      <c r="BO54" s="2241"/>
      <c r="BP54" s="2241"/>
      <c r="BQ54" s="2241"/>
      <c r="BR54" s="2241"/>
      <c r="BS54" s="2241"/>
      <c r="BT54" s="2241"/>
      <c r="BU54" s="2241"/>
      <c r="BV54" s="2241"/>
      <c r="BW54" s="2241"/>
      <c r="BX54" s="2241"/>
      <c r="BY54" s="2241"/>
      <c r="BZ54" s="2241"/>
      <c r="CA54" s="2241"/>
      <c r="CB54" s="2241"/>
      <c r="CC54" s="2241"/>
      <c r="CD54" s="2241"/>
      <c r="CE54" s="2241"/>
      <c r="CF54" s="2241"/>
      <c r="CG54" s="2241"/>
      <c r="CH54" s="2241"/>
      <c r="CI54" s="2241"/>
      <c r="CJ54" s="2241"/>
      <c r="CK54" s="2241"/>
      <c r="CL54" s="2241"/>
      <c r="CM54" s="2241"/>
      <c r="CN54" s="2241"/>
      <c r="CO54" s="2241"/>
      <c r="CP54" s="2241"/>
      <c r="CQ54" s="2241"/>
      <c r="CR54" s="2241"/>
      <c r="CS54" s="2241"/>
      <c r="CT54" s="2241"/>
      <c r="CU54" s="2241"/>
      <c r="CV54" s="2241"/>
      <c r="CW54" s="2241"/>
      <c r="CX54" s="2241"/>
      <c r="CY54" s="2241"/>
      <c r="CZ54" s="2241"/>
      <c r="DA54" s="2241"/>
      <c r="DB54" s="2241"/>
      <c r="DC54" s="2241"/>
      <c r="DD54" s="2241"/>
      <c r="DE54" s="2241"/>
      <c r="DF54" s="2241"/>
      <c r="DG54" s="2241"/>
      <c r="DH54" s="2241"/>
      <c r="DI54" s="2241"/>
      <c r="DJ54" s="2241"/>
      <c r="DK54" s="2241"/>
      <c r="DL54" s="2241"/>
      <c r="DM54" s="2241"/>
      <c r="DN54" s="2241"/>
      <c r="DO54" s="2241"/>
      <c r="DP54" s="2241"/>
      <c r="DQ54" s="2241"/>
      <c r="DR54" s="2241"/>
      <c r="DS54" s="2241"/>
      <c r="DT54" s="2241"/>
      <c r="DU54" s="2241"/>
      <c r="DV54" s="2241"/>
      <c r="DW54" s="2241"/>
      <c r="DX54" s="2241"/>
      <c r="DY54" s="2241"/>
      <c r="DZ54" s="2241"/>
      <c r="EA54" s="2241"/>
      <c r="EB54" s="2241"/>
      <c r="EC54" s="2241"/>
      <c r="ED54" s="2241"/>
      <c r="EE54" s="2241"/>
      <c r="EF54" s="2241"/>
      <c r="EG54" s="2241"/>
      <c r="EH54" s="2241"/>
      <c r="EI54" s="2241"/>
      <c r="EJ54" s="2241"/>
      <c r="EK54" s="2241"/>
      <c r="EL54" s="2241"/>
      <c r="EM54" s="2241"/>
      <c r="EN54" s="2241"/>
      <c r="EO54" s="2241"/>
      <c r="EP54" s="2241"/>
      <c r="EQ54" s="2241"/>
      <c r="ER54" s="2241"/>
      <c r="ES54" s="2241"/>
      <c r="ET54" s="2241"/>
      <c r="EU54" s="2241"/>
      <c r="EV54" s="2241"/>
      <c r="EW54" s="2241"/>
      <c r="EX54" s="2241"/>
      <c r="EY54" s="2241"/>
      <c r="EZ54" s="2241"/>
      <c r="FA54" s="2241"/>
      <c r="FB54" s="2241"/>
      <c r="FC54" s="2241"/>
      <c r="FD54" s="2241"/>
      <c r="FE54" s="2241"/>
      <c r="FF54" s="2241"/>
      <c r="FG54" s="2241"/>
      <c r="FH54" s="2241"/>
      <c r="FI54" s="2241"/>
      <c r="FJ54" s="2241"/>
      <c r="FK54" s="2241"/>
      <c r="FL54" s="2241"/>
      <c r="FM54" s="2241"/>
      <c r="FN54" s="2241"/>
      <c r="FO54" s="2241"/>
      <c r="FP54" s="2241"/>
      <c r="FQ54" s="2241"/>
      <c r="FR54" s="2241"/>
      <c r="FS54" s="2241"/>
      <c r="FT54" s="2241"/>
      <c r="FU54" s="2241"/>
      <c r="FV54" s="2241"/>
      <c r="FW54" s="2241"/>
      <c r="FX54" s="2241"/>
      <c r="FY54" s="2241"/>
      <c r="FZ54" s="2241"/>
      <c r="GA54" s="2241"/>
      <c r="GB54" s="2241"/>
      <c r="GC54" s="2241"/>
      <c r="GD54" s="2241"/>
      <c r="GE54" s="2241"/>
      <c r="GF54" s="2241"/>
      <c r="GG54" s="2241"/>
      <c r="GH54" s="2241"/>
      <c r="GI54" s="2241"/>
      <c r="GJ54" s="2241"/>
      <c r="GK54" s="2241"/>
      <c r="GL54" s="2241"/>
      <c r="GM54" s="2241"/>
      <c r="GN54" s="2241"/>
      <c r="GO54" s="2241"/>
      <c r="GP54" s="2241"/>
      <c r="GQ54" s="2241"/>
      <c r="GR54" s="2241"/>
      <c r="GS54" s="2241"/>
      <c r="GT54" s="2241"/>
      <c r="GU54" s="2241"/>
      <c r="GV54" s="2241"/>
      <c r="GW54" s="2241"/>
      <c r="GX54" s="2241"/>
      <c r="GY54" s="2241"/>
      <c r="GZ54" s="2241"/>
      <c r="HA54" s="2241"/>
      <c r="HB54" s="2241"/>
      <c r="HC54" s="2241"/>
      <c r="HD54" s="2241"/>
      <c r="HE54" s="2241"/>
      <c r="HF54" s="2241"/>
      <c r="HG54" s="2241"/>
      <c r="HH54" s="2241"/>
      <c r="HI54" s="2241"/>
      <c r="HJ54" s="2241"/>
      <c r="HK54" s="2241"/>
      <c r="HL54" s="2241"/>
      <c r="HM54" s="2241"/>
      <c r="HN54" s="2241"/>
      <c r="HO54" s="2241"/>
      <c r="HP54" s="2241"/>
      <c r="HQ54" s="2241"/>
      <c r="HR54" s="2241"/>
      <c r="HS54" s="2241"/>
      <c r="HT54" s="2241"/>
      <c r="HU54" s="2241"/>
      <c r="HV54" s="2241"/>
      <c r="HW54" s="2241"/>
      <c r="HX54" s="2241"/>
      <c r="HY54" s="2241"/>
      <c r="HZ54" s="2241"/>
      <c r="IA54" s="2241"/>
      <c r="IB54" s="2241"/>
      <c r="IC54" s="2241"/>
      <c r="ID54" s="2241"/>
      <c r="IE54" s="2241"/>
      <c r="IF54" s="2241"/>
      <c r="IG54" s="2241"/>
      <c r="IH54" s="2241"/>
      <c r="II54" s="2241"/>
      <c r="IJ54" s="2241"/>
      <c r="IK54" s="2241"/>
      <c r="IL54" s="2241"/>
      <c r="IM54" s="2241"/>
      <c r="IN54" s="2241"/>
      <c r="IO54" s="2241"/>
      <c r="IP54" s="2241"/>
      <c r="IQ54" s="2241"/>
      <c r="IR54" s="2241"/>
      <c r="IS54" s="2241"/>
      <c r="IT54" s="2241"/>
      <c r="IU54" s="2241"/>
      <c r="IV54" s="2241"/>
      <c r="IW54" s="2241"/>
      <c r="IX54" s="2241"/>
    </row>
    <row r="55" spans="1:258" ht="24" hidden="1" outlineLevel="1">
      <c r="A55" s="3060"/>
      <c r="B55" s="2257" t="s">
        <v>858</v>
      </c>
      <c r="C55" s="2243" t="s">
        <v>833</v>
      </c>
      <c r="D55" s="1330"/>
      <c r="E55" s="1333"/>
      <c r="F55" s="1330"/>
      <c r="G55" s="2267"/>
      <c r="H55" s="997"/>
      <c r="I55" s="997"/>
      <c r="J55" s="2248">
        <f>L55+N55+P55+R55+T55+V55+X55</f>
        <v>0</v>
      </c>
      <c r="K55" s="997">
        <f>M55+O55+Q55+S55+U55+W55+Y55</f>
        <v>0</v>
      </c>
      <c r="L55" s="997">
        <f>L53*L54/1000</f>
        <v>0</v>
      </c>
      <c r="M55" s="997">
        <f t="shared" ref="M55:Y55" si="28">M53*M54/1000</f>
        <v>0</v>
      </c>
      <c r="N55" s="997">
        <f t="shared" si="28"/>
        <v>0</v>
      </c>
      <c r="O55" s="997">
        <f t="shared" si="28"/>
        <v>0</v>
      </c>
      <c r="P55" s="997">
        <f t="shared" si="28"/>
        <v>0</v>
      </c>
      <c r="Q55" s="997">
        <f t="shared" si="28"/>
        <v>0</v>
      </c>
      <c r="R55" s="997">
        <f t="shared" si="28"/>
        <v>0</v>
      </c>
      <c r="S55" s="997">
        <f t="shared" si="28"/>
        <v>0</v>
      </c>
      <c r="T55" s="997">
        <f t="shared" si="28"/>
        <v>0</v>
      </c>
      <c r="U55" s="997">
        <f t="shared" si="28"/>
        <v>0</v>
      </c>
      <c r="V55" s="997">
        <f t="shared" si="28"/>
        <v>0</v>
      </c>
      <c r="W55" s="997">
        <f t="shared" si="28"/>
        <v>0</v>
      </c>
      <c r="X55" s="997">
        <f t="shared" si="28"/>
        <v>0</v>
      </c>
      <c r="Y55" s="1333">
        <f t="shared" si="28"/>
        <v>0</v>
      </c>
      <c r="Z55" s="2249"/>
      <c r="AA55" s="2250"/>
      <c r="AB55" s="2250"/>
      <c r="AC55" s="2250"/>
      <c r="AD55" s="2241"/>
      <c r="AE55" s="2169"/>
      <c r="AF55" s="2169"/>
      <c r="AG55" s="2169"/>
      <c r="AH55" s="2169"/>
      <c r="AI55" s="2169"/>
      <c r="AJ55" s="2169"/>
      <c r="AK55" s="2241"/>
      <c r="AL55" s="2250"/>
      <c r="AM55" s="2250"/>
      <c r="AN55" s="2250"/>
      <c r="AO55" s="2250"/>
      <c r="AP55" s="2250"/>
      <c r="AQ55" s="2250"/>
      <c r="AR55" s="2241"/>
      <c r="AS55" s="2241"/>
      <c r="AT55" s="2241"/>
      <c r="AU55" s="2241"/>
      <c r="AV55" s="2241"/>
      <c r="AW55" s="2241"/>
      <c r="AX55" s="2241"/>
      <c r="AY55" s="2241"/>
      <c r="AZ55" s="2241"/>
      <c r="BA55" s="2241"/>
      <c r="BB55" s="2241"/>
      <c r="BC55" s="2241"/>
      <c r="BD55" s="2241"/>
      <c r="BE55" s="2241"/>
      <c r="BF55" s="2241"/>
      <c r="BG55" s="2241"/>
      <c r="BH55" s="2241"/>
      <c r="BI55" s="2241"/>
      <c r="BJ55" s="2241"/>
      <c r="BK55" s="2241"/>
      <c r="BL55" s="2241"/>
      <c r="BM55" s="2241"/>
      <c r="BN55" s="2241"/>
      <c r="BO55" s="2241"/>
      <c r="BP55" s="2241"/>
      <c r="BQ55" s="2241"/>
      <c r="BR55" s="2241"/>
      <c r="BS55" s="2241"/>
      <c r="BT55" s="2241"/>
      <c r="BU55" s="2241"/>
      <c r="BV55" s="2241"/>
      <c r="BW55" s="2241"/>
      <c r="BX55" s="2241"/>
      <c r="BY55" s="2241"/>
      <c r="BZ55" s="2241"/>
      <c r="CA55" s="2241"/>
      <c r="CB55" s="2241"/>
      <c r="CC55" s="2241"/>
      <c r="CD55" s="2241"/>
      <c r="CE55" s="2241"/>
      <c r="CF55" s="2241"/>
      <c r="CG55" s="2241"/>
      <c r="CH55" s="2241"/>
      <c r="CI55" s="2241"/>
      <c r="CJ55" s="2241"/>
      <c r="CK55" s="2241"/>
      <c r="CL55" s="2241"/>
      <c r="CM55" s="2241"/>
      <c r="CN55" s="2241"/>
      <c r="CO55" s="2241"/>
      <c r="CP55" s="2241"/>
      <c r="CQ55" s="2241"/>
      <c r="CR55" s="2241"/>
      <c r="CS55" s="2241"/>
      <c r="CT55" s="2241"/>
      <c r="CU55" s="2241"/>
      <c r="CV55" s="2241"/>
      <c r="CW55" s="2241"/>
      <c r="CX55" s="2241"/>
      <c r="CY55" s="2241"/>
      <c r="CZ55" s="2241"/>
      <c r="DA55" s="2241"/>
      <c r="DB55" s="2241"/>
      <c r="DC55" s="2241"/>
      <c r="DD55" s="2241"/>
      <c r="DE55" s="2241"/>
      <c r="DF55" s="2241"/>
      <c r="DG55" s="2241"/>
      <c r="DH55" s="2241"/>
      <c r="DI55" s="2241"/>
      <c r="DJ55" s="2241"/>
      <c r="DK55" s="2241"/>
      <c r="DL55" s="2241"/>
      <c r="DM55" s="2241"/>
      <c r="DN55" s="2241"/>
      <c r="DO55" s="2241"/>
      <c r="DP55" s="2241"/>
      <c r="DQ55" s="2241"/>
      <c r="DR55" s="2241"/>
      <c r="DS55" s="2241"/>
      <c r="DT55" s="2241"/>
      <c r="DU55" s="2241"/>
      <c r="DV55" s="2241"/>
      <c r="DW55" s="2241"/>
      <c r="DX55" s="2241"/>
      <c r="DY55" s="2241"/>
      <c r="DZ55" s="2241"/>
      <c r="EA55" s="2241"/>
      <c r="EB55" s="2241"/>
      <c r="EC55" s="2241"/>
      <c r="ED55" s="2241"/>
      <c r="EE55" s="2241"/>
      <c r="EF55" s="2241"/>
      <c r="EG55" s="2241"/>
      <c r="EH55" s="2241"/>
      <c r="EI55" s="2241"/>
      <c r="EJ55" s="2241"/>
      <c r="EK55" s="2241"/>
      <c r="EL55" s="2241"/>
      <c r="EM55" s="2241"/>
      <c r="EN55" s="2241"/>
      <c r="EO55" s="2241"/>
      <c r="EP55" s="2241"/>
      <c r="EQ55" s="2241"/>
      <c r="ER55" s="2241"/>
      <c r="ES55" s="2241"/>
      <c r="ET55" s="2241"/>
      <c r="EU55" s="2241"/>
      <c r="EV55" s="2241"/>
      <c r="EW55" s="2241"/>
      <c r="EX55" s="2241"/>
      <c r="EY55" s="2241"/>
      <c r="EZ55" s="2241"/>
      <c r="FA55" s="2241"/>
      <c r="FB55" s="2241"/>
      <c r="FC55" s="2241"/>
      <c r="FD55" s="2241"/>
      <c r="FE55" s="2241"/>
      <c r="FF55" s="2241"/>
      <c r="FG55" s="2241"/>
      <c r="FH55" s="2241"/>
      <c r="FI55" s="2241"/>
      <c r="FJ55" s="2241"/>
      <c r="FK55" s="2241"/>
      <c r="FL55" s="2241"/>
      <c r="FM55" s="2241"/>
      <c r="FN55" s="2241"/>
      <c r="FO55" s="2241"/>
      <c r="FP55" s="2241"/>
      <c r="FQ55" s="2241"/>
      <c r="FR55" s="2241"/>
      <c r="FS55" s="2241"/>
      <c r="FT55" s="2241"/>
      <c r="FU55" s="2241"/>
      <c r="FV55" s="2241"/>
      <c r="FW55" s="2241"/>
      <c r="FX55" s="2241"/>
      <c r="FY55" s="2241"/>
      <c r="FZ55" s="2241"/>
      <c r="GA55" s="2241"/>
      <c r="GB55" s="2241"/>
      <c r="GC55" s="2241"/>
      <c r="GD55" s="2241"/>
      <c r="GE55" s="2241"/>
      <c r="GF55" s="2241"/>
      <c r="GG55" s="2241"/>
      <c r="GH55" s="2241"/>
      <c r="GI55" s="2241"/>
      <c r="GJ55" s="2241"/>
      <c r="GK55" s="2241"/>
      <c r="GL55" s="2241"/>
      <c r="GM55" s="2241"/>
      <c r="GN55" s="2241"/>
      <c r="GO55" s="2241"/>
      <c r="GP55" s="2241"/>
      <c r="GQ55" s="2241"/>
      <c r="GR55" s="2241"/>
      <c r="GS55" s="2241"/>
      <c r="GT55" s="2241"/>
      <c r="GU55" s="2241"/>
      <c r="GV55" s="2241"/>
      <c r="GW55" s="2241"/>
      <c r="GX55" s="2241"/>
      <c r="GY55" s="2241"/>
      <c r="GZ55" s="2241"/>
      <c r="HA55" s="2241"/>
      <c r="HB55" s="2241"/>
      <c r="HC55" s="2241"/>
      <c r="HD55" s="2241"/>
      <c r="HE55" s="2241"/>
      <c r="HF55" s="2241"/>
      <c r="HG55" s="2241"/>
      <c r="HH55" s="2241"/>
      <c r="HI55" s="2241"/>
      <c r="HJ55" s="2241"/>
      <c r="HK55" s="2241"/>
      <c r="HL55" s="2241"/>
      <c r="HM55" s="2241"/>
      <c r="HN55" s="2241"/>
      <c r="HO55" s="2241"/>
      <c r="HP55" s="2241"/>
      <c r="HQ55" s="2241"/>
      <c r="HR55" s="2241"/>
      <c r="HS55" s="2241"/>
      <c r="HT55" s="2241"/>
      <c r="HU55" s="2241"/>
      <c r="HV55" s="2241"/>
      <c r="HW55" s="2241"/>
      <c r="HX55" s="2241"/>
      <c r="HY55" s="2241"/>
      <c r="HZ55" s="2241"/>
      <c r="IA55" s="2241"/>
      <c r="IB55" s="2241"/>
      <c r="IC55" s="2241"/>
      <c r="ID55" s="2241"/>
      <c r="IE55" s="2241"/>
      <c r="IF55" s="2241"/>
      <c r="IG55" s="2241"/>
      <c r="IH55" s="2241"/>
      <c r="II55" s="2241"/>
      <c r="IJ55" s="2241"/>
      <c r="IK55" s="2241"/>
      <c r="IL55" s="2241"/>
      <c r="IM55" s="2241"/>
      <c r="IN55" s="2241"/>
      <c r="IO55" s="2241"/>
      <c r="IP55" s="2241"/>
      <c r="IQ55" s="2241"/>
      <c r="IR55" s="2241"/>
      <c r="IS55" s="2241"/>
      <c r="IT55" s="2241"/>
      <c r="IU55" s="2241"/>
      <c r="IV55" s="2241"/>
      <c r="IW55" s="2241"/>
      <c r="IX55" s="2241"/>
    </row>
    <row r="56" spans="1:258" hidden="1" outlineLevel="1">
      <c r="A56" s="3058" t="s">
        <v>859</v>
      </c>
      <c r="B56" s="2188" t="s">
        <v>860</v>
      </c>
      <c r="C56" s="2236" t="s">
        <v>803</v>
      </c>
      <c r="D56" s="1330"/>
      <c r="E56" s="1333"/>
      <c r="F56" s="1330"/>
      <c r="G56" s="2267"/>
      <c r="H56" s="997"/>
      <c r="I56" s="997"/>
      <c r="J56" s="2248">
        <f>L56+N56+P56+R56+T56+V56+X56</f>
        <v>0</v>
      </c>
      <c r="K56" s="997">
        <f>M56+O56+Q56+S56+U56+W56+Y56</f>
        <v>0</v>
      </c>
      <c r="L56" s="997"/>
      <c r="M56" s="997"/>
      <c r="N56" s="997"/>
      <c r="O56" s="997"/>
      <c r="P56" s="997"/>
      <c r="Q56" s="997"/>
      <c r="R56" s="997"/>
      <c r="S56" s="997"/>
      <c r="T56" s="997"/>
      <c r="U56" s="997"/>
      <c r="V56" s="997"/>
      <c r="W56" s="997"/>
      <c r="X56" s="997"/>
      <c r="Y56" s="2269"/>
      <c r="Z56" s="2249"/>
      <c r="AA56" s="2250"/>
      <c r="AB56" s="2250"/>
      <c r="AC56" s="2250"/>
      <c r="AD56" s="2241"/>
      <c r="AE56" s="2169"/>
      <c r="AF56" s="2169"/>
      <c r="AG56" s="2169"/>
      <c r="AH56" s="2169"/>
      <c r="AI56" s="2169"/>
      <c r="AJ56" s="2169"/>
      <c r="AK56" s="2241"/>
      <c r="AL56" s="2250"/>
      <c r="AM56" s="2250"/>
      <c r="AN56" s="2250"/>
      <c r="AO56" s="2250"/>
      <c r="AP56" s="2250"/>
      <c r="AQ56" s="2250"/>
      <c r="AR56" s="2241"/>
      <c r="AS56" s="2241"/>
      <c r="AT56" s="2241"/>
      <c r="AU56" s="2241"/>
      <c r="AV56" s="2241"/>
      <c r="AW56" s="2241"/>
      <c r="AX56" s="2241"/>
      <c r="AY56" s="2241"/>
      <c r="AZ56" s="2241"/>
      <c r="BA56" s="2241"/>
      <c r="BB56" s="2241"/>
      <c r="BC56" s="2241"/>
      <c r="BD56" s="2241"/>
      <c r="BE56" s="2241"/>
      <c r="BF56" s="2241"/>
      <c r="BG56" s="2241"/>
      <c r="BH56" s="2241"/>
      <c r="BI56" s="2241"/>
      <c r="BJ56" s="2241"/>
      <c r="BK56" s="2241"/>
      <c r="BL56" s="2241"/>
      <c r="BM56" s="2241"/>
      <c r="BN56" s="2241"/>
      <c r="BO56" s="2241"/>
      <c r="BP56" s="2241"/>
      <c r="BQ56" s="2241"/>
      <c r="BR56" s="2241"/>
      <c r="BS56" s="2241"/>
      <c r="BT56" s="2241"/>
      <c r="BU56" s="2241"/>
      <c r="BV56" s="2241"/>
      <c r="BW56" s="2241"/>
      <c r="BX56" s="2241"/>
      <c r="BY56" s="2241"/>
      <c r="BZ56" s="2241"/>
      <c r="CA56" s="2241"/>
      <c r="CB56" s="2241"/>
      <c r="CC56" s="2241"/>
      <c r="CD56" s="2241"/>
      <c r="CE56" s="2241"/>
      <c r="CF56" s="2241"/>
      <c r="CG56" s="2241"/>
      <c r="CH56" s="2241"/>
      <c r="CI56" s="2241"/>
      <c r="CJ56" s="2241"/>
      <c r="CK56" s="2241"/>
      <c r="CL56" s="2241"/>
      <c r="CM56" s="2241"/>
      <c r="CN56" s="2241"/>
      <c r="CO56" s="2241"/>
      <c r="CP56" s="2241"/>
      <c r="CQ56" s="2241"/>
      <c r="CR56" s="2241"/>
      <c r="CS56" s="2241"/>
      <c r="CT56" s="2241"/>
      <c r="CU56" s="2241"/>
      <c r="CV56" s="2241"/>
      <c r="CW56" s="2241"/>
      <c r="CX56" s="2241"/>
      <c r="CY56" s="2241"/>
      <c r="CZ56" s="2241"/>
      <c r="DA56" s="2241"/>
      <c r="DB56" s="2241"/>
      <c r="DC56" s="2241"/>
      <c r="DD56" s="2241"/>
      <c r="DE56" s="2241"/>
      <c r="DF56" s="2241"/>
      <c r="DG56" s="2241"/>
      <c r="DH56" s="2241"/>
      <c r="DI56" s="2241"/>
      <c r="DJ56" s="2241"/>
      <c r="DK56" s="2241"/>
      <c r="DL56" s="2241"/>
      <c r="DM56" s="2241"/>
      <c r="DN56" s="2241"/>
      <c r="DO56" s="2241"/>
      <c r="DP56" s="2241"/>
      <c r="DQ56" s="2241"/>
      <c r="DR56" s="2241"/>
      <c r="DS56" s="2241"/>
      <c r="DT56" s="2241"/>
      <c r="DU56" s="2241"/>
      <c r="DV56" s="2241"/>
      <c r="DW56" s="2241"/>
      <c r="DX56" s="2241"/>
      <c r="DY56" s="2241"/>
      <c r="DZ56" s="2241"/>
      <c r="EA56" s="2241"/>
      <c r="EB56" s="2241"/>
      <c r="EC56" s="2241"/>
      <c r="ED56" s="2241"/>
      <c r="EE56" s="2241"/>
      <c r="EF56" s="2241"/>
      <c r="EG56" s="2241"/>
      <c r="EH56" s="2241"/>
      <c r="EI56" s="2241"/>
      <c r="EJ56" s="2241"/>
      <c r="EK56" s="2241"/>
      <c r="EL56" s="2241"/>
      <c r="EM56" s="2241"/>
      <c r="EN56" s="2241"/>
      <c r="EO56" s="2241"/>
      <c r="EP56" s="2241"/>
      <c r="EQ56" s="2241"/>
      <c r="ER56" s="2241"/>
      <c r="ES56" s="2241"/>
      <c r="ET56" s="2241"/>
      <c r="EU56" s="2241"/>
      <c r="EV56" s="2241"/>
      <c r="EW56" s="2241"/>
      <c r="EX56" s="2241"/>
      <c r="EY56" s="2241"/>
      <c r="EZ56" s="2241"/>
      <c r="FA56" s="2241"/>
      <c r="FB56" s="2241"/>
      <c r="FC56" s="2241"/>
      <c r="FD56" s="2241"/>
      <c r="FE56" s="2241"/>
      <c r="FF56" s="2241"/>
      <c r="FG56" s="2241"/>
      <c r="FH56" s="2241"/>
      <c r="FI56" s="2241"/>
      <c r="FJ56" s="2241"/>
      <c r="FK56" s="2241"/>
      <c r="FL56" s="2241"/>
      <c r="FM56" s="2241"/>
      <c r="FN56" s="2241"/>
      <c r="FO56" s="2241"/>
      <c r="FP56" s="2241"/>
      <c r="FQ56" s="2241"/>
      <c r="FR56" s="2241"/>
      <c r="FS56" s="2241"/>
      <c r="FT56" s="2241"/>
      <c r="FU56" s="2241"/>
      <c r="FV56" s="2241"/>
      <c r="FW56" s="2241"/>
      <c r="FX56" s="2241"/>
      <c r="FY56" s="2241"/>
      <c r="FZ56" s="2241"/>
      <c r="GA56" s="2241"/>
      <c r="GB56" s="2241"/>
      <c r="GC56" s="2241"/>
      <c r="GD56" s="2241"/>
      <c r="GE56" s="2241"/>
      <c r="GF56" s="2241"/>
      <c r="GG56" s="2241"/>
      <c r="GH56" s="2241"/>
      <c r="GI56" s="2241"/>
      <c r="GJ56" s="2241"/>
      <c r="GK56" s="2241"/>
      <c r="GL56" s="2241"/>
      <c r="GM56" s="2241"/>
      <c r="GN56" s="2241"/>
      <c r="GO56" s="2241"/>
      <c r="GP56" s="2241"/>
      <c r="GQ56" s="2241"/>
      <c r="GR56" s="2241"/>
      <c r="GS56" s="2241"/>
      <c r="GT56" s="2241"/>
      <c r="GU56" s="2241"/>
      <c r="GV56" s="2241"/>
      <c r="GW56" s="2241"/>
      <c r="GX56" s="2241"/>
      <c r="GY56" s="2241"/>
      <c r="GZ56" s="2241"/>
      <c r="HA56" s="2241"/>
      <c r="HB56" s="2241"/>
      <c r="HC56" s="2241"/>
      <c r="HD56" s="2241"/>
      <c r="HE56" s="2241"/>
      <c r="HF56" s="2241"/>
      <c r="HG56" s="2241"/>
      <c r="HH56" s="2241"/>
      <c r="HI56" s="2241"/>
      <c r="HJ56" s="2241"/>
      <c r="HK56" s="2241"/>
      <c r="HL56" s="2241"/>
      <c r="HM56" s="2241"/>
      <c r="HN56" s="2241"/>
      <c r="HO56" s="2241"/>
      <c r="HP56" s="2241"/>
      <c r="HQ56" s="2241"/>
      <c r="HR56" s="2241"/>
      <c r="HS56" s="2241"/>
      <c r="HT56" s="2241"/>
      <c r="HU56" s="2241"/>
      <c r="HV56" s="2241"/>
      <c r="HW56" s="2241"/>
      <c r="HX56" s="2241"/>
      <c r="HY56" s="2241"/>
      <c r="HZ56" s="2241"/>
      <c r="IA56" s="2241"/>
      <c r="IB56" s="2241"/>
      <c r="IC56" s="2241"/>
      <c r="ID56" s="2241"/>
      <c r="IE56" s="2241"/>
      <c r="IF56" s="2241"/>
      <c r="IG56" s="2241"/>
      <c r="IH56" s="2241"/>
      <c r="II56" s="2241"/>
      <c r="IJ56" s="2241"/>
      <c r="IK56" s="2241"/>
      <c r="IL56" s="2241"/>
      <c r="IM56" s="2241"/>
      <c r="IN56" s="2241"/>
      <c r="IO56" s="2241"/>
      <c r="IP56" s="2241"/>
      <c r="IQ56" s="2241"/>
      <c r="IR56" s="2241"/>
      <c r="IS56" s="2241"/>
      <c r="IT56" s="2241"/>
      <c r="IU56" s="2241"/>
      <c r="IV56" s="2241"/>
      <c r="IW56" s="2241"/>
      <c r="IX56" s="2241"/>
    </row>
    <row r="57" spans="1:258" ht="24" hidden="1" outlineLevel="1">
      <c r="A57" s="3059"/>
      <c r="B57" s="2188" t="s">
        <v>861</v>
      </c>
      <c r="C57" s="2236" t="s">
        <v>830</v>
      </c>
      <c r="D57" s="1330">
        <f t="shared" ref="D57:K57" si="29">IF(D56=0,,D58/1000/D56)</f>
        <v>0</v>
      </c>
      <c r="E57" s="1333">
        <f t="shared" si="29"/>
        <v>0</v>
      </c>
      <c r="F57" s="1330">
        <f t="shared" si="29"/>
        <v>0</v>
      </c>
      <c r="G57" s="2267">
        <f t="shared" si="29"/>
        <v>0</v>
      </c>
      <c r="H57" s="997"/>
      <c r="I57" s="997"/>
      <c r="J57" s="2248">
        <f t="shared" si="29"/>
        <v>0</v>
      </c>
      <c r="K57" s="997">
        <f t="shared" si="29"/>
        <v>0</v>
      </c>
      <c r="L57" s="997"/>
      <c r="M57" s="997"/>
      <c r="N57" s="997"/>
      <c r="O57" s="997"/>
      <c r="P57" s="997"/>
      <c r="Q57" s="997"/>
      <c r="R57" s="997"/>
      <c r="S57" s="997"/>
      <c r="T57" s="997"/>
      <c r="U57" s="997"/>
      <c r="V57" s="997"/>
      <c r="W57" s="997"/>
      <c r="X57" s="997"/>
      <c r="Y57" s="2269"/>
      <c r="Z57" s="2249"/>
      <c r="AA57" s="2250"/>
      <c r="AB57" s="2250"/>
      <c r="AC57" s="2250"/>
      <c r="AD57" s="2241"/>
      <c r="AE57" s="2169"/>
      <c r="AF57" s="2169"/>
      <c r="AG57" s="2169"/>
      <c r="AH57" s="2169"/>
      <c r="AI57" s="2169"/>
      <c r="AJ57" s="2169"/>
      <c r="AK57" s="2241"/>
      <c r="AL57" s="2250"/>
      <c r="AM57" s="2250"/>
      <c r="AN57" s="2250"/>
      <c r="AO57" s="2250"/>
      <c r="AP57" s="2250"/>
      <c r="AQ57" s="2250"/>
      <c r="AR57" s="2241"/>
      <c r="AS57" s="2241"/>
      <c r="AT57" s="2241"/>
      <c r="AU57" s="2241"/>
      <c r="AV57" s="2241"/>
      <c r="AW57" s="2241"/>
      <c r="AX57" s="2241"/>
      <c r="AY57" s="2241"/>
      <c r="AZ57" s="2241"/>
      <c r="BA57" s="2241"/>
      <c r="BB57" s="2241"/>
      <c r="BC57" s="2241"/>
      <c r="BD57" s="2241"/>
      <c r="BE57" s="2241"/>
      <c r="BF57" s="2241"/>
      <c r="BG57" s="2241"/>
      <c r="BH57" s="2241"/>
      <c r="BI57" s="2241"/>
      <c r="BJ57" s="2241"/>
      <c r="BK57" s="2241"/>
      <c r="BL57" s="2241"/>
      <c r="BM57" s="2241"/>
      <c r="BN57" s="2241"/>
      <c r="BO57" s="2241"/>
      <c r="BP57" s="2241"/>
      <c r="BQ57" s="2241"/>
      <c r="BR57" s="2241"/>
      <c r="BS57" s="2241"/>
      <c r="BT57" s="2241"/>
      <c r="BU57" s="2241"/>
      <c r="BV57" s="2241"/>
      <c r="BW57" s="2241"/>
      <c r="BX57" s="2241"/>
      <c r="BY57" s="2241"/>
      <c r="BZ57" s="2241"/>
      <c r="CA57" s="2241"/>
      <c r="CB57" s="2241"/>
      <c r="CC57" s="2241"/>
      <c r="CD57" s="2241"/>
      <c r="CE57" s="2241"/>
      <c r="CF57" s="2241"/>
      <c r="CG57" s="2241"/>
      <c r="CH57" s="2241"/>
      <c r="CI57" s="2241"/>
      <c r="CJ57" s="2241"/>
      <c r="CK57" s="2241"/>
      <c r="CL57" s="2241"/>
      <c r="CM57" s="2241"/>
      <c r="CN57" s="2241"/>
      <c r="CO57" s="2241"/>
      <c r="CP57" s="2241"/>
      <c r="CQ57" s="2241"/>
      <c r="CR57" s="2241"/>
      <c r="CS57" s="2241"/>
      <c r="CT57" s="2241"/>
      <c r="CU57" s="2241"/>
      <c r="CV57" s="2241"/>
      <c r="CW57" s="2241"/>
      <c r="CX57" s="2241"/>
      <c r="CY57" s="2241"/>
      <c r="CZ57" s="2241"/>
      <c r="DA57" s="2241"/>
      <c r="DB57" s="2241"/>
      <c r="DC57" s="2241"/>
      <c r="DD57" s="2241"/>
      <c r="DE57" s="2241"/>
      <c r="DF57" s="2241"/>
      <c r="DG57" s="2241"/>
      <c r="DH57" s="2241"/>
      <c r="DI57" s="2241"/>
      <c r="DJ57" s="2241"/>
      <c r="DK57" s="2241"/>
      <c r="DL57" s="2241"/>
      <c r="DM57" s="2241"/>
      <c r="DN57" s="2241"/>
      <c r="DO57" s="2241"/>
      <c r="DP57" s="2241"/>
      <c r="DQ57" s="2241"/>
      <c r="DR57" s="2241"/>
      <c r="DS57" s="2241"/>
      <c r="DT57" s="2241"/>
      <c r="DU57" s="2241"/>
      <c r="DV57" s="2241"/>
      <c r="DW57" s="2241"/>
      <c r="DX57" s="2241"/>
      <c r="DY57" s="2241"/>
      <c r="DZ57" s="2241"/>
      <c r="EA57" s="2241"/>
      <c r="EB57" s="2241"/>
      <c r="EC57" s="2241"/>
      <c r="ED57" s="2241"/>
      <c r="EE57" s="2241"/>
      <c r="EF57" s="2241"/>
      <c r="EG57" s="2241"/>
      <c r="EH57" s="2241"/>
      <c r="EI57" s="2241"/>
      <c r="EJ57" s="2241"/>
      <c r="EK57" s="2241"/>
      <c r="EL57" s="2241"/>
      <c r="EM57" s="2241"/>
      <c r="EN57" s="2241"/>
      <c r="EO57" s="2241"/>
      <c r="EP57" s="2241"/>
      <c r="EQ57" s="2241"/>
      <c r="ER57" s="2241"/>
      <c r="ES57" s="2241"/>
      <c r="ET57" s="2241"/>
      <c r="EU57" s="2241"/>
      <c r="EV57" s="2241"/>
      <c r="EW57" s="2241"/>
      <c r="EX57" s="2241"/>
      <c r="EY57" s="2241"/>
      <c r="EZ57" s="2241"/>
      <c r="FA57" s="2241"/>
      <c r="FB57" s="2241"/>
      <c r="FC57" s="2241"/>
      <c r="FD57" s="2241"/>
      <c r="FE57" s="2241"/>
      <c r="FF57" s="2241"/>
      <c r="FG57" s="2241"/>
      <c r="FH57" s="2241"/>
      <c r="FI57" s="2241"/>
      <c r="FJ57" s="2241"/>
      <c r="FK57" s="2241"/>
      <c r="FL57" s="2241"/>
      <c r="FM57" s="2241"/>
      <c r="FN57" s="2241"/>
      <c r="FO57" s="2241"/>
      <c r="FP57" s="2241"/>
      <c r="FQ57" s="2241"/>
      <c r="FR57" s="2241"/>
      <c r="FS57" s="2241"/>
      <c r="FT57" s="2241"/>
      <c r="FU57" s="2241"/>
      <c r="FV57" s="2241"/>
      <c r="FW57" s="2241"/>
      <c r="FX57" s="2241"/>
      <c r="FY57" s="2241"/>
      <c r="FZ57" s="2241"/>
      <c r="GA57" s="2241"/>
      <c r="GB57" s="2241"/>
      <c r="GC57" s="2241"/>
      <c r="GD57" s="2241"/>
      <c r="GE57" s="2241"/>
      <c r="GF57" s="2241"/>
      <c r="GG57" s="2241"/>
      <c r="GH57" s="2241"/>
      <c r="GI57" s="2241"/>
      <c r="GJ57" s="2241"/>
      <c r="GK57" s="2241"/>
      <c r="GL57" s="2241"/>
      <c r="GM57" s="2241"/>
      <c r="GN57" s="2241"/>
      <c r="GO57" s="2241"/>
      <c r="GP57" s="2241"/>
      <c r="GQ57" s="2241"/>
      <c r="GR57" s="2241"/>
      <c r="GS57" s="2241"/>
      <c r="GT57" s="2241"/>
      <c r="GU57" s="2241"/>
      <c r="GV57" s="2241"/>
      <c r="GW57" s="2241"/>
      <c r="GX57" s="2241"/>
      <c r="GY57" s="2241"/>
      <c r="GZ57" s="2241"/>
      <c r="HA57" s="2241"/>
      <c r="HB57" s="2241"/>
      <c r="HC57" s="2241"/>
      <c r="HD57" s="2241"/>
      <c r="HE57" s="2241"/>
      <c r="HF57" s="2241"/>
      <c r="HG57" s="2241"/>
      <c r="HH57" s="2241"/>
      <c r="HI57" s="2241"/>
      <c r="HJ57" s="2241"/>
      <c r="HK57" s="2241"/>
      <c r="HL57" s="2241"/>
      <c r="HM57" s="2241"/>
      <c r="HN57" s="2241"/>
      <c r="HO57" s="2241"/>
      <c r="HP57" s="2241"/>
      <c r="HQ57" s="2241"/>
      <c r="HR57" s="2241"/>
      <c r="HS57" s="2241"/>
      <c r="HT57" s="2241"/>
      <c r="HU57" s="2241"/>
      <c r="HV57" s="2241"/>
      <c r="HW57" s="2241"/>
      <c r="HX57" s="2241"/>
      <c r="HY57" s="2241"/>
      <c r="HZ57" s="2241"/>
      <c r="IA57" s="2241"/>
      <c r="IB57" s="2241"/>
      <c r="IC57" s="2241"/>
      <c r="ID57" s="2241"/>
      <c r="IE57" s="2241"/>
      <c r="IF57" s="2241"/>
      <c r="IG57" s="2241"/>
      <c r="IH57" s="2241"/>
      <c r="II57" s="2241"/>
      <c r="IJ57" s="2241"/>
      <c r="IK57" s="2241"/>
      <c r="IL57" s="2241"/>
      <c r="IM57" s="2241"/>
      <c r="IN57" s="2241"/>
      <c r="IO57" s="2241"/>
      <c r="IP57" s="2241"/>
      <c r="IQ57" s="2241"/>
      <c r="IR57" s="2241"/>
      <c r="IS57" s="2241"/>
      <c r="IT57" s="2241"/>
      <c r="IU57" s="2241"/>
      <c r="IV57" s="2241"/>
      <c r="IW57" s="2241"/>
      <c r="IX57" s="2241"/>
    </row>
    <row r="58" spans="1:258" ht="24" hidden="1" outlineLevel="1">
      <c r="A58" s="3060"/>
      <c r="B58" s="2257" t="s">
        <v>862</v>
      </c>
      <c r="C58" s="2243" t="s">
        <v>833</v>
      </c>
      <c r="D58" s="1330"/>
      <c r="E58" s="1333"/>
      <c r="F58" s="1330"/>
      <c r="G58" s="2267"/>
      <c r="H58" s="997"/>
      <c r="I58" s="997"/>
      <c r="J58" s="2248">
        <f>L58+N58+P58+R58+T58+V58+X58</f>
        <v>0</v>
      </c>
      <c r="K58" s="997">
        <f>M58+O58+Q58+S58+U58+W58+Y58</f>
        <v>0</v>
      </c>
      <c r="L58" s="997">
        <f>L56*L57/1000</f>
        <v>0</v>
      </c>
      <c r="M58" s="997">
        <f t="shared" ref="M58:Y58" si="30">M56*M57/1000</f>
        <v>0</v>
      </c>
      <c r="N58" s="997">
        <f t="shared" si="30"/>
        <v>0</v>
      </c>
      <c r="O58" s="997">
        <f t="shared" si="30"/>
        <v>0</v>
      </c>
      <c r="P58" s="997">
        <f t="shared" si="30"/>
        <v>0</v>
      </c>
      <c r="Q58" s="997">
        <f t="shared" si="30"/>
        <v>0</v>
      </c>
      <c r="R58" s="997">
        <f t="shared" si="30"/>
        <v>0</v>
      </c>
      <c r="S58" s="997">
        <f t="shared" si="30"/>
        <v>0</v>
      </c>
      <c r="T58" s="997">
        <f t="shared" si="30"/>
        <v>0</v>
      </c>
      <c r="U58" s="997">
        <f t="shared" si="30"/>
        <v>0</v>
      </c>
      <c r="V58" s="997">
        <f t="shared" si="30"/>
        <v>0</v>
      </c>
      <c r="W58" s="997">
        <f t="shared" si="30"/>
        <v>0</v>
      </c>
      <c r="X58" s="997">
        <f t="shared" si="30"/>
        <v>0</v>
      </c>
      <c r="Y58" s="1333">
        <f t="shared" si="30"/>
        <v>0</v>
      </c>
      <c r="Z58" s="2249"/>
      <c r="AA58" s="2250"/>
      <c r="AB58" s="2250"/>
      <c r="AC58" s="2250"/>
      <c r="AD58" s="2241"/>
      <c r="AE58" s="2169"/>
      <c r="AF58" s="2169"/>
      <c r="AG58" s="2169"/>
      <c r="AH58" s="2169"/>
      <c r="AI58" s="2169"/>
      <c r="AJ58" s="2169"/>
      <c r="AK58" s="2241"/>
      <c r="AL58" s="2250"/>
      <c r="AM58" s="2250"/>
      <c r="AN58" s="2250"/>
      <c r="AO58" s="2250"/>
      <c r="AP58" s="2250"/>
      <c r="AQ58" s="2250"/>
      <c r="AR58" s="2241"/>
      <c r="AS58" s="2241"/>
      <c r="AT58" s="2241"/>
      <c r="AU58" s="2241"/>
      <c r="AV58" s="2241"/>
      <c r="AW58" s="2241"/>
      <c r="AX58" s="2241"/>
      <c r="AY58" s="2241"/>
      <c r="AZ58" s="2241"/>
      <c r="BA58" s="2241"/>
      <c r="BB58" s="2241"/>
      <c r="BC58" s="2241"/>
      <c r="BD58" s="2241"/>
      <c r="BE58" s="2241"/>
      <c r="BF58" s="2241"/>
      <c r="BG58" s="2241"/>
      <c r="BH58" s="2241"/>
      <c r="BI58" s="2241"/>
      <c r="BJ58" s="2241"/>
      <c r="BK58" s="2241"/>
      <c r="BL58" s="2241"/>
      <c r="BM58" s="2241"/>
      <c r="BN58" s="2241"/>
      <c r="BO58" s="2241"/>
      <c r="BP58" s="2241"/>
      <c r="BQ58" s="2241"/>
      <c r="BR58" s="2241"/>
      <c r="BS58" s="2241"/>
      <c r="BT58" s="2241"/>
      <c r="BU58" s="2241"/>
      <c r="BV58" s="2241"/>
      <c r="BW58" s="2241"/>
      <c r="BX58" s="2241"/>
      <c r="BY58" s="2241"/>
      <c r="BZ58" s="2241"/>
      <c r="CA58" s="2241"/>
      <c r="CB58" s="2241"/>
      <c r="CC58" s="2241"/>
      <c r="CD58" s="2241"/>
      <c r="CE58" s="2241"/>
      <c r="CF58" s="2241"/>
      <c r="CG58" s="2241"/>
      <c r="CH58" s="2241"/>
      <c r="CI58" s="2241"/>
      <c r="CJ58" s="2241"/>
      <c r="CK58" s="2241"/>
      <c r="CL58" s="2241"/>
      <c r="CM58" s="2241"/>
      <c r="CN58" s="2241"/>
      <c r="CO58" s="2241"/>
      <c r="CP58" s="2241"/>
      <c r="CQ58" s="2241"/>
      <c r="CR58" s="2241"/>
      <c r="CS58" s="2241"/>
      <c r="CT58" s="2241"/>
      <c r="CU58" s="2241"/>
      <c r="CV58" s="2241"/>
      <c r="CW58" s="2241"/>
      <c r="CX58" s="2241"/>
      <c r="CY58" s="2241"/>
      <c r="CZ58" s="2241"/>
      <c r="DA58" s="2241"/>
      <c r="DB58" s="2241"/>
      <c r="DC58" s="2241"/>
      <c r="DD58" s="2241"/>
      <c r="DE58" s="2241"/>
      <c r="DF58" s="2241"/>
      <c r="DG58" s="2241"/>
      <c r="DH58" s="2241"/>
      <c r="DI58" s="2241"/>
      <c r="DJ58" s="2241"/>
      <c r="DK58" s="2241"/>
      <c r="DL58" s="2241"/>
      <c r="DM58" s="2241"/>
      <c r="DN58" s="2241"/>
      <c r="DO58" s="2241"/>
      <c r="DP58" s="2241"/>
      <c r="DQ58" s="2241"/>
      <c r="DR58" s="2241"/>
      <c r="DS58" s="2241"/>
      <c r="DT58" s="2241"/>
      <c r="DU58" s="2241"/>
      <c r="DV58" s="2241"/>
      <c r="DW58" s="2241"/>
      <c r="DX58" s="2241"/>
      <c r="DY58" s="2241"/>
      <c r="DZ58" s="2241"/>
      <c r="EA58" s="2241"/>
      <c r="EB58" s="2241"/>
      <c r="EC58" s="2241"/>
      <c r="ED58" s="2241"/>
      <c r="EE58" s="2241"/>
      <c r="EF58" s="2241"/>
      <c r="EG58" s="2241"/>
      <c r="EH58" s="2241"/>
      <c r="EI58" s="2241"/>
      <c r="EJ58" s="2241"/>
      <c r="EK58" s="2241"/>
      <c r="EL58" s="2241"/>
      <c r="EM58" s="2241"/>
      <c r="EN58" s="2241"/>
      <c r="EO58" s="2241"/>
      <c r="EP58" s="2241"/>
      <c r="EQ58" s="2241"/>
      <c r="ER58" s="2241"/>
      <c r="ES58" s="2241"/>
      <c r="ET58" s="2241"/>
      <c r="EU58" s="2241"/>
      <c r="EV58" s="2241"/>
      <c r="EW58" s="2241"/>
      <c r="EX58" s="2241"/>
      <c r="EY58" s="2241"/>
      <c r="EZ58" s="2241"/>
      <c r="FA58" s="2241"/>
      <c r="FB58" s="2241"/>
      <c r="FC58" s="2241"/>
      <c r="FD58" s="2241"/>
      <c r="FE58" s="2241"/>
      <c r="FF58" s="2241"/>
      <c r="FG58" s="2241"/>
      <c r="FH58" s="2241"/>
      <c r="FI58" s="2241"/>
      <c r="FJ58" s="2241"/>
      <c r="FK58" s="2241"/>
      <c r="FL58" s="2241"/>
      <c r="FM58" s="2241"/>
      <c r="FN58" s="2241"/>
      <c r="FO58" s="2241"/>
      <c r="FP58" s="2241"/>
      <c r="FQ58" s="2241"/>
      <c r="FR58" s="2241"/>
      <c r="FS58" s="2241"/>
      <c r="FT58" s="2241"/>
      <c r="FU58" s="2241"/>
      <c r="FV58" s="2241"/>
      <c r="FW58" s="2241"/>
      <c r="FX58" s="2241"/>
      <c r="FY58" s="2241"/>
      <c r="FZ58" s="2241"/>
      <c r="GA58" s="2241"/>
      <c r="GB58" s="2241"/>
      <c r="GC58" s="2241"/>
      <c r="GD58" s="2241"/>
      <c r="GE58" s="2241"/>
      <c r="GF58" s="2241"/>
      <c r="GG58" s="2241"/>
      <c r="GH58" s="2241"/>
      <c r="GI58" s="2241"/>
      <c r="GJ58" s="2241"/>
      <c r="GK58" s="2241"/>
      <c r="GL58" s="2241"/>
      <c r="GM58" s="2241"/>
      <c r="GN58" s="2241"/>
      <c r="GO58" s="2241"/>
      <c r="GP58" s="2241"/>
      <c r="GQ58" s="2241"/>
      <c r="GR58" s="2241"/>
      <c r="GS58" s="2241"/>
      <c r="GT58" s="2241"/>
      <c r="GU58" s="2241"/>
      <c r="GV58" s="2241"/>
      <c r="GW58" s="2241"/>
      <c r="GX58" s="2241"/>
      <c r="GY58" s="2241"/>
      <c r="GZ58" s="2241"/>
      <c r="HA58" s="2241"/>
      <c r="HB58" s="2241"/>
      <c r="HC58" s="2241"/>
      <c r="HD58" s="2241"/>
      <c r="HE58" s="2241"/>
      <c r="HF58" s="2241"/>
      <c r="HG58" s="2241"/>
      <c r="HH58" s="2241"/>
      <c r="HI58" s="2241"/>
      <c r="HJ58" s="2241"/>
      <c r="HK58" s="2241"/>
      <c r="HL58" s="2241"/>
      <c r="HM58" s="2241"/>
      <c r="HN58" s="2241"/>
      <c r="HO58" s="2241"/>
      <c r="HP58" s="2241"/>
      <c r="HQ58" s="2241"/>
      <c r="HR58" s="2241"/>
      <c r="HS58" s="2241"/>
      <c r="HT58" s="2241"/>
      <c r="HU58" s="2241"/>
      <c r="HV58" s="2241"/>
      <c r="HW58" s="2241"/>
      <c r="HX58" s="2241"/>
      <c r="HY58" s="2241"/>
      <c r="HZ58" s="2241"/>
      <c r="IA58" s="2241"/>
      <c r="IB58" s="2241"/>
      <c r="IC58" s="2241"/>
      <c r="ID58" s="2241"/>
      <c r="IE58" s="2241"/>
      <c r="IF58" s="2241"/>
      <c r="IG58" s="2241"/>
      <c r="IH58" s="2241"/>
      <c r="II58" s="2241"/>
      <c r="IJ58" s="2241"/>
      <c r="IK58" s="2241"/>
      <c r="IL58" s="2241"/>
      <c r="IM58" s="2241"/>
      <c r="IN58" s="2241"/>
      <c r="IO58" s="2241"/>
      <c r="IP58" s="2241"/>
      <c r="IQ58" s="2241"/>
      <c r="IR58" s="2241"/>
      <c r="IS58" s="2241"/>
      <c r="IT58" s="2241"/>
      <c r="IU58" s="2241"/>
      <c r="IV58" s="2241"/>
      <c r="IW58" s="2241"/>
      <c r="IX58" s="2241"/>
    </row>
    <row r="59" spans="1:258" hidden="1" outlineLevel="1">
      <c r="A59" s="3058" t="s">
        <v>863</v>
      </c>
      <c r="B59" s="2188" t="s">
        <v>864</v>
      </c>
      <c r="C59" s="2236" t="s">
        <v>803</v>
      </c>
      <c r="D59" s="1330"/>
      <c r="E59" s="1333"/>
      <c r="F59" s="1330"/>
      <c r="G59" s="2267"/>
      <c r="H59" s="997"/>
      <c r="I59" s="997"/>
      <c r="J59" s="2248">
        <f>L59+N59+P59+R59+T59+V59+X59</f>
        <v>0</v>
      </c>
      <c r="K59" s="997">
        <f>M59+O59+Q59+S59+U59+W59+Y59</f>
        <v>0</v>
      </c>
      <c r="L59" s="997"/>
      <c r="M59" s="997"/>
      <c r="N59" s="997"/>
      <c r="O59" s="997"/>
      <c r="P59" s="997"/>
      <c r="Q59" s="997"/>
      <c r="R59" s="997"/>
      <c r="S59" s="997"/>
      <c r="T59" s="997"/>
      <c r="U59" s="997"/>
      <c r="V59" s="997"/>
      <c r="W59" s="997"/>
      <c r="X59" s="997"/>
      <c r="Y59" s="2269"/>
      <c r="Z59" s="2249"/>
      <c r="AA59" s="2250"/>
      <c r="AB59" s="2250"/>
      <c r="AC59" s="2250"/>
      <c r="AD59" s="2241"/>
      <c r="AE59" s="2169"/>
      <c r="AF59" s="2169"/>
      <c r="AG59" s="2169"/>
      <c r="AH59" s="2169"/>
      <c r="AI59" s="2169"/>
      <c r="AJ59" s="2169"/>
      <c r="AK59" s="2241"/>
      <c r="AL59" s="2250"/>
      <c r="AM59" s="2250"/>
      <c r="AN59" s="2250"/>
      <c r="AO59" s="2250"/>
      <c r="AP59" s="2250"/>
      <c r="AQ59" s="2250"/>
      <c r="AR59" s="2241"/>
      <c r="AS59" s="2241"/>
      <c r="AT59" s="2241"/>
      <c r="AU59" s="2241"/>
      <c r="AV59" s="2241"/>
      <c r="AW59" s="2241"/>
      <c r="AX59" s="2241"/>
      <c r="AY59" s="2241"/>
      <c r="AZ59" s="2241"/>
      <c r="BA59" s="2241"/>
      <c r="BB59" s="2241"/>
      <c r="BC59" s="2241"/>
      <c r="BD59" s="2241"/>
      <c r="BE59" s="2241"/>
      <c r="BF59" s="2241"/>
      <c r="BG59" s="2241"/>
      <c r="BH59" s="2241"/>
      <c r="BI59" s="2241"/>
      <c r="BJ59" s="2241"/>
      <c r="BK59" s="2241"/>
      <c r="BL59" s="2241"/>
      <c r="BM59" s="2241"/>
      <c r="BN59" s="2241"/>
      <c r="BO59" s="2241"/>
      <c r="BP59" s="2241"/>
      <c r="BQ59" s="2241"/>
      <c r="BR59" s="2241"/>
      <c r="BS59" s="2241"/>
      <c r="BT59" s="2241"/>
      <c r="BU59" s="2241"/>
      <c r="BV59" s="2241"/>
      <c r="BW59" s="2241"/>
      <c r="BX59" s="2241"/>
      <c r="BY59" s="2241"/>
      <c r="BZ59" s="2241"/>
      <c r="CA59" s="2241"/>
      <c r="CB59" s="2241"/>
      <c r="CC59" s="2241"/>
      <c r="CD59" s="2241"/>
      <c r="CE59" s="2241"/>
      <c r="CF59" s="2241"/>
      <c r="CG59" s="2241"/>
      <c r="CH59" s="2241"/>
      <c r="CI59" s="2241"/>
      <c r="CJ59" s="2241"/>
      <c r="CK59" s="2241"/>
      <c r="CL59" s="2241"/>
      <c r="CM59" s="2241"/>
      <c r="CN59" s="2241"/>
      <c r="CO59" s="2241"/>
      <c r="CP59" s="2241"/>
      <c r="CQ59" s="2241"/>
      <c r="CR59" s="2241"/>
      <c r="CS59" s="2241"/>
      <c r="CT59" s="2241"/>
      <c r="CU59" s="2241"/>
      <c r="CV59" s="2241"/>
      <c r="CW59" s="2241"/>
      <c r="CX59" s="2241"/>
      <c r="CY59" s="2241"/>
      <c r="CZ59" s="2241"/>
      <c r="DA59" s="2241"/>
      <c r="DB59" s="2241"/>
      <c r="DC59" s="2241"/>
      <c r="DD59" s="2241"/>
      <c r="DE59" s="2241"/>
      <c r="DF59" s="2241"/>
      <c r="DG59" s="2241"/>
      <c r="DH59" s="2241"/>
      <c r="DI59" s="2241"/>
      <c r="DJ59" s="2241"/>
      <c r="DK59" s="2241"/>
      <c r="DL59" s="2241"/>
      <c r="DM59" s="2241"/>
      <c r="DN59" s="2241"/>
      <c r="DO59" s="2241"/>
      <c r="DP59" s="2241"/>
      <c r="DQ59" s="2241"/>
      <c r="DR59" s="2241"/>
      <c r="DS59" s="2241"/>
      <c r="DT59" s="2241"/>
      <c r="DU59" s="2241"/>
      <c r="DV59" s="2241"/>
      <c r="DW59" s="2241"/>
      <c r="DX59" s="2241"/>
      <c r="DY59" s="2241"/>
      <c r="DZ59" s="2241"/>
      <c r="EA59" s="2241"/>
      <c r="EB59" s="2241"/>
      <c r="EC59" s="2241"/>
      <c r="ED59" s="2241"/>
      <c r="EE59" s="2241"/>
      <c r="EF59" s="2241"/>
      <c r="EG59" s="2241"/>
      <c r="EH59" s="2241"/>
      <c r="EI59" s="2241"/>
      <c r="EJ59" s="2241"/>
      <c r="EK59" s="2241"/>
      <c r="EL59" s="2241"/>
      <c r="EM59" s="2241"/>
      <c r="EN59" s="2241"/>
      <c r="EO59" s="2241"/>
      <c r="EP59" s="2241"/>
      <c r="EQ59" s="2241"/>
      <c r="ER59" s="2241"/>
      <c r="ES59" s="2241"/>
      <c r="ET59" s="2241"/>
      <c r="EU59" s="2241"/>
      <c r="EV59" s="2241"/>
      <c r="EW59" s="2241"/>
      <c r="EX59" s="2241"/>
      <c r="EY59" s="2241"/>
      <c r="EZ59" s="2241"/>
      <c r="FA59" s="2241"/>
      <c r="FB59" s="2241"/>
      <c r="FC59" s="2241"/>
      <c r="FD59" s="2241"/>
      <c r="FE59" s="2241"/>
      <c r="FF59" s="2241"/>
      <c r="FG59" s="2241"/>
      <c r="FH59" s="2241"/>
      <c r="FI59" s="2241"/>
      <c r="FJ59" s="2241"/>
      <c r="FK59" s="2241"/>
      <c r="FL59" s="2241"/>
      <c r="FM59" s="2241"/>
      <c r="FN59" s="2241"/>
      <c r="FO59" s="2241"/>
      <c r="FP59" s="2241"/>
      <c r="FQ59" s="2241"/>
      <c r="FR59" s="2241"/>
      <c r="FS59" s="2241"/>
      <c r="FT59" s="2241"/>
      <c r="FU59" s="2241"/>
      <c r="FV59" s="2241"/>
      <c r="FW59" s="2241"/>
      <c r="FX59" s="2241"/>
      <c r="FY59" s="2241"/>
      <c r="FZ59" s="2241"/>
      <c r="GA59" s="2241"/>
      <c r="GB59" s="2241"/>
      <c r="GC59" s="2241"/>
      <c r="GD59" s="2241"/>
      <c r="GE59" s="2241"/>
      <c r="GF59" s="2241"/>
      <c r="GG59" s="2241"/>
      <c r="GH59" s="2241"/>
      <c r="GI59" s="2241"/>
      <c r="GJ59" s="2241"/>
      <c r="GK59" s="2241"/>
      <c r="GL59" s="2241"/>
      <c r="GM59" s="2241"/>
      <c r="GN59" s="2241"/>
      <c r="GO59" s="2241"/>
      <c r="GP59" s="2241"/>
      <c r="GQ59" s="2241"/>
      <c r="GR59" s="2241"/>
      <c r="GS59" s="2241"/>
      <c r="GT59" s="2241"/>
      <c r="GU59" s="2241"/>
      <c r="GV59" s="2241"/>
      <c r="GW59" s="2241"/>
      <c r="GX59" s="2241"/>
      <c r="GY59" s="2241"/>
      <c r="GZ59" s="2241"/>
      <c r="HA59" s="2241"/>
      <c r="HB59" s="2241"/>
      <c r="HC59" s="2241"/>
      <c r="HD59" s="2241"/>
      <c r="HE59" s="2241"/>
      <c r="HF59" s="2241"/>
      <c r="HG59" s="2241"/>
      <c r="HH59" s="2241"/>
      <c r="HI59" s="2241"/>
      <c r="HJ59" s="2241"/>
      <c r="HK59" s="2241"/>
      <c r="HL59" s="2241"/>
      <c r="HM59" s="2241"/>
      <c r="HN59" s="2241"/>
      <c r="HO59" s="2241"/>
      <c r="HP59" s="2241"/>
      <c r="HQ59" s="2241"/>
      <c r="HR59" s="2241"/>
      <c r="HS59" s="2241"/>
      <c r="HT59" s="2241"/>
      <c r="HU59" s="2241"/>
      <c r="HV59" s="2241"/>
      <c r="HW59" s="2241"/>
      <c r="HX59" s="2241"/>
      <c r="HY59" s="2241"/>
      <c r="HZ59" s="2241"/>
      <c r="IA59" s="2241"/>
      <c r="IB59" s="2241"/>
      <c r="IC59" s="2241"/>
      <c r="ID59" s="2241"/>
      <c r="IE59" s="2241"/>
      <c r="IF59" s="2241"/>
      <c r="IG59" s="2241"/>
      <c r="IH59" s="2241"/>
      <c r="II59" s="2241"/>
      <c r="IJ59" s="2241"/>
      <c r="IK59" s="2241"/>
      <c r="IL59" s="2241"/>
      <c r="IM59" s="2241"/>
      <c r="IN59" s="2241"/>
      <c r="IO59" s="2241"/>
      <c r="IP59" s="2241"/>
      <c r="IQ59" s="2241"/>
      <c r="IR59" s="2241"/>
      <c r="IS59" s="2241"/>
      <c r="IT59" s="2241"/>
      <c r="IU59" s="2241"/>
      <c r="IV59" s="2241"/>
      <c r="IW59" s="2241"/>
      <c r="IX59" s="2241"/>
    </row>
    <row r="60" spans="1:258" ht="24" hidden="1" outlineLevel="1">
      <c r="A60" s="3059"/>
      <c r="B60" s="2188" t="s">
        <v>865</v>
      </c>
      <c r="C60" s="2236" t="s">
        <v>830</v>
      </c>
      <c r="D60" s="1330">
        <f t="shared" ref="D60:K60" si="31">IF(D59=0,,D61/1000/D59)</f>
        <v>0</v>
      </c>
      <c r="E60" s="1333">
        <f t="shared" si="31"/>
        <v>0</v>
      </c>
      <c r="F60" s="1330">
        <f t="shared" si="31"/>
        <v>0</v>
      </c>
      <c r="G60" s="2267">
        <f t="shared" si="31"/>
        <v>0</v>
      </c>
      <c r="H60" s="997"/>
      <c r="I60" s="997"/>
      <c r="J60" s="2248">
        <f t="shared" si="31"/>
        <v>0</v>
      </c>
      <c r="K60" s="997">
        <f t="shared" si="31"/>
        <v>0</v>
      </c>
      <c r="L60" s="997"/>
      <c r="M60" s="997"/>
      <c r="N60" s="997"/>
      <c r="O60" s="997"/>
      <c r="P60" s="997"/>
      <c r="Q60" s="997"/>
      <c r="R60" s="997"/>
      <c r="S60" s="997"/>
      <c r="T60" s="997"/>
      <c r="U60" s="997"/>
      <c r="V60" s="997"/>
      <c r="W60" s="997"/>
      <c r="X60" s="997"/>
      <c r="Y60" s="2269"/>
      <c r="Z60" s="2249"/>
      <c r="AA60" s="2250"/>
      <c r="AB60" s="2250"/>
      <c r="AC60" s="2250"/>
      <c r="AD60" s="2241"/>
      <c r="AE60" s="2169"/>
      <c r="AF60" s="2169"/>
      <c r="AG60" s="2169"/>
      <c r="AH60" s="2169"/>
      <c r="AI60" s="2169"/>
      <c r="AJ60" s="2169"/>
      <c r="AK60" s="2241"/>
      <c r="AL60" s="2250"/>
      <c r="AM60" s="2250"/>
      <c r="AN60" s="2250"/>
      <c r="AO60" s="2250"/>
      <c r="AP60" s="2250"/>
      <c r="AQ60" s="2250"/>
      <c r="AR60" s="2241"/>
      <c r="AS60" s="2241"/>
      <c r="AT60" s="2241"/>
      <c r="AU60" s="2241"/>
      <c r="AV60" s="2241"/>
      <c r="AW60" s="2241"/>
      <c r="AX60" s="2241"/>
      <c r="AY60" s="2241"/>
      <c r="AZ60" s="2241"/>
      <c r="BA60" s="2241"/>
      <c r="BB60" s="2241"/>
      <c r="BC60" s="2241"/>
      <c r="BD60" s="2241"/>
      <c r="BE60" s="2241"/>
      <c r="BF60" s="2241"/>
      <c r="BG60" s="2241"/>
      <c r="BH60" s="2241"/>
      <c r="BI60" s="2241"/>
      <c r="BJ60" s="2241"/>
      <c r="BK60" s="2241"/>
      <c r="BL60" s="2241"/>
      <c r="BM60" s="2241"/>
      <c r="BN60" s="2241"/>
      <c r="BO60" s="2241"/>
      <c r="BP60" s="2241"/>
      <c r="BQ60" s="2241"/>
      <c r="BR60" s="2241"/>
      <c r="BS60" s="2241"/>
      <c r="BT60" s="2241"/>
      <c r="BU60" s="2241"/>
      <c r="BV60" s="2241"/>
      <c r="BW60" s="2241"/>
      <c r="BX60" s="2241"/>
      <c r="BY60" s="2241"/>
      <c r="BZ60" s="2241"/>
      <c r="CA60" s="2241"/>
      <c r="CB60" s="2241"/>
      <c r="CC60" s="2241"/>
      <c r="CD60" s="2241"/>
      <c r="CE60" s="2241"/>
      <c r="CF60" s="2241"/>
      <c r="CG60" s="2241"/>
      <c r="CH60" s="2241"/>
      <c r="CI60" s="2241"/>
      <c r="CJ60" s="2241"/>
      <c r="CK60" s="2241"/>
      <c r="CL60" s="2241"/>
      <c r="CM60" s="2241"/>
      <c r="CN60" s="2241"/>
      <c r="CO60" s="2241"/>
      <c r="CP60" s="2241"/>
      <c r="CQ60" s="2241"/>
      <c r="CR60" s="2241"/>
      <c r="CS60" s="2241"/>
      <c r="CT60" s="2241"/>
      <c r="CU60" s="2241"/>
      <c r="CV60" s="2241"/>
      <c r="CW60" s="2241"/>
      <c r="CX60" s="2241"/>
      <c r="CY60" s="2241"/>
      <c r="CZ60" s="2241"/>
      <c r="DA60" s="2241"/>
      <c r="DB60" s="2241"/>
      <c r="DC60" s="2241"/>
      <c r="DD60" s="2241"/>
      <c r="DE60" s="2241"/>
      <c r="DF60" s="2241"/>
      <c r="DG60" s="2241"/>
      <c r="DH60" s="2241"/>
      <c r="DI60" s="2241"/>
      <c r="DJ60" s="2241"/>
      <c r="DK60" s="2241"/>
      <c r="DL60" s="2241"/>
      <c r="DM60" s="2241"/>
      <c r="DN60" s="2241"/>
      <c r="DO60" s="2241"/>
      <c r="DP60" s="2241"/>
      <c r="DQ60" s="2241"/>
      <c r="DR60" s="2241"/>
      <c r="DS60" s="2241"/>
      <c r="DT60" s="2241"/>
      <c r="DU60" s="2241"/>
      <c r="DV60" s="2241"/>
      <c r="DW60" s="2241"/>
      <c r="DX60" s="2241"/>
      <c r="DY60" s="2241"/>
      <c r="DZ60" s="2241"/>
      <c r="EA60" s="2241"/>
      <c r="EB60" s="2241"/>
      <c r="EC60" s="2241"/>
      <c r="ED60" s="2241"/>
      <c r="EE60" s="2241"/>
      <c r="EF60" s="2241"/>
      <c r="EG60" s="2241"/>
      <c r="EH60" s="2241"/>
      <c r="EI60" s="2241"/>
      <c r="EJ60" s="2241"/>
      <c r="EK60" s="2241"/>
      <c r="EL60" s="2241"/>
      <c r="EM60" s="2241"/>
      <c r="EN60" s="2241"/>
      <c r="EO60" s="2241"/>
      <c r="EP60" s="2241"/>
      <c r="EQ60" s="2241"/>
      <c r="ER60" s="2241"/>
      <c r="ES60" s="2241"/>
      <c r="ET60" s="2241"/>
      <c r="EU60" s="2241"/>
      <c r="EV60" s="2241"/>
      <c r="EW60" s="2241"/>
      <c r="EX60" s="2241"/>
      <c r="EY60" s="2241"/>
      <c r="EZ60" s="2241"/>
      <c r="FA60" s="2241"/>
      <c r="FB60" s="2241"/>
      <c r="FC60" s="2241"/>
      <c r="FD60" s="2241"/>
      <c r="FE60" s="2241"/>
      <c r="FF60" s="2241"/>
      <c r="FG60" s="2241"/>
      <c r="FH60" s="2241"/>
      <c r="FI60" s="2241"/>
      <c r="FJ60" s="2241"/>
      <c r="FK60" s="2241"/>
      <c r="FL60" s="2241"/>
      <c r="FM60" s="2241"/>
      <c r="FN60" s="2241"/>
      <c r="FO60" s="2241"/>
      <c r="FP60" s="2241"/>
      <c r="FQ60" s="2241"/>
      <c r="FR60" s="2241"/>
      <c r="FS60" s="2241"/>
      <c r="FT60" s="2241"/>
      <c r="FU60" s="2241"/>
      <c r="FV60" s="2241"/>
      <c r="FW60" s="2241"/>
      <c r="FX60" s="2241"/>
      <c r="FY60" s="2241"/>
      <c r="FZ60" s="2241"/>
      <c r="GA60" s="2241"/>
      <c r="GB60" s="2241"/>
      <c r="GC60" s="2241"/>
      <c r="GD60" s="2241"/>
      <c r="GE60" s="2241"/>
      <c r="GF60" s="2241"/>
      <c r="GG60" s="2241"/>
      <c r="GH60" s="2241"/>
      <c r="GI60" s="2241"/>
      <c r="GJ60" s="2241"/>
      <c r="GK60" s="2241"/>
      <c r="GL60" s="2241"/>
      <c r="GM60" s="2241"/>
      <c r="GN60" s="2241"/>
      <c r="GO60" s="2241"/>
      <c r="GP60" s="2241"/>
      <c r="GQ60" s="2241"/>
      <c r="GR60" s="2241"/>
      <c r="GS60" s="2241"/>
      <c r="GT60" s="2241"/>
      <c r="GU60" s="2241"/>
      <c r="GV60" s="2241"/>
      <c r="GW60" s="2241"/>
      <c r="GX60" s="2241"/>
      <c r="GY60" s="2241"/>
      <c r="GZ60" s="2241"/>
      <c r="HA60" s="2241"/>
      <c r="HB60" s="2241"/>
      <c r="HC60" s="2241"/>
      <c r="HD60" s="2241"/>
      <c r="HE60" s="2241"/>
      <c r="HF60" s="2241"/>
      <c r="HG60" s="2241"/>
      <c r="HH60" s="2241"/>
      <c r="HI60" s="2241"/>
      <c r="HJ60" s="2241"/>
      <c r="HK60" s="2241"/>
      <c r="HL60" s="2241"/>
      <c r="HM60" s="2241"/>
      <c r="HN60" s="2241"/>
      <c r="HO60" s="2241"/>
      <c r="HP60" s="2241"/>
      <c r="HQ60" s="2241"/>
      <c r="HR60" s="2241"/>
      <c r="HS60" s="2241"/>
      <c r="HT60" s="2241"/>
      <c r="HU60" s="2241"/>
      <c r="HV60" s="2241"/>
      <c r="HW60" s="2241"/>
      <c r="HX60" s="2241"/>
      <c r="HY60" s="2241"/>
      <c r="HZ60" s="2241"/>
      <c r="IA60" s="2241"/>
      <c r="IB60" s="2241"/>
      <c r="IC60" s="2241"/>
      <c r="ID60" s="2241"/>
      <c r="IE60" s="2241"/>
      <c r="IF60" s="2241"/>
      <c r="IG60" s="2241"/>
      <c r="IH60" s="2241"/>
      <c r="II60" s="2241"/>
      <c r="IJ60" s="2241"/>
      <c r="IK60" s="2241"/>
      <c r="IL60" s="2241"/>
      <c r="IM60" s="2241"/>
      <c r="IN60" s="2241"/>
      <c r="IO60" s="2241"/>
      <c r="IP60" s="2241"/>
      <c r="IQ60" s="2241"/>
      <c r="IR60" s="2241"/>
      <c r="IS60" s="2241"/>
      <c r="IT60" s="2241"/>
      <c r="IU60" s="2241"/>
      <c r="IV60" s="2241"/>
      <c r="IW60" s="2241"/>
      <c r="IX60" s="2241"/>
    </row>
    <row r="61" spans="1:258" ht="24" hidden="1" outlineLevel="1">
      <c r="A61" s="3060"/>
      <c r="B61" s="2257" t="s">
        <v>866</v>
      </c>
      <c r="C61" s="2243" t="s">
        <v>833</v>
      </c>
      <c r="D61" s="1330"/>
      <c r="E61" s="1333"/>
      <c r="F61" s="1330"/>
      <c r="G61" s="2267"/>
      <c r="H61" s="997"/>
      <c r="I61" s="997"/>
      <c r="J61" s="2248">
        <f>L61+N61+P61+R61+T61+V61+X61</f>
        <v>0</v>
      </c>
      <c r="K61" s="997">
        <f>M61+O61+Q61+S61+U61+W61+Y61</f>
        <v>0</v>
      </c>
      <c r="L61" s="997">
        <f>L59*L60/1000</f>
        <v>0</v>
      </c>
      <c r="M61" s="997">
        <f t="shared" ref="M61:Y61" si="32">M59*M60/1000</f>
        <v>0</v>
      </c>
      <c r="N61" s="997">
        <f t="shared" si="32"/>
        <v>0</v>
      </c>
      <c r="O61" s="997">
        <f t="shared" si="32"/>
        <v>0</v>
      </c>
      <c r="P61" s="997">
        <f t="shared" si="32"/>
        <v>0</v>
      </c>
      <c r="Q61" s="997">
        <f t="shared" si="32"/>
        <v>0</v>
      </c>
      <c r="R61" s="997">
        <f t="shared" si="32"/>
        <v>0</v>
      </c>
      <c r="S61" s="997">
        <f t="shared" si="32"/>
        <v>0</v>
      </c>
      <c r="T61" s="997">
        <f t="shared" si="32"/>
        <v>0</v>
      </c>
      <c r="U61" s="997">
        <f t="shared" si="32"/>
        <v>0</v>
      </c>
      <c r="V61" s="997">
        <f t="shared" si="32"/>
        <v>0</v>
      </c>
      <c r="W61" s="997">
        <f t="shared" si="32"/>
        <v>0</v>
      </c>
      <c r="X61" s="997">
        <f t="shared" si="32"/>
        <v>0</v>
      </c>
      <c r="Y61" s="1333">
        <f t="shared" si="32"/>
        <v>0</v>
      </c>
      <c r="Z61" s="2249"/>
      <c r="AA61" s="2250"/>
      <c r="AB61" s="2250"/>
      <c r="AC61" s="2250"/>
      <c r="AD61" s="2241"/>
      <c r="AE61" s="2169"/>
      <c r="AF61" s="2169"/>
      <c r="AG61" s="2169"/>
      <c r="AH61" s="2169"/>
      <c r="AI61" s="2169"/>
      <c r="AJ61" s="2169"/>
      <c r="AK61" s="2241"/>
      <c r="AL61" s="2250"/>
      <c r="AM61" s="2250"/>
      <c r="AN61" s="2250"/>
      <c r="AO61" s="2250"/>
      <c r="AP61" s="2250"/>
      <c r="AQ61" s="2250"/>
      <c r="AR61" s="2241"/>
      <c r="AS61" s="2241"/>
      <c r="AT61" s="2241"/>
      <c r="AU61" s="2241"/>
      <c r="AV61" s="2241"/>
      <c r="AW61" s="2241"/>
      <c r="AX61" s="2241"/>
      <c r="AY61" s="2241"/>
      <c r="AZ61" s="2241"/>
      <c r="BA61" s="2241"/>
      <c r="BB61" s="2241"/>
      <c r="BC61" s="2241"/>
      <c r="BD61" s="2241"/>
      <c r="BE61" s="2241"/>
      <c r="BF61" s="2241"/>
      <c r="BG61" s="2241"/>
      <c r="BH61" s="2241"/>
      <c r="BI61" s="2241"/>
      <c r="BJ61" s="2241"/>
      <c r="BK61" s="2241"/>
      <c r="BL61" s="2241"/>
      <c r="BM61" s="2241"/>
      <c r="BN61" s="2241"/>
      <c r="BO61" s="2241"/>
      <c r="BP61" s="2241"/>
      <c r="BQ61" s="2241"/>
      <c r="BR61" s="2241"/>
      <c r="BS61" s="2241"/>
      <c r="BT61" s="2241"/>
      <c r="BU61" s="2241"/>
      <c r="BV61" s="2241"/>
      <c r="BW61" s="2241"/>
      <c r="BX61" s="2241"/>
      <c r="BY61" s="2241"/>
      <c r="BZ61" s="2241"/>
      <c r="CA61" s="2241"/>
      <c r="CB61" s="2241"/>
      <c r="CC61" s="2241"/>
      <c r="CD61" s="2241"/>
      <c r="CE61" s="2241"/>
      <c r="CF61" s="2241"/>
      <c r="CG61" s="2241"/>
      <c r="CH61" s="2241"/>
      <c r="CI61" s="2241"/>
      <c r="CJ61" s="2241"/>
      <c r="CK61" s="2241"/>
      <c r="CL61" s="2241"/>
      <c r="CM61" s="2241"/>
      <c r="CN61" s="2241"/>
      <c r="CO61" s="2241"/>
      <c r="CP61" s="2241"/>
      <c r="CQ61" s="2241"/>
      <c r="CR61" s="2241"/>
      <c r="CS61" s="2241"/>
      <c r="CT61" s="2241"/>
      <c r="CU61" s="2241"/>
      <c r="CV61" s="2241"/>
      <c r="CW61" s="2241"/>
      <c r="CX61" s="2241"/>
      <c r="CY61" s="2241"/>
      <c r="CZ61" s="2241"/>
      <c r="DA61" s="2241"/>
      <c r="DB61" s="2241"/>
      <c r="DC61" s="2241"/>
      <c r="DD61" s="2241"/>
      <c r="DE61" s="2241"/>
      <c r="DF61" s="2241"/>
      <c r="DG61" s="2241"/>
      <c r="DH61" s="2241"/>
      <c r="DI61" s="2241"/>
      <c r="DJ61" s="2241"/>
      <c r="DK61" s="2241"/>
      <c r="DL61" s="2241"/>
      <c r="DM61" s="2241"/>
      <c r="DN61" s="2241"/>
      <c r="DO61" s="2241"/>
      <c r="DP61" s="2241"/>
      <c r="DQ61" s="2241"/>
      <c r="DR61" s="2241"/>
      <c r="DS61" s="2241"/>
      <c r="DT61" s="2241"/>
      <c r="DU61" s="2241"/>
      <c r="DV61" s="2241"/>
      <c r="DW61" s="2241"/>
      <c r="DX61" s="2241"/>
      <c r="DY61" s="2241"/>
      <c r="DZ61" s="2241"/>
      <c r="EA61" s="2241"/>
      <c r="EB61" s="2241"/>
      <c r="EC61" s="2241"/>
      <c r="ED61" s="2241"/>
      <c r="EE61" s="2241"/>
      <c r="EF61" s="2241"/>
      <c r="EG61" s="2241"/>
      <c r="EH61" s="2241"/>
      <c r="EI61" s="2241"/>
      <c r="EJ61" s="2241"/>
      <c r="EK61" s="2241"/>
      <c r="EL61" s="2241"/>
      <c r="EM61" s="2241"/>
      <c r="EN61" s="2241"/>
      <c r="EO61" s="2241"/>
      <c r="EP61" s="2241"/>
      <c r="EQ61" s="2241"/>
      <c r="ER61" s="2241"/>
      <c r="ES61" s="2241"/>
      <c r="ET61" s="2241"/>
      <c r="EU61" s="2241"/>
      <c r="EV61" s="2241"/>
      <c r="EW61" s="2241"/>
      <c r="EX61" s="2241"/>
      <c r="EY61" s="2241"/>
      <c r="EZ61" s="2241"/>
      <c r="FA61" s="2241"/>
      <c r="FB61" s="2241"/>
      <c r="FC61" s="2241"/>
      <c r="FD61" s="2241"/>
      <c r="FE61" s="2241"/>
      <c r="FF61" s="2241"/>
      <c r="FG61" s="2241"/>
      <c r="FH61" s="2241"/>
      <c r="FI61" s="2241"/>
      <c r="FJ61" s="2241"/>
      <c r="FK61" s="2241"/>
      <c r="FL61" s="2241"/>
      <c r="FM61" s="2241"/>
      <c r="FN61" s="2241"/>
      <c r="FO61" s="2241"/>
      <c r="FP61" s="2241"/>
      <c r="FQ61" s="2241"/>
      <c r="FR61" s="2241"/>
      <c r="FS61" s="2241"/>
      <c r="FT61" s="2241"/>
      <c r="FU61" s="2241"/>
      <c r="FV61" s="2241"/>
      <c r="FW61" s="2241"/>
      <c r="FX61" s="2241"/>
      <c r="FY61" s="2241"/>
      <c r="FZ61" s="2241"/>
      <c r="GA61" s="2241"/>
      <c r="GB61" s="2241"/>
      <c r="GC61" s="2241"/>
      <c r="GD61" s="2241"/>
      <c r="GE61" s="2241"/>
      <c r="GF61" s="2241"/>
      <c r="GG61" s="2241"/>
      <c r="GH61" s="2241"/>
      <c r="GI61" s="2241"/>
      <c r="GJ61" s="2241"/>
      <c r="GK61" s="2241"/>
      <c r="GL61" s="2241"/>
      <c r="GM61" s="2241"/>
      <c r="GN61" s="2241"/>
      <c r="GO61" s="2241"/>
      <c r="GP61" s="2241"/>
      <c r="GQ61" s="2241"/>
      <c r="GR61" s="2241"/>
      <c r="GS61" s="2241"/>
      <c r="GT61" s="2241"/>
      <c r="GU61" s="2241"/>
      <c r="GV61" s="2241"/>
      <c r="GW61" s="2241"/>
      <c r="GX61" s="2241"/>
      <c r="GY61" s="2241"/>
      <c r="GZ61" s="2241"/>
      <c r="HA61" s="2241"/>
      <c r="HB61" s="2241"/>
      <c r="HC61" s="2241"/>
      <c r="HD61" s="2241"/>
      <c r="HE61" s="2241"/>
      <c r="HF61" s="2241"/>
      <c r="HG61" s="2241"/>
      <c r="HH61" s="2241"/>
      <c r="HI61" s="2241"/>
      <c r="HJ61" s="2241"/>
      <c r="HK61" s="2241"/>
      <c r="HL61" s="2241"/>
      <c r="HM61" s="2241"/>
      <c r="HN61" s="2241"/>
      <c r="HO61" s="2241"/>
      <c r="HP61" s="2241"/>
      <c r="HQ61" s="2241"/>
      <c r="HR61" s="2241"/>
      <c r="HS61" s="2241"/>
      <c r="HT61" s="2241"/>
      <c r="HU61" s="2241"/>
      <c r="HV61" s="2241"/>
      <c r="HW61" s="2241"/>
      <c r="HX61" s="2241"/>
      <c r="HY61" s="2241"/>
      <c r="HZ61" s="2241"/>
      <c r="IA61" s="2241"/>
      <c r="IB61" s="2241"/>
      <c r="IC61" s="2241"/>
      <c r="ID61" s="2241"/>
      <c r="IE61" s="2241"/>
      <c r="IF61" s="2241"/>
      <c r="IG61" s="2241"/>
      <c r="IH61" s="2241"/>
      <c r="II61" s="2241"/>
      <c r="IJ61" s="2241"/>
      <c r="IK61" s="2241"/>
      <c r="IL61" s="2241"/>
      <c r="IM61" s="2241"/>
      <c r="IN61" s="2241"/>
      <c r="IO61" s="2241"/>
      <c r="IP61" s="2241"/>
      <c r="IQ61" s="2241"/>
      <c r="IR61" s="2241"/>
      <c r="IS61" s="2241"/>
      <c r="IT61" s="2241"/>
      <c r="IU61" s="2241"/>
      <c r="IV61" s="2241"/>
      <c r="IW61" s="2241"/>
      <c r="IX61" s="2241"/>
    </row>
    <row r="62" spans="1:258" hidden="1" outlineLevel="1">
      <c r="A62" s="3058" t="s">
        <v>867</v>
      </c>
      <c r="B62" s="2188" t="s">
        <v>868</v>
      </c>
      <c r="C62" s="2236" t="s">
        <v>803</v>
      </c>
      <c r="D62" s="1330"/>
      <c r="E62" s="1333"/>
      <c r="F62" s="1330"/>
      <c r="G62" s="2267"/>
      <c r="H62" s="997"/>
      <c r="I62" s="997"/>
      <c r="J62" s="2248">
        <f>L62+N62+P62+R62+T62+V62+X62</f>
        <v>0</v>
      </c>
      <c r="K62" s="997">
        <f>M62+O62+Q62+S62+U62+W62+Y62</f>
        <v>0</v>
      </c>
      <c r="L62" s="997"/>
      <c r="M62" s="997"/>
      <c r="N62" s="997"/>
      <c r="O62" s="997"/>
      <c r="P62" s="997"/>
      <c r="Q62" s="997"/>
      <c r="R62" s="997"/>
      <c r="S62" s="997"/>
      <c r="T62" s="997"/>
      <c r="U62" s="997"/>
      <c r="V62" s="997"/>
      <c r="W62" s="997"/>
      <c r="X62" s="997"/>
      <c r="Y62" s="2269"/>
      <c r="Z62" s="2249"/>
      <c r="AA62" s="2250"/>
      <c r="AB62" s="2250"/>
      <c r="AC62" s="2250"/>
      <c r="AD62" s="2241"/>
      <c r="AE62" s="2169"/>
      <c r="AF62" s="2169"/>
      <c r="AG62" s="2169"/>
      <c r="AH62" s="2169"/>
      <c r="AI62" s="2169"/>
      <c r="AJ62" s="2169"/>
      <c r="AK62" s="2241"/>
      <c r="AL62" s="2250"/>
      <c r="AM62" s="2250"/>
      <c r="AN62" s="2250"/>
      <c r="AO62" s="2250"/>
      <c r="AP62" s="2250"/>
      <c r="AQ62" s="2250"/>
      <c r="AR62" s="2241"/>
      <c r="AS62" s="2241"/>
      <c r="AT62" s="2241"/>
      <c r="AU62" s="2241"/>
      <c r="AV62" s="2241"/>
      <c r="AW62" s="2241"/>
      <c r="AX62" s="2241"/>
      <c r="AY62" s="2241"/>
      <c r="AZ62" s="2241"/>
      <c r="BA62" s="2241"/>
      <c r="BB62" s="2241"/>
      <c r="BC62" s="2241"/>
      <c r="BD62" s="2241"/>
      <c r="BE62" s="2241"/>
      <c r="BF62" s="2241"/>
      <c r="BG62" s="2241"/>
      <c r="BH62" s="2241"/>
      <c r="BI62" s="2241"/>
      <c r="BJ62" s="2241"/>
      <c r="BK62" s="2241"/>
      <c r="BL62" s="2241"/>
      <c r="BM62" s="2241"/>
      <c r="BN62" s="2241"/>
      <c r="BO62" s="2241"/>
      <c r="BP62" s="2241"/>
      <c r="BQ62" s="2241"/>
      <c r="BR62" s="2241"/>
      <c r="BS62" s="2241"/>
      <c r="BT62" s="2241"/>
      <c r="BU62" s="2241"/>
      <c r="BV62" s="2241"/>
      <c r="BW62" s="2241"/>
      <c r="BX62" s="2241"/>
      <c r="BY62" s="2241"/>
      <c r="BZ62" s="2241"/>
      <c r="CA62" s="2241"/>
      <c r="CB62" s="2241"/>
      <c r="CC62" s="2241"/>
      <c r="CD62" s="2241"/>
      <c r="CE62" s="2241"/>
      <c r="CF62" s="2241"/>
      <c r="CG62" s="2241"/>
      <c r="CH62" s="2241"/>
      <c r="CI62" s="2241"/>
      <c r="CJ62" s="2241"/>
      <c r="CK62" s="2241"/>
      <c r="CL62" s="2241"/>
      <c r="CM62" s="2241"/>
      <c r="CN62" s="2241"/>
      <c r="CO62" s="2241"/>
      <c r="CP62" s="2241"/>
      <c r="CQ62" s="2241"/>
      <c r="CR62" s="2241"/>
      <c r="CS62" s="2241"/>
      <c r="CT62" s="2241"/>
      <c r="CU62" s="2241"/>
      <c r="CV62" s="2241"/>
      <c r="CW62" s="2241"/>
      <c r="CX62" s="2241"/>
      <c r="CY62" s="2241"/>
      <c r="CZ62" s="2241"/>
      <c r="DA62" s="2241"/>
      <c r="DB62" s="2241"/>
      <c r="DC62" s="2241"/>
      <c r="DD62" s="2241"/>
      <c r="DE62" s="2241"/>
      <c r="DF62" s="2241"/>
      <c r="DG62" s="2241"/>
      <c r="DH62" s="2241"/>
      <c r="DI62" s="2241"/>
      <c r="DJ62" s="2241"/>
      <c r="DK62" s="2241"/>
      <c r="DL62" s="2241"/>
      <c r="DM62" s="2241"/>
      <c r="DN62" s="2241"/>
      <c r="DO62" s="2241"/>
      <c r="DP62" s="2241"/>
      <c r="DQ62" s="2241"/>
      <c r="DR62" s="2241"/>
      <c r="DS62" s="2241"/>
      <c r="DT62" s="2241"/>
      <c r="DU62" s="2241"/>
      <c r="DV62" s="2241"/>
      <c r="DW62" s="2241"/>
      <c r="DX62" s="2241"/>
      <c r="DY62" s="2241"/>
      <c r="DZ62" s="2241"/>
      <c r="EA62" s="2241"/>
      <c r="EB62" s="2241"/>
      <c r="EC62" s="2241"/>
      <c r="ED62" s="2241"/>
      <c r="EE62" s="2241"/>
      <c r="EF62" s="2241"/>
      <c r="EG62" s="2241"/>
      <c r="EH62" s="2241"/>
      <c r="EI62" s="2241"/>
      <c r="EJ62" s="2241"/>
      <c r="EK62" s="2241"/>
      <c r="EL62" s="2241"/>
      <c r="EM62" s="2241"/>
      <c r="EN62" s="2241"/>
      <c r="EO62" s="2241"/>
      <c r="EP62" s="2241"/>
      <c r="EQ62" s="2241"/>
      <c r="ER62" s="2241"/>
      <c r="ES62" s="2241"/>
      <c r="ET62" s="2241"/>
      <c r="EU62" s="2241"/>
      <c r="EV62" s="2241"/>
      <c r="EW62" s="2241"/>
      <c r="EX62" s="2241"/>
      <c r="EY62" s="2241"/>
      <c r="EZ62" s="2241"/>
      <c r="FA62" s="2241"/>
      <c r="FB62" s="2241"/>
      <c r="FC62" s="2241"/>
      <c r="FD62" s="2241"/>
      <c r="FE62" s="2241"/>
      <c r="FF62" s="2241"/>
      <c r="FG62" s="2241"/>
      <c r="FH62" s="2241"/>
      <c r="FI62" s="2241"/>
      <c r="FJ62" s="2241"/>
      <c r="FK62" s="2241"/>
      <c r="FL62" s="2241"/>
      <c r="FM62" s="2241"/>
      <c r="FN62" s="2241"/>
      <c r="FO62" s="2241"/>
      <c r="FP62" s="2241"/>
      <c r="FQ62" s="2241"/>
      <c r="FR62" s="2241"/>
      <c r="FS62" s="2241"/>
      <c r="FT62" s="2241"/>
      <c r="FU62" s="2241"/>
      <c r="FV62" s="2241"/>
      <c r="FW62" s="2241"/>
      <c r="FX62" s="2241"/>
      <c r="FY62" s="2241"/>
      <c r="FZ62" s="2241"/>
      <c r="GA62" s="2241"/>
      <c r="GB62" s="2241"/>
      <c r="GC62" s="2241"/>
      <c r="GD62" s="2241"/>
      <c r="GE62" s="2241"/>
      <c r="GF62" s="2241"/>
      <c r="GG62" s="2241"/>
      <c r="GH62" s="2241"/>
      <c r="GI62" s="2241"/>
      <c r="GJ62" s="2241"/>
      <c r="GK62" s="2241"/>
      <c r="GL62" s="2241"/>
      <c r="GM62" s="2241"/>
      <c r="GN62" s="2241"/>
      <c r="GO62" s="2241"/>
      <c r="GP62" s="2241"/>
      <c r="GQ62" s="2241"/>
      <c r="GR62" s="2241"/>
      <c r="GS62" s="2241"/>
      <c r="GT62" s="2241"/>
      <c r="GU62" s="2241"/>
      <c r="GV62" s="2241"/>
      <c r="GW62" s="2241"/>
      <c r="GX62" s="2241"/>
      <c r="GY62" s="2241"/>
      <c r="GZ62" s="2241"/>
      <c r="HA62" s="2241"/>
      <c r="HB62" s="2241"/>
      <c r="HC62" s="2241"/>
      <c r="HD62" s="2241"/>
      <c r="HE62" s="2241"/>
      <c r="HF62" s="2241"/>
      <c r="HG62" s="2241"/>
      <c r="HH62" s="2241"/>
      <c r="HI62" s="2241"/>
      <c r="HJ62" s="2241"/>
      <c r="HK62" s="2241"/>
      <c r="HL62" s="2241"/>
      <c r="HM62" s="2241"/>
      <c r="HN62" s="2241"/>
      <c r="HO62" s="2241"/>
      <c r="HP62" s="2241"/>
      <c r="HQ62" s="2241"/>
      <c r="HR62" s="2241"/>
      <c r="HS62" s="2241"/>
      <c r="HT62" s="2241"/>
      <c r="HU62" s="2241"/>
      <c r="HV62" s="2241"/>
      <c r="HW62" s="2241"/>
      <c r="HX62" s="2241"/>
      <c r="HY62" s="2241"/>
      <c r="HZ62" s="2241"/>
      <c r="IA62" s="2241"/>
      <c r="IB62" s="2241"/>
      <c r="IC62" s="2241"/>
      <c r="ID62" s="2241"/>
      <c r="IE62" s="2241"/>
      <c r="IF62" s="2241"/>
      <c r="IG62" s="2241"/>
      <c r="IH62" s="2241"/>
      <c r="II62" s="2241"/>
      <c r="IJ62" s="2241"/>
      <c r="IK62" s="2241"/>
      <c r="IL62" s="2241"/>
      <c r="IM62" s="2241"/>
      <c r="IN62" s="2241"/>
      <c r="IO62" s="2241"/>
      <c r="IP62" s="2241"/>
      <c r="IQ62" s="2241"/>
      <c r="IR62" s="2241"/>
      <c r="IS62" s="2241"/>
      <c r="IT62" s="2241"/>
      <c r="IU62" s="2241"/>
      <c r="IV62" s="2241"/>
      <c r="IW62" s="2241"/>
      <c r="IX62" s="2241"/>
    </row>
    <row r="63" spans="1:258" ht="24" hidden="1" outlineLevel="1">
      <c r="A63" s="3059"/>
      <c r="B63" s="2188" t="s">
        <v>869</v>
      </c>
      <c r="C63" s="2236" t="s">
        <v>830</v>
      </c>
      <c r="D63" s="1330">
        <f t="shared" ref="D63:K63" si="33">IF(D62=0,,D64/1000/D62)</f>
        <v>0</v>
      </c>
      <c r="E63" s="1333">
        <f t="shared" si="33"/>
        <v>0</v>
      </c>
      <c r="F63" s="1330">
        <f t="shared" si="33"/>
        <v>0</v>
      </c>
      <c r="G63" s="2267">
        <f t="shared" si="33"/>
        <v>0</v>
      </c>
      <c r="H63" s="997"/>
      <c r="I63" s="997"/>
      <c r="J63" s="2248">
        <f t="shared" si="33"/>
        <v>0</v>
      </c>
      <c r="K63" s="997">
        <f t="shared" si="33"/>
        <v>0</v>
      </c>
      <c r="L63" s="997"/>
      <c r="M63" s="997"/>
      <c r="N63" s="997"/>
      <c r="O63" s="997"/>
      <c r="P63" s="997"/>
      <c r="Q63" s="997"/>
      <c r="R63" s="997"/>
      <c r="S63" s="997"/>
      <c r="T63" s="997"/>
      <c r="U63" s="997"/>
      <c r="V63" s="997"/>
      <c r="W63" s="997"/>
      <c r="X63" s="997"/>
      <c r="Y63" s="2269"/>
      <c r="Z63" s="2249"/>
      <c r="AA63" s="2250"/>
      <c r="AB63" s="2250"/>
      <c r="AC63" s="2250"/>
      <c r="AD63" s="2241"/>
      <c r="AE63" s="2169"/>
      <c r="AF63" s="2169"/>
      <c r="AG63" s="2169"/>
      <c r="AH63" s="2169"/>
      <c r="AI63" s="2169"/>
      <c r="AJ63" s="2169"/>
      <c r="AK63" s="2241"/>
      <c r="AL63" s="2250"/>
      <c r="AM63" s="2250"/>
      <c r="AN63" s="2250"/>
      <c r="AO63" s="2250"/>
      <c r="AP63" s="2250"/>
      <c r="AQ63" s="2250"/>
      <c r="AR63" s="2241"/>
      <c r="AS63" s="2241"/>
      <c r="AT63" s="2241"/>
      <c r="AU63" s="2241"/>
      <c r="AV63" s="2241"/>
      <c r="AW63" s="2241"/>
      <c r="AX63" s="2241"/>
      <c r="AY63" s="2241"/>
      <c r="AZ63" s="2241"/>
      <c r="BA63" s="2241"/>
      <c r="BB63" s="2241"/>
      <c r="BC63" s="2241"/>
      <c r="BD63" s="2241"/>
      <c r="BE63" s="2241"/>
      <c r="BF63" s="2241"/>
      <c r="BG63" s="2241"/>
      <c r="BH63" s="2241"/>
      <c r="BI63" s="2241"/>
      <c r="BJ63" s="2241"/>
      <c r="BK63" s="2241"/>
      <c r="BL63" s="2241"/>
      <c r="BM63" s="2241"/>
      <c r="BN63" s="2241"/>
      <c r="BO63" s="2241"/>
      <c r="BP63" s="2241"/>
      <c r="BQ63" s="2241"/>
      <c r="BR63" s="2241"/>
      <c r="BS63" s="2241"/>
      <c r="BT63" s="2241"/>
      <c r="BU63" s="2241"/>
      <c r="BV63" s="2241"/>
      <c r="BW63" s="2241"/>
      <c r="BX63" s="2241"/>
      <c r="BY63" s="2241"/>
      <c r="BZ63" s="2241"/>
      <c r="CA63" s="2241"/>
      <c r="CB63" s="2241"/>
      <c r="CC63" s="2241"/>
      <c r="CD63" s="2241"/>
      <c r="CE63" s="2241"/>
      <c r="CF63" s="2241"/>
      <c r="CG63" s="2241"/>
      <c r="CH63" s="2241"/>
      <c r="CI63" s="2241"/>
      <c r="CJ63" s="2241"/>
      <c r="CK63" s="2241"/>
      <c r="CL63" s="2241"/>
      <c r="CM63" s="2241"/>
      <c r="CN63" s="2241"/>
      <c r="CO63" s="2241"/>
      <c r="CP63" s="2241"/>
      <c r="CQ63" s="2241"/>
      <c r="CR63" s="2241"/>
      <c r="CS63" s="2241"/>
      <c r="CT63" s="2241"/>
      <c r="CU63" s="2241"/>
      <c r="CV63" s="2241"/>
      <c r="CW63" s="2241"/>
      <c r="CX63" s="2241"/>
      <c r="CY63" s="2241"/>
      <c r="CZ63" s="2241"/>
      <c r="DA63" s="2241"/>
      <c r="DB63" s="2241"/>
      <c r="DC63" s="2241"/>
      <c r="DD63" s="2241"/>
      <c r="DE63" s="2241"/>
      <c r="DF63" s="2241"/>
      <c r="DG63" s="2241"/>
      <c r="DH63" s="2241"/>
      <c r="DI63" s="2241"/>
      <c r="DJ63" s="2241"/>
      <c r="DK63" s="2241"/>
      <c r="DL63" s="2241"/>
      <c r="DM63" s="2241"/>
      <c r="DN63" s="2241"/>
      <c r="DO63" s="2241"/>
      <c r="DP63" s="2241"/>
      <c r="DQ63" s="2241"/>
      <c r="DR63" s="2241"/>
      <c r="DS63" s="2241"/>
      <c r="DT63" s="2241"/>
      <c r="DU63" s="2241"/>
      <c r="DV63" s="2241"/>
      <c r="DW63" s="2241"/>
      <c r="DX63" s="2241"/>
      <c r="DY63" s="2241"/>
      <c r="DZ63" s="2241"/>
      <c r="EA63" s="2241"/>
      <c r="EB63" s="2241"/>
      <c r="EC63" s="2241"/>
      <c r="ED63" s="2241"/>
      <c r="EE63" s="2241"/>
      <c r="EF63" s="2241"/>
      <c r="EG63" s="2241"/>
      <c r="EH63" s="2241"/>
      <c r="EI63" s="2241"/>
      <c r="EJ63" s="2241"/>
      <c r="EK63" s="2241"/>
      <c r="EL63" s="2241"/>
      <c r="EM63" s="2241"/>
      <c r="EN63" s="2241"/>
      <c r="EO63" s="2241"/>
      <c r="EP63" s="2241"/>
      <c r="EQ63" s="2241"/>
      <c r="ER63" s="2241"/>
      <c r="ES63" s="2241"/>
      <c r="ET63" s="2241"/>
      <c r="EU63" s="2241"/>
      <c r="EV63" s="2241"/>
      <c r="EW63" s="2241"/>
      <c r="EX63" s="2241"/>
      <c r="EY63" s="2241"/>
      <c r="EZ63" s="2241"/>
      <c r="FA63" s="2241"/>
      <c r="FB63" s="2241"/>
      <c r="FC63" s="2241"/>
      <c r="FD63" s="2241"/>
      <c r="FE63" s="2241"/>
      <c r="FF63" s="2241"/>
      <c r="FG63" s="2241"/>
      <c r="FH63" s="2241"/>
      <c r="FI63" s="2241"/>
      <c r="FJ63" s="2241"/>
      <c r="FK63" s="2241"/>
      <c r="FL63" s="2241"/>
      <c r="FM63" s="2241"/>
      <c r="FN63" s="2241"/>
      <c r="FO63" s="2241"/>
      <c r="FP63" s="2241"/>
      <c r="FQ63" s="2241"/>
      <c r="FR63" s="2241"/>
      <c r="FS63" s="2241"/>
      <c r="FT63" s="2241"/>
      <c r="FU63" s="2241"/>
      <c r="FV63" s="2241"/>
      <c r="FW63" s="2241"/>
      <c r="FX63" s="2241"/>
      <c r="FY63" s="2241"/>
      <c r="FZ63" s="2241"/>
      <c r="GA63" s="2241"/>
      <c r="GB63" s="2241"/>
      <c r="GC63" s="2241"/>
      <c r="GD63" s="2241"/>
      <c r="GE63" s="2241"/>
      <c r="GF63" s="2241"/>
      <c r="GG63" s="2241"/>
      <c r="GH63" s="2241"/>
      <c r="GI63" s="2241"/>
      <c r="GJ63" s="2241"/>
      <c r="GK63" s="2241"/>
      <c r="GL63" s="2241"/>
      <c r="GM63" s="2241"/>
      <c r="GN63" s="2241"/>
      <c r="GO63" s="2241"/>
      <c r="GP63" s="2241"/>
      <c r="GQ63" s="2241"/>
      <c r="GR63" s="2241"/>
      <c r="GS63" s="2241"/>
      <c r="GT63" s="2241"/>
      <c r="GU63" s="2241"/>
      <c r="GV63" s="2241"/>
      <c r="GW63" s="2241"/>
      <c r="GX63" s="2241"/>
      <c r="GY63" s="2241"/>
      <c r="GZ63" s="2241"/>
      <c r="HA63" s="2241"/>
      <c r="HB63" s="2241"/>
      <c r="HC63" s="2241"/>
      <c r="HD63" s="2241"/>
      <c r="HE63" s="2241"/>
      <c r="HF63" s="2241"/>
      <c r="HG63" s="2241"/>
      <c r="HH63" s="2241"/>
      <c r="HI63" s="2241"/>
      <c r="HJ63" s="2241"/>
      <c r="HK63" s="2241"/>
      <c r="HL63" s="2241"/>
      <c r="HM63" s="2241"/>
      <c r="HN63" s="2241"/>
      <c r="HO63" s="2241"/>
      <c r="HP63" s="2241"/>
      <c r="HQ63" s="2241"/>
      <c r="HR63" s="2241"/>
      <c r="HS63" s="2241"/>
      <c r="HT63" s="2241"/>
      <c r="HU63" s="2241"/>
      <c r="HV63" s="2241"/>
      <c r="HW63" s="2241"/>
      <c r="HX63" s="2241"/>
      <c r="HY63" s="2241"/>
      <c r="HZ63" s="2241"/>
      <c r="IA63" s="2241"/>
      <c r="IB63" s="2241"/>
      <c r="IC63" s="2241"/>
      <c r="ID63" s="2241"/>
      <c r="IE63" s="2241"/>
      <c r="IF63" s="2241"/>
      <c r="IG63" s="2241"/>
      <c r="IH63" s="2241"/>
      <c r="II63" s="2241"/>
      <c r="IJ63" s="2241"/>
      <c r="IK63" s="2241"/>
      <c r="IL63" s="2241"/>
      <c r="IM63" s="2241"/>
      <c r="IN63" s="2241"/>
      <c r="IO63" s="2241"/>
      <c r="IP63" s="2241"/>
      <c r="IQ63" s="2241"/>
      <c r="IR63" s="2241"/>
      <c r="IS63" s="2241"/>
      <c r="IT63" s="2241"/>
      <c r="IU63" s="2241"/>
      <c r="IV63" s="2241"/>
      <c r="IW63" s="2241"/>
      <c r="IX63" s="2241"/>
    </row>
    <row r="64" spans="1:258" ht="24" hidden="1" outlineLevel="1">
      <c r="A64" s="3060"/>
      <c r="B64" s="2257" t="s">
        <v>870</v>
      </c>
      <c r="C64" s="2243" t="s">
        <v>833</v>
      </c>
      <c r="D64" s="1330"/>
      <c r="E64" s="1333"/>
      <c r="F64" s="1330"/>
      <c r="G64" s="2267"/>
      <c r="H64" s="997"/>
      <c r="I64" s="997"/>
      <c r="J64" s="2248">
        <f>L64+N64+P64+R64+T64+V64+X64</f>
        <v>0</v>
      </c>
      <c r="K64" s="997">
        <f>M64+O64+Q64+S64+U64+W64+Y64</f>
        <v>0</v>
      </c>
      <c r="L64" s="997">
        <f>L62*L63/1000</f>
        <v>0</v>
      </c>
      <c r="M64" s="997">
        <f t="shared" ref="M64:Y64" si="34">M62*M63/1000</f>
        <v>0</v>
      </c>
      <c r="N64" s="997">
        <f t="shared" si="34"/>
        <v>0</v>
      </c>
      <c r="O64" s="997">
        <f t="shared" si="34"/>
        <v>0</v>
      </c>
      <c r="P64" s="997">
        <f t="shared" si="34"/>
        <v>0</v>
      </c>
      <c r="Q64" s="997">
        <f t="shared" si="34"/>
        <v>0</v>
      </c>
      <c r="R64" s="997">
        <f t="shared" si="34"/>
        <v>0</v>
      </c>
      <c r="S64" s="997">
        <f t="shared" si="34"/>
        <v>0</v>
      </c>
      <c r="T64" s="997">
        <f t="shared" si="34"/>
        <v>0</v>
      </c>
      <c r="U64" s="997">
        <f t="shared" si="34"/>
        <v>0</v>
      </c>
      <c r="V64" s="997">
        <f t="shared" si="34"/>
        <v>0</v>
      </c>
      <c r="W64" s="997">
        <f t="shared" si="34"/>
        <v>0</v>
      </c>
      <c r="X64" s="997">
        <f t="shared" si="34"/>
        <v>0</v>
      </c>
      <c r="Y64" s="1333">
        <f t="shared" si="34"/>
        <v>0</v>
      </c>
      <c r="Z64" s="2249"/>
      <c r="AA64" s="2250"/>
      <c r="AB64" s="2250"/>
      <c r="AC64" s="2250"/>
      <c r="AD64" s="2241"/>
      <c r="AE64" s="2169"/>
      <c r="AF64" s="2169"/>
      <c r="AG64" s="2169"/>
      <c r="AH64" s="2169"/>
      <c r="AI64" s="2169"/>
      <c r="AJ64" s="2169"/>
      <c r="AK64" s="2241"/>
      <c r="AL64" s="2250"/>
      <c r="AM64" s="2250"/>
      <c r="AN64" s="2250"/>
      <c r="AO64" s="2250"/>
      <c r="AP64" s="2250"/>
      <c r="AQ64" s="2250"/>
      <c r="AR64" s="2241"/>
      <c r="AS64" s="2241"/>
      <c r="AT64" s="2241"/>
      <c r="AU64" s="2241"/>
      <c r="AV64" s="2241"/>
      <c r="AW64" s="2241"/>
      <c r="AX64" s="2241"/>
      <c r="AY64" s="2241"/>
      <c r="AZ64" s="2241"/>
      <c r="BA64" s="2241"/>
      <c r="BB64" s="2241"/>
      <c r="BC64" s="2241"/>
      <c r="BD64" s="2241"/>
      <c r="BE64" s="2241"/>
      <c r="BF64" s="2241"/>
      <c r="BG64" s="2241"/>
      <c r="BH64" s="2241"/>
      <c r="BI64" s="2241"/>
      <c r="BJ64" s="2241"/>
      <c r="BK64" s="2241"/>
      <c r="BL64" s="2241"/>
      <c r="BM64" s="2241"/>
      <c r="BN64" s="2241"/>
      <c r="BO64" s="2241"/>
      <c r="BP64" s="2241"/>
      <c r="BQ64" s="2241"/>
      <c r="BR64" s="2241"/>
      <c r="BS64" s="2241"/>
      <c r="BT64" s="2241"/>
      <c r="BU64" s="2241"/>
      <c r="BV64" s="2241"/>
      <c r="BW64" s="2241"/>
      <c r="BX64" s="2241"/>
      <c r="BY64" s="2241"/>
      <c r="BZ64" s="2241"/>
      <c r="CA64" s="2241"/>
      <c r="CB64" s="2241"/>
      <c r="CC64" s="2241"/>
      <c r="CD64" s="2241"/>
      <c r="CE64" s="2241"/>
      <c r="CF64" s="2241"/>
      <c r="CG64" s="2241"/>
      <c r="CH64" s="2241"/>
      <c r="CI64" s="2241"/>
      <c r="CJ64" s="2241"/>
      <c r="CK64" s="2241"/>
      <c r="CL64" s="2241"/>
      <c r="CM64" s="2241"/>
      <c r="CN64" s="2241"/>
      <c r="CO64" s="2241"/>
      <c r="CP64" s="2241"/>
      <c r="CQ64" s="2241"/>
      <c r="CR64" s="2241"/>
      <c r="CS64" s="2241"/>
      <c r="CT64" s="2241"/>
      <c r="CU64" s="2241"/>
      <c r="CV64" s="2241"/>
      <c r="CW64" s="2241"/>
      <c r="CX64" s="2241"/>
      <c r="CY64" s="2241"/>
      <c r="CZ64" s="2241"/>
      <c r="DA64" s="2241"/>
      <c r="DB64" s="2241"/>
      <c r="DC64" s="2241"/>
      <c r="DD64" s="2241"/>
      <c r="DE64" s="2241"/>
      <c r="DF64" s="2241"/>
      <c r="DG64" s="2241"/>
      <c r="DH64" s="2241"/>
      <c r="DI64" s="2241"/>
      <c r="DJ64" s="2241"/>
      <c r="DK64" s="2241"/>
      <c r="DL64" s="2241"/>
      <c r="DM64" s="2241"/>
      <c r="DN64" s="2241"/>
      <c r="DO64" s="2241"/>
      <c r="DP64" s="2241"/>
      <c r="DQ64" s="2241"/>
      <c r="DR64" s="2241"/>
      <c r="DS64" s="2241"/>
      <c r="DT64" s="2241"/>
      <c r="DU64" s="2241"/>
      <c r="DV64" s="2241"/>
      <c r="DW64" s="2241"/>
      <c r="DX64" s="2241"/>
      <c r="DY64" s="2241"/>
      <c r="DZ64" s="2241"/>
      <c r="EA64" s="2241"/>
      <c r="EB64" s="2241"/>
      <c r="EC64" s="2241"/>
      <c r="ED64" s="2241"/>
      <c r="EE64" s="2241"/>
      <c r="EF64" s="2241"/>
      <c r="EG64" s="2241"/>
      <c r="EH64" s="2241"/>
      <c r="EI64" s="2241"/>
      <c r="EJ64" s="2241"/>
      <c r="EK64" s="2241"/>
      <c r="EL64" s="2241"/>
      <c r="EM64" s="2241"/>
      <c r="EN64" s="2241"/>
      <c r="EO64" s="2241"/>
      <c r="EP64" s="2241"/>
      <c r="EQ64" s="2241"/>
      <c r="ER64" s="2241"/>
      <c r="ES64" s="2241"/>
      <c r="ET64" s="2241"/>
      <c r="EU64" s="2241"/>
      <c r="EV64" s="2241"/>
      <c r="EW64" s="2241"/>
      <c r="EX64" s="2241"/>
      <c r="EY64" s="2241"/>
      <c r="EZ64" s="2241"/>
      <c r="FA64" s="2241"/>
      <c r="FB64" s="2241"/>
      <c r="FC64" s="2241"/>
      <c r="FD64" s="2241"/>
      <c r="FE64" s="2241"/>
      <c r="FF64" s="2241"/>
      <c r="FG64" s="2241"/>
      <c r="FH64" s="2241"/>
      <c r="FI64" s="2241"/>
      <c r="FJ64" s="2241"/>
      <c r="FK64" s="2241"/>
      <c r="FL64" s="2241"/>
      <c r="FM64" s="2241"/>
      <c r="FN64" s="2241"/>
      <c r="FO64" s="2241"/>
      <c r="FP64" s="2241"/>
      <c r="FQ64" s="2241"/>
      <c r="FR64" s="2241"/>
      <c r="FS64" s="2241"/>
      <c r="FT64" s="2241"/>
      <c r="FU64" s="2241"/>
      <c r="FV64" s="2241"/>
      <c r="FW64" s="2241"/>
      <c r="FX64" s="2241"/>
      <c r="FY64" s="2241"/>
      <c r="FZ64" s="2241"/>
      <c r="GA64" s="2241"/>
      <c r="GB64" s="2241"/>
      <c r="GC64" s="2241"/>
      <c r="GD64" s="2241"/>
      <c r="GE64" s="2241"/>
      <c r="GF64" s="2241"/>
      <c r="GG64" s="2241"/>
      <c r="GH64" s="2241"/>
      <c r="GI64" s="2241"/>
      <c r="GJ64" s="2241"/>
      <c r="GK64" s="2241"/>
      <c r="GL64" s="2241"/>
      <c r="GM64" s="2241"/>
      <c r="GN64" s="2241"/>
      <c r="GO64" s="2241"/>
      <c r="GP64" s="2241"/>
      <c r="GQ64" s="2241"/>
      <c r="GR64" s="2241"/>
      <c r="GS64" s="2241"/>
      <c r="GT64" s="2241"/>
      <c r="GU64" s="2241"/>
      <c r="GV64" s="2241"/>
      <c r="GW64" s="2241"/>
      <c r="GX64" s="2241"/>
      <c r="GY64" s="2241"/>
      <c r="GZ64" s="2241"/>
      <c r="HA64" s="2241"/>
      <c r="HB64" s="2241"/>
      <c r="HC64" s="2241"/>
      <c r="HD64" s="2241"/>
      <c r="HE64" s="2241"/>
      <c r="HF64" s="2241"/>
      <c r="HG64" s="2241"/>
      <c r="HH64" s="2241"/>
      <c r="HI64" s="2241"/>
      <c r="HJ64" s="2241"/>
      <c r="HK64" s="2241"/>
      <c r="HL64" s="2241"/>
      <c r="HM64" s="2241"/>
      <c r="HN64" s="2241"/>
      <c r="HO64" s="2241"/>
      <c r="HP64" s="2241"/>
      <c r="HQ64" s="2241"/>
      <c r="HR64" s="2241"/>
      <c r="HS64" s="2241"/>
      <c r="HT64" s="2241"/>
      <c r="HU64" s="2241"/>
      <c r="HV64" s="2241"/>
      <c r="HW64" s="2241"/>
      <c r="HX64" s="2241"/>
      <c r="HY64" s="2241"/>
      <c r="HZ64" s="2241"/>
      <c r="IA64" s="2241"/>
      <c r="IB64" s="2241"/>
      <c r="IC64" s="2241"/>
      <c r="ID64" s="2241"/>
      <c r="IE64" s="2241"/>
      <c r="IF64" s="2241"/>
      <c r="IG64" s="2241"/>
      <c r="IH64" s="2241"/>
      <c r="II64" s="2241"/>
      <c r="IJ64" s="2241"/>
      <c r="IK64" s="2241"/>
      <c r="IL64" s="2241"/>
      <c r="IM64" s="2241"/>
      <c r="IN64" s="2241"/>
      <c r="IO64" s="2241"/>
      <c r="IP64" s="2241"/>
      <c r="IQ64" s="2241"/>
      <c r="IR64" s="2241"/>
      <c r="IS64" s="2241"/>
      <c r="IT64" s="2241"/>
      <c r="IU64" s="2241"/>
      <c r="IV64" s="2241"/>
      <c r="IW64" s="2241"/>
      <c r="IX64" s="2241"/>
    </row>
    <row r="65" spans="1:258" hidden="1" outlineLevel="1">
      <c r="A65" s="3058" t="s">
        <v>871</v>
      </c>
      <c r="B65" s="2188" t="s">
        <v>872</v>
      </c>
      <c r="C65" s="2236" t="s">
        <v>803</v>
      </c>
      <c r="D65" s="1330"/>
      <c r="E65" s="1333"/>
      <c r="F65" s="1330"/>
      <c r="G65" s="2267"/>
      <c r="H65" s="997"/>
      <c r="I65" s="997"/>
      <c r="J65" s="2248">
        <f>L65+N65+P65+R65+T65+V65+X65</f>
        <v>0</v>
      </c>
      <c r="K65" s="997">
        <f>M65+O65+Q65+S65+U65+W65+Y65</f>
        <v>0</v>
      </c>
      <c r="L65" s="997"/>
      <c r="M65" s="997"/>
      <c r="N65" s="997"/>
      <c r="O65" s="997"/>
      <c r="P65" s="997"/>
      <c r="Q65" s="997"/>
      <c r="R65" s="997"/>
      <c r="S65" s="997"/>
      <c r="T65" s="997"/>
      <c r="U65" s="997"/>
      <c r="V65" s="997"/>
      <c r="W65" s="997"/>
      <c r="X65" s="997"/>
      <c r="Y65" s="2269"/>
      <c r="Z65" s="2249"/>
      <c r="AA65" s="2250"/>
      <c r="AB65" s="2250"/>
      <c r="AC65" s="2250"/>
      <c r="AD65" s="2241"/>
      <c r="AE65" s="2169"/>
      <c r="AF65" s="2169"/>
      <c r="AG65" s="2169"/>
      <c r="AH65" s="2169"/>
      <c r="AI65" s="2169"/>
      <c r="AJ65" s="2169"/>
      <c r="AK65" s="2241"/>
      <c r="AL65" s="2250"/>
      <c r="AM65" s="2250"/>
      <c r="AN65" s="2250"/>
      <c r="AO65" s="2250"/>
      <c r="AP65" s="2250"/>
      <c r="AQ65" s="2250"/>
      <c r="AR65" s="2241"/>
      <c r="AS65" s="2241"/>
      <c r="AT65" s="2241"/>
      <c r="AU65" s="2241"/>
      <c r="AV65" s="2241"/>
      <c r="AW65" s="2241"/>
      <c r="AX65" s="2241"/>
      <c r="AY65" s="2241"/>
      <c r="AZ65" s="2241"/>
      <c r="BA65" s="2241"/>
      <c r="BB65" s="2241"/>
      <c r="BC65" s="2241"/>
      <c r="BD65" s="2241"/>
      <c r="BE65" s="2241"/>
      <c r="BF65" s="2241"/>
      <c r="BG65" s="2241"/>
      <c r="BH65" s="2241"/>
      <c r="BI65" s="2241"/>
      <c r="BJ65" s="2241"/>
      <c r="BK65" s="2241"/>
      <c r="BL65" s="2241"/>
      <c r="BM65" s="2241"/>
      <c r="BN65" s="2241"/>
      <c r="BO65" s="2241"/>
      <c r="BP65" s="2241"/>
      <c r="BQ65" s="2241"/>
      <c r="BR65" s="2241"/>
      <c r="BS65" s="2241"/>
      <c r="BT65" s="2241"/>
      <c r="BU65" s="2241"/>
      <c r="BV65" s="2241"/>
      <c r="BW65" s="2241"/>
      <c r="BX65" s="2241"/>
      <c r="BY65" s="2241"/>
      <c r="BZ65" s="2241"/>
      <c r="CA65" s="2241"/>
      <c r="CB65" s="2241"/>
      <c r="CC65" s="2241"/>
      <c r="CD65" s="2241"/>
      <c r="CE65" s="2241"/>
      <c r="CF65" s="2241"/>
      <c r="CG65" s="2241"/>
      <c r="CH65" s="2241"/>
      <c r="CI65" s="2241"/>
      <c r="CJ65" s="2241"/>
      <c r="CK65" s="2241"/>
      <c r="CL65" s="2241"/>
      <c r="CM65" s="2241"/>
      <c r="CN65" s="2241"/>
      <c r="CO65" s="2241"/>
      <c r="CP65" s="2241"/>
      <c r="CQ65" s="2241"/>
      <c r="CR65" s="2241"/>
      <c r="CS65" s="2241"/>
      <c r="CT65" s="2241"/>
      <c r="CU65" s="2241"/>
      <c r="CV65" s="2241"/>
      <c r="CW65" s="2241"/>
      <c r="CX65" s="2241"/>
      <c r="CY65" s="2241"/>
      <c r="CZ65" s="2241"/>
      <c r="DA65" s="2241"/>
      <c r="DB65" s="2241"/>
      <c r="DC65" s="2241"/>
      <c r="DD65" s="2241"/>
      <c r="DE65" s="2241"/>
      <c r="DF65" s="2241"/>
      <c r="DG65" s="2241"/>
      <c r="DH65" s="2241"/>
      <c r="DI65" s="2241"/>
      <c r="DJ65" s="2241"/>
      <c r="DK65" s="2241"/>
      <c r="DL65" s="2241"/>
      <c r="DM65" s="2241"/>
      <c r="DN65" s="2241"/>
      <c r="DO65" s="2241"/>
      <c r="DP65" s="2241"/>
      <c r="DQ65" s="2241"/>
      <c r="DR65" s="2241"/>
      <c r="DS65" s="2241"/>
      <c r="DT65" s="2241"/>
      <c r="DU65" s="2241"/>
      <c r="DV65" s="2241"/>
      <c r="DW65" s="2241"/>
      <c r="DX65" s="2241"/>
      <c r="DY65" s="2241"/>
      <c r="DZ65" s="2241"/>
      <c r="EA65" s="2241"/>
      <c r="EB65" s="2241"/>
      <c r="EC65" s="2241"/>
      <c r="ED65" s="2241"/>
      <c r="EE65" s="2241"/>
      <c r="EF65" s="2241"/>
      <c r="EG65" s="2241"/>
      <c r="EH65" s="2241"/>
      <c r="EI65" s="2241"/>
      <c r="EJ65" s="2241"/>
      <c r="EK65" s="2241"/>
      <c r="EL65" s="2241"/>
      <c r="EM65" s="2241"/>
      <c r="EN65" s="2241"/>
      <c r="EO65" s="2241"/>
      <c r="EP65" s="2241"/>
      <c r="EQ65" s="2241"/>
      <c r="ER65" s="2241"/>
      <c r="ES65" s="2241"/>
      <c r="ET65" s="2241"/>
      <c r="EU65" s="2241"/>
      <c r="EV65" s="2241"/>
      <c r="EW65" s="2241"/>
      <c r="EX65" s="2241"/>
      <c r="EY65" s="2241"/>
      <c r="EZ65" s="2241"/>
      <c r="FA65" s="2241"/>
      <c r="FB65" s="2241"/>
      <c r="FC65" s="2241"/>
      <c r="FD65" s="2241"/>
      <c r="FE65" s="2241"/>
      <c r="FF65" s="2241"/>
      <c r="FG65" s="2241"/>
      <c r="FH65" s="2241"/>
      <c r="FI65" s="2241"/>
      <c r="FJ65" s="2241"/>
      <c r="FK65" s="2241"/>
      <c r="FL65" s="2241"/>
      <c r="FM65" s="2241"/>
      <c r="FN65" s="2241"/>
      <c r="FO65" s="2241"/>
      <c r="FP65" s="2241"/>
      <c r="FQ65" s="2241"/>
      <c r="FR65" s="2241"/>
      <c r="FS65" s="2241"/>
      <c r="FT65" s="2241"/>
      <c r="FU65" s="2241"/>
      <c r="FV65" s="2241"/>
      <c r="FW65" s="2241"/>
      <c r="FX65" s="2241"/>
      <c r="FY65" s="2241"/>
      <c r="FZ65" s="2241"/>
      <c r="GA65" s="2241"/>
      <c r="GB65" s="2241"/>
      <c r="GC65" s="2241"/>
      <c r="GD65" s="2241"/>
      <c r="GE65" s="2241"/>
      <c r="GF65" s="2241"/>
      <c r="GG65" s="2241"/>
      <c r="GH65" s="2241"/>
      <c r="GI65" s="2241"/>
      <c r="GJ65" s="2241"/>
      <c r="GK65" s="2241"/>
      <c r="GL65" s="2241"/>
      <c r="GM65" s="2241"/>
      <c r="GN65" s="2241"/>
      <c r="GO65" s="2241"/>
      <c r="GP65" s="2241"/>
      <c r="GQ65" s="2241"/>
      <c r="GR65" s="2241"/>
      <c r="GS65" s="2241"/>
      <c r="GT65" s="2241"/>
      <c r="GU65" s="2241"/>
      <c r="GV65" s="2241"/>
      <c r="GW65" s="2241"/>
      <c r="GX65" s="2241"/>
      <c r="GY65" s="2241"/>
      <c r="GZ65" s="2241"/>
      <c r="HA65" s="2241"/>
      <c r="HB65" s="2241"/>
      <c r="HC65" s="2241"/>
      <c r="HD65" s="2241"/>
      <c r="HE65" s="2241"/>
      <c r="HF65" s="2241"/>
      <c r="HG65" s="2241"/>
      <c r="HH65" s="2241"/>
      <c r="HI65" s="2241"/>
      <c r="HJ65" s="2241"/>
      <c r="HK65" s="2241"/>
      <c r="HL65" s="2241"/>
      <c r="HM65" s="2241"/>
      <c r="HN65" s="2241"/>
      <c r="HO65" s="2241"/>
      <c r="HP65" s="2241"/>
      <c r="HQ65" s="2241"/>
      <c r="HR65" s="2241"/>
      <c r="HS65" s="2241"/>
      <c r="HT65" s="2241"/>
      <c r="HU65" s="2241"/>
      <c r="HV65" s="2241"/>
      <c r="HW65" s="2241"/>
      <c r="HX65" s="2241"/>
      <c r="HY65" s="2241"/>
      <c r="HZ65" s="2241"/>
      <c r="IA65" s="2241"/>
      <c r="IB65" s="2241"/>
      <c r="IC65" s="2241"/>
      <c r="ID65" s="2241"/>
      <c r="IE65" s="2241"/>
      <c r="IF65" s="2241"/>
      <c r="IG65" s="2241"/>
      <c r="IH65" s="2241"/>
      <c r="II65" s="2241"/>
      <c r="IJ65" s="2241"/>
      <c r="IK65" s="2241"/>
      <c r="IL65" s="2241"/>
      <c r="IM65" s="2241"/>
      <c r="IN65" s="2241"/>
      <c r="IO65" s="2241"/>
      <c r="IP65" s="2241"/>
      <c r="IQ65" s="2241"/>
      <c r="IR65" s="2241"/>
      <c r="IS65" s="2241"/>
      <c r="IT65" s="2241"/>
      <c r="IU65" s="2241"/>
      <c r="IV65" s="2241"/>
      <c r="IW65" s="2241"/>
      <c r="IX65" s="2241"/>
    </row>
    <row r="66" spans="1:258" ht="24" hidden="1" outlineLevel="1">
      <c r="A66" s="3059"/>
      <c r="B66" s="2188" t="s">
        <v>873</v>
      </c>
      <c r="C66" s="2236" t="s">
        <v>830</v>
      </c>
      <c r="D66" s="1330">
        <f t="shared" ref="D66:K66" si="35">IF(D65=0,,D67/1000/D65)</f>
        <v>0</v>
      </c>
      <c r="E66" s="1333">
        <f t="shared" si="35"/>
        <v>0</v>
      </c>
      <c r="F66" s="1330">
        <f t="shared" si="35"/>
        <v>0</v>
      </c>
      <c r="G66" s="2267">
        <f t="shared" si="35"/>
        <v>0</v>
      </c>
      <c r="H66" s="997"/>
      <c r="I66" s="997"/>
      <c r="J66" s="2248">
        <f t="shared" si="35"/>
        <v>0</v>
      </c>
      <c r="K66" s="997">
        <f t="shared" si="35"/>
        <v>0</v>
      </c>
      <c r="L66" s="997"/>
      <c r="M66" s="997"/>
      <c r="N66" s="997"/>
      <c r="O66" s="997"/>
      <c r="P66" s="997"/>
      <c r="Q66" s="997"/>
      <c r="R66" s="997"/>
      <c r="S66" s="997"/>
      <c r="T66" s="997"/>
      <c r="U66" s="997"/>
      <c r="V66" s="997"/>
      <c r="W66" s="997"/>
      <c r="X66" s="997"/>
      <c r="Y66" s="2269"/>
      <c r="Z66" s="2249"/>
      <c r="AA66" s="2250"/>
      <c r="AB66" s="2250"/>
      <c r="AC66" s="2250"/>
      <c r="AD66" s="2241"/>
      <c r="AE66" s="2169"/>
      <c r="AF66" s="2169"/>
      <c r="AG66" s="2169"/>
      <c r="AH66" s="2169"/>
      <c r="AI66" s="2169"/>
      <c r="AJ66" s="2169"/>
      <c r="AK66" s="2241"/>
      <c r="AL66" s="2250"/>
      <c r="AM66" s="2250"/>
      <c r="AN66" s="2250"/>
      <c r="AO66" s="2250"/>
      <c r="AP66" s="2250"/>
      <c r="AQ66" s="2250"/>
      <c r="AR66" s="2241"/>
      <c r="AS66" s="2241"/>
      <c r="AT66" s="2241"/>
      <c r="AU66" s="2241"/>
      <c r="AV66" s="2241"/>
      <c r="AW66" s="2241"/>
      <c r="AX66" s="2241"/>
      <c r="AY66" s="2241"/>
      <c r="AZ66" s="2241"/>
      <c r="BA66" s="2241"/>
      <c r="BB66" s="2241"/>
      <c r="BC66" s="2241"/>
      <c r="BD66" s="2241"/>
      <c r="BE66" s="2241"/>
      <c r="BF66" s="2241"/>
      <c r="BG66" s="2241"/>
      <c r="BH66" s="2241"/>
      <c r="BI66" s="2241"/>
      <c r="BJ66" s="2241"/>
      <c r="BK66" s="2241"/>
      <c r="BL66" s="2241"/>
      <c r="BM66" s="2241"/>
      <c r="BN66" s="2241"/>
      <c r="BO66" s="2241"/>
      <c r="BP66" s="2241"/>
      <c r="BQ66" s="2241"/>
      <c r="BR66" s="2241"/>
      <c r="BS66" s="2241"/>
      <c r="BT66" s="2241"/>
      <c r="BU66" s="2241"/>
      <c r="BV66" s="2241"/>
      <c r="BW66" s="2241"/>
      <c r="BX66" s="2241"/>
      <c r="BY66" s="2241"/>
      <c r="BZ66" s="2241"/>
      <c r="CA66" s="2241"/>
      <c r="CB66" s="2241"/>
      <c r="CC66" s="2241"/>
      <c r="CD66" s="2241"/>
      <c r="CE66" s="2241"/>
      <c r="CF66" s="2241"/>
      <c r="CG66" s="2241"/>
      <c r="CH66" s="2241"/>
      <c r="CI66" s="2241"/>
      <c r="CJ66" s="2241"/>
      <c r="CK66" s="2241"/>
      <c r="CL66" s="2241"/>
      <c r="CM66" s="2241"/>
      <c r="CN66" s="2241"/>
      <c r="CO66" s="2241"/>
      <c r="CP66" s="2241"/>
      <c r="CQ66" s="2241"/>
      <c r="CR66" s="2241"/>
      <c r="CS66" s="2241"/>
      <c r="CT66" s="2241"/>
      <c r="CU66" s="2241"/>
      <c r="CV66" s="2241"/>
      <c r="CW66" s="2241"/>
      <c r="CX66" s="2241"/>
      <c r="CY66" s="2241"/>
      <c r="CZ66" s="2241"/>
      <c r="DA66" s="2241"/>
      <c r="DB66" s="2241"/>
      <c r="DC66" s="2241"/>
      <c r="DD66" s="2241"/>
      <c r="DE66" s="2241"/>
      <c r="DF66" s="2241"/>
      <c r="DG66" s="2241"/>
      <c r="DH66" s="2241"/>
      <c r="DI66" s="2241"/>
      <c r="DJ66" s="2241"/>
      <c r="DK66" s="2241"/>
      <c r="DL66" s="2241"/>
      <c r="DM66" s="2241"/>
      <c r="DN66" s="2241"/>
      <c r="DO66" s="2241"/>
      <c r="DP66" s="2241"/>
      <c r="DQ66" s="2241"/>
      <c r="DR66" s="2241"/>
      <c r="DS66" s="2241"/>
      <c r="DT66" s="2241"/>
      <c r="DU66" s="2241"/>
      <c r="DV66" s="2241"/>
      <c r="DW66" s="2241"/>
      <c r="DX66" s="2241"/>
      <c r="DY66" s="2241"/>
      <c r="DZ66" s="2241"/>
      <c r="EA66" s="2241"/>
      <c r="EB66" s="2241"/>
      <c r="EC66" s="2241"/>
      <c r="ED66" s="2241"/>
      <c r="EE66" s="2241"/>
      <c r="EF66" s="2241"/>
      <c r="EG66" s="2241"/>
      <c r="EH66" s="2241"/>
      <c r="EI66" s="2241"/>
      <c r="EJ66" s="2241"/>
      <c r="EK66" s="2241"/>
      <c r="EL66" s="2241"/>
      <c r="EM66" s="2241"/>
      <c r="EN66" s="2241"/>
      <c r="EO66" s="2241"/>
      <c r="EP66" s="2241"/>
      <c r="EQ66" s="2241"/>
      <c r="ER66" s="2241"/>
      <c r="ES66" s="2241"/>
      <c r="ET66" s="2241"/>
      <c r="EU66" s="2241"/>
      <c r="EV66" s="2241"/>
      <c r="EW66" s="2241"/>
      <c r="EX66" s="2241"/>
      <c r="EY66" s="2241"/>
      <c r="EZ66" s="2241"/>
      <c r="FA66" s="2241"/>
      <c r="FB66" s="2241"/>
      <c r="FC66" s="2241"/>
      <c r="FD66" s="2241"/>
      <c r="FE66" s="2241"/>
      <c r="FF66" s="2241"/>
      <c r="FG66" s="2241"/>
      <c r="FH66" s="2241"/>
      <c r="FI66" s="2241"/>
      <c r="FJ66" s="2241"/>
      <c r="FK66" s="2241"/>
      <c r="FL66" s="2241"/>
      <c r="FM66" s="2241"/>
      <c r="FN66" s="2241"/>
      <c r="FO66" s="2241"/>
      <c r="FP66" s="2241"/>
      <c r="FQ66" s="2241"/>
      <c r="FR66" s="2241"/>
      <c r="FS66" s="2241"/>
      <c r="FT66" s="2241"/>
      <c r="FU66" s="2241"/>
      <c r="FV66" s="2241"/>
      <c r="FW66" s="2241"/>
      <c r="FX66" s="2241"/>
      <c r="FY66" s="2241"/>
      <c r="FZ66" s="2241"/>
      <c r="GA66" s="2241"/>
      <c r="GB66" s="2241"/>
      <c r="GC66" s="2241"/>
      <c r="GD66" s="2241"/>
      <c r="GE66" s="2241"/>
      <c r="GF66" s="2241"/>
      <c r="GG66" s="2241"/>
      <c r="GH66" s="2241"/>
      <c r="GI66" s="2241"/>
      <c r="GJ66" s="2241"/>
      <c r="GK66" s="2241"/>
      <c r="GL66" s="2241"/>
      <c r="GM66" s="2241"/>
      <c r="GN66" s="2241"/>
      <c r="GO66" s="2241"/>
      <c r="GP66" s="2241"/>
      <c r="GQ66" s="2241"/>
      <c r="GR66" s="2241"/>
      <c r="GS66" s="2241"/>
      <c r="GT66" s="2241"/>
      <c r="GU66" s="2241"/>
      <c r="GV66" s="2241"/>
      <c r="GW66" s="2241"/>
      <c r="GX66" s="2241"/>
      <c r="GY66" s="2241"/>
      <c r="GZ66" s="2241"/>
      <c r="HA66" s="2241"/>
      <c r="HB66" s="2241"/>
      <c r="HC66" s="2241"/>
      <c r="HD66" s="2241"/>
      <c r="HE66" s="2241"/>
      <c r="HF66" s="2241"/>
      <c r="HG66" s="2241"/>
      <c r="HH66" s="2241"/>
      <c r="HI66" s="2241"/>
      <c r="HJ66" s="2241"/>
      <c r="HK66" s="2241"/>
      <c r="HL66" s="2241"/>
      <c r="HM66" s="2241"/>
      <c r="HN66" s="2241"/>
      <c r="HO66" s="2241"/>
      <c r="HP66" s="2241"/>
      <c r="HQ66" s="2241"/>
      <c r="HR66" s="2241"/>
      <c r="HS66" s="2241"/>
      <c r="HT66" s="2241"/>
      <c r="HU66" s="2241"/>
      <c r="HV66" s="2241"/>
      <c r="HW66" s="2241"/>
      <c r="HX66" s="2241"/>
      <c r="HY66" s="2241"/>
      <c r="HZ66" s="2241"/>
      <c r="IA66" s="2241"/>
      <c r="IB66" s="2241"/>
      <c r="IC66" s="2241"/>
      <c r="ID66" s="2241"/>
      <c r="IE66" s="2241"/>
      <c r="IF66" s="2241"/>
      <c r="IG66" s="2241"/>
      <c r="IH66" s="2241"/>
      <c r="II66" s="2241"/>
      <c r="IJ66" s="2241"/>
      <c r="IK66" s="2241"/>
      <c r="IL66" s="2241"/>
      <c r="IM66" s="2241"/>
      <c r="IN66" s="2241"/>
      <c r="IO66" s="2241"/>
      <c r="IP66" s="2241"/>
      <c r="IQ66" s="2241"/>
      <c r="IR66" s="2241"/>
      <c r="IS66" s="2241"/>
      <c r="IT66" s="2241"/>
      <c r="IU66" s="2241"/>
      <c r="IV66" s="2241"/>
      <c r="IW66" s="2241"/>
      <c r="IX66" s="2241"/>
    </row>
    <row r="67" spans="1:258" ht="24" hidden="1" outlineLevel="1">
      <c r="A67" s="3060"/>
      <c r="B67" s="2257" t="s">
        <v>874</v>
      </c>
      <c r="C67" s="2243" t="s">
        <v>833</v>
      </c>
      <c r="D67" s="1330"/>
      <c r="E67" s="1333"/>
      <c r="F67" s="1330"/>
      <c r="G67" s="2267"/>
      <c r="H67" s="997"/>
      <c r="I67" s="997"/>
      <c r="J67" s="2248">
        <f>L67+N67+P67+R67+T67+V67+X67</f>
        <v>0</v>
      </c>
      <c r="K67" s="997">
        <f>M67+O67+Q67+S67+U67+W67+Y67</f>
        <v>0</v>
      </c>
      <c r="L67" s="997">
        <f>L65*L66/1000</f>
        <v>0</v>
      </c>
      <c r="M67" s="997">
        <f t="shared" ref="M67:Y67" si="36">M65*M66/1000</f>
        <v>0</v>
      </c>
      <c r="N67" s="997">
        <f t="shared" si="36"/>
        <v>0</v>
      </c>
      <c r="O67" s="997">
        <f t="shared" si="36"/>
        <v>0</v>
      </c>
      <c r="P67" s="997">
        <f t="shared" si="36"/>
        <v>0</v>
      </c>
      <c r="Q67" s="997">
        <f t="shared" si="36"/>
        <v>0</v>
      </c>
      <c r="R67" s="997">
        <f t="shared" si="36"/>
        <v>0</v>
      </c>
      <c r="S67" s="997">
        <f t="shared" si="36"/>
        <v>0</v>
      </c>
      <c r="T67" s="997">
        <f t="shared" si="36"/>
        <v>0</v>
      </c>
      <c r="U67" s="997">
        <f t="shared" si="36"/>
        <v>0</v>
      </c>
      <c r="V67" s="997">
        <f t="shared" si="36"/>
        <v>0</v>
      </c>
      <c r="W67" s="997">
        <f t="shared" si="36"/>
        <v>0</v>
      </c>
      <c r="X67" s="997">
        <f t="shared" si="36"/>
        <v>0</v>
      </c>
      <c r="Y67" s="1333">
        <f t="shared" si="36"/>
        <v>0</v>
      </c>
      <c r="Z67" s="2249"/>
      <c r="AA67" s="2250"/>
      <c r="AB67" s="2250"/>
      <c r="AC67" s="2250"/>
      <c r="AD67" s="2241"/>
      <c r="AE67" s="2169"/>
      <c r="AF67" s="2169"/>
      <c r="AG67" s="2169"/>
      <c r="AH67" s="2169"/>
      <c r="AI67" s="2169"/>
      <c r="AJ67" s="2169"/>
      <c r="AK67" s="2241"/>
      <c r="AL67" s="2250"/>
      <c r="AM67" s="2250"/>
      <c r="AN67" s="2250"/>
      <c r="AO67" s="2250"/>
      <c r="AP67" s="2250"/>
      <c r="AQ67" s="2250"/>
      <c r="AR67" s="2241"/>
      <c r="AS67" s="2241"/>
      <c r="AT67" s="2241"/>
      <c r="AU67" s="2241"/>
      <c r="AV67" s="2241"/>
      <c r="AW67" s="2241"/>
      <c r="AX67" s="2241"/>
      <c r="AY67" s="2241"/>
      <c r="AZ67" s="2241"/>
      <c r="BA67" s="2241"/>
      <c r="BB67" s="2241"/>
      <c r="BC67" s="2241"/>
      <c r="BD67" s="2241"/>
      <c r="BE67" s="2241"/>
      <c r="BF67" s="2241"/>
      <c r="BG67" s="2241"/>
      <c r="BH67" s="2241"/>
      <c r="BI67" s="2241"/>
      <c r="BJ67" s="2241"/>
      <c r="BK67" s="2241"/>
      <c r="BL67" s="2241"/>
      <c r="BM67" s="2241"/>
      <c r="BN67" s="2241"/>
      <c r="BO67" s="2241"/>
      <c r="BP67" s="2241"/>
      <c r="BQ67" s="2241"/>
      <c r="BR67" s="2241"/>
      <c r="BS67" s="2241"/>
      <c r="BT67" s="2241"/>
      <c r="BU67" s="2241"/>
      <c r="BV67" s="2241"/>
      <c r="BW67" s="2241"/>
      <c r="BX67" s="2241"/>
      <c r="BY67" s="2241"/>
      <c r="BZ67" s="2241"/>
      <c r="CA67" s="2241"/>
      <c r="CB67" s="2241"/>
      <c r="CC67" s="2241"/>
      <c r="CD67" s="2241"/>
      <c r="CE67" s="2241"/>
      <c r="CF67" s="2241"/>
      <c r="CG67" s="2241"/>
      <c r="CH67" s="2241"/>
      <c r="CI67" s="2241"/>
      <c r="CJ67" s="2241"/>
      <c r="CK67" s="2241"/>
      <c r="CL67" s="2241"/>
      <c r="CM67" s="2241"/>
      <c r="CN67" s="2241"/>
      <c r="CO67" s="2241"/>
      <c r="CP67" s="2241"/>
      <c r="CQ67" s="2241"/>
      <c r="CR67" s="2241"/>
      <c r="CS67" s="2241"/>
      <c r="CT67" s="2241"/>
      <c r="CU67" s="2241"/>
      <c r="CV67" s="2241"/>
      <c r="CW67" s="2241"/>
      <c r="CX67" s="2241"/>
      <c r="CY67" s="2241"/>
      <c r="CZ67" s="2241"/>
      <c r="DA67" s="2241"/>
      <c r="DB67" s="2241"/>
      <c r="DC67" s="2241"/>
      <c r="DD67" s="2241"/>
      <c r="DE67" s="2241"/>
      <c r="DF67" s="2241"/>
      <c r="DG67" s="2241"/>
      <c r="DH67" s="2241"/>
      <c r="DI67" s="2241"/>
      <c r="DJ67" s="2241"/>
      <c r="DK67" s="2241"/>
      <c r="DL67" s="2241"/>
      <c r="DM67" s="2241"/>
      <c r="DN67" s="2241"/>
      <c r="DO67" s="2241"/>
      <c r="DP67" s="2241"/>
      <c r="DQ67" s="2241"/>
      <c r="DR67" s="2241"/>
      <c r="DS67" s="2241"/>
      <c r="DT67" s="2241"/>
      <c r="DU67" s="2241"/>
      <c r="DV67" s="2241"/>
      <c r="DW67" s="2241"/>
      <c r="DX67" s="2241"/>
      <c r="DY67" s="2241"/>
      <c r="DZ67" s="2241"/>
      <c r="EA67" s="2241"/>
      <c r="EB67" s="2241"/>
      <c r="EC67" s="2241"/>
      <c r="ED67" s="2241"/>
      <c r="EE67" s="2241"/>
      <c r="EF67" s="2241"/>
      <c r="EG67" s="2241"/>
      <c r="EH67" s="2241"/>
      <c r="EI67" s="2241"/>
      <c r="EJ67" s="2241"/>
      <c r="EK67" s="2241"/>
      <c r="EL67" s="2241"/>
      <c r="EM67" s="2241"/>
      <c r="EN67" s="2241"/>
      <c r="EO67" s="2241"/>
      <c r="EP67" s="2241"/>
      <c r="EQ67" s="2241"/>
      <c r="ER67" s="2241"/>
      <c r="ES67" s="2241"/>
      <c r="ET67" s="2241"/>
      <c r="EU67" s="2241"/>
      <c r="EV67" s="2241"/>
      <c r="EW67" s="2241"/>
      <c r="EX67" s="2241"/>
      <c r="EY67" s="2241"/>
      <c r="EZ67" s="2241"/>
      <c r="FA67" s="2241"/>
      <c r="FB67" s="2241"/>
      <c r="FC67" s="2241"/>
      <c r="FD67" s="2241"/>
      <c r="FE67" s="2241"/>
      <c r="FF67" s="2241"/>
      <c r="FG67" s="2241"/>
      <c r="FH67" s="2241"/>
      <c r="FI67" s="2241"/>
      <c r="FJ67" s="2241"/>
      <c r="FK67" s="2241"/>
      <c r="FL67" s="2241"/>
      <c r="FM67" s="2241"/>
      <c r="FN67" s="2241"/>
      <c r="FO67" s="2241"/>
      <c r="FP67" s="2241"/>
      <c r="FQ67" s="2241"/>
      <c r="FR67" s="2241"/>
      <c r="FS67" s="2241"/>
      <c r="FT67" s="2241"/>
      <c r="FU67" s="2241"/>
      <c r="FV67" s="2241"/>
      <c r="FW67" s="2241"/>
      <c r="FX67" s="2241"/>
      <c r="FY67" s="2241"/>
      <c r="FZ67" s="2241"/>
      <c r="GA67" s="2241"/>
      <c r="GB67" s="2241"/>
      <c r="GC67" s="2241"/>
      <c r="GD67" s="2241"/>
      <c r="GE67" s="2241"/>
      <c r="GF67" s="2241"/>
      <c r="GG67" s="2241"/>
      <c r="GH67" s="2241"/>
      <c r="GI67" s="2241"/>
      <c r="GJ67" s="2241"/>
      <c r="GK67" s="2241"/>
      <c r="GL67" s="2241"/>
      <c r="GM67" s="2241"/>
      <c r="GN67" s="2241"/>
      <c r="GO67" s="2241"/>
      <c r="GP67" s="2241"/>
      <c r="GQ67" s="2241"/>
      <c r="GR67" s="2241"/>
      <c r="GS67" s="2241"/>
      <c r="GT67" s="2241"/>
      <c r="GU67" s="2241"/>
      <c r="GV67" s="2241"/>
      <c r="GW67" s="2241"/>
      <c r="GX67" s="2241"/>
      <c r="GY67" s="2241"/>
      <c r="GZ67" s="2241"/>
      <c r="HA67" s="2241"/>
      <c r="HB67" s="2241"/>
      <c r="HC67" s="2241"/>
      <c r="HD67" s="2241"/>
      <c r="HE67" s="2241"/>
      <c r="HF67" s="2241"/>
      <c r="HG67" s="2241"/>
      <c r="HH67" s="2241"/>
      <c r="HI67" s="2241"/>
      <c r="HJ67" s="2241"/>
      <c r="HK67" s="2241"/>
      <c r="HL67" s="2241"/>
      <c r="HM67" s="2241"/>
      <c r="HN67" s="2241"/>
      <c r="HO67" s="2241"/>
      <c r="HP67" s="2241"/>
      <c r="HQ67" s="2241"/>
      <c r="HR67" s="2241"/>
      <c r="HS67" s="2241"/>
      <c r="HT67" s="2241"/>
      <c r="HU67" s="2241"/>
      <c r="HV67" s="2241"/>
      <c r="HW67" s="2241"/>
      <c r="HX67" s="2241"/>
      <c r="HY67" s="2241"/>
      <c r="HZ67" s="2241"/>
      <c r="IA67" s="2241"/>
      <c r="IB67" s="2241"/>
      <c r="IC67" s="2241"/>
      <c r="ID67" s="2241"/>
      <c r="IE67" s="2241"/>
      <c r="IF67" s="2241"/>
      <c r="IG67" s="2241"/>
      <c r="IH67" s="2241"/>
      <c r="II67" s="2241"/>
      <c r="IJ67" s="2241"/>
      <c r="IK67" s="2241"/>
      <c r="IL67" s="2241"/>
      <c r="IM67" s="2241"/>
      <c r="IN67" s="2241"/>
      <c r="IO67" s="2241"/>
      <c r="IP67" s="2241"/>
      <c r="IQ67" s="2241"/>
      <c r="IR67" s="2241"/>
      <c r="IS67" s="2241"/>
      <c r="IT67" s="2241"/>
      <c r="IU67" s="2241"/>
      <c r="IV67" s="2241"/>
      <c r="IW67" s="2241"/>
      <c r="IX67" s="2241"/>
    </row>
    <row r="68" spans="1:258" hidden="1" outlineLevel="1">
      <c r="A68" s="3058" t="s">
        <v>875</v>
      </c>
      <c r="B68" s="2188" t="s">
        <v>876</v>
      </c>
      <c r="C68" s="2236" t="s">
        <v>803</v>
      </c>
      <c r="D68" s="1330"/>
      <c r="E68" s="1333"/>
      <c r="F68" s="1330"/>
      <c r="G68" s="2267"/>
      <c r="H68" s="997"/>
      <c r="I68" s="997"/>
      <c r="J68" s="2248">
        <f>L68+N68+P68+R68+T68+V68+X68</f>
        <v>0</v>
      </c>
      <c r="K68" s="997">
        <f>M68+O68+Q68+S68+U68+W68+Y68</f>
        <v>0</v>
      </c>
      <c r="L68" s="997"/>
      <c r="M68" s="997"/>
      <c r="N68" s="997"/>
      <c r="O68" s="997"/>
      <c r="P68" s="997"/>
      <c r="Q68" s="997"/>
      <c r="R68" s="997"/>
      <c r="S68" s="997"/>
      <c r="T68" s="997"/>
      <c r="U68" s="997"/>
      <c r="V68" s="997"/>
      <c r="W68" s="997"/>
      <c r="X68" s="997"/>
      <c r="Y68" s="2269"/>
      <c r="Z68" s="2249"/>
      <c r="AA68" s="2250"/>
      <c r="AB68" s="2250"/>
      <c r="AC68" s="2250"/>
      <c r="AD68" s="2241"/>
      <c r="AE68" s="2169"/>
      <c r="AF68" s="2169"/>
      <c r="AG68" s="2169"/>
      <c r="AH68" s="2169"/>
      <c r="AI68" s="2169"/>
      <c r="AJ68" s="2169"/>
      <c r="AK68" s="2241"/>
      <c r="AL68" s="2250"/>
      <c r="AM68" s="2250"/>
      <c r="AN68" s="2250"/>
      <c r="AO68" s="2250"/>
      <c r="AP68" s="2250"/>
      <c r="AQ68" s="2250"/>
      <c r="AR68" s="2241"/>
      <c r="AS68" s="2241"/>
      <c r="AT68" s="2241"/>
      <c r="AU68" s="2241"/>
      <c r="AV68" s="2241"/>
      <c r="AW68" s="2241"/>
      <c r="AX68" s="2241"/>
      <c r="AY68" s="2241"/>
      <c r="AZ68" s="2241"/>
      <c r="BA68" s="2241"/>
      <c r="BB68" s="2241"/>
      <c r="BC68" s="2241"/>
      <c r="BD68" s="2241"/>
      <c r="BE68" s="2241"/>
      <c r="BF68" s="2241"/>
      <c r="BG68" s="2241"/>
      <c r="BH68" s="2241"/>
      <c r="BI68" s="2241"/>
      <c r="BJ68" s="2241"/>
      <c r="BK68" s="2241"/>
      <c r="BL68" s="2241"/>
      <c r="BM68" s="2241"/>
      <c r="BN68" s="2241"/>
      <c r="BO68" s="2241"/>
      <c r="BP68" s="2241"/>
      <c r="BQ68" s="2241"/>
      <c r="BR68" s="2241"/>
      <c r="BS68" s="2241"/>
      <c r="BT68" s="2241"/>
      <c r="BU68" s="2241"/>
      <c r="BV68" s="2241"/>
      <c r="BW68" s="2241"/>
      <c r="BX68" s="2241"/>
      <c r="BY68" s="2241"/>
      <c r="BZ68" s="2241"/>
      <c r="CA68" s="2241"/>
      <c r="CB68" s="2241"/>
      <c r="CC68" s="2241"/>
      <c r="CD68" s="2241"/>
      <c r="CE68" s="2241"/>
      <c r="CF68" s="2241"/>
      <c r="CG68" s="2241"/>
      <c r="CH68" s="2241"/>
      <c r="CI68" s="2241"/>
      <c r="CJ68" s="2241"/>
      <c r="CK68" s="2241"/>
      <c r="CL68" s="2241"/>
      <c r="CM68" s="2241"/>
      <c r="CN68" s="2241"/>
      <c r="CO68" s="2241"/>
      <c r="CP68" s="2241"/>
      <c r="CQ68" s="2241"/>
      <c r="CR68" s="2241"/>
      <c r="CS68" s="2241"/>
      <c r="CT68" s="2241"/>
      <c r="CU68" s="2241"/>
      <c r="CV68" s="2241"/>
      <c r="CW68" s="2241"/>
      <c r="CX68" s="2241"/>
      <c r="CY68" s="2241"/>
      <c r="CZ68" s="2241"/>
      <c r="DA68" s="2241"/>
      <c r="DB68" s="2241"/>
      <c r="DC68" s="2241"/>
      <c r="DD68" s="2241"/>
      <c r="DE68" s="2241"/>
      <c r="DF68" s="2241"/>
      <c r="DG68" s="2241"/>
      <c r="DH68" s="2241"/>
      <c r="DI68" s="2241"/>
      <c r="DJ68" s="2241"/>
      <c r="DK68" s="2241"/>
      <c r="DL68" s="2241"/>
      <c r="DM68" s="2241"/>
      <c r="DN68" s="2241"/>
      <c r="DO68" s="2241"/>
      <c r="DP68" s="2241"/>
      <c r="DQ68" s="2241"/>
      <c r="DR68" s="2241"/>
      <c r="DS68" s="2241"/>
      <c r="DT68" s="2241"/>
      <c r="DU68" s="2241"/>
      <c r="DV68" s="2241"/>
      <c r="DW68" s="2241"/>
      <c r="DX68" s="2241"/>
      <c r="DY68" s="2241"/>
      <c r="DZ68" s="2241"/>
      <c r="EA68" s="2241"/>
      <c r="EB68" s="2241"/>
      <c r="EC68" s="2241"/>
      <c r="ED68" s="2241"/>
      <c r="EE68" s="2241"/>
      <c r="EF68" s="2241"/>
      <c r="EG68" s="2241"/>
      <c r="EH68" s="2241"/>
      <c r="EI68" s="2241"/>
      <c r="EJ68" s="2241"/>
      <c r="EK68" s="2241"/>
      <c r="EL68" s="2241"/>
      <c r="EM68" s="2241"/>
      <c r="EN68" s="2241"/>
      <c r="EO68" s="2241"/>
      <c r="EP68" s="2241"/>
      <c r="EQ68" s="2241"/>
      <c r="ER68" s="2241"/>
      <c r="ES68" s="2241"/>
      <c r="ET68" s="2241"/>
      <c r="EU68" s="2241"/>
      <c r="EV68" s="2241"/>
      <c r="EW68" s="2241"/>
      <c r="EX68" s="2241"/>
      <c r="EY68" s="2241"/>
      <c r="EZ68" s="2241"/>
      <c r="FA68" s="2241"/>
      <c r="FB68" s="2241"/>
      <c r="FC68" s="2241"/>
      <c r="FD68" s="2241"/>
      <c r="FE68" s="2241"/>
      <c r="FF68" s="2241"/>
      <c r="FG68" s="2241"/>
      <c r="FH68" s="2241"/>
      <c r="FI68" s="2241"/>
      <c r="FJ68" s="2241"/>
      <c r="FK68" s="2241"/>
      <c r="FL68" s="2241"/>
      <c r="FM68" s="2241"/>
      <c r="FN68" s="2241"/>
      <c r="FO68" s="2241"/>
      <c r="FP68" s="2241"/>
      <c r="FQ68" s="2241"/>
      <c r="FR68" s="2241"/>
      <c r="FS68" s="2241"/>
      <c r="FT68" s="2241"/>
      <c r="FU68" s="2241"/>
      <c r="FV68" s="2241"/>
      <c r="FW68" s="2241"/>
      <c r="FX68" s="2241"/>
      <c r="FY68" s="2241"/>
      <c r="FZ68" s="2241"/>
      <c r="GA68" s="2241"/>
      <c r="GB68" s="2241"/>
      <c r="GC68" s="2241"/>
      <c r="GD68" s="2241"/>
      <c r="GE68" s="2241"/>
      <c r="GF68" s="2241"/>
      <c r="GG68" s="2241"/>
      <c r="GH68" s="2241"/>
      <c r="GI68" s="2241"/>
      <c r="GJ68" s="2241"/>
      <c r="GK68" s="2241"/>
      <c r="GL68" s="2241"/>
      <c r="GM68" s="2241"/>
      <c r="GN68" s="2241"/>
      <c r="GO68" s="2241"/>
      <c r="GP68" s="2241"/>
      <c r="GQ68" s="2241"/>
      <c r="GR68" s="2241"/>
      <c r="GS68" s="2241"/>
      <c r="GT68" s="2241"/>
      <c r="GU68" s="2241"/>
      <c r="GV68" s="2241"/>
      <c r="GW68" s="2241"/>
      <c r="GX68" s="2241"/>
      <c r="GY68" s="2241"/>
      <c r="GZ68" s="2241"/>
      <c r="HA68" s="2241"/>
      <c r="HB68" s="2241"/>
      <c r="HC68" s="2241"/>
      <c r="HD68" s="2241"/>
      <c r="HE68" s="2241"/>
      <c r="HF68" s="2241"/>
      <c r="HG68" s="2241"/>
      <c r="HH68" s="2241"/>
      <c r="HI68" s="2241"/>
      <c r="HJ68" s="2241"/>
      <c r="HK68" s="2241"/>
      <c r="HL68" s="2241"/>
      <c r="HM68" s="2241"/>
      <c r="HN68" s="2241"/>
      <c r="HO68" s="2241"/>
      <c r="HP68" s="2241"/>
      <c r="HQ68" s="2241"/>
      <c r="HR68" s="2241"/>
      <c r="HS68" s="2241"/>
      <c r="HT68" s="2241"/>
      <c r="HU68" s="2241"/>
      <c r="HV68" s="2241"/>
      <c r="HW68" s="2241"/>
      <c r="HX68" s="2241"/>
      <c r="HY68" s="2241"/>
      <c r="HZ68" s="2241"/>
      <c r="IA68" s="2241"/>
      <c r="IB68" s="2241"/>
      <c r="IC68" s="2241"/>
      <c r="ID68" s="2241"/>
      <c r="IE68" s="2241"/>
      <c r="IF68" s="2241"/>
      <c r="IG68" s="2241"/>
      <c r="IH68" s="2241"/>
      <c r="II68" s="2241"/>
      <c r="IJ68" s="2241"/>
      <c r="IK68" s="2241"/>
      <c r="IL68" s="2241"/>
      <c r="IM68" s="2241"/>
      <c r="IN68" s="2241"/>
      <c r="IO68" s="2241"/>
      <c r="IP68" s="2241"/>
      <c r="IQ68" s="2241"/>
      <c r="IR68" s="2241"/>
      <c r="IS68" s="2241"/>
      <c r="IT68" s="2241"/>
      <c r="IU68" s="2241"/>
      <c r="IV68" s="2241"/>
      <c r="IW68" s="2241"/>
      <c r="IX68" s="2241"/>
    </row>
    <row r="69" spans="1:258" ht="24" hidden="1" outlineLevel="1">
      <c r="A69" s="3059"/>
      <c r="B69" s="2188" t="s">
        <v>877</v>
      </c>
      <c r="C69" s="2236" t="s">
        <v>830</v>
      </c>
      <c r="D69" s="1330">
        <f t="shared" ref="D69:K69" si="37">IF(D68=0,,D70/1000/D68)</f>
        <v>0</v>
      </c>
      <c r="E69" s="1333">
        <f t="shared" si="37"/>
        <v>0</v>
      </c>
      <c r="F69" s="1330">
        <f t="shared" si="37"/>
        <v>0</v>
      </c>
      <c r="G69" s="2267">
        <f t="shared" si="37"/>
        <v>0</v>
      </c>
      <c r="H69" s="997"/>
      <c r="I69" s="997"/>
      <c r="J69" s="2248">
        <f t="shared" si="37"/>
        <v>0</v>
      </c>
      <c r="K69" s="997">
        <f t="shared" si="37"/>
        <v>0</v>
      </c>
      <c r="L69" s="997"/>
      <c r="M69" s="997"/>
      <c r="N69" s="997"/>
      <c r="O69" s="997"/>
      <c r="P69" s="997"/>
      <c r="Q69" s="997"/>
      <c r="R69" s="997"/>
      <c r="S69" s="997"/>
      <c r="T69" s="997"/>
      <c r="U69" s="997"/>
      <c r="V69" s="997"/>
      <c r="W69" s="997"/>
      <c r="X69" s="997"/>
      <c r="Y69" s="2269"/>
      <c r="Z69" s="2249"/>
      <c r="AA69" s="2250"/>
      <c r="AB69" s="2250"/>
      <c r="AC69" s="2250"/>
      <c r="AD69" s="2241"/>
      <c r="AE69" s="2169"/>
      <c r="AF69" s="2169"/>
      <c r="AG69" s="2169"/>
      <c r="AH69" s="2169"/>
      <c r="AI69" s="2169"/>
      <c r="AJ69" s="2169"/>
      <c r="AK69" s="2241"/>
      <c r="AL69" s="2250"/>
      <c r="AM69" s="2250"/>
      <c r="AN69" s="2250"/>
      <c r="AO69" s="2250"/>
      <c r="AP69" s="2250"/>
      <c r="AQ69" s="2250"/>
      <c r="AR69" s="2241"/>
      <c r="AS69" s="2241"/>
      <c r="AT69" s="2241"/>
      <c r="AU69" s="2241"/>
      <c r="AV69" s="2241"/>
      <c r="AW69" s="2241"/>
      <c r="AX69" s="2241"/>
      <c r="AY69" s="2241"/>
      <c r="AZ69" s="2241"/>
      <c r="BA69" s="2241"/>
      <c r="BB69" s="2241"/>
      <c r="BC69" s="2241"/>
      <c r="BD69" s="2241"/>
      <c r="BE69" s="2241"/>
      <c r="BF69" s="2241"/>
      <c r="BG69" s="2241"/>
      <c r="BH69" s="2241"/>
      <c r="BI69" s="2241"/>
      <c r="BJ69" s="2241"/>
      <c r="BK69" s="2241"/>
      <c r="BL69" s="2241"/>
      <c r="BM69" s="2241"/>
      <c r="BN69" s="2241"/>
      <c r="BO69" s="2241"/>
      <c r="BP69" s="2241"/>
      <c r="BQ69" s="2241"/>
      <c r="BR69" s="2241"/>
      <c r="BS69" s="2241"/>
      <c r="BT69" s="2241"/>
      <c r="BU69" s="2241"/>
      <c r="BV69" s="2241"/>
      <c r="BW69" s="2241"/>
      <c r="BX69" s="2241"/>
      <c r="BY69" s="2241"/>
      <c r="BZ69" s="2241"/>
      <c r="CA69" s="2241"/>
      <c r="CB69" s="2241"/>
      <c r="CC69" s="2241"/>
      <c r="CD69" s="2241"/>
      <c r="CE69" s="2241"/>
      <c r="CF69" s="2241"/>
      <c r="CG69" s="2241"/>
      <c r="CH69" s="2241"/>
      <c r="CI69" s="2241"/>
      <c r="CJ69" s="2241"/>
      <c r="CK69" s="2241"/>
      <c r="CL69" s="2241"/>
      <c r="CM69" s="2241"/>
      <c r="CN69" s="2241"/>
      <c r="CO69" s="2241"/>
      <c r="CP69" s="2241"/>
      <c r="CQ69" s="2241"/>
      <c r="CR69" s="2241"/>
      <c r="CS69" s="2241"/>
      <c r="CT69" s="2241"/>
      <c r="CU69" s="2241"/>
      <c r="CV69" s="2241"/>
      <c r="CW69" s="2241"/>
      <c r="CX69" s="2241"/>
      <c r="CY69" s="2241"/>
      <c r="CZ69" s="2241"/>
      <c r="DA69" s="2241"/>
      <c r="DB69" s="2241"/>
      <c r="DC69" s="2241"/>
      <c r="DD69" s="2241"/>
      <c r="DE69" s="2241"/>
      <c r="DF69" s="2241"/>
      <c r="DG69" s="2241"/>
      <c r="DH69" s="2241"/>
      <c r="DI69" s="2241"/>
      <c r="DJ69" s="2241"/>
      <c r="DK69" s="2241"/>
      <c r="DL69" s="2241"/>
      <c r="DM69" s="2241"/>
      <c r="DN69" s="2241"/>
      <c r="DO69" s="2241"/>
      <c r="DP69" s="2241"/>
      <c r="DQ69" s="2241"/>
      <c r="DR69" s="2241"/>
      <c r="DS69" s="2241"/>
      <c r="DT69" s="2241"/>
      <c r="DU69" s="2241"/>
      <c r="DV69" s="2241"/>
      <c r="DW69" s="2241"/>
      <c r="DX69" s="2241"/>
      <c r="DY69" s="2241"/>
      <c r="DZ69" s="2241"/>
      <c r="EA69" s="2241"/>
      <c r="EB69" s="2241"/>
      <c r="EC69" s="2241"/>
      <c r="ED69" s="2241"/>
      <c r="EE69" s="2241"/>
      <c r="EF69" s="2241"/>
      <c r="EG69" s="2241"/>
      <c r="EH69" s="2241"/>
      <c r="EI69" s="2241"/>
      <c r="EJ69" s="2241"/>
      <c r="EK69" s="2241"/>
      <c r="EL69" s="2241"/>
      <c r="EM69" s="2241"/>
      <c r="EN69" s="2241"/>
      <c r="EO69" s="2241"/>
      <c r="EP69" s="2241"/>
      <c r="EQ69" s="2241"/>
      <c r="ER69" s="2241"/>
      <c r="ES69" s="2241"/>
      <c r="ET69" s="2241"/>
      <c r="EU69" s="2241"/>
      <c r="EV69" s="2241"/>
      <c r="EW69" s="2241"/>
      <c r="EX69" s="2241"/>
      <c r="EY69" s="2241"/>
      <c r="EZ69" s="2241"/>
      <c r="FA69" s="2241"/>
      <c r="FB69" s="2241"/>
      <c r="FC69" s="2241"/>
      <c r="FD69" s="2241"/>
      <c r="FE69" s="2241"/>
      <c r="FF69" s="2241"/>
      <c r="FG69" s="2241"/>
      <c r="FH69" s="2241"/>
      <c r="FI69" s="2241"/>
      <c r="FJ69" s="2241"/>
      <c r="FK69" s="2241"/>
      <c r="FL69" s="2241"/>
      <c r="FM69" s="2241"/>
      <c r="FN69" s="2241"/>
      <c r="FO69" s="2241"/>
      <c r="FP69" s="2241"/>
      <c r="FQ69" s="2241"/>
      <c r="FR69" s="2241"/>
      <c r="FS69" s="2241"/>
      <c r="FT69" s="2241"/>
      <c r="FU69" s="2241"/>
      <c r="FV69" s="2241"/>
      <c r="FW69" s="2241"/>
      <c r="FX69" s="2241"/>
      <c r="FY69" s="2241"/>
      <c r="FZ69" s="2241"/>
      <c r="GA69" s="2241"/>
      <c r="GB69" s="2241"/>
      <c r="GC69" s="2241"/>
      <c r="GD69" s="2241"/>
      <c r="GE69" s="2241"/>
      <c r="GF69" s="2241"/>
      <c r="GG69" s="2241"/>
      <c r="GH69" s="2241"/>
      <c r="GI69" s="2241"/>
      <c r="GJ69" s="2241"/>
      <c r="GK69" s="2241"/>
      <c r="GL69" s="2241"/>
      <c r="GM69" s="2241"/>
      <c r="GN69" s="2241"/>
      <c r="GO69" s="2241"/>
      <c r="GP69" s="2241"/>
      <c r="GQ69" s="2241"/>
      <c r="GR69" s="2241"/>
      <c r="GS69" s="2241"/>
      <c r="GT69" s="2241"/>
      <c r="GU69" s="2241"/>
      <c r="GV69" s="2241"/>
      <c r="GW69" s="2241"/>
      <c r="GX69" s="2241"/>
      <c r="GY69" s="2241"/>
      <c r="GZ69" s="2241"/>
      <c r="HA69" s="2241"/>
      <c r="HB69" s="2241"/>
      <c r="HC69" s="2241"/>
      <c r="HD69" s="2241"/>
      <c r="HE69" s="2241"/>
      <c r="HF69" s="2241"/>
      <c r="HG69" s="2241"/>
      <c r="HH69" s="2241"/>
      <c r="HI69" s="2241"/>
      <c r="HJ69" s="2241"/>
      <c r="HK69" s="2241"/>
      <c r="HL69" s="2241"/>
      <c r="HM69" s="2241"/>
      <c r="HN69" s="2241"/>
      <c r="HO69" s="2241"/>
      <c r="HP69" s="2241"/>
      <c r="HQ69" s="2241"/>
      <c r="HR69" s="2241"/>
      <c r="HS69" s="2241"/>
      <c r="HT69" s="2241"/>
      <c r="HU69" s="2241"/>
      <c r="HV69" s="2241"/>
      <c r="HW69" s="2241"/>
      <c r="HX69" s="2241"/>
      <c r="HY69" s="2241"/>
      <c r="HZ69" s="2241"/>
      <c r="IA69" s="2241"/>
      <c r="IB69" s="2241"/>
      <c r="IC69" s="2241"/>
      <c r="ID69" s="2241"/>
      <c r="IE69" s="2241"/>
      <c r="IF69" s="2241"/>
      <c r="IG69" s="2241"/>
      <c r="IH69" s="2241"/>
      <c r="II69" s="2241"/>
      <c r="IJ69" s="2241"/>
      <c r="IK69" s="2241"/>
      <c r="IL69" s="2241"/>
      <c r="IM69" s="2241"/>
      <c r="IN69" s="2241"/>
      <c r="IO69" s="2241"/>
      <c r="IP69" s="2241"/>
      <c r="IQ69" s="2241"/>
      <c r="IR69" s="2241"/>
      <c r="IS69" s="2241"/>
      <c r="IT69" s="2241"/>
      <c r="IU69" s="2241"/>
      <c r="IV69" s="2241"/>
      <c r="IW69" s="2241"/>
      <c r="IX69" s="2241"/>
    </row>
    <row r="70" spans="1:258" ht="24" hidden="1" outlineLevel="1">
      <c r="A70" s="3060"/>
      <c r="B70" s="2257" t="s">
        <v>878</v>
      </c>
      <c r="C70" s="2243" t="s">
        <v>833</v>
      </c>
      <c r="D70" s="1330"/>
      <c r="E70" s="1333"/>
      <c r="F70" s="1330"/>
      <c r="G70" s="2267"/>
      <c r="H70" s="997"/>
      <c r="I70" s="997"/>
      <c r="J70" s="2248">
        <f>L70+N70+P70+R70+T70+V70+X70</f>
        <v>0</v>
      </c>
      <c r="K70" s="997">
        <f>M70+O70+Q70+S70+U70+W70+Y70</f>
        <v>0</v>
      </c>
      <c r="L70" s="997">
        <f>L68*L69/1000</f>
        <v>0</v>
      </c>
      <c r="M70" s="997">
        <f t="shared" ref="M70:Y70" si="38">M68*M69/1000</f>
        <v>0</v>
      </c>
      <c r="N70" s="997">
        <f t="shared" si="38"/>
        <v>0</v>
      </c>
      <c r="O70" s="997">
        <f t="shared" si="38"/>
        <v>0</v>
      </c>
      <c r="P70" s="997">
        <f t="shared" si="38"/>
        <v>0</v>
      </c>
      <c r="Q70" s="997">
        <f t="shared" si="38"/>
        <v>0</v>
      </c>
      <c r="R70" s="997">
        <f t="shared" si="38"/>
        <v>0</v>
      </c>
      <c r="S70" s="997">
        <f t="shared" si="38"/>
        <v>0</v>
      </c>
      <c r="T70" s="997">
        <f t="shared" si="38"/>
        <v>0</v>
      </c>
      <c r="U70" s="997">
        <f t="shared" si="38"/>
        <v>0</v>
      </c>
      <c r="V70" s="997">
        <f t="shared" si="38"/>
        <v>0</v>
      </c>
      <c r="W70" s="997">
        <f t="shared" si="38"/>
        <v>0</v>
      </c>
      <c r="X70" s="997">
        <f t="shared" si="38"/>
        <v>0</v>
      </c>
      <c r="Y70" s="1333">
        <f t="shared" si="38"/>
        <v>0</v>
      </c>
      <c r="Z70" s="2249"/>
      <c r="AA70" s="2250"/>
      <c r="AB70" s="2250"/>
      <c r="AC70" s="2250"/>
      <c r="AD70" s="2241"/>
      <c r="AE70" s="2169"/>
      <c r="AF70" s="2169"/>
      <c r="AG70" s="2169"/>
      <c r="AH70" s="2169"/>
      <c r="AI70" s="2169"/>
      <c r="AJ70" s="2169"/>
      <c r="AK70" s="2241"/>
      <c r="AL70" s="2250"/>
      <c r="AM70" s="2250"/>
      <c r="AN70" s="2250"/>
      <c r="AO70" s="2250"/>
      <c r="AP70" s="2250"/>
      <c r="AQ70" s="2250"/>
      <c r="AR70" s="2241"/>
      <c r="AS70" s="2241"/>
      <c r="AT70" s="2241"/>
      <c r="AU70" s="2241"/>
      <c r="AV70" s="2241"/>
      <c r="AW70" s="2241"/>
      <c r="AX70" s="2241"/>
      <c r="AY70" s="2241"/>
      <c r="AZ70" s="2241"/>
      <c r="BA70" s="2241"/>
      <c r="BB70" s="2241"/>
      <c r="BC70" s="2241"/>
      <c r="BD70" s="2241"/>
      <c r="BE70" s="2241"/>
      <c r="BF70" s="2241"/>
      <c r="BG70" s="2241"/>
      <c r="BH70" s="2241"/>
      <c r="BI70" s="2241"/>
      <c r="BJ70" s="2241"/>
      <c r="BK70" s="2241"/>
      <c r="BL70" s="2241"/>
      <c r="BM70" s="2241"/>
      <c r="BN70" s="2241"/>
      <c r="BO70" s="2241"/>
      <c r="BP70" s="2241"/>
      <c r="BQ70" s="2241"/>
      <c r="BR70" s="2241"/>
      <c r="BS70" s="2241"/>
      <c r="BT70" s="2241"/>
      <c r="BU70" s="2241"/>
      <c r="BV70" s="2241"/>
      <c r="BW70" s="2241"/>
      <c r="BX70" s="2241"/>
      <c r="BY70" s="2241"/>
      <c r="BZ70" s="2241"/>
      <c r="CA70" s="2241"/>
      <c r="CB70" s="2241"/>
      <c r="CC70" s="2241"/>
      <c r="CD70" s="2241"/>
      <c r="CE70" s="2241"/>
      <c r="CF70" s="2241"/>
      <c r="CG70" s="2241"/>
      <c r="CH70" s="2241"/>
      <c r="CI70" s="2241"/>
      <c r="CJ70" s="2241"/>
      <c r="CK70" s="2241"/>
      <c r="CL70" s="2241"/>
      <c r="CM70" s="2241"/>
      <c r="CN70" s="2241"/>
      <c r="CO70" s="2241"/>
      <c r="CP70" s="2241"/>
      <c r="CQ70" s="2241"/>
      <c r="CR70" s="2241"/>
      <c r="CS70" s="2241"/>
      <c r="CT70" s="2241"/>
      <c r="CU70" s="2241"/>
      <c r="CV70" s="2241"/>
      <c r="CW70" s="2241"/>
      <c r="CX70" s="2241"/>
      <c r="CY70" s="2241"/>
      <c r="CZ70" s="2241"/>
      <c r="DA70" s="2241"/>
      <c r="DB70" s="2241"/>
      <c r="DC70" s="2241"/>
      <c r="DD70" s="2241"/>
      <c r="DE70" s="2241"/>
      <c r="DF70" s="2241"/>
      <c r="DG70" s="2241"/>
      <c r="DH70" s="2241"/>
      <c r="DI70" s="2241"/>
      <c r="DJ70" s="2241"/>
      <c r="DK70" s="2241"/>
      <c r="DL70" s="2241"/>
      <c r="DM70" s="2241"/>
      <c r="DN70" s="2241"/>
      <c r="DO70" s="2241"/>
      <c r="DP70" s="2241"/>
      <c r="DQ70" s="2241"/>
      <c r="DR70" s="2241"/>
      <c r="DS70" s="2241"/>
      <c r="DT70" s="2241"/>
      <c r="DU70" s="2241"/>
      <c r="DV70" s="2241"/>
      <c r="DW70" s="2241"/>
      <c r="DX70" s="2241"/>
      <c r="DY70" s="2241"/>
      <c r="DZ70" s="2241"/>
      <c r="EA70" s="2241"/>
      <c r="EB70" s="2241"/>
      <c r="EC70" s="2241"/>
      <c r="ED70" s="2241"/>
      <c r="EE70" s="2241"/>
      <c r="EF70" s="2241"/>
      <c r="EG70" s="2241"/>
      <c r="EH70" s="2241"/>
      <c r="EI70" s="2241"/>
      <c r="EJ70" s="2241"/>
      <c r="EK70" s="2241"/>
      <c r="EL70" s="2241"/>
      <c r="EM70" s="2241"/>
      <c r="EN70" s="2241"/>
      <c r="EO70" s="2241"/>
      <c r="EP70" s="2241"/>
      <c r="EQ70" s="2241"/>
      <c r="ER70" s="2241"/>
      <c r="ES70" s="2241"/>
      <c r="ET70" s="2241"/>
      <c r="EU70" s="2241"/>
      <c r="EV70" s="2241"/>
      <c r="EW70" s="2241"/>
      <c r="EX70" s="2241"/>
      <c r="EY70" s="2241"/>
      <c r="EZ70" s="2241"/>
      <c r="FA70" s="2241"/>
      <c r="FB70" s="2241"/>
      <c r="FC70" s="2241"/>
      <c r="FD70" s="2241"/>
      <c r="FE70" s="2241"/>
      <c r="FF70" s="2241"/>
      <c r="FG70" s="2241"/>
      <c r="FH70" s="2241"/>
      <c r="FI70" s="2241"/>
      <c r="FJ70" s="2241"/>
      <c r="FK70" s="2241"/>
      <c r="FL70" s="2241"/>
      <c r="FM70" s="2241"/>
      <c r="FN70" s="2241"/>
      <c r="FO70" s="2241"/>
      <c r="FP70" s="2241"/>
      <c r="FQ70" s="2241"/>
      <c r="FR70" s="2241"/>
      <c r="FS70" s="2241"/>
      <c r="FT70" s="2241"/>
      <c r="FU70" s="2241"/>
      <c r="FV70" s="2241"/>
      <c r="FW70" s="2241"/>
      <c r="FX70" s="2241"/>
      <c r="FY70" s="2241"/>
      <c r="FZ70" s="2241"/>
      <c r="GA70" s="2241"/>
      <c r="GB70" s="2241"/>
      <c r="GC70" s="2241"/>
      <c r="GD70" s="2241"/>
      <c r="GE70" s="2241"/>
      <c r="GF70" s="2241"/>
      <c r="GG70" s="2241"/>
      <c r="GH70" s="2241"/>
      <c r="GI70" s="2241"/>
      <c r="GJ70" s="2241"/>
      <c r="GK70" s="2241"/>
      <c r="GL70" s="2241"/>
      <c r="GM70" s="2241"/>
      <c r="GN70" s="2241"/>
      <c r="GO70" s="2241"/>
      <c r="GP70" s="2241"/>
      <c r="GQ70" s="2241"/>
      <c r="GR70" s="2241"/>
      <c r="GS70" s="2241"/>
      <c r="GT70" s="2241"/>
      <c r="GU70" s="2241"/>
      <c r="GV70" s="2241"/>
      <c r="GW70" s="2241"/>
      <c r="GX70" s="2241"/>
      <c r="GY70" s="2241"/>
      <c r="GZ70" s="2241"/>
      <c r="HA70" s="2241"/>
      <c r="HB70" s="2241"/>
      <c r="HC70" s="2241"/>
      <c r="HD70" s="2241"/>
      <c r="HE70" s="2241"/>
      <c r="HF70" s="2241"/>
      <c r="HG70" s="2241"/>
      <c r="HH70" s="2241"/>
      <c r="HI70" s="2241"/>
      <c r="HJ70" s="2241"/>
      <c r="HK70" s="2241"/>
      <c r="HL70" s="2241"/>
      <c r="HM70" s="2241"/>
      <c r="HN70" s="2241"/>
      <c r="HO70" s="2241"/>
      <c r="HP70" s="2241"/>
      <c r="HQ70" s="2241"/>
      <c r="HR70" s="2241"/>
      <c r="HS70" s="2241"/>
      <c r="HT70" s="2241"/>
      <c r="HU70" s="2241"/>
      <c r="HV70" s="2241"/>
      <c r="HW70" s="2241"/>
      <c r="HX70" s="2241"/>
      <c r="HY70" s="2241"/>
      <c r="HZ70" s="2241"/>
      <c r="IA70" s="2241"/>
      <c r="IB70" s="2241"/>
      <c r="IC70" s="2241"/>
      <c r="ID70" s="2241"/>
      <c r="IE70" s="2241"/>
      <c r="IF70" s="2241"/>
      <c r="IG70" s="2241"/>
      <c r="IH70" s="2241"/>
      <c r="II70" s="2241"/>
      <c r="IJ70" s="2241"/>
      <c r="IK70" s="2241"/>
      <c r="IL70" s="2241"/>
      <c r="IM70" s="2241"/>
      <c r="IN70" s="2241"/>
      <c r="IO70" s="2241"/>
      <c r="IP70" s="2241"/>
      <c r="IQ70" s="2241"/>
      <c r="IR70" s="2241"/>
      <c r="IS70" s="2241"/>
      <c r="IT70" s="2241"/>
      <c r="IU70" s="2241"/>
      <c r="IV70" s="2241"/>
      <c r="IW70" s="2241"/>
      <c r="IX70" s="2241"/>
    </row>
    <row r="71" spans="1:258" hidden="1" outlineLevel="1">
      <c r="A71" s="3058" t="s">
        <v>879</v>
      </c>
      <c r="B71" s="2188" t="s">
        <v>880</v>
      </c>
      <c r="C71" s="2236" t="s">
        <v>803</v>
      </c>
      <c r="D71" s="1330"/>
      <c r="E71" s="1333"/>
      <c r="F71" s="1330"/>
      <c r="G71" s="2267"/>
      <c r="H71" s="997"/>
      <c r="I71" s="997"/>
      <c r="J71" s="2248">
        <f>L71+N71+P71+R71+T71+V71+X71</f>
        <v>0</v>
      </c>
      <c r="K71" s="997">
        <f>M71+O71+Q71+S71+U71+W71+Y71</f>
        <v>0</v>
      </c>
      <c r="L71" s="997"/>
      <c r="M71" s="997"/>
      <c r="N71" s="997"/>
      <c r="O71" s="997"/>
      <c r="P71" s="997"/>
      <c r="Q71" s="997"/>
      <c r="R71" s="997"/>
      <c r="S71" s="997"/>
      <c r="T71" s="997"/>
      <c r="U71" s="997"/>
      <c r="V71" s="997"/>
      <c r="W71" s="997"/>
      <c r="X71" s="997"/>
      <c r="Y71" s="2269"/>
      <c r="Z71" s="2249"/>
      <c r="AA71" s="2250"/>
      <c r="AB71" s="2250"/>
      <c r="AC71" s="2250"/>
      <c r="AD71" s="2241"/>
      <c r="AE71" s="2169"/>
      <c r="AF71" s="2169"/>
      <c r="AG71" s="2169"/>
      <c r="AH71" s="2169"/>
      <c r="AI71" s="2169"/>
      <c r="AJ71" s="2169"/>
      <c r="AK71" s="2241"/>
      <c r="AL71" s="2250"/>
      <c r="AM71" s="2250"/>
      <c r="AN71" s="2250"/>
      <c r="AO71" s="2250"/>
      <c r="AP71" s="2250"/>
      <c r="AQ71" s="2250"/>
      <c r="AR71" s="2241"/>
      <c r="AS71" s="2241"/>
      <c r="AT71" s="2241"/>
      <c r="AU71" s="2241"/>
      <c r="AV71" s="2241"/>
      <c r="AW71" s="2241"/>
      <c r="AX71" s="2241"/>
      <c r="AY71" s="2241"/>
      <c r="AZ71" s="2241"/>
      <c r="BA71" s="2241"/>
      <c r="BB71" s="2241"/>
      <c r="BC71" s="2241"/>
      <c r="BD71" s="2241"/>
      <c r="BE71" s="2241"/>
      <c r="BF71" s="2241"/>
      <c r="BG71" s="2241"/>
      <c r="BH71" s="2241"/>
      <c r="BI71" s="2241"/>
      <c r="BJ71" s="2241"/>
      <c r="BK71" s="2241"/>
      <c r="BL71" s="2241"/>
      <c r="BM71" s="2241"/>
      <c r="BN71" s="2241"/>
      <c r="BO71" s="2241"/>
      <c r="BP71" s="2241"/>
      <c r="BQ71" s="2241"/>
      <c r="BR71" s="2241"/>
      <c r="BS71" s="2241"/>
      <c r="BT71" s="2241"/>
      <c r="BU71" s="2241"/>
      <c r="BV71" s="2241"/>
      <c r="BW71" s="2241"/>
      <c r="BX71" s="2241"/>
      <c r="BY71" s="2241"/>
      <c r="BZ71" s="2241"/>
      <c r="CA71" s="2241"/>
      <c r="CB71" s="2241"/>
      <c r="CC71" s="2241"/>
      <c r="CD71" s="2241"/>
      <c r="CE71" s="2241"/>
      <c r="CF71" s="2241"/>
      <c r="CG71" s="2241"/>
      <c r="CH71" s="2241"/>
      <c r="CI71" s="2241"/>
      <c r="CJ71" s="2241"/>
      <c r="CK71" s="2241"/>
      <c r="CL71" s="2241"/>
      <c r="CM71" s="2241"/>
      <c r="CN71" s="2241"/>
      <c r="CO71" s="2241"/>
      <c r="CP71" s="2241"/>
      <c r="CQ71" s="2241"/>
      <c r="CR71" s="2241"/>
      <c r="CS71" s="2241"/>
      <c r="CT71" s="2241"/>
      <c r="CU71" s="2241"/>
      <c r="CV71" s="2241"/>
      <c r="CW71" s="2241"/>
      <c r="CX71" s="2241"/>
      <c r="CY71" s="2241"/>
      <c r="CZ71" s="2241"/>
      <c r="DA71" s="2241"/>
      <c r="DB71" s="2241"/>
      <c r="DC71" s="2241"/>
      <c r="DD71" s="2241"/>
      <c r="DE71" s="2241"/>
      <c r="DF71" s="2241"/>
      <c r="DG71" s="2241"/>
      <c r="DH71" s="2241"/>
      <c r="DI71" s="2241"/>
      <c r="DJ71" s="2241"/>
      <c r="DK71" s="2241"/>
      <c r="DL71" s="2241"/>
      <c r="DM71" s="2241"/>
      <c r="DN71" s="2241"/>
      <c r="DO71" s="2241"/>
      <c r="DP71" s="2241"/>
      <c r="DQ71" s="2241"/>
      <c r="DR71" s="2241"/>
      <c r="DS71" s="2241"/>
      <c r="DT71" s="2241"/>
      <c r="DU71" s="2241"/>
      <c r="DV71" s="2241"/>
      <c r="DW71" s="2241"/>
      <c r="DX71" s="2241"/>
      <c r="DY71" s="2241"/>
      <c r="DZ71" s="2241"/>
      <c r="EA71" s="2241"/>
      <c r="EB71" s="2241"/>
      <c r="EC71" s="2241"/>
      <c r="ED71" s="2241"/>
      <c r="EE71" s="2241"/>
      <c r="EF71" s="2241"/>
      <c r="EG71" s="2241"/>
      <c r="EH71" s="2241"/>
      <c r="EI71" s="2241"/>
      <c r="EJ71" s="2241"/>
      <c r="EK71" s="2241"/>
      <c r="EL71" s="2241"/>
      <c r="EM71" s="2241"/>
      <c r="EN71" s="2241"/>
      <c r="EO71" s="2241"/>
      <c r="EP71" s="2241"/>
      <c r="EQ71" s="2241"/>
      <c r="ER71" s="2241"/>
      <c r="ES71" s="2241"/>
      <c r="ET71" s="2241"/>
      <c r="EU71" s="2241"/>
      <c r="EV71" s="2241"/>
      <c r="EW71" s="2241"/>
      <c r="EX71" s="2241"/>
      <c r="EY71" s="2241"/>
      <c r="EZ71" s="2241"/>
      <c r="FA71" s="2241"/>
      <c r="FB71" s="2241"/>
      <c r="FC71" s="2241"/>
      <c r="FD71" s="2241"/>
      <c r="FE71" s="2241"/>
      <c r="FF71" s="2241"/>
      <c r="FG71" s="2241"/>
      <c r="FH71" s="2241"/>
      <c r="FI71" s="2241"/>
      <c r="FJ71" s="2241"/>
      <c r="FK71" s="2241"/>
      <c r="FL71" s="2241"/>
      <c r="FM71" s="2241"/>
      <c r="FN71" s="2241"/>
      <c r="FO71" s="2241"/>
      <c r="FP71" s="2241"/>
      <c r="FQ71" s="2241"/>
      <c r="FR71" s="2241"/>
      <c r="FS71" s="2241"/>
      <c r="FT71" s="2241"/>
      <c r="FU71" s="2241"/>
      <c r="FV71" s="2241"/>
      <c r="FW71" s="2241"/>
      <c r="FX71" s="2241"/>
      <c r="FY71" s="2241"/>
      <c r="FZ71" s="2241"/>
      <c r="GA71" s="2241"/>
      <c r="GB71" s="2241"/>
      <c r="GC71" s="2241"/>
      <c r="GD71" s="2241"/>
      <c r="GE71" s="2241"/>
      <c r="GF71" s="2241"/>
      <c r="GG71" s="2241"/>
      <c r="GH71" s="2241"/>
      <c r="GI71" s="2241"/>
      <c r="GJ71" s="2241"/>
      <c r="GK71" s="2241"/>
      <c r="GL71" s="2241"/>
      <c r="GM71" s="2241"/>
      <c r="GN71" s="2241"/>
      <c r="GO71" s="2241"/>
      <c r="GP71" s="2241"/>
      <c r="GQ71" s="2241"/>
      <c r="GR71" s="2241"/>
      <c r="GS71" s="2241"/>
      <c r="GT71" s="2241"/>
      <c r="GU71" s="2241"/>
      <c r="GV71" s="2241"/>
      <c r="GW71" s="2241"/>
      <c r="GX71" s="2241"/>
      <c r="GY71" s="2241"/>
      <c r="GZ71" s="2241"/>
      <c r="HA71" s="2241"/>
      <c r="HB71" s="2241"/>
      <c r="HC71" s="2241"/>
      <c r="HD71" s="2241"/>
      <c r="HE71" s="2241"/>
      <c r="HF71" s="2241"/>
      <c r="HG71" s="2241"/>
      <c r="HH71" s="2241"/>
      <c r="HI71" s="2241"/>
      <c r="HJ71" s="2241"/>
      <c r="HK71" s="2241"/>
      <c r="HL71" s="2241"/>
      <c r="HM71" s="2241"/>
      <c r="HN71" s="2241"/>
      <c r="HO71" s="2241"/>
      <c r="HP71" s="2241"/>
      <c r="HQ71" s="2241"/>
      <c r="HR71" s="2241"/>
      <c r="HS71" s="2241"/>
      <c r="HT71" s="2241"/>
      <c r="HU71" s="2241"/>
      <c r="HV71" s="2241"/>
      <c r="HW71" s="2241"/>
      <c r="HX71" s="2241"/>
      <c r="HY71" s="2241"/>
      <c r="HZ71" s="2241"/>
      <c r="IA71" s="2241"/>
      <c r="IB71" s="2241"/>
      <c r="IC71" s="2241"/>
      <c r="ID71" s="2241"/>
      <c r="IE71" s="2241"/>
      <c r="IF71" s="2241"/>
      <c r="IG71" s="2241"/>
      <c r="IH71" s="2241"/>
      <c r="II71" s="2241"/>
      <c r="IJ71" s="2241"/>
      <c r="IK71" s="2241"/>
      <c r="IL71" s="2241"/>
      <c r="IM71" s="2241"/>
      <c r="IN71" s="2241"/>
      <c r="IO71" s="2241"/>
      <c r="IP71" s="2241"/>
      <c r="IQ71" s="2241"/>
      <c r="IR71" s="2241"/>
      <c r="IS71" s="2241"/>
      <c r="IT71" s="2241"/>
      <c r="IU71" s="2241"/>
      <c r="IV71" s="2241"/>
      <c r="IW71" s="2241"/>
      <c r="IX71" s="2241"/>
    </row>
    <row r="72" spans="1:258" ht="24" hidden="1" outlineLevel="1">
      <c r="A72" s="3059"/>
      <c r="B72" s="2188" t="s">
        <v>881</v>
      </c>
      <c r="C72" s="2236" t="s">
        <v>830</v>
      </c>
      <c r="D72" s="1330">
        <f t="shared" ref="D72:K72" si="39">IF(D71=0,,D73/1000/D71)</f>
        <v>0</v>
      </c>
      <c r="E72" s="1333">
        <f t="shared" si="39"/>
        <v>0</v>
      </c>
      <c r="F72" s="1330">
        <f t="shared" si="39"/>
        <v>0</v>
      </c>
      <c r="G72" s="2267">
        <f t="shared" si="39"/>
        <v>0</v>
      </c>
      <c r="H72" s="997"/>
      <c r="I72" s="997"/>
      <c r="J72" s="2248">
        <f t="shared" si="39"/>
        <v>0</v>
      </c>
      <c r="K72" s="997">
        <f t="shared" si="39"/>
        <v>0</v>
      </c>
      <c r="L72" s="997"/>
      <c r="M72" s="997"/>
      <c r="N72" s="997"/>
      <c r="O72" s="997"/>
      <c r="P72" s="997"/>
      <c r="Q72" s="997"/>
      <c r="R72" s="997"/>
      <c r="S72" s="997"/>
      <c r="T72" s="997"/>
      <c r="U72" s="997"/>
      <c r="V72" s="997"/>
      <c r="W72" s="997"/>
      <c r="X72" s="997"/>
      <c r="Y72" s="2269"/>
      <c r="Z72" s="2249"/>
      <c r="AA72" s="2250"/>
      <c r="AB72" s="2250"/>
      <c r="AC72" s="2250"/>
      <c r="AD72" s="2241"/>
      <c r="AE72" s="2169"/>
      <c r="AF72" s="2169"/>
      <c r="AG72" s="2169"/>
      <c r="AH72" s="2169"/>
      <c r="AI72" s="2169"/>
      <c r="AJ72" s="2169"/>
      <c r="AK72" s="2241"/>
      <c r="AL72" s="2250"/>
      <c r="AM72" s="2250"/>
      <c r="AN72" s="2250"/>
      <c r="AO72" s="2250"/>
      <c r="AP72" s="2250"/>
      <c r="AQ72" s="2250"/>
      <c r="AR72" s="2241"/>
      <c r="AS72" s="2241"/>
      <c r="AT72" s="2241"/>
      <c r="AU72" s="2241"/>
      <c r="AV72" s="2241"/>
      <c r="AW72" s="2241"/>
      <c r="AX72" s="2241"/>
      <c r="AY72" s="2241"/>
      <c r="AZ72" s="2241"/>
      <c r="BA72" s="2241"/>
      <c r="BB72" s="2241"/>
      <c r="BC72" s="2241"/>
      <c r="BD72" s="2241"/>
      <c r="BE72" s="2241"/>
      <c r="BF72" s="2241"/>
      <c r="BG72" s="2241"/>
      <c r="BH72" s="2241"/>
      <c r="BI72" s="2241"/>
      <c r="BJ72" s="2241"/>
      <c r="BK72" s="2241"/>
      <c r="BL72" s="2241"/>
      <c r="BM72" s="2241"/>
      <c r="BN72" s="2241"/>
      <c r="BO72" s="2241"/>
      <c r="BP72" s="2241"/>
      <c r="BQ72" s="2241"/>
      <c r="BR72" s="2241"/>
      <c r="BS72" s="2241"/>
      <c r="BT72" s="2241"/>
      <c r="BU72" s="2241"/>
      <c r="BV72" s="2241"/>
      <c r="BW72" s="2241"/>
      <c r="BX72" s="2241"/>
      <c r="BY72" s="2241"/>
      <c r="BZ72" s="2241"/>
      <c r="CA72" s="2241"/>
      <c r="CB72" s="2241"/>
      <c r="CC72" s="2241"/>
      <c r="CD72" s="2241"/>
      <c r="CE72" s="2241"/>
      <c r="CF72" s="2241"/>
      <c r="CG72" s="2241"/>
      <c r="CH72" s="2241"/>
      <c r="CI72" s="2241"/>
      <c r="CJ72" s="2241"/>
      <c r="CK72" s="2241"/>
      <c r="CL72" s="2241"/>
      <c r="CM72" s="2241"/>
      <c r="CN72" s="2241"/>
      <c r="CO72" s="2241"/>
      <c r="CP72" s="2241"/>
      <c r="CQ72" s="2241"/>
      <c r="CR72" s="2241"/>
      <c r="CS72" s="2241"/>
      <c r="CT72" s="2241"/>
      <c r="CU72" s="2241"/>
      <c r="CV72" s="2241"/>
      <c r="CW72" s="2241"/>
      <c r="CX72" s="2241"/>
      <c r="CY72" s="2241"/>
      <c r="CZ72" s="2241"/>
      <c r="DA72" s="2241"/>
      <c r="DB72" s="2241"/>
      <c r="DC72" s="2241"/>
      <c r="DD72" s="2241"/>
      <c r="DE72" s="2241"/>
      <c r="DF72" s="2241"/>
      <c r="DG72" s="2241"/>
      <c r="DH72" s="2241"/>
      <c r="DI72" s="2241"/>
      <c r="DJ72" s="2241"/>
      <c r="DK72" s="2241"/>
      <c r="DL72" s="2241"/>
      <c r="DM72" s="2241"/>
      <c r="DN72" s="2241"/>
      <c r="DO72" s="2241"/>
      <c r="DP72" s="2241"/>
      <c r="DQ72" s="2241"/>
      <c r="DR72" s="2241"/>
      <c r="DS72" s="2241"/>
      <c r="DT72" s="2241"/>
      <c r="DU72" s="2241"/>
      <c r="DV72" s="2241"/>
      <c r="DW72" s="2241"/>
      <c r="DX72" s="2241"/>
      <c r="DY72" s="2241"/>
      <c r="DZ72" s="2241"/>
      <c r="EA72" s="2241"/>
      <c r="EB72" s="2241"/>
      <c r="EC72" s="2241"/>
      <c r="ED72" s="2241"/>
      <c r="EE72" s="2241"/>
      <c r="EF72" s="2241"/>
      <c r="EG72" s="2241"/>
      <c r="EH72" s="2241"/>
      <c r="EI72" s="2241"/>
      <c r="EJ72" s="2241"/>
      <c r="EK72" s="2241"/>
      <c r="EL72" s="2241"/>
      <c r="EM72" s="2241"/>
      <c r="EN72" s="2241"/>
      <c r="EO72" s="2241"/>
      <c r="EP72" s="2241"/>
      <c r="EQ72" s="2241"/>
      <c r="ER72" s="2241"/>
      <c r="ES72" s="2241"/>
      <c r="ET72" s="2241"/>
      <c r="EU72" s="2241"/>
      <c r="EV72" s="2241"/>
      <c r="EW72" s="2241"/>
      <c r="EX72" s="2241"/>
      <c r="EY72" s="2241"/>
      <c r="EZ72" s="2241"/>
      <c r="FA72" s="2241"/>
      <c r="FB72" s="2241"/>
      <c r="FC72" s="2241"/>
      <c r="FD72" s="2241"/>
      <c r="FE72" s="2241"/>
      <c r="FF72" s="2241"/>
      <c r="FG72" s="2241"/>
      <c r="FH72" s="2241"/>
      <c r="FI72" s="2241"/>
      <c r="FJ72" s="2241"/>
      <c r="FK72" s="2241"/>
      <c r="FL72" s="2241"/>
      <c r="FM72" s="2241"/>
      <c r="FN72" s="2241"/>
      <c r="FO72" s="2241"/>
      <c r="FP72" s="2241"/>
      <c r="FQ72" s="2241"/>
      <c r="FR72" s="2241"/>
      <c r="FS72" s="2241"/>
      <c r="FT72" s="2241"/>
      <c r="FU72" s="2241"/>
      <c r="FV72" s="2241"/>
      <c r="FW72" s="2241"/>
      <c r="FX72" s="2241"/>
      <c r="FY72" s="2241"/>
      <c r="FZ72" s="2241"/>
      <c r="GA72" s="2241"/>
      <c r="GB72" s="2241"/>
      <c r="GC72" s="2241"/>
      <c r="GD72" s="2241"/>
      <c r="GE72" s="2241"/>
      <c r="GF72" s="2241"/>
      <c r="GG72" s="2241"/>
      <c r="GH72" s="2241"/>
      <c r="GI72" s="2241"/>
      <c r="GJ72" s="2241"/>
      <c r="GK72" s="2241"/>
      <c r="GL72" s="2241"/>
      <c r="GM72" s="2241"/>
      <c r="GN72" s="2241"/>
      <c r="GO72" s="2241"/>
      <c r="GP72" s="2241"/>
      <c r="GQ72" s="2241"/>
      <c r="GR72" s="2241"/>
      <c r="GS72" s="2241"/>
      <c r="GT72" s="2241"/>
      <c r="GU72" s="2241"/>
      <c r="GV72" s="2241"/>
      <c r="GW72" s="2241"/>
      <c r="GX72" s="2241"/>
      <c r="GY72" s="2241"/>
      <c r="GZ72" s="2241"/>
      <c r="HA72" s="2241"/>
      <c r="HB72" s="2241"/>
      <c r="HC72" s="2241"/>
      <c r="HD72" s="2241"/>
      <c r="HE72" s="2241"/>
      <c r="HF72" s="2241"/>
      <c r="HG72" s="2241"/>
      <c r="HH72" s="2241"/>
      <c r="HI72" s="2241"/>
      <c r="HJ72" s="2241"/>
      <c r="HK72" s="2241"/>
      <c r="HL72" s="2241"/>
      <c r="HM72" s="2241"/>
      <c r="HN72" s="2241"/>
      <c r="HO72" s="2241"/>
      <c r="HP72" s="2241"/>
      <c r="HQ72" s="2241"/>
      <c r="HR72" s="2241"/>
      <c r="HS72" s="2241"/>
      <c r="HT72" s="2241"/>
      <c r="HU72" s="2241"/>
      <c r="HV72" s="2241"/>
      <c r="HW72" s="2241"/>
      <c r="HX72" s="2241"/>
      <c r="HY72" s="2241"/>
      <c r="HZ72" s="2241"/>
      <c r="IA72" s="2241"/>
      <c r="IB72" s="2241"/>
      <c r="IC72" s="2241"/>
      <c r="ID72" s="2241"/>
      <c r="IE72" s="2241"/>
      <c r="IF72" s="2241"/>
      <c r="IG72" s="2241"/>
      <c r="IH72" s="2241"/>
      <c r="II72" s="2241"/>
      <c r="IJ72" s="2241"/>
      <c r="IK72" s="2241"/>
      <c r="IL72" s="2241"/>
      <c r="IM72" s="2241"/>
      <c r="IN72" s="2241"/>
      <c r="IO72" s="2241"/>
      <c r="IP72" s="2241"/>
      <c r="IQ72" s="2241"/>
      <c r="IR72" s="2241"/>
      <c r="IS72" s="2241"/>
      <c r="IT72" s="2241"/>
      <c r="IU72" s="2241"/>
      <c r="IV72" s="2241"/>
      <c r="IW72" s="2241"/>
      <c r="IX72" s="2241"/>
    </row>
    <row r="73" spans="1:258" ht="24" hidden="1" outlineLevel="1">
      <c r="A73" s="3060"/>
      <c r="B73" s="2257" t="s">
        <v>882</v>
      </c>
      <c r="C73" s="2243" t="s">
        <v>833</v>
      </c>
      <c r="D73" s="1330"/>
      <c r="E73" s="1333"/>
      <c r="F73" s="1330"/>
      <c r="G73" s="2267"/>
      <c r="H73" s="997"/>
      <c r="I73" s="997"/>
      <c r="J73" s="2248">
        <f>L73+N73+P73+R73+T73+V73+X73</f>
        <v>0</v>
      </c>
      <c r="K73" s="997">
        <f>M73+O73+Q73+S73+U73+W73+Y73</f>
        <v>0</v>
      </c>
      <c r="L73" s="997">
        <f>L71*L72/1000</f>
        <v>0</v>
      </c>
      <c r="M73" s="997">
        <f t="shared" ref="M73:Y73" si="40">M71*M72/1000</f>
        <v>0</v>
      </c>
      <c r="N73" s="997">
        <f t="shared" si="40"/>
        <v>0</v>
      </c>
      <c r="O73" s="997">
        <f t="shared" si="40"/>
        <v>0</v>
      </c>
      <c r="P73" s="997">
        <f t="shared" si="40"/>
        <v>0</v>
      </c>
      <c r="Q73" s="997">
        <f t="shared" si="40"/>
        <v>0</v>
      </c>
      <c r="R73" s="997">
        <f t="shared" si="40"/>
        <v>0</v>
      </c>
      <c r="S73" s="997">
        <f t="shared" si="40"/>
        <v>0</v>
      </c>
      <c r="T73" s="997">
        <f t="shared" si="40"/>
        <v>0</v>
      </c>
      <c r="U73" s="997">
        <f t="shared" si="40"/>
        <v>0</v>
      </c>
      <c r="V73" s="997">
        <f t="shared" si="40"/>
        <v>0</v>
      </c>
      <c r="W73" s="997">
        <f t="shared" si="40"/>
        <v>0</v>
      </c>
      <c r="X73" s="997">
        <f t="shared" si="40"/>
        <v>0</v>
      </c>
      <c r="Y73" s="1333">
        <f t="shared" si="40"/>
        <v>0</v>
      </c>
      <c r="Z73" s="2249"/>
      <c r="AA73" s="2250"/>
      <c r="AB73" s="2250"/>
      <c r="AC73" s="2250"/>
      <c r="AD73" s="2241"/>
      <c r="AE73" s="2169"/>
      <c r="AF73" s="2169"/>
      <c r="AG73" s="2169"/>
      <c r="AH73" s="2169"/>
      <c r="AI73" s="2169"/>
      <c r="AJ73" s="2169"/>
      <c r="AK73" s="2241"/>
      <c r="AL73" s="2250"/>
      <c r="AM73" s="2250"/>
      <c r="AN73" s="2250"/>
      <c r="AO73" s="2250"/>
      <c r="AP73" s="2250"/>
      <c r="AQ73" s="2250"/>
      <c r="AR73" s="2241"/>
      <c r="AS73" s="2241"/>
      <c r="AT73" s="2241"/>
      <c r="AU73" s="2241"/>
      <c r="AV73" s="2241"/>
      <c r="AW73" s="2241"/>
      <c r="AX73" s="2241"/>
      <c r="AY73" s="2241"/>
      <c r="AZ73" s="2241"/>
      <c r="BA73" s="2241"/>
      <c r="BB73" s="2241"/>
      <c r="BC73" s="2241"/>
      <c r="BD73" s="2241"/>
      <c r="BE73" s="2241"/>
      <c r="BF73" s="2241"/>
      <c r="BG73" s="2241"/>
      <c r="BH73" s="2241"/>
      <c r="BI73" s="2241"/>
      <c r="BJ73" s="2241"/>
      <c r="BK73" s="2241"/>
      <c r="BL73" s="2241"/>
      <c r="BM73" s="2241"/>
      <c r="BN73" s="2241"/>
      <c r="BO73" s="2241"/>
      <c r="BP73" s="2241"/>
      <c r="BQ73" s="2241"/>
      <c r="BR73" s="2241"/>
      <c r="BS73" s="2241"/>
      <c r="BT73" s="2241"/>
      <c r="BU73" s="2241"/>
      <c r="BV73" s="2241"/>
      <c r="BW73" s="2241"/>
      <c r="BX73" s="2241"/>
      <c r="BY73" s="2241"/>
      <c r="BZ73" s="2241"/>
      <c r="CA73" s="2241"/>
      <c r="CB73" s="2241"/>
      <c r="CC73" s="2241"/>
      <c r="CD73" s="2241"/>
      <c r="CE73" s="2241"/>
      <c r="CF73" s="2241"/>
      <c r="CG73" s="2241"/>
      <c r="CH73" s="2241"/>
      <c r="CI73" s="2241"/>
      <c r="CJ73" s="2241"/>
      <c r="CK73" s="2241"/>
      <c r="CL73" s="2241"/>
      <c r="CM73" s="2241"/>
      <c r="CN73" s="2241"/>
      <c r="CO73" s="2241"/>
      <c r="CP73" s="2241"/>
      <c r="CQ73" s="2241"/>
      <c r="CR73" s="2241"/>
      <c r="CS73" s="2241"/>
      <c r="CT73" s="2241"/>
      <c r="CU73" s="2241"/>
      <c r="CV73" s="2241"/>
      <c r="CW73" s="2241"/>
      <c r="CX73" s="2241"/>
      <c r="CY73" s="2241"/>
      <c r="CZ73" s="2241"/>
      <c r="DA73" s="2241"/>
      <c r="DB73" s="2241"/>
      <c r="DC73" s="2241"/>
      <c r="DD73" s="2241"/>
      <c r="DE73" s="2241"/>
      <c r="DF73" s="2241"/>
      <c r="DG73" s="2241"/>
      <c r="DH73" s="2241"/>
      <c r="DI73" s="2241"/>
      <c r="DJ73" s="2241"/>
      <c r="DK73" s="2241"/>
      <c r="DL73" s="2241"/>
      <c r="DM73" s="2241"/>
      <c r="DN73" s="2241"/>
      <c r="DO73" s="2241"/>
      <c r="DP73" s="2241"/>
      <c r="DQ73" s="2241"/>
      <c r="DR73" s="2241"/>
      <c r="DS73" s="2241"/>
      <c r="DT73" s="2241"/>
      <c r="DU73" s="2241"/>
      <c r="DV73" s="2241"/>
      <c r="DW73" s="2241"/>
      <c r="DX73" s="2241"/>
      <c r="DY73" s="2241"/>
      <c r="DZ73" s="2241"/>
      <c r="EA73" s="2241"/>
      <c r="EB73" s="2241"/>
      <c r="EC73" s="2241"/>
      <c r="ED73" s="2241"/>
      <c r="EE73" s="2241"/>
      <c r="EF73" s="2241"/>
      <c r="EG73" s="2241"/>
      <c r="EH73" s="2241"/>
      <c r="EI73" s="2241"/>
      <c r="EJ73" s="2241"/>
      <c r="EK73" s="2241"/>
      <c r="EL73" s="2241"/>
      <c r="EM73" s="2241"/>
      <c r="EN73" s="2241"/>
      <c r="EO73" s="2241"/>
      <c r="EP73" s="2241"/>
      <c r="EQ73" s="2241"/>
      <c r="ER73" s="2241"/>
      <c r="ES73" s="2241"/>
      <c r="ET73" s="2241"/>
      <c r="EU73" s="2241"/>
      <c r="EV73" s="2241"/>
      <c r="EW73" s="2241"/>
      <c r="EX73" s="2241"/>
      <c r="EY73" s="2241"/>
      <c r="EZ73" s="2241"/>
      <c r="FA73" s="2241"/>
      <c r="FB73" s="2241"/>
      <c r="FC73" s="2241"/>
      <c r="FD73" s="2241"/>
      <c r="FE73" s="2241"/>
      <c r="FF73" s="2241"/>
      <c r="FG73" s="2241"/>
      <c r="FH73" s="2241"/>
      <c r="FI73" s="2241"/>
      <c r="FJ73" s="2241"/>
      <c r="FK73" s="2241"/>
      <c r="FL73" s="2241"/>
      <c r="FM73" s="2241"/>
      <c r="FN73" s="2241"/>
      <c r="FO73" s="2241"/>
      <c r="FP73" s="2241"/>
      <c r="FQ73" s="2241"/>
      <c r="FR73" s="2241"/>
      <c r="FS73" s="2241"/>
      <c r="FT73" s="2241"/>
      <c r="FU73" s="2241"/>
      <c r="FV73" s="2241"/>
      <c r="FW73" s="2241"/>
      <c r="FX73" s="2241"/>
      <c r="FY73" s="2241"/>
      <c r="FZ73" s="2241"/>
      <c r="GA73" s="2241"/>
      <c r="GB73" s="2241"/>
      <c r="GC73" s="2241"/>
      <c r="GD73" s="2241"/>
      <c r="GE73" s="2241"/>
      <c r="GF73" s="2241"/>
      <c r="GG73" s="2241"/>
      <c r="GH73" s="2241"/>
      <c r="GI73" s="2241"/>
      <c r="GJ73" s="2241"/>
      <c r="GK73" s="2241"/>
      <c r="GL73" s="2241"/>
      <c r="GM73" s="2241"/>
      <c r="GN73" s="2241"/>
      <c r="GO73" s="2241"/>
      <c r="GP73" s="2241"/>
      <c r="GQ73" s="2241"/>
      <c r="GR73" s="2241"/>
      <c r="GS73" s="2241"/>
      <c r="GT73" s="2241"/>
      <c r="GU73" s="2241"/>
      <c r="GV73" s="2241"/>
      <c r="GW73" s="2241"/>
      <c r="GX73" s="2241"/>
      <c r="GY73" s="2241"/>
      <c r="GZ73" s="2241"/>
      <c r="HA73" s="2241"/>
      <c r="HB73" s="2241"/>
      <c r="HC73" s="2241"/>
      <c r="HD73" s="2241"/>
      <c r="HE73" s="2241"/>
      <c r="HF73" s="2241"/>
      <c r="HG73" s="2241"/>
      <c r="HH73" s="2241"/>
      <c r="HI73" s="2241"/>
      <c r="HJ73" s="2241"/>
      <c r="HK73" s="2241"/>
      <c r="HL73" s="2241"/>
      <c r="HM73" s="2241"/>
      <c r="HN73" s="2241"/>
      <c r="HO73" s="2241"/>
      <c r="HP73" s="2241"/>
      <c r="HQ73" s="2241"/>
      <c r="HR73" s="2241"/>
      <c r="HS73" s="2241"/>
      <c r="HT73" s="2241"/>
      <c r="HU73" s="2241"/>
      <c r="HV73" s="2241"/>
      <c r="HW73" s="2241"/>
      <c r="HX73" s="2241"/>
      <c r="HY73" s="2241"/>
      <c r="HZ73" s="2241"/>
      <c r="IA73" s="2241"/>
      <c r="IB73" s="2241"/>
      <c r="IC73" s="2241"/>
      <c r="ID73" s="2241"/>
      <c r="IE73" s="2241"/>
      <c r="IF73" s="2241"/>
      <c r="IG73" s="2241"/>
      <c r="IH73" s="2241"/>
      <c r="II73" s="2241"/>
      <c r="IJ73" s="2241"/>
      <c r="IK73" s="2241"/>
      <c r="IL73" s="2241"/>
      <c r="IM73" s="2241"/>
      <c r="IN73" s="2241"/>
      <c r="IO73" s="2241"/>
      <c r="IP73" s="2241"/>
      <c r="IQ73" s="2241"/>
      <c r="IR73" s="2241"/>
      <c r="IS73" s="2241"/>
      <c r="IT73" s="2241"/>
      <c r="IU73" s="2241"/>
      <c r="IV73" s="2241"/>
      <c r="IW73" s="2241"/>
      <c r="IX73" s="2241"/>
    </row>
    <row r="74" spans="1:258" hidden="1" outlineLevel="1">
      <c r="A74" s="3058" t="s">
        <v>883</v>
      </c>
      <c r="B74" s="2188" t="s">
        <v>884</v>
      </c>
      <c r="C74" s="2236" t="s">
        <v>803</v>
      </c>
      <c r="D74" s="1330"/>
      <c r="E74" s="1333"/>
      <c r="F74" s="1330"/>
      <c r="G74" s="2267"/>
      <c r="H74" s="997"/>
      <c r="I74" s="997"/>
      <c r="J74" s="2248">
        <f>L74+N74+P74+R74+T74+V74+X74</f>
        <v>0</v>
      </c>
      <c r="K74" s="997">
        <f>M74+O74+Q74+S74+U74+W74+Y74</f>
        <v>0</v>
      </c>
      <c r="L74" s="997"/>
      <c r="M74" s="997"/>
      <c r="N74" s="997"/>
      <c r="O74" s="997"/>
      <c r="P74" s="997"/>
      <c r="Q74" s="997"/>
      <c r="R74" s="997"/>
      <c r="S74" s="997"/>
      <c r="T74" s="997"/>
      <c r="U74" s="997"/>
      <c r="V74" s="997"/>
      <c r="W74" s="997"/>
      <c r="X74" s="997"/>
      <c r="Y74" s="2269"/>
      <c r="Z74" s="2249"/>
      <c r="AA74" s="2250"/>
      <c r="AB74" s="2250"/>
      <c r="AC74" s="2250"/>
      <c r="AD74" s="2241"/>
      <c r="AE74" s="2169"/>
      <c r="AF74" s="2169"/>
      <c r="AG74" s="2169"/>
      <c r="AH74" s="2169"/>
      <c r="AI74" s="2169"/>
      <c r="AJ74" s="2169"/>
      <c r="AK74" s="2241"/>
      <c r="AL74" s="2250"/>
      <c r="AM74" s="2250"/>
      <c r="AN74" s="2250"/>
      <c r="AO74" s="2250"/>
      <c r="AP74" s="2250"/>
      <c r="AQ74" s="2250"/>
      <c r="AR74" s="2241"/>
      <c r="AS74" s="2241"/>
      <c r="AT74" s="2241"/>
      <c r="AU74" s="2241"/>
      <c r="AV74" s="2241"/>
      <c r="AW74" s="2241"/>
      <c r="AX74" s="2241"/>
      <c r="AY74" s="2241"/>
      <c r="AZ74" s="2241"/>
      <c r="BA74" s="2241"/>
      <c r="BB74" s="2241"/>
      <c r="BC74" s="2241"/>
      <c r="BD74" s="2241"/>
      <c r="BE74" s="2241"/>
      <c r="BF74" s="2241"/>
      <c r="BG74" s="2241"/>
      <c r="BH74" s="2241"/>
      <c r="BI74" s="2241"/>
      <c r="BJ74" s="2241"/>
      <c r="BK74" s="2241"/>
      <c r="BL74" s="2241"/>
      <c r="BM74" s="2241"/>
      <c r="BN74" s="2241"/>
      <c r="BO74" s="2241"/>
      <c r="BP74" s="2241"/>
      <c r="BQ74" s="2241"/>
      <c r="BR74" s="2241"/>
      <c r="BS74" s="2241"/>
      <c r="BT74" s="2241"/>
      <c r="BU74" s="2241"/>
      <c r="BV74" s="2241"/>
      <c r="BW74" s="2241"/>
      <c r="BX74" s="2241"/>
      <c r="BY74" s="2241"/>
      <c r="BZ74" s="2241"/>
      <c r="CA74" s="2241"/>
      <c r="CB74" s="2241"/>
      <c r="CC74" s="2241"/>
      <c r="CD74" s="2241"/>
      <c r="CE74" s="2241"/>
      <c r="CF74" s="2241"/>
      <c r="CG74" s="2241"/>
      <c r="CH74" s="2241"/>
      <c r="CI74" s="2241"/>
      <c r="CJ74" s="2241"/>
      <c r="CK74" s="2241"/>
      <c r="CL74" s="2241"/>
      <c r="CM74" s="2241"/>
      <c r="CN74" s="2241"/>
      <c r="CO74" s="2241"/>
      <c r="CP74" s="2241"/>
      <c r="CQ74" s="2241"/>
      <c r="CR74" s="2241"/>
      <c r="CS74" s="2241"/>
      <c r="CT74" s="2241"/>
      <c r="CU74" s="2241"/>
      <c r="CV74" s="2241"/>
      <c r="CW74" s="2241"/>
      <c r="CX74" s="2241"/>
      <c r="CY74" s="2241"/>
      <c r="CZ74" s="2241"/>
      <c r="DA74" s="2241"/>
      <c r="DB74" s="2241"/>
      <c r="DC74" s="2241"/>
      <c r="DD74" s="2241"/>
      <c r="DE74" s="2241"/>
      <c r="DF74" s="2241"/>
      <c r="DG74" s="2241"/>
      <c r="DH74" s="2241"/>
      <c r="DI74" s="2241"/>
      <c r="DJ74" s="2241"/>
      <c r="DK74" s="2241"/>
      <c r="DL74" s="2241"/>
      <c r="DM74" s="2241"/>
      <c r="DN74" s="2241"/>
      <c r="DO74" s="2241"/>
      <c r="DP74" s="2241"/>
      <c r="DQ74" s="2241"/>
      <c r="DR74" s="2241"/>
      <c r="DS74" s="2241"/>
      <c r="DT74" s="2241"/>
      <c r="DU74" s="2241"/>
      <c r="DV74" s="2241"/>
      <c r="DW74" s="2241"/>
      <c r="DX74" s="2241"/>
      <c r="DY74" s="2241"/>
      <c r="DZ74" s="2241"/>
      <c r="EA74" s="2241"/>
      <c r="EB74" s="2241"/>
      <c r="EC74" s="2241"/>
      <c r="ED74" s="2241"/>
      <c r="EE74" s="2241"/>
      <c r="EF74" s="2241"/>
      <c r="EG74" s="2241"/>
      <c r="EH74" s="2241"/>
      <c r="EI74" s="2241"/>
      <c r="EJ74" s="2241"/>
      <c r="EK74" s="2241"/>
      <c r="EL74" s="2241"/>
      <c r="EM74" s="2241"/>
      <c r="EN74" s="2241"/>
      <c r="EO74" s="2241"/>
      <c r="EP74" s="2241"/>
      <c r="EQ74" s="2241"/>
      <c r="ER74" s="2241"/>
      <c r="ES74" s="2241"/>
      <c r="ET74" s="2241"/>
      <c r="EU74" s="2241"/>
      <c r="EV74" s="2241"/>
      <c r="EW74" s="2241"/>
      <c r="EX74" s="2241"/>
      <c r="EY74" s="2241"/>
      <c r="EZ74" s="2241"/>
      <c r="FA74" s="2241"/>
      <c r="FB74" s="2241"/>
      <c r="FC74" s="2241"/>
      <c r="FD74" s="2241"/>
      <c r="FE74" s="2241"/>
      <c r="FF74" s="2241"/>
      <c r="FG74" s="2241"/>
      <c r="FH74" s="2241"/>
      <c r="FI74" s="2241"/>
      <c r="FJ74" s="2241"/>
      <c r="FK74" s="2241"/>
      <c r="FL74" s="2241"/>
      <c r="FM74" s="2241"/>
      <c r="FN74" s="2241"/>
      <c r="FO74" s="2241"/>
      <c r="FP74" s="2241"/>
      <c r="FQ74" s="2241"/>
      <c r="FR74" s="2241"/>
      <c r="FS74" s="2241"/>
      <c r="FT74" s="2241"/>
      <c r="FU74" s="2241"/>
      <c r="FV74" s="2241"/>
      <c r="FW74" s="2241"/>
      <c r="FX74" s="2241"/>
      <c r="FY74" s="2241"/>
      <c r="FZ74" s="2241"/>
      <c r="GA74" s="2241"/>
      <c r="GB74" s="2241"/>
      <c r="GC74" s="2241"/>
      <c r="GD74" s="2241"/>
      <c r="GE74" s="2241"/>
      <c r="GF74" s="2241"/>
      <c r="GG74" s="2241"/>
      <c r="GH74" s="2241"/>
      <c r="GI74" s="2241"/>
      <c r="GJ74" s="2241"/>
      <c r="GK74" s="2241"/>
      <c r="GL74" s="2241"/>
      <c r="GM74" s="2241"/>
      <c r="GN74" s="2241"/>
      <c r="GO74" s="2241"/>
      <c r="GP74" s="2241"/>
      <c r="GQ74" s="2241"/>
      <c r="GR74" s="2241"/>
      <c r="GS74" s="2241"/>
      <c r="GT74" s="2241"/>
      <c r="GU74" s="2241"/>
      <c r="GV74" s="2241"/>
      <c r="GW74" s="2241"/>
      <c r="GX74" s="2241"/>
      <c r="GY74" s="2241"/>
      <c r="GZ74" s="2241"/>
      <c r="HA74" s="2241"/>
      <c r="HB74" s="2241"/>
      <c r="HC74" s="2241"/>
      <c r="HD74" s="2241"/>
      <c r="HE74" s="2241"/>
      <c r="HF74" s="2241"/>
      <c r="HG74" s="2241"/>
      <c r="HH74" s="2241"/>
      <c r="HI74" s="2241"/>
      <c r="HJ74" s="2241"/>
      <c r="HK74" s="2241"/>
      <c r="HL74" s="2241"/>
      <c r="HM74" s="2241"/>
      <c r="HN74" s="2241"/>
      <c r="HO74" s="2241"/>
      <c r="HP74" s="2241"/>
      <c r="HQ74" s="2241"/>
      <c r="HR74" s="2241"/>
      <c r="HS74" s="2241"/>
      <c r="HT74" s="2241"/>
      <c r="HU74" s="2241"/>
      <c r="HV74" s="2241"/>
      <c r="HW74" s="2241"/>
      <c r="HX74" s="2241"/>
      <c r="HY74" s="2241"/>
      <c r="HZ74" s="2241"/>
      <c r="IA74" s="2241"/>
      <c r="IB74" s="2241"/>
      <c r="IC74" s="2241"/>
      <c r="ID74" s="2241"/>
      <c r="IE74" s="2241"/>
      <c r="IF74" s="2241"/>
      <c r="IG74" s="2241"/>
      <c r="IH74" s="2241"/>
      <c r="II74" s="2241"/>
      <c r="IJ74" s="2241"/>
      <c r="IK74" s="2241"/>
      <c r="IL74" s="2241"/>
      <c r="IM74" s="2241"/>
      <c r="IN74" s="2241"/>
      <c r="IO74" s="2241"/>
      <c r="IP74" s="2241"/>
      <c r="IQ74" s="2241"/>
      <c r="IR74" s="2241"/>
      <c r="IS74" s="2241"/>
      <c r="IT74" s="2241"/>
      <c r="IU74" s="2241"/>
      <c r="IV74" s="2241"/>
      <c r="IW74" s="2241"/>
      <c r="IX74" s="2241"/>
    </row>
    <row r="75" spans="1:258" ht="24" hidden="1" outlineLevel="1">
      <c r="A75" s="3059"/>
      <c r="B75" s="2188" t="s">
        <v>885</v>
      </c>
      <c r="C75" s="2236" t="s">
        <v>830</v>
      </c>
      <c r="D75" s="1330">
        <f t="shared" ref="D75:K75" si="41">IF(D74=0,,D76/1000/D74)</f>
        <v>0</v>
      </c>
      <c r="E75" s="1333">
        <f t="shared" si="41"/>
        <v>0</v>
      </c>
      <c r="F75" s="1330">
        <f t="shared" si="41"/>
        <v>0</v>
      </c>
      <c r="G75" s="2267">
        <f t="shared" si="41"/>
        <v>0</v>
      </c>
      <c r="H75" s="997"/>
      <c r="I75" s="997"/>
      <c r="J75" s="2248">
        <f t="shared" si="41"/>
        <v>0</v>
      </c>
      <c r="K75" s="997">
        <f t="shared" si="41"/>
        <v>0</v>
      </c>
      <c r="L75" s="997"/>
      <c r="M75" s="997"/>
      <c r="N75" s="997"/>
      <c r="O75" s="997"/>
      <c r="P75" s="997"/>
      <c r="Q75" s="997"/>
      <c r="R75" s="997"/>
      <c r="S75" s="997"/>
      <c r="T75" s="997"/>
      <c r="U75" s="997"/>
      <c r="V75" s="997"/>
      <c r="W75" s="997"/>
      <c r="X75" s="997"/>
      <c r="Y75" s="2269"/>
      <c r="Z75" s="2249"/>
      <c r="AA75" s="2250"/>
      <c r="AB75" s="2250"/>
      <c r="AC75" s="2250"/>
      <c r="AD75" s="2241"/>
      <c r="AE75" s="2169"/>
      <c r="AF75" s="2169"/>
      <c r="AG75" s="2169"/>
      <c r="AH75" s="2169"/>
      <c r="AI75" s="2169"/>
      <c r="AJ75" s="2169"/>
      <c r="AK75" s="2241"/>
      <c r="AL75" s="2250"/>
      <c r="AM75" s="2250"/>
      <c r="AN75" s="2250"/>
      <c r="AO75" s="2250"/>
      <c r="AP75" s="2250"/>
      <c r="AQ75" s="2250"/>
      <c r="AR75" s="2241"/>
      <c r="AS75" s="2241"/>
      <c r="AT75" s="2241"/>
      <c r="AU75" s="2241"/>
      <c r="AV75" s="2241"/>
      <c r="AW75" s="2241"/>
      <c r="AX75" s="2241"/>
      <c r="AY75" s="2241"/>
      <c r="AZ75" s="2241"/>
      <c r="BA75" s="2241"/>
      <c r="BB75" s="2241"/>
      <c r="BC75" s="2241"/>
      <c r="BD75" s="2241"/>
      <c r="BE75" s="2241"/>
      <c r="BF75" s="2241"/>
      <c r="BG75" s="2241"/>
      <c r="BH75" s="2241"/>
      <c r="BI75" s="2241"/>
      <c r="BJ75" s="2241"/>
      <c r="BK75" s="2241"/>
      <c r="BL75" s="2241"/>
      <c r="BM75" s="2241"/>
      <c r="BN75" s="2241"/>
      <c r="BO75" s="2241"/>
      <c r="BP75" s="2241"/>
      <c r="BQ75" s="2241"/>
      <c r="BR75" s="2241"/>
      <c r="BS75" s="2241"/>
      <c r="BT75" s="2241"/>
      <c r="BU75" s="2241"/>
      <c r="BV75" s="2241"/>
      <c r="BW75" s="2241"/>
      <c r="BX75" s="2241"/>
      <c r="BY75" s="2241"/>
      <c r="BZ75" s="2241"/>
      <c r="CA75" s="2241"/>
      <c r="CB75" s="2241"/>
      <c r="CC75" s="2241"/>
      <c r="CD75" s="2241"/>
      <c r="CE75" s="2241"/>
      <c r="CF75" s="2241"/>
      <c r="CG75" s="2241"/>
      <c r="CH75" s="2241"/>
      <c r="CI75" s="2241"/>
      <c r="CJ75" s="2241"/>
      <c r="CK75" s="2241"/>
      <c r="CL75" s="2241"/>
      <c r="CM75" s="2241"/>
      <c r="CN75" s="2241"/>
      <c r="CO75" s="2241"/>
      <c r="CP75" s="2241"/>
      <c r="CQ75" s="2241"/>
      <c r="CR75" s="2241"/>
      <c r="CS75" s="2241"/>
      <c r="CT75" s="2241"/>
      <c r="CU75" s="2241"/>
      <c r="CV75" s="2241"/>
      <c r="CW75" s="2241"/>
      <c r="CX75" s="2241"/>
      <c r="CY75" s="2241"/>
      <c r="CZ75" s="2241"/>
      <c r="DA75" s="2241"/>
      <c r="DB75" s="2241"/>
      <c r="DC75" s="2241"/>
      <c r="DD75" s="2241"/>
      <c r="DE75" s="2241"/>
      <c r="DF75" s="2241"/>
      <c r="DG75" s="2241"/>
      <c r="DH75" s="2241"/>
      <c r="DI75" s="2241"/>
      <c r="DJ75" s="2241"/>
      <c r="DK75" s="2241"/>
      <c r="DL75" s="2241"/>
      <c r="DM75" s="2241"/>
      <c r="DN75" s="2241"/>
      <c r="DO75" s="2241"/>
      <c r="DP75" s="2241"/>
      <c r="DQ75" s="2241"/>
      <c r="DR75" s="2241"/>
      <c r="DS75" s="2241"/>
      <c r="DT75" s="2241"/>
      <c r="DU75" s="2241"/>
      <c r="DV75" s="2241"/>
      <c r="DW75" s="2241"/>
      <c r="DX75" s="2241"/>
      <c r="DY75" s="2241"/>
      <c r="DZ75" s="2241"/>
      <c r="EA75" s="2241"/>
      <c r="EB75" s="2241"/>
      <c r="EC75" s="2241"/>
      <c r="ED75" s="2241"/>
      <c r="EE75" s="2241"/>
      <c r="EF75" s="2241"/>
      <c r="EG75" s="2241"/>
      <c r="EH75" s="2241"/>
      <c r="EI75" s="2241"/>
      <c r="EJ75" s="2241"/>
      <c r="EK75" s="2241"/>
      <c r="EL75" s="2241"/>
      <c r="EM75" s="2241"/>
      <c r="EN75" s="2241"/>
      <c r="EO75" s="2241"/>
      <c r="EP75" s="2241"/>
      <c r="EQ75" s="2241"/>
      <c r="ER75" s="2241"/>
      <c r="ES75" s="2241"/>
      <c r="ET75" s="2241"/>
      <c r="EU75" s="2241"/>
      <c r="EV75" s="2241"/>
      <c r="EW75" s="2241"/>
      <c r="EX75" s="2241"/>
      <c r="EY75" s="2241"/>
      <c r="EZ75" s="2241"/>
      <c r="FA75" s="2241"/>
      <c r="FB75" s="2241"/>
      <c r="FC75" s="2241"/>
      <c r="FD75" s="2241"/>
      <c r="FE75" s="2241"/>
      <c r="FF75" s="2241"/>
      <c r="FG75" s="2241"/>
      <c r="FH75" s="2241"/>
      <c r="FI75" s="2241"/>
      <c r="FJ75" s="2241"/>
      <c r="FK75" s="2241"/>
      <c r="FL75" s="2241"/>
      <c r="FM75" s="2241"/>
      <c r="FN75" s="2241"/>
      <c r="FO75" s="2241"/>
      <c r="FP75" s="2241"/>
      <c r="FQ75" s="2241"/>
      <c r="FR75" s="2241"/>
      <c r="FS75" s="2241"/>
      <c r="FT75" s="2241"/>
      <c r="FU75" s="2241"/>
      <c r="FV75" s="2241"/>
      <c r="FW75" s="2241"/>
      <c r="FX75" s="2241"/>
      <c r="FY75" s="2241"/>
      <c r="FZ75" s="2241"/>
      <c r="GA75" s="2241"/>
      <c r="GB75" s="2241"/>
      <c r="GC75" s="2241"/>
      <c r="GD75" s="2241"/>
      <c r="GE75" s="2241"/>
      <c r="GF75" s="2241"/>
      <c r="GG75" s="2241"/>
      <c r="GH75" s="2241"/>
      <c r="GI75" s="2241"/>
      <c r="GJ75" s="2241"/>
      <c r="GK75" s="2241"/>
      <c r="GL75" s="2241"/>
      <c r="GM75" s="2241"/>
      <c r="GN75" s="2241"/>
      <c r="GO75" s="2241"/>
      <c r="GP75" s="2241"/>
      <c r="GQ75" s="2241"/>
      <c r="GR75" s="2241"/>
      <c r="GS75" s="2241"/>
      <c r="GT75" s="2241"/>
      <c r="GU75" s="2241"/>
      <c r="GV75" s="2241"/>
      <c r="GW75" s="2241"/>
      <c r="GX75" s="2241"/>
      <c r="GY75" s="2241"/>
      <c r="GZ75" s="2241"/>
      <c r="HA75" s="2241"/>
      <c r="HB75" s="2241"/>
      <c r="HC75" s="2241"/>
      <c r="HD75" s="2241"/>
      <c r="HE75" s="2241"/>
      <c r="HF75" s="2241"/>
      <c r="HG75" s="2241"/>
      <c r="HH75" s="2241"/>
      <c r="HI75" s="2241"/>
      <c r="HJ75" s="2241"/>
      <c r="HK75" s="2241"/>
      <c r="HL75" s="2241"/>
      <c r="HM75" s="2241"/>
      <c r="HN75" s="2241"/>
      <c r="HO75" s="2241"/>
      <c r="HP75" s="2241"/>
      <c r="HQ75" s="2241"/>
      <c r="HR75" s="2241"/>
      <c r="HS75" s="2241"/>
      <c r="HT75" s="2241"/>
      <c r="HU75" s="2241"/>
      <c r="HV75" s="2241"/>
      <c r="HW75" s="2241"/>
      <c r="HX75" s="2241"/>
      <c r="HY75" s="2241"/>
      <c r="HZ75" s="2241"/>
      <c r="IA75" s="2241"/>
      <c r="IB75" s="2241"/>
      <c r="IC75" s="2241"/>
      <c r="ID75" s="2241"/>
      <c r="IE75" s="2241"/>
      <c r="IF75" s="2241"/>
      <c r="IG75" s="2241"/>
      <c r="IH75" s="2241"/>
      <c r="II75" s="2241"/>
      <c r="IJ75" s="2241"/>
      <c r="IK75" s="2241"/>
      <c r="IL75" s="2241"/>
      <c r="IM75" s="2241"/>
      <c r="IN75" s="2241"/>
      <c r="IO75" s="2241"/>
      <c r="IP75" s="2241"/>
      <c r="IQ75" s="2241"/>
      <c r="IR75" s="2241"/>
      <c r="IS75" s="2241"/>
      <c r="IT75" s="2241"/>
      <c r="IU75" s="2241"/>
      <c r="IV75" s="2241"/>
      <c r="IW75" s="2241"/>
      <c r="IX75" s="2241"/>
    </row>
    <row r="76" spans="1:258" ht="24" hidden="1" outlineLevel="1">
      <c r="A76" s="3060"/>
      <c r="B76" s="2257" t="s">
        <v>886</v>
      </c>
      <c r="C76" s="2243" t="s">
        <v>833</v>
      </c>
      <c r="D76" s="1330"/>
      <c r="E76" s="1333"/>
      <c r="F76" s="1330"/>
      <c r="G76" s="2267"/>
      <c r="H76" s="997"/>
      <c r="I76" s="997"/>
      <c r="J76" s="2248">
        <f>L76+N76+P76+R76+T76+V76+X76</f>
        <v>0</v>
      </c>
      <c r="K76" s="997">
        <f>M76+O76+Q76+S76+U76+W76+Y76</f>
        <v>0</v>
      </c>
      <c r="L76" s="997">
        <f>L74*L75/1000</f>
        <v>0</v>
      </c>
      <c r="M76" s="997">
        <f t="shared" ref="M76:Y76" si="42">M74*M75/1000</f>
        <v>0</v>
      </c>
      <c r="N76" s="997">
        <f t="shared" si="42"/>
        <v>0</v>
      </c>
      <c r="O76" s="997">
        <f t="shared" si="42"/>
        <v>0</v>
      </c>
      <c r="P76" s="997">
        <f t="shared" si="42"/>
        <v>0</v>
      </c>
      <c r="Q76" s="997">
        <f t="shared" si="42"/>
        <v>0</v>
      </c>
      <c r="R76" s="997">
        <f t="shared" si="42"/>
        <v>0</v>
      </c>
      <c r="S76" s="997">
        <f t="shared" si="42"/>
        <v>0</v>
      </c>
      <c r="T76" s="997">
        <f t="shared" si="42"/>
        <v>0</v>
      </c>
      <c r="U76" s="997">
        <f t="shared" si="42"/>
        <v>0</v>
      </c>
      <c r="V76" s="997">
        <f t="shared" si="42"/>
        <v>0</v>
      </c>
      <c r="W76" s="997">
        <f t="shared" si="42"/>
        <v>0</v>
      </c>
      <c r="X76" s="997">
        <f t="shared" si="42"/>
        <v>0</v>
      </c>
      <c r="Y76" s="1333">
        <f t="shared" si="42"/>
        <v>0</v>
      </c>
      <c r="Z76" s="2249"/>
      <c r="AA76" s="2250"/>
      <c r="AB76" s="2250"/>
      <c r="AC76" s="2250"/>
      <c r="AD76" s="2241"/>
      <c r="AE76" s="2169"/>
      <c r="AF76" s="2169"/>
      <c r="AG76" s="2169"/>
      <c r="AH76" s="2169"/>
      <c r="AI76" s="2169"/>
      <c r="AJ76" s="2169"/>
      <c r="AK76" s="2241"/>
      <c r="AL76" s="2250"/>
      <c r="AM76" s="2250"/>
      <c r="AN76" s="2250"/>
      <c r="AO76" s="2250"/>
      <c r="AP76" s="2250"/>
      <c r="AQ76" s="2250"/>
      <c r="AR76" s="2241"/>
      <c r="AS76" s="2241"/>
      <c r="AT76" s="2241"/>
      <c r="AU76" s="2241"/>
      <c r="AV76" s="2241"/>
      <c r="AW76" s="2241"/>
      <c r="AX76" s="2241"/>
      <c r="AY76" s="2241"/>
      <c r="AZ76" s="2241"/>
      <c r="BA76" s="2241"/>
      <c r="BB76" s="2241"/>
      <c r="BC76" s="2241"/>
      <c r="BD76" s="2241"/>
      <c r="BE76" s="2241"/>
      <c r="BF76" s="2241"/>
      <c r="BG76" s="2241"/>
      <c r="BH76" s="2241"/>
      <c r="BI76" s="2241"/>
      <c r="BJ76" s="2241"/>
      <c r="BK76" s="2241"/>
      <c r="BL76" s="2241"/>
      <c r="BM76" s="2241"/>
      <c r="BN76" s="2241"/>
      <c r="BO76" s="2241"/>
      <c r="BP76" s="2241"/>
      <c r="BQ76" s="2241"/>
      <c r="BR76" s="2241"/>
      <c r="BS76" s="2241"/>
      <c r="BT76" s="2241"/>
      <c r="BU76" s="2241"/>
      <c r="BV76" s="2241"/>
      <c r="BW76" s="2241"/>
      <c r="BX76" s="2241"/>
      <c r="BY76" s="2241"/>
      <c r="BZ76" s="2241"/>
      <c r="CA76" s="2241"/>
      <c r="CB76" s="2241"/>
      <c r="CC76" s="2241"/>
      <c r="CD76" s="2241"/>
      <c r="CE76" s="2241"/>
      <c r="CF76" s="2241"/>
      <c r="CG76" s="2241"/>
      <c r="CH76" s="2241"/>
      <c r="CI76" s="2241"/>
      <c r="CJ76" s="2241"/>
      <c r="CK76" s="2241"/>
      <c r="CL76" s="2241"/>
      <c r="CM76" s="2241"/>
      <c r="CN76" s="2241"/>
      <c r="CO76" s="2241"/>
      <c r="CP76" s="2241"/>
      <c r="CQ76" s="2241"/>
      <c r="CR76" s="2241"/>
      <c r="CS76" s="2241"/>
      <c r="CT76" s="2241"/>
      <c r="CU76" s="2241"/>
      <c r="CV76" s="2241"/>
      <c r="CW76" s="2241"/>
      <c r="CX76" s="2241"/>
      <c r="CY76" s="2241"/>
      <c r="CZ76" s="2241"/>
      <c r="DA76" s="2241"/>
      <c r="DB76" s="2241"/>
      <c r="DC76" s="2241"/>
      <c r="DD76" s="2241"/>
      <c r="DE76" s="2241"/>
      <c r="DF76" s="2241"/>
      <c r="DG76" s="2241"/>
      <c r="DH76" s="2241"/>
      <c r="DI76" s="2241"/>
      <c r="DJ76" s="2241"/>
      <c r="DK76" s="2241"/>
      <c r="DL76" s="2241"/>
      <c r="DM76" s="2241"/>
      <c r="DN76" s="2241"/>
      <c r="DO76" s="2241"/>
      <c r="DP76" s="2241"/>
      <c r="DQ76" s="2241"/>
      <c r="DR76" s="2241"/>
      <c r="DS76" s="2241"/>
      <c r="DT76" s="2241"/>
      <c r="DU76" s="2241"/>
      <c r="DV76" s="2241"/>
      <c r="DW76" s="2241"/>
      <c r="DX76" s="2241"/>
      <c r="DY76" s="2241"/>
      <c r="DZ76" s="2241"/>
      <c r="EA76" s="2241"/>
      <c r="EB76" s="2241"/>
      <c r="EC76" s="2241"/>
      <c r="ED76" s="2241"/>
      <c r="EE76" s="2241"/>
      <c r="EF76" s="2241"/>
      <c r="EG76" s="2241"/>
      <c r="EH76" s="2241"/>
      <c r="EI76" s="2241"/>
      <c r="EJ76" s="2241"/>
      <c r="EK76" s="2241"/>
      <c r="EL76" s="2241"/>
      <c r="EM76" s="2241"/>
      <c r="EN76" s="2241"/>
      <c r="EO76" s="2241"/>
      <c r="EP76" s="2241"/>
      <c r="EQ76" s="2241"/>
      <c r="ER76" s="2241"/>
      <c r="ES76" s="2241"/>
      <c r="ET76" s="2241"/>
      <c r="EU76" s="2241"/>
      <c r="EV76" s="2241"/>
      <c r="EW76" s="2241"/>
      <c r="EX76" s="2241"/>
      <c r="EY76" s="2241"/>
      <c r="EZ76" s="2241"/>
      <c r="FA76" s="2241"/>
      <c r="FB76" s="2241"/>
      <c r="FC76" s="2241"/>
      <c r="FD76" s="2241"/>
      <c r="FE76" s="2241"/>
      <c r="FF76" s="2241"/>
      <c r="FG76" s="2241"/>
      <c r="FH76" s="2241"/>
      <c r="FI76" s="2241"/>
      <c r="FJ76" s="2241"/>
      <c r="FK76" s="2241"/>
      <c r="FL76" s="2241"/>
      <c r="FM76" s="2241"/>
      <c r="FN76" s="2241"/>
      <c r="FO76" s="2241"/>
      <c r="FP76" s="2241"/>
      <c r="FQ76" s="2241"/>
      <c r="FR76" s="2241"/>
      <c r="FS76" s="2241"/>
      <c r="FT76" s="2241"/>
      <c r="FU76" s="2241"/>
      <c r="FV76" s="2241"/>
      <c r="FW76" s="2241"/>
      <c r="FX76" s="2241"/>
      <c r="FY76" s="2241"/>
      <c r="FZ76" s="2241"/>
      <c r="GA76" s="2241"/>
      <c r="GB76" s="2241"/>
      <c r="GC76" s="2241"/>
      <c r="GD76" s="2241"/>
      <c r="GE76" s="2241"/>
      <c r="GF76" s="2241"/>
      <c r="GG76" s="2241"/>
      <c r="GH76" s="2241"/>
      <c r="GI76" s="2241"/>
      <c r="GJ76" s="2241"/>
      <c r="GK76" s="2241"/>
      <c r="GL76" s="2241"/>
      <c r="GM76" s="2241"/>
      <c r="GN76" s="2241"/>
      <c r="GO76" s="2241"/>
      <c r="GP76" s="2241"/>
      <c r="GQ76" s="2241"/>
      <c r="GR76" s="2241"/>
      <c r="GS76" s="2241"/>
      <c r="GT76" s="2241"/>
      <c r="GU76" s="2241"/>
      <c r="GV76" s="2241"/>
      <c r="GW76" s="2241"/>
      <c r="GX76" s="2241"/>
      <c r="GY76" s="2241"/>
      <c r="GZ76" s="2241"/>
      <c r="HA76" s="2241"/>
      <c r="HB76" s="2241"/>
      <c r="HC76" s="2241"/>
      <c r="HD76" s="2241"/>
      <c r="HE76" s="2241"/>
      <c r="HF76" s="2241"/>
      <c r="HG76" s="2241"/>
      <c r="HH76" s="2241"/>
      <c r="HI76" s="2241"/>
      <c r="HJ76" s="2241"/>
      <c r="HK76" s="2241"/>
      <c r="HL76" s="2241"/>
      <c r="HM76" s="2241"/>
      <c r="HN76" s="2241"/>
      <c r="HO76" s="2241"/>
      <c r="HP76" s="2241"/>
      <c r="HQ76" s="2241"/>
      <c r="HR76" s="2241"/>
      <c r="HS76" s="2241"/>
      <c r="HT76" s="2241"/>
      <c r="HU76" s="2241"/>
      <c r="HV76" s="2241"/>
      <c r="HW76" s="2241"/>
      <c r="HX76" s="2241"/>
      <c r="HY76" s="2241"/>
      <c r="HZ76" s="2241"/>
      <c r="IA76" s="2241"/>
      <c r="IB76" s="2241"/>
      <c r="IC76" s="2241"/>
      <c r="ID76" s="2241"/>
      <c r="IE76" s="2241"/>
      <c r="IF76" s="2241"/>
      <c r="IG76" s="2241"/>
      <c r="IH76" s="2241"/>
      <c r="II76" s="2241"/>
      <c r="IJ76" s="2241"/>
      <c r="IK76" s="2241"/>
      <c r="IL76" s="2241"/>
      <c r="IM76" s="2241"/>
      <c r="IN76" s="2241"/>
      <c r="IO76" s="2241"/>
      <c r="IP76" s="2241"/>
      <c r="IQ76" s="2241"/>
      <c r="IR76" s="2241"/>
      <c r="IS76" s="2241"/>
      <c r="IT76" s="2241"/>
      <c r="IU76" s="2241"/>
      <c r="IV76" s="2241"/>
      <c r="IW76" s="2241"/>
      <c r="IX76" s="2241"/>
    </row>
    <row r="77" spans="1:258" hidden="1" outlineLevel="1">
      <c r="A77" s="3058" t="s">
        <v>887</v>
      </c>
      <c r="B77" s="2188" t="s">
        <v>888</v>
      </c>
      <c r="C77" s="2236" t="s">
        <v>803</v>
      </c>
      <c r="D77" s="1330"/>
      <c r="E77" s="1333"/>
      <c r="F77" s="1330"/>
      <c r="G77" s="2267"/>
      <c r="H77" s="997"/>
      <c r="I77" s="997"/>
      <c r="J77" s="2248">
        <f>L77+N77+P77+R77+T77+V77+X77</f>
        <v>0</v>
      </c>
      <c r="K77" s="997">
        <f>M77+O77+Q77+S77+U77+W77+Y77</f>
        <v>0</v>
      </c>
      <c r="L77" s="997"/>
      <c r="M77" s="997"/>
      <c r="N77" s="997"/>
      <c r="O77" s="997"/>
      <c r="P77" s="997"/>
      <c r="Q77" s="997"/>
      <c r="R77" s="997"/>
      <c r="S77" s="997"/>
      <c r="T77" s="997"/>
      <c r="U77" s="997"/>
      <c r="V77" s="997"/>
      <c r="W77" s="997"/>
      <c r="X77" s="997"/>
      <c r="Y77" s="2269"/>
      <c r="Z77" s="2249"/>
      <c r="AA77" s="2250"/>
      <c r="AB77" s="2250"/>
      <c r="AC77" s="2250"/>
      <c r="AD77" s="2241"/>
      <c r="AE77" s="2169"/>
      <c r="AF77" s="2169"/>
      <c r="AG77" s="2169"/>
      <c r="AH77" s="2169"/>
      <c r="AI77" s="2169"/>
      <c r="AJ77" s="2169"/>
      <c r="AK77" s="2241"/>
      <c r="AL77" s="2250"/>
      <c r="AM77" s="2250"/>
      <c r="AN77" s="2250"/>
      <c r="AO77" s="2250"/>
      <c r="AP77" s="2250"/>
      <c r="AQ77" s="2250"/>
      <c r="AR77" s="2241"/>
      <c r="AS77" s="2241"/>
      <c r="AT77" s="2241"/>
      <c r="AU77" s="2241"/>
      <c r="AV77" s="2241"/>
      <c r="AW77" s="2241"/>
      <c r="AX77" s="2241"/>
      <c r="AY77" s="2241"/>
      <c r="AZ77" s="2241"/>
      <c r="BA77" s="2241"/>
      <c r="BB77" s="2241"/>
      <c r="BC77" s="2241"/>
      <c r="BD77" s="2241"/>
      <c r="BE77" s="2241"/>
      <c r="BF77" s="2241"/>
      <c r="BG77" s="2241"/>
      <c r="BH77" s="2241"/>
      <c r="BI77" s="2241"/>
      <c r="BJ77" s="2241"/>
      <c r="BK77" s="2241"/>
      <c r="BL77" s="2241"/>
      <c r="BM77" s="2241"/>
      <c r="BN77" s="2241"/>
      <c r="BO77" s="2241"/>
      <c r="BP77" s="2241"/>
      <c r="BQ77" s="2241"/>
      <c r="BR77" s="2241"/>
      <c r="BS77" s="2241"/>
      <c r="BT77" s="2241"/>
      <c r="BU77" s="2241"/>
      <c r="BV77" s="2241"/>
      <c r="BW77" s="2241"/>
      <c r="BX77" s="2241"/>
      <c r="BY77" s="2241"/>
      <c r="BZ77" s="2241"/>
      <c r="CA77" s="2241"/>
      <c r="CB77" s="2241"/>
      <c r="CC77" s="2241"/>
      <c r="CD77" s="2241"/>
      <c r="CE77" s="2241"/>
      <c r="CF77" s="2241"/>
      <c r="CG77" s="2241"/>
      <c r="CH77" s="2241"/>
      <c r="CI77" s="2241"/>
      <c r="CJ77" s="2241"/>
      <c r="CK77" s="2241"/>
      <c r="CL77" s="2241"/>
      <c r="CM77" s="2241"/>
      <c r="CN77" s="2241"/>
      <c r="CO77" s="2241"/>
      <c r="CP77" s="2241"/>
      <c r="CQ77" s="2241"/>
      <c r="CR77" s="2241"/>
      <c r="CS77" s="2241"/>
      <c r="CT77" s="2241"/>
      <c r="CU77" s="2241"/>
      <c r="CV77" s="2241"/>
      <c r="CW77" s="2241"/>
      <c r="CX77" s="2241"/>
      <c r="CY77" s="2241"/>
      <c r="CZ77" s="2241"/>
      <c r="DA77" s="2241"/>
      <c r="DB77" s="2241"/>
      <c r="DC77" s="2241"/>
      <c r="DD77" s="2241"/>
      <c r="DE77" s="2241"/>
      <c r="DF77" s="2241"/>
      <c r="DG77" s="2241"/>
      <c r="DH77" s="2241"/>
      <c r="DI77" s="2241"/>
      <c r="DJ77" s="2241"/>
      <c r="DK77" s="2241"/>
      <c r="DL77" s="2241"/>
      <c r="DM77" s="2241"/>
      <c r="DN77" s="2241"/>
      <c r="DO77" s="2241"/>
      <c r="DP77" s="2241"/>
      <c r="DQ77" s="2241"/>
      <c r="DR77" s="2241"/>
      <c r="DS77" s="2241"/>
      <c r="DT77" s="2241"/>
      <c r="DU77" s="2241"/>
      <c r="DV77" s="2241"/>
      <c r="DW77" s="2241"/>
      <c r="DX77" s="2241"/>
      <c r="DY77" s="2241"/>
      <c r="DZ77" s="2241"/>
      <c r="EA77" s="2241"/>
      <c r="EB77" s="2241"/>
      <c r="EC77" s="2241"/>
      <c r="ED77" s="2241"/>
      <c r="EE77" s="2241"/>
      <c r="EF77" s="2241"/>
      <c r="EG77" s="2241"/>
      <c r="EH77" s="2241"/>
      <c r="EI77" s="2241"/>
      <c r="EJ77" s="2241"/>
      <c r="EK77" s="2241"/>
      <c r="EL77" s="2241"/>
      <c r="EM77" s="2241"/>
      <c r="EN77" s="2241"/>
      <c r="EO77" s="2241"/>
      <c r="EP77" s="2241"/>
      <c r="EQ77" s="2241"/>
      <c r="ER77" s="2241"/>
      <c r="ES77" s="2241"/>
      <c r="ET77" s="2241"/>
      <c r="EU77" s="2241"/>
      <c r="EV77" s="2241"/>
      <c r="EW77" s="2241"/>
      <c r="EX77" s="2241"/>
      <c r="EY77" s="2241"/>
      <c r="EZ77" s="2241"/>
      <c r="FA77" s="2241"/>
      <c r="FB77" s="2241"/>
      <c r="FC77" s="2241"/>
      <c r="FD77" s="2241"/>
      <c r="FE77" s="2241"/>
      <c r="FF77" s="2241"/>
      <c r="FG77" s="2241"/>
      <c r="FH77" s="2241"/>
      <c r="FI77" s="2241"/>
      <c r="FJ77" s="2241"/>
      <c r="FK77" s="2241"/>
      <c r="FL77" s="2241"/>
      <c r="FM77" s="2241"/>
      <c r="FN77" s="2241"/>
      <c r="FO77" s="2241"/>
      <c r="FP77" s="2241"/>
      <c r="FQ77" s="2241"/>
      <c r="FR77" s="2241"/>
      <c r="FS77" s="2241"/>
      <c r="FT77" s="2241"/>
      <c r="FU77" s="2241"/>
      <c r="FV77" s="2241"/>
      <c r="FW77" s="2241"/>
      <c r="FX77" s="2241"/>
      <c r="FY77" s="2241"/>
      <c r="FZ77" s="2241"/>
      <c r="GA77" s="2241"/>
      <c r="GB77" s="2241"/>
      <c r="GC77" s="2241"/>
      <c r="GD77" s="2241"/>
      <c r="GE77" s="2241"/>
      <c r="GF77" s="2241"/>
      <c r="GG77" s="2241"/>
      <c r="GH77" s="2241"/>
      <c r="GI77" s="2241"/>
      <c r="GJ77" s="2241"/>
      <c r="GK77" s="2241"/>
      <c r="GL77" s="2241"/>
      <c r="GM77" s="2241"/>
      <c r="GN77" s="2241"/>
      <c r="GO77" s="2241"/>
      <c r="GP77" s="2241"/>
      <c r="GQ77" s="2241"/>
      <c r="GR77" s="2241"/>
      <c r="GS77" s="2241"/>
      <c r="GT77" s="2241"/>
      <c r="GU77" s="2241"/>
      <c r="GV77" s="2241"/>
      <c r="GW77" s="2241"/>
      <c r="GX77" s="2241"/>
      <c r="GY77" s="2241"/>
      <c r="GZ77" s="2241"/>
      <c r="HA77" s="2241"/>
      <c r="HB77" s="2241"/>
      <c r="HC77" s="2241"/>
      <c r="HD77" s="2241"/>
      <c r="HE77" s="2241"/>
      <c r="HF77" s="2241"/>
      <c r="HG77" s="2241"/>
      <c r="HH77" s="2241"/>
      <c r="HI77" s="2241"/>
      <c r="HJ77" s="2241"/>
      <c r="HK77" s="2241"/>
      <c r="HL77" s="2241"/>
      <c r="HM77" s="2241"/>
      <c r="HN77" s="2241"/>
      <c r="HO77" s="2241"/>
      <c r="HP77" s="2241"/>
      <c r="HQ77" s="2241"/>
      <c r="HR77" s="2241"/>
      <c r="HS77" s="2241"/>
      <c r="HT77" s="2241"/>
      <c r="HU77" s="2241"/>
      <c r="HV77" s="2241"/>
      <c r="HW77" s="2241"/>
      <c r="HX77" s="2241"/>
      <c r="HY77" s="2241"/>
      <c r="HZ77" s="2241"/>
      <c r="IA77" s="2241"/>
      <c r="IB77" s="2241"/>
      <c r="IC77" s="2241"/>
      <c r="ID77" s="2241"/>
      <c r="IE77" s="2241"/>
      <c r="IF77" s="2241"/>
      <c r="IG77" s="2241"/>
      <c r="IH77" s="2241"/>
      <c r="II77" s="2241"/>
      <c r="IJ77" s="2241"/>
      <c r="IK77" s="2241"/>
      <c r="IL77" s="2241"/>
      <c r="IM77" s="2241"/>
      <c r="IN77" s="2241"/>
      <c r="IO77" s="2241"/>
      <c r="IP77" s="2241"/>
      <c r="IQ77" s="2241"/>
      <c r="IR77" s="2241"/>
      <c r="IS77" s="2241"/>
      <c r="IT77" s="2241"/>
      <c r="IU77" s="2241"/>
      <c r="IV77" s="2241"/>
      <c r="IW77" s="2241"/>
      <c r="IX77" s="2241"/>
    </row>
    <row r="78" spans="1:258" ht="24" hidden="1" outlineLevel="1">
      <c r="A78" s="3059"/>
      <c r="B78" s="2188" t="s">
        <v>889</v>
      </c>
      <c r="C78" s="2236" t="s">
        <v>830</v>
      </c>
      <c r="D78" s="1330">
        <f t="shared" ref="D78:K78" si="43">IF(D77=0,,D79/1000/D77)</f>
        <v>0</v>
      </c>
      <c r="E78" s="1333">
        <f t="shared" si="43"/>
        <v>0</v>
      </c>
      <c r="F78" s="1330">
        <f t="shared" si="43"/>
        <v>0</v>
      </c>
      <c r="G78" s="2267">
        <f t="shared" si="43"/>
        <v>0</v>
      </c>
      <c r="H78" s="997"/>
      <c r="I78" s="997"/>
      <c r="J78" s="2248">
        <f t="shared" si="43"/>
        <v>0</v>
      </c>
      <c r="K78" s="997">
        <f t="shared" si="43"/>
        <v>0</v>
      </c>
      <c r="L78" s="997"/>
      <c r="M78" s="997"/>
      <c r="N78" s="997"/>
      <c r="O78" s="997"/>
      <c r="P78" s="997"/>
      <c r="Q78" s="997"/>
      <c r="R78" s="997"/>
      <c r="S78" s="997"/>
      <c r="T78" s="997"/>
      <c r="U78" s="997"/>
      <c r="V78" s="997"/>
      <c r="W78" s="997"/>
      <c r="X78" s="997"/>
      <c r="Y78" s="2269"/>
      <c r="Z78" s="2249"/>
      <c r="AA78" s="2250"/>
      <c r="AB78" s="2250"/>
      <c r="AC78" s="2250"/>
      <c r="AD78" s="2241"/>
      <c r="AE78" s="2169"/>
      <c r="AF78" s="2169"/>
      <c r="AG78" s="2169"/>
      <c r="AH78" s="2169"/>
      <c r="AI78" s="2169"/>
      <c r="AJ78" s="2169"/>
      <c r="AK78" s="2241"/>
      <c r="AL78" s="2250"/>
      <c r="AM78" s="2250"/>
      <c r="AN78" s="2250"/>
      <c r="AO78" s="2250"/>
      <c r="AP78" s="2250"/>
      <c r="AQ78" s="2250"/>
      <c r="AR78" s="2241"/>
      <c r="AS78" s="2241"/>
      <c r="AT78" s="2241"/>
      <c r="AU78" s="2241"/>
      <c r="AV78" s="2241"/>
      <c r="AW78" s="2241"/>
      <c r="AX78" s="2241"/>
      <c r="AY78" s="2241"/>
      <c r="AZ78" s="2241"/>
      <c r="BA78" s="2241"/>
      <c r="BB78" s="2241"/>
      <c r="BC78" s="2241"/>
      <c r="BD78" s="2241"/>
      <c r="BE78" s="2241"/>
      <c r="BF78" s="2241"/>
      <c r="BG78" s="2241"/>
      <c r="BH78" s="2241"/>
      <c r="BI78" s="2241"/>
      <c r="BJ78" s="2241"/>
      <c r="BK78" s="2241"/>
      <c r="BL78" s="2241"/>
      <c r="BM78" s="2241"/>
      <c r="BN78" s="2241"/>
      <c r="BO78" s="2241"/>
      <c r="BP78" s="2241"/>
      <c r="BQ78" s="2241"/>
      <c r="BR78" s="2241"/>
      <c r="BS78" s="2241"/>
      <c r="BT78" s="2241"/>
      <c r="BU78" s="2241"/>
      <c r="BV78" s="2241"/>
      <c r="BW78" s="2241"/>
      <c r="BX78" s="2241"/>
      <c r="BY78" s="2241"/>
      <c r="BZ78" s="2241"/>
      <c r="CA78" s="2241"/>
      <c r="CB78" s="2241"/>
      <c r="CC78" s="2241"/>
      <c r="CD78" s="2241"/>
      <c r="CE78" s="2241"/>
      <c r="CF78" s="2241"/>
      <c r="CG78" s="2241"/>
      <c r="CH78" s="2241"/>
      <c r="CI78" s="2241"/>
      <c r="CJ78" s="2241"/>
      <c r="CK78" s="2241"/>
      <c r="CL78" s="2241"/>
      <c r="CM78" s="2241"/>
      <c r="CN78" s="2241"/>
      <c r="CO78" s="2241"/>
      <c r="CP78" s="2241"/>
      <c r="CQ78" s="2241"/>
      <c r="CR78" s="2241"/>
      <c r="CS78" s="2241"/>
      <c r="CT78" s="2241"/>
      <c r="CU78" s="2241"/>
      <c r="CV78" s="2241"/>
      <c r="CW78" s="2241"/>
      <c r="CX78" s="2241"/>
      <c r="CY78" s="2241"/>
      <c r="CZ78" s="2241"/>
      <c r="DA78" s="2241"/>
      <c r="DB78" s="2241"/>
      <c r="DC78" s="2241"/>
      <c r="DD78" s="2241"/>
      <c r="DE78" s="2241"/>
      <c r="DF78" s="2241"/>
      <c r="DG78" s="2241"/>
      <c r="DH78" s="2241"/>
      <c r="DI78" s="2241"/>
      <c r="DJ78" s="2241"/>
      <c r="DK78" s="2241"/>
      <c r="DL78" s="2241"/>
      <c r="DM78" s="2241"/>
      <c r="DN78" s="2241"/>
      <c r="DO78" s="2241"/>
      <c r="DP78" s="2241"/>
      <c r="DQ78" s="2241"/>
      <c r="DR78" s="2241"/>
      <c r="DS78" s="2241"/>
      <c r="DT78" s="2241"/>
      <c r="DU78" s="2241"/>
      <c r="DV78" s="2241"/>
      <c r="DW78" s="2241"/>
      <c r="DX78" s="2241"/>
      <c r="DY78" s="2241"/>
      <c r="DZ78" s="2241"/>
      <c r="EA78" s="2241"/>
      <c r="EB78" s="2241"/>
      <c r="EC78" s="2241"/>
      <c r="ED78" s="2241"/>
      <c r="EE78" s="2241"/>
      <c r="EF78" s="2241"/>
      <c r="EG78" s="2241"/>
      <c r="EH78" s="2241"/>
      <c r="EI78" s="2241"/>
      <c r="EJ78" s="2241"/>
      <c r="EK78" s="2241"/>
      <c r="EL78" s="2241"/>
      <c r="EM78" s="2241"/>
      <c r="EN78" s="2241"/>
      <c r="EO78" s="2241"/>
      <c r="EP78" s="2241"/>
      <c r="EQ78" s="2241"/>
      <c r="ER78" s="2241"/>
      <c r="ES78" s="2241"/>
      <c r="ET78" s="2241"/>
      <c r="EU78" s="2241"/>
      <c r="EV78" s="2241"/>
      <c r="EW78" s="2241"/>
      <c r="EX78" s="2241"/>
      <c r="EY78" s="2241"/>
      <c r="EZ78" s="2241"/>
      <c r="FA78" s="2241"/>
      <c r="FB78" s="2241"/>
      <c r="FC78" s="2241"/>
      <c r="FD78" s="2241"/>
      <c r="FE78" s="2241"/>
      <c r="FF78" s="2241"/>
      <c r="FG78" s="2241"/>
      <c r="FH78" s="2241"/>
      <c r="FI78" s="2241"/>
      <c r="FJ78" s="2241"/>
      <c r="FK78" s="2241"/>
      <c r="FL78" s="2241"/>
      <c r="FM78" s="2241"/>
      <c r="FN78" s="2241"/>
      <c r="FO78" s="2241"/>
      <c r="FP78" s="2241"/>
      <c r="FQ78" s="2241"/>
      <c r="FR78" s="2241"/>
      <c r="FS78" s="2241"/>
      <c r="FT78" s="2241"/>
      <c r="FU78" s="2241"/>
      <c r="FV78" s="2241"/>
      <c r="FW78" s="2241"/>
      <c r="FX78" s="2241"/>
      <c r="FY78" s="2241"/>
      <c r="FZ78" s="2241"/>
      <c r="GA78" s="2241"/>
      <c r="GB78" s="2241"/>
      <c r="GC78" s="2241"/>
      <c r="GD78" s="2241"/>
      <c r="GE78" s="2241"/>
      <c r="GF78" s="2241"/>
      <c r="GG78" s="2241"/>
      <c r="GH78" s="2241"/>
      <c r="GI78" s="2241"/>
      <c r="GJ78" s="2241"/>
      <c r="GK78" s="2241"/>
      <c r="GL78" s="2241"/>
      <c r="GM78" s="2241"/>
      <c r="GN78" s="2241"/>
      <c r="GO78" s="2241"/>
      <c r="GP78" s="2241"/>
      <c r="GQ78" s="2241"/>
      <c r="GR78" s="2241"/>
      <c r="GS78" s="2241"/>
      <c r="GT78" s="2241"/>
      <c r="GU78" s="2241"/>
      <c r="GV78" s="2241"/>
      <c r="GW78" s="2241"/>
      <c r="GX78" s="2241"/>
      <c r="GY78" s="2241"/>
      <c r="GZ78" s="2241"/>
      <c r="HA78" s="2241"/>
      <c r="HB78" s="2241"/>
      <c r="HC78" s="2241"/>
      <c r="HD78" s="2241"/>
      <c r="HE78" s="2241"/>
      <c r="HF78" s="2241"/>
      <c r="HG78" s="2241"/>
      <c r="HH78" s="2241"/>
      <c r="HI78" s="2241"/>
      <c r="HJ78" s="2241"/>
      <c r="HK78" s="2241"/>
      <c r="HL78" s="2241"/>
      <c r="HM78" s="2241"/>
      <c r="HN78" s="2241"/>
      <c r="HO78" s="2241"/>
      <c r="HP78" s="2241"/>
      <c r="HQ78" s="2241"/>
      <c r="HR78" s="2241"/>
      <c r="HS78" s="2241"/>
      <c r="HT78" s="2241"/>
      <c r="HU78" s="2241"/>
      <c r="HV78" s="2241"/>
      <c r="HW78" s="2241"/>
      <c r="HX78" s="2241"/>
      <c r="HY78" s="2241"/>
      <c r="HZ78" s="2241"/>
      <c r="IA78" s="2241"/>
      <c r="IB78" s="2241"/>
      <c r="IC78" s="2241"/>
      <c r="ID78" s="2241"/>
      <c r="IE78" s="2241"/>
      <c r="IF78" s="2241"/>
      <c r="IG78" s="2241"/>
      <c r="IH78" s="2241"/>
      <c r="II78" s="2241"/>
      <c r="IJ78" s="2241"/>
      <c r="IK78" s="2241"/>
      <c r="IL78" s="2241"/>
      <c r="IM78" s="2241"/>
      <c r="IN78" s="2241"/>
      <c r="IO78" s="2241"/>
      <c r="IP78" s="2241"/>
      <c r="IQ78" s="2241"/>
      <c r="IR78" s="2241"/>
      <c r="IS78" s="2241"/>
      <c r="IT78" s="2241"/>
      <c r="IU78" s="2241"/>
      <c r="IV78" s="2241"/>
      <c r="IW78" s="2241"/>
      <c r="IX78" s="2241"/>
    </row>
    <row r="79" spans="1:258" ht="24" hidden="1" outlineLevel="1">
      <c r="A79" s="3059"/>
      <c r="B79" s="2270" t="s">
        <v>890</v>
      </c>
      <c r="C79" s="2271" t="s">
        <v>833</v>
      </c>
      <c r="D79" s="2272"/>
      <c r="E79" s="2273"/>
      <c r="F79" s="2272"/>
      <c r="G79" s="2274"/>
      <c r="H79" s="997"/>
      <c r="I79" s="997"/>
      <c r="J79" s="2275">
        <f>L79+N79+P79+R79+T79+V79+X79</f>
        <v>0</v>
      </c>
      <c r="K79" s="2276">
        <f>M79+O79+Q79+S79+U79+W79+Y79</f>
        <v>0</v>
      </c>
      <c r="L79" s="2276">
        <f>L77*L78/1000</f>
        <v>0</v>
      </c>
      <c r="M79" s="2276">
        <f t="shared" ref="M79:Y79" si="44">M77*M78/1000</f>
        <v>0</v>
      </c>
      <c r="N79" s="2276">
        <f t="shared" si="44"/>
        <v>0</v>
      </c>
      <c r="O79" s="2276">
        <f t="shared" si="44"/>
        <v>0</v>
      </c>
      <c r="P79" s="2276">
        <f t="shared" si="44"/>
        <v>0</v>
      </c>
      <c r="Q79" s="2276">
        <f t="shared" si="44"/>
        <v>0</v>
      </c>
      <c r="R79" s="2276">
        <f t="shared" si="44"/>
        <v>0</v>
      </c>
      <c r="S79" s="2276">
        <f t="shared" si="44"/>
        <v>0</v>
      </c>
      <c r="T79" s="2276">
        <f t="shared" si="44"/>
        <v>0</v>
      </c>
      <c r="U79" s="2276">
        <f t="shared" si="44"/>
        <v>0</v>
      </c>
      <c r="V79" s="2276">
        <f t="shared" si="44"/>
        <v>0</v>
      </c>
      <c r="W79" s="2276">
        <f t="shared" si="44"/>
        <v>0</v>
      </c>
      <c r="X79" s="2276">
        <f t="shared" si="44"/>
        <v>0</v>
      </c>
      <c r="Y79" s="2277">
        <f t="shared" si="44"/>
        <v>0</v>
      </c>
      <c r="Z79" s="2249"/>
      <c r="AA79" s="2250"/>
      <c r="AB79" s="2250"/>
      <c r="AC79" s="2250"/>
      <c r="AD79" s="2241"/>
      <c r="AE79" s="2169"/>
      <c r="AF79" s="2169"/>
      <c r="AG79" s="2169"/>
      <c r="AH79" s="2169"/>
      <c r="AI79" s="2169"/>
      <c r="AJ79" s="2169"/>
      <c r="AK79" s="2241"/>
      <c r="AL79" s="2250"/>
      <c r="AM79" s="2250"/>
      <c r="AN79" s="2250"/>
      <c r="AO79" s="2250"/>
      <c r="AP79" s="2250"/>
      <c r="AQ79" s="2250"/>
      <c r="AR79" s="2241"/>
      <c r="AS79" s="2241"/>
      <c r="AT79" s="2241"/>
      <c r="AU79" s="2241"/>
      <c r="AV79" s="2241"/>
      <c r="AW79" s="2241"/>
      <c r="AX79" s="2241"/>
      <c r="AY79" s="2241"/>
      <c r="AZ79" s="2241"/>
      <c r="BA79" s="2241"/>
      <c r="BB79" s="2241"/>
      <c r="BC79" s="2241"/>
      <c r="BD79" s="2241"/>
      <c r="BE79" s="2241"/>
      <c r="BF79" s="2241"/>
      <c r="BG79" s="2241"/>
      <c r="BH79" s="2241"/>
      <c r="BI79" s="2241"/>
      <c r="BJ79" s="2241"/>
      <c r="BK79" s="2241"/>
      <c r="BL79" s="2241"/>
      <c r="BM79" s="2241"/>
      <c r="BN79" s="2241"/>
      <c r="BO79" s="2241"/>
      <c r="BP79" s="2241"/>
      <c r="BQ79" s="2241"/>
      <c r="BR79" s="2241"/>
      <c r="BS79" s="2241"/>
      <c r="BT79" s="2241"/>
      <c r="BU79" s="2241"/>
      <c r="BV79" s="2241"/>
      <c r="BW79" s="2241"/>
      <c r="BX79" s="2241"/>
      <c r="BY79" s="2241"/>
      <c r="BZ79" s="2241"/>
      <c r="CA79" s="2241"/>
      <c r="CB79" s="2241"/>
      <c r="CC79" s="2241"/>
      <c r="CD79" s="2241"/>
      <c r="CE79" s="2241"/>
      <c r="CF79" s="2241"/>
      <c r="CG79" s="2241"/>
      <c r="CH79" s="2241"/>
      <c r="CI79" s="2241"/>
      <c r="CJ79" s="2241"/>
      <c r="CK79" s="2241"/>
      <c r="CL79" s="2241"/>
      <c r="CM79" s="2241"/>
      <c r="CN79" s="2241"/>
      <c r="CO79" s="2241"/>
      <c r="CP79" s="2241"/>
      <c r="CQ79" s="2241"/>
      <c r="CR79" s="2241"/>
      <c r="CS79" s="2241"/>
      <c r="CT79" s="2241"/>
      <c r="CU79" s="2241"/>
      <c r="CV79" s="2241"/>
      <c r="CW79" s="2241"/>
      <c r="CX79" s="2241"/>
      <c r="CY79" s="2241"/>
      <c r="CZ79" s="2241"/>
      <c r="DA79" s="2241"/>
      <c r="DB79" s="2241"/>
      <c r="DC79" s="2241"/>
      <c r="DD79" s="2241"/>
      <c r="DE79" s="2241"/>
      <c r="DF79" s="2241"/>
      <c r="DG79" s="2241"/>
      <c r="DH79" s="2241"/>
      <c r="DI79" s="2241"/>
      <c r="DJ79" s="2241"/>
      <c r="DK79" s="2241"/>
      <c r="DL79" s="2241"/>
      <c r="DM79" s="2241"/>
      <c r="DN79" s="2241"/>
      <c r="DO79" s="2241"/>
      <c r="DP79" s="2241"/>
      <c r="DQ79" s="2241"/>
      <c r="DR79" s="2241"/>
      <c r="DS79" s="2241"/>
      <c r="DT79" s="2241"/>
      <c r="DU79" s="2241"/>
      <c r="DV79" s="2241"/>
      <c r="DW79" s="2241"/>
      <c r="DX79" s="2241"/>
      <c r="DY79" s="2241"/>
      <c r="DZ79" s="2241"/>
      <c r="EA79" s="2241"/>
      <c r="EB79" s="2241"/>
      <c r="EC79" s="2241"/>
      <c r="ED79" s="2241"/>
      <c r="EE79" s="2241"/>
      <c r="EF79" s="2241"/>
      <c r="EG79" s="2241"/>
      <c r="EH79" s="2241"/>
      <c r="EI79" s="2241"/>
      <c r="EJ79" s="2241"/>
      <c r="EK79" s="2241"/>
      <c r="EL79" s="2241"/>
      <c r="EM79" s="2241"/>
      <c r="EN79" s="2241"/>
      <c r="EO79" s="2241"/>
      <c r="EP79" s="2241"/>
      <c r="EQ79" s="2241"/>
      <c r="ER79" s="2241"/>
      <c r="ES79" s="2241"/>
      <c r="ET79" s="2241"/>
      <c r="EU79" s="2241"/>
      <c r="EV79" s="2241"/>
      <c r="EW79" s="2241"/>
      <c r="EX79" s="2241"/>
      <c r="EY79" s="2241"/>
      <c r="EZ79" s="2241"/>
      <c r="FA79" s="2241"/>
      <c r="FB79" s="2241"/>
      <c r="FC79" s="2241"/>
      <c r="FD79" s="2241"/>
      <c r="FE79" s="2241"/>
      <c r="FF79" s="2241"/>
      <c r="FG79" s="2241"/>
      <c r="FH79" s="2241"/>
      <c r="FI79" s="2241"/>
      <c r="FJ79" s="2241"/>
      <c r="FK79" s="2241"/>
      <c r="FL79" s="2241"/>
      <c r="FM79" s="2241"/>
      <c r="FN79" s="2241"/>
      <c r="FO79" s="2241"/>
      <c r="FP79" s="2241"/>
      <c r="FQ79" s="2241"/>
      <c r="FR79" s="2241"/>
      <c r="FS79" s="2241"/>
      <c r="FT79" s="2241"/>
      <c r="FU79" s="2241"/>
      <c r="FV79" s="2241"/>
      <c r="FW79" s="2241"/>
      <c r="FX79" s="2241"/>
      <c r="FY79" s="2241"/>
      <c r="FZ79" s="2241"/>
      <c r="GA79" s="2241"/>
      <c r="GB79" s="2241"/>
      <c r="GC79" s="2241"/>
      <c r="GD79" s="2241"/>
      <c r="GE79" s="2241"/>
      <c r="GF79" s="2241"/>
      <c r="GG79" s="2241"/>
      <c r="GH79" s="2241"/>
      <c r="GI79" s="2241"/>
      <c r="GJ79" s="2241"/>
      <c r="GK79" s="2241"/>
      <c r="GL79" s="2241"/>
      <c r="GM79" s="2241"/>
      <c r="GN79" s="2241"/>
      <c r="GO79" s="2241"/>
      <c r="GP79" s="2241"/>
      <c r="GQ79" s="2241"/>
      <c r="GR79" s="2241"/>
      <c r="GS79" s="2241"/>
      <c r="GT79" s="2241"/>
      <c r="GU79" s="2241"/>
      <c r="GV79" s="2241"/>
      <c r="GW79" s="2241"/>
      <c r="GX79" s="2241"/>
      <c r="GY79" s="2241"/>
      <c r="GZ79" s="2241"/>
      <c r="HA79" s="2241"/>
      <c r="HB79" s="2241"/>
      <c r="HC79" s="2241"/>
      <c r="HD79" s="2241"/>
      <c r="HE79" s="2241"/>
      <c r="HF79" s="2241"/>
      <c r="HG79" s="2241"/>
      <c r="HH79" s="2241"/>
      <c r="HI79" s="2241"/>
      <c r="HJ79" s="2241"/>
      <c r="HK79" s="2241"/>
      <c r="HL79" s="2241"/>
      <c r="HM79" s="2241"/>
      <c r="HN79" s="2241"/>
      <c r="HO79" s="2241"/>
      <c r="HP79" s="2241"/>
      <c r="HQ79" s="2241"/>
      <c r="HR79" s="2241"/>
      <c r="HS79" s="2241"/>
      <c r="HT79" s="2241"/>
      <c r="HU79" s="2241"/>
      <c r="HV79" s="2241"/>
      <c r="HW79" s="2241"/>
      <c r="HX79" s="2241"/>
      <c r="HY79" s="2241"/>
      <c r="HZ79" s="2241"/>
      <c r="IA79" s="2241"/>
      <c r="IB79" s="2241"/>
      <c r="IC79" s="2241"/>
      <c r="ID79" s="2241"/>
      <c r="IE79" s="2241"/>
      <c r="IF79" s="2241"/>
      <c r="IG79" s="2241"/>
      <c r="IH79" s="2241"/>
      <c r="II79" s="2241"/>
      <c r="IJ79" s="2241"/>
      <c r="IK79" s="2241"/>
      <c r="IL79" s="2241"/>
      <c r="IM79" s="2241"/>
      <c r="IN79" s="2241"/>
      <c r="IO79" s="2241"/>
      <c r="IP79" s="2241"/>
      <c r="IQ79" s="2241"/>
      <c r="IR79" s="2241"/>
      <c r="IS79" s="2241"/>
      <c r="IT79" s="2241"/>
      <c r="IU79" s="2241"/>
      <c r="IV79" s="2241"/>
      <c r="IW79" s="2241"/>
      <c r="IX79" s="2241"/>
    </row>
    <row r="80" spans="1:258" ht="36" hidden="1">
      <c r="A80" s="2235" t="s">
        <v>891</v>
      </c>
      <c r="B80" s="2189" t="s">
        <v>892</v>
      </c>
      <c r="C80" s="2236" t="s">
        <v>803</v>
      </c>
      <c r="D80" s="1330">
        <v>0</v>
      </c>
      <c r="E80" s="1330">
        <v>0</v>
      </c>
      <c r="F80" s="1330">
        <v>0</v>
      </c>
      <c r="G80" s="2253">
        <v>0</v>
      </c>
      <c r="H80" s="997"/>
      <c r="I80" s="997"/>
      <c r="J80" s="2248">
        <v>0</v>
      </c>
      <c r="K80" s="1330">
        <v>0</v>
      </c>
      <c r="L80" s="1330">
        <v>0</v>
      </c>
      <c r="M80" s="1330">
        <v>0</v>
      </c>
      <c r="N80" s="1330">
        <v>0</v>
      </c>
      <c r="O80" s="1330">
        <v>0</v>
      </c>
      <c r="P80" s="1330">
        <v>0</v>
      </c>
      <c r="Q80" s="1330">
        <v>0</v>
      </c>
      <c r="R80" s="1330">
        <v>0</v>
      </c>
      <c r="S80" s="1330">
        <v>0</v>
      </c>
      <c r="T80" s="1330">
        <v>0</v>
      </c>
      <c r="U80" s="1330">
        <v>0</v>
      </c>
      <c r="V80" s="1330">
        <v>0</v>
      </c>
      <c r="W80" s="1330">
        <v>0</v>
      </c>
      <c r="X80" s="1330">
        <v>0</v>
      </c>
      <c r="Y80" s="2278">
        <v>0</v>
      </c>
      <c r="Z80" s="2222"/>
      <c r="AA80" s="2169"/>
      <c r="AB80" s="2169"/>
      <c r="AC80" s="2169"/>
      <c r="AE80" s="2169"/>
      <c r="AF80" s="2169"/>
      <c r="AG80" s="2169"/>
      <c r="AH80" s="2169"/>
      <c r="AI80" s="2169"/>
      <c r="AJ80" s="2169"/>
      <c r="AL80" s="2169"/>
      <c r="AM80" s="2169"/>
      <c r="AN80" s="2169"/>
      <c r="AO80" s="2169"/>
      <c r="AP80" s="2169"/>
      <c r="AQ80" s="2169"/>
    </row>
    <row r="81" spans="1:258" ht="24" hidden="1">
      <c r="A81" s="2235" t="s">
        <v>893</v>
      </c>
      <c r="B81" s="2189" t="s">
        <v>894</v>
      </c>
      <c r="C81" s="2236" t="s">
        <v>830</v>
      </c>
      <c r="D81" s="1330">
        <v>0</v>
      </c>
      <c r="E81" s="1330">
        <v>0</v>
      </c>
      <c r="F81" s="1330">
        <v>0</v>
      </c>
      <c r="G81" s="2253">
        <v>0</v>
      </c>
      <c r="H81" s="997"/>
      <c r="I81" s="997"/>
      <c r="J81" s="2248">
        <v>0</v>
      </c>
      <c r="K81" s="1330">
        <v>0</v>
      </c>
      <c r="L81" s="1330">
        <v>0</v>
      </c>
      <c r="M81" s="1330">
        <v>0</v>
      </c>
      <c r="N81" s="1330">
        <v>0</v>
      </c>
      <c r="O81" s="1330">
        <v>0</v>
      </c>
      <c r="P81" s="1330">
        <v>0</v>
      </c>
      <c r="Q81" s="1330">
        <v>0</v>
      </c>
      <c r="R81" s="1330">
        <v>0</v>
      </c>
      <c r="S81" s="1330">
        <v>0</v>
      </c>
      <c r="T81" s="1330">
        <v>0</v>
      </c>
      <c r="U81" s="1330">
        <v>0</v>
      </c>
      <c r="V81" s="1330">
        <v>0</v>
      </c>
      <c r="W81" s="1330">
        <v>0</v>
      </c>
      <c r="X81" s="1330">
        <v>0</v>
      </c>
      <c r="Y81" s="2278">
        <v>0</v>
      </c>
      <c r="Z81" s="2222"/>
      <c r="AA81" s="2169"/>
      <c r="AB81" s="2169"/>
      <c r="AC81" s="2169"/>
      <c r="AE81" s="2169"/>
      <c r="AF81" s="2169"/>
      <c r="AG81" s="2169"/>
      <c r="AH81" s="2169"/>
      <c r="AI81" s="2169"/>
      <c r="AJ81" s="2169"/>
      <c r="AL81" s="2169"/>
      <c r="AM81" s="2169"/>
      <c r="AN81" s="2169"/>
      <c r="AO81" s="2169"/>
      <c r="AP81" s="2169"/>
      <c r="AQ81" s="2169"/>
    </row>
    <row r="82" spans="1:258" ht="36" hidden="1">
      <c r="A82" s="2242" t="s">
        <v>895</v>
      </c>
      <c r="B82" s="291" t="s">
        <v>896</v>
      </c>
      <c r="C82" s="2243" t="s">
        <v>833</v>
      </c>
      <c r="D82" s="1330"/>
      <c r="E82" s="1333">
        <f t="shared" ref="E82:Y82" si="45">E80*E81/1000</f>
        <v>0</v>
      </c>
      <c r="F82" s="1330">
        <f t="shared" si="45"/>
        <v>0</v>
      </c>
      <c r="G82" s="2267">
        <f t="shared" si="45"/>
        <v>0</v>
      </c>
      <c r="H82" s="997"/>
      <c r="I82" s="997"/>
      <c r="J82" s="2248">
        <f t="shared" si="45"/>
        <v>0</v>
      </c>
      <c r="K82" s="997">
        <f t="shared" si="45"/>
        <v>0</v>
      </c>
      <c r="L82" s="997">
        <f t="shared" si="45"/>
        <v>0</v>
      </c>
      <c r="M82" s="997">
        <f t="shared" si="45"/>
        <v>0</v>
      </c>
      <c r="N82" s="997">
        <f t="shared" si="45"/>
        <v>0</v>
      </c>
      <c r="O82" s="997">
        <f t="shared" si="45"/>
        <v>0</v>
      </c>
      <c r="P82" s="997">
        <f t="shared" si="45"/>
        <v>0</v>
      </c>
      <c r="Q82" s="997">
        <f t="shared" si="45"/>
        <v>0</v>
      </c>
      <c r="R82" s="997">
        <f t="shared" si="45"/>
        <v>0</v>
      </c>
      <c r="S82" s="997">
        <f t="shared" si="45"/>
        <v>0</v>
      </c>
      <c r="T82" s="997">
        <f t="shared" si="45"/>
        <v>0</v>
      </c>
      <c r="U82" s="997">
        <f t="shared" si="45"/>
        <v>0</v>
      </c>
      <c r="V82" s="997">
        <f t="shared" si="45"/>
        <v>0</v>
      </c>
      <c r="W82" s="997">
        <f t="shared" si="45"/>
        <v>0</v>
      </c>
      <c r="X82" s="997">
        <f t="shared" si="45"/>
        <v>0</v>
      </c>
      <c r="Y82" s="1333">
        <f t="shared" si="45"/>
        <v>0</v>
      </c>
      <c r="Z82" s="2249"/>
      <c r="AA82" s="2250"/>
      <c r="AB82" s="2250"/>
      <c r="AC82" s="2250"/>
      <c r="AD82" s="2241"/>
      <c r="AE82" s="2169"/>
      <c r="AF82" s="2169"/>
      <c r="AG82" s="2169"/>
      <c r="AH82" s="2169"/>
      <c r="AI82" s="2169"/>
      <c r="AJ82" s="2169"/>
      <c r="AK82" s="2241"/>
      <c r="AL82" s="2250"/>
      <c r="AM82" s="2250"/>
      <c r="AN82" s="2250"/>
      <c r="AO82" s="2250"/>
      <c r="AP82" s="2250"/>
      <c r="AQ82" s="2250"/>
      <c r="AR82" s="2241"/>
      <c r="AS82" s="2241"/>
      <c r="AT82" s="2241"/>
      <c r="AU82" s="2241"/>
      <c r="AV82" s="2241"/>
      <c r="AW82" s="2241"/>
      <c r="AX82" s="2241"/>
      <c r="AY82" s="2241"/>
      <c r="AZ82" s="2241"/>
      <c r="BA82" s="2241"/>
      <c r="BB82" s="2241"/>
      <c r="BC82" s="2241"/>
      <c r="BD82" s="2241"/>
      <c r="BE82" s="2241"/>
      <c r="BF82" s="2241"/>
      <c r="BG82" s="2241"/>
      <c r="BH82" s="2241"/>
      <c r="BI82" s="2241"/>
      <c r="BJ82" s="2241"/>
      <c r="BK82" s="2241"/>
      <c r="BL82" s="2241"/>
      <c r="BM82" s="2241"/>
      <c r="BN82" s="2241"/>
      <c r="BO82" s="2241"/>
      <c r="BP82" s="2241"/>
      <c r="BQ82" s="2241"/>
      <c r="BR82" s="2241"/>
      <c r="BS82" s="2241"/>
      <c r="BT82" s="2241"/>
      <c r="BU82" s="2241"/>
      <c r="BV82" s="2241"/>
      <c r="BW82" s="2241"/>
      <c r="BX82" s="2241"/>
      <c r="BY82" s="2241"/>
      <c r="BZ82" s="2241"/>
      <c r="CA82" s="2241"/>
      <c r="CB82" s="2241"/>
      <c r="CC82" s="2241"/>
      <c r="CD82" s="2241"/>
      <c r="CE82" s="2241"/>
      <c r="CF82" s="2241"/>
      <c r="CG82" s="2241"/>
      <c r="CH82" s="2241"/>
      <c r="CI82" s="2241"/>
      <c r="CJ82" s="2241"/>
      <c r="CK82" s="2241"/>
      <c r="CL82" s="2241"/>
      <c r="CM82" s="2241"/>
      <c r="CN82" s="2241"/>
      <c r="CO82" s="2241"/>
      <c r="CP82" s="2241"/>
      <c r="CQ82" s="2241"/>
      <c r="CR82" s="2241"/>
      <c r="CS82" s="2241"/>
      <c r="CT82" s="2241"/>
      <c r="CU82" s="2241"/>
      <c r="CV82" s="2241"/>
      <c r="CW82" s="2241"/>
      <c r="CX82" s="2241"/>
      <c r="CY82" s="2241"/>
      <c r="CZ82" s="2241"/>
      <c r="DA82" s="2241"/>
      <c r="DB82" s="2241"/>
      <c r="DC82" s="2241"/>
      <c r="DD82" s="2241"/>
      <c r="DE82" s="2241"/>
      <c r="DF82" s="2241"/>
      <c r="DG82" s="2241"/>
      <c r="DH82" s="2241"/>
      <c r="DI82" s="2241"/>
      <c r="DJ82" s="2241"/>
      <c r="DK82" s="2241"/>
      <c r="DL82" s="2241"/>
      <c r="DM82" s="2241"/>
      <c r="DN82" s="2241"/>
      <c r="DO82" s="2241"/>
      <c r="DP82" s="2241"/>
      <c r="DQ82" s="2241"/>
      <c r="DR82" s="2241"/>
      <c r="DS82" s="2241"/>
      <c r="DT82" s="2241"/>
      <c r="DU82" s="2241"/>
      <c r="DV82" s="2241"/>
      <c r="DW82" s="2241"/>
      <c r="DX82" s="2241"/>
      <c r="DY82" s="2241"/>
      <c r="DZ82" s="2241"/>
      <c r="EA82" s="2241"/>
      <c r="EB82" s="2241"/>
      <c r="EC82" s="2241"/>
      <c r="ED82" s="2241"/>
      <c r="EE82" s="2241"/>
      <c r="EF82" s="2241"/>
      <c r="EG82" s="2241"/>
      <c r="EH82" s="2241"/>
      <c r="EI82" s="2241"/>
      <c r="EJ82" s="2241"/>
      <c r="EK82" s="2241"/>
      <c r="EL82" s="2241"/>
      <c r="EM82" s="2241"/>
      <c r="EN82" s="2241"/>
      <c r="EO82" s="2241"/>
      <c r="EP82" s="2241"/>
      <c r="EQ82" s="2241"/>
      <c r="ER82" s="2241"/>
      <c r="ES82" s="2241"/>
      <c r="ET82" s="2241"/>
      <c r="EU82" s="2241"/>
      <c r="EV82" s="2241"/>
      <c r="EW82" s="2241"/>
      <c r="EX82" s="2241"/>
      <c r="EY82" s="2241"/>
      <c r="EZ82" s="2241"/>
      <c r="FA82" s="2241"/>
      <c r="FB82" s="2241"/>
      <c r="FC82" s="2241"/>
      <c r="FD82" s="2241"/>
      <c r="FE82" s="2241"/>
      <c r="FF82" s="2241"/>
      <c r="FG82" s="2241"/>
      <c r="FH82" s="2241"/>
      <c r="FI82" s="2241"/>
      <c r="FJ82" s="2241"/>
      <c r="FK82" s="2241"/>
      <c r="FL82" s="2241"/>
      <c r="FM82" s="2241"/>
      <c r="FN82" s="2241"/>
      <c r="FO82" s="2241"/>
      <c r="FP82" s="2241"/>
      <c r="FQ82" s="2241"/>
      <c r="FR82" s="2241"/>
      <c r="FS82" s="2241"/>
      <c r="FT82" s="2241"/>
      <c r="FU82" s="2241"/>
      <c r="FV82" s="2241"/>
      <c r="FW82" s="2241"/>
      <c r="FX82" s="2241"/>
      <c r="FY82" s="2241"/>
      <c r="FZ82" s="2241"/>
      <c r="GA82" s="2241"/>
      <c r="GB82" s="2241"/>
      <c r="GC82" s="2241"/>
      <c r="GD82" s="2241"/>
      <c r="GE82" s="2241"/>
      <c r="GF82" s="2241"/>
      <c r="GG82" s="2241"/>
      <c r="GH82" s="2241"/>
      <c r="GI82" s="2241"/>
      <c r="GJ82" s="2241"/>
      <c r="GK82" s="2241"/>
      <c r="GL82" s="2241"/>
      <c r="GM82" s="2241"/>
      <c r="GN82" s="2241"/>
      <c r="GO82" s="2241"/>
      <c r="GP82" s="2241"/>
      <c r="GQ82" s="2241"/>
      <c r="GR82" s="2241"/>
      <c r="GS82" s="2241"/>
      <c r="GT82" s="2241"/>
      <c r="GU82" s="2241"/>
      <c r="GV82" s="2241"/>
      <c r="GW82" s="2241"/>
      <c r="GX82" s="2241"/>
      <c r="GY82" s="2241"/>
      <c r="GZ82" s="2241"/>
      <c r="HA82" s="2241"/>
      <c r="HB82" s="2241"/>
      <c r="HC82" s="2241"/>
      <c r="HD82" s="2241"/>
      <c r="HE82" s="2241"/>
      <c r="HF82" s="2241"/>
      <c r="HG82" s="2241"/>
      <c r="HH82" s="2241"/>
      <c r="HI82" s="2241"/>
      <c r="HJ82" s="2241"/>
      <c r="HK82" s="2241"/>
      <c r="HL82" s="2241"/>
      <c r="HM82" s="2241"/>
      <c r="HN82" s="2241"/>
      <c r="HO82" s="2241"/>
      <c r="HP82" s="2241"/>
      <c r="HQ82" s="2241"/>
      <c r="HR82" s="2241"/>
      <c r="HS82" s="2241"/>
      <c r="HT82" s="2241"/>
      <c r="HU82" s="2241"/>
      <c r="HV82" s="2241"/>
      <c r="HW82" s="2241"/>
      <c r="HX82" s="2241"/>
      <c r="HY82" s="2241"/>
      <c r="HZ82" s="2241"/>
      <c r="IA82" s="2241"/>
      <c r="IB82" s="2241"/>
      <c r="IC82" s="2241"/>
      <c r="ID82" s="2241"/>
      <c r="IE82" s="2241"/>
      <c r="IF82" s="2241"/>
      <c r="IG82" s="2241"/>
      <c r="IH82" s="2241"/>
      <c r="II82" s="2241"/>
      <c r="IJ82" s="2241"/>
      <c r="IK82" s="2241"/>
      <c r="IL82" s="2241"/>
      <c r="IM82" s="2241"/>
      <c r="IN82" s="2241"/>
      <c r="IO82" s="2241"/>
      <c r="IP82" s="2241"/>
      <c r="IQ82" s="2241"/>
      <c r="IR82" s="2241"/>
      <c r="IS82" s="2241"/>
      <c r="IT82" s="2241"/>
      <c r="IU82" s="2241"/>
      <c r="IV82" s="2241"/>
      <c r="IW82" s="2241"/>
      <c r="IX82" s="2241"/>
    </row>
    <row r="83" spans="1:258" ht="24" hidden="1">
      <c r="A83" s="2235" t="s">
        <v>897</v>
      </c>
      <c r="B83" s="2189" t="s">
        <v>898</v>
      </c>
      <c r="C83" s="2236" t="s">
        <v>803</v>
      </c>
      <c r="D83" s="1330">
        <v>0</v>
      </c>
      <c r="E83" s="1330">
        <v>0</v>
      </c>
      <c r="F83" s="1330">
        <v>0</v>
      </c>
      <c r="G83" s="2253">
        <v>0</v>
      </c>
      <c r="H83" s="997"/>
      <c r="I83" s="997"/>
      <c r="J83" s="2248">
        <v>0</v>
      </c>
      <c r="K83" s="1330">
        <v>0</v>
      </c>
      <c r="L83" s="1330">
        <v>0</v>
      </c>
      <c r="M83" s="1330">
        <v>0</v>
      </c>
      <c r="N83" s="1330">
        <v>0</v>
      </c>
      <c r="O83" s="1330">
        <v>0</v>
      </c>
      <c r="P83" s="1330">
        <v>0</v>
      </c>
      <c r="Q83" s="1330">
        <v>0</v>
      </c>
      <c r="R83" s="1330">
        <v>0</v>
      </c>
      <c r="S83" s="1330">
        <v>0</v>
      </c>
      <c r="T83" s="1330">
        <v>0</v>
      </c>
      <c r="U83" s="1330">
        <v>0</v>
      </c>
      <c r="V83" s="1330">
        <v>0</v>
      </c>
      <c r="W83" s="1330">
        <v>0</v>
      </c>
      <c r="X83" s="1330">
        <v>0</v>
      </c>
      <c r="Y83" s="2278">
        <v>0</v>
      </c>
      <c r="Z83" s="2222"/>
      <c r="AA83" s="2169"/>
      <c r="AB83" s="2169"/>
      <c r="AC83" s="2169"/>
      <c r="AE83" s="2169"/>
      <c r="AF83" s="2169"/>
      <c r="AG83" s="2169"/>
      <c r="AH83" s="2169"/>
      <c r="AI83" s="2169"/>
      <c r="AJ83" s="2169"/>
      <c r="AL83" s="2169"/>
      <c r="AM83" s="2169"/>
      <c r="AN83" s="2169"/>
      <c r="AO83" s="2169"/>
      <c r="AP83" s="2169"/>
      <c r="AQ83" s="2169"/>
    </row>
    <row r="84" spans="1:258" ht="24" hidden="1">
      <c r="A84" s="2235" t="s">
        <v>899</v>
      </c>
      <c r="B84" s="2189" t="s">
        <v>900</v>
      </c>
      <c r="C84" s="2236" t="s">
        <v>830</v>
      </c>
      <c r="D84" s="1330">
        <v>0</v>
      </c>
      <c r="E84" s="1330">
        <v>0</v>
      </c>
      <c r="F84" s="1330">
        <v>0</v>
      </c>
      <c r="G84" s="2253">
        <v>0</v>
      </c>
      <c r="H84" s="997"/>
      <c r="I84" s="997"/>
      <c r="J84" s="2248">
        <v>0</v>
      </c>
      <c r="K84" s="1330">
        <v>0</v>
      </c>
      <c r="L84" s="1330">
        <v>0</v>
      </c>
      <c r="M84" s="1330">
        <v>0</v>
      </c>
      <c r="N84" s="1330">
        <v>0</v>
      </c>
      <c r="O84" s="1330">
        <v>0</v>
      </c>
      <c r="P84" s="1330">
        <v>0</v>
      </c>
      <c r="Q84" s="1330">
        <v>0</v>
      </c>
      <c r="R84" s="1330">
        <v>0</v>
      </c>
      <c r="S84" s="1330">
        <v>0</v>
      </c>
      <c r="T84" s="1330">
        <v>0</v>
      </c>
      <c r="U84" s="1330">
        <v>0</v>
      </c>
      <c r="V84" s="1330">
        <v>0</v>
      </c>
      <c r="W84" s="1330">
        <v>0</v>
      </c>
      <c r="X84" s="1330">
        <v>0</v>
      </c>
      <c r="Y84" s="2278">
        <v>0</v>
      </c>
      <c r="Z84" s="2222"/>
      <c r="AA84" s="2169"/>
      <c r="AB84" s="2169"/>
      <c r="AC84" s="2169"/>
      <c r="AE84" s="2169"/>
      <c r="AF84" s="2169"/>
      <c r="AG84" s="2169"/>
      <c r="AH84" s="2169"/>
      <c r="AI84" s="2169"/>
      <c r="AJ84" s="2169"/>
      <c r="AL84" s="2169"/>
      <c r="AM84" s="2169"/>
      <c r="AN84" s="2169"/>
      <c r="AO84" s="2169"/>
      <c r="AP84" s="2169"/>
      <c r="AQ84" s="2169"/>
    </row>
    <row r="85" spans="1:258" ht="24" hidden="1">
      <c r="A85" s="2242" t="s">
        <v>901</v>
      </c>
      <c r="B85" s="291" t="s">
        <v>902</v>
      </c>
      <c r="C85" s="2243" t="s">
        <v>833</v>
      </c>
      <c r="D85" s="1330">
        <f>D83*D84</f>
        <v>0</v>
      </c>
      <c r="E85" s="1333">
        <f t="shared" ref="E85:U85" si="46">E83*E84</f>
        <v>0</v>
      </c>
      <c r="F85" s="1330">
        <f t="shared" si="46"/>
        <v>0</v>
      </c>
      <c r="G85" s="2267">
        <f t="shared" si="46"/>
        <v>0</v>
      </c>
      <c r="H85" s="997"/>
      <c r="I85" s="997"/>
      <c r="J85" s="2248">
        <f t="shared" si="46"/>
        <v>0</v>
      </c>
      <c r="K85" s="997">
        <f t="shared" si="46"/>
        <v>0</v>
      </c>
      <c r="L85" s="997">
        <f t="shared" si="46"/>
        <v>0</v>
      </c>
      <c r="M85" s="997">
        <f t="shared" si="46"/>
        <v>0</v>
      </c>
      <c r="N85" s="997">
        <f t="shared" si="46"/>
        <v>0</v>
      </c>
      <c r="O85" s="997">
        <f t="shared" si="46"/>
        <v>0</v>
      </c>
      <c r="P85" s="997">
        <f t="shared" si="46"/>
        <v>0</v>
      </c>
      <c r="Q85" s="997">
        <f t="shared" si="46"/>
        <v>0</v>
      </c>
      <c r="R85" s="997">
        <f t="shared" si="46"/>
        <v>0</v>
      </c>
      <c r="S85" s="997">
        <f t="shared" si="46"/>
        <v>0</v>
      </c>
      <c r="T85" s="997">
        <f t="shared" si="46"/>
        <v>0</v>
      </c>
      <c r="U85" s="997">
        <f t="shared" si="46"/>
        <v>0</v>
      </c>
      <c r="V85" s="997">
        <f>V83*V84</f>
        <v>0</v>
      </c>
      <c r="W85" s="997">
        <f>W83*W84</f>
        <v>0</v>
      </c>
      <c r="X85" s="997">
        <f>X83*X84</f>
        <v>0</v>
      </c>
      <c r="Y85" s="1333">
        <f>Y83*Y84</f>
        <v>0</v>
      </c>
      <c r="Z85" s="2249"/>
      <c r="AA85" s="2250"/>
      <c r="AB85" s="2250"/>
      <c r="AC85" s="2250"/>
      <c r="AD85" s="2241"/>
      <c r="AE85" s="2169"/>
      <c r="AF85" s="2169"/>
      <c r="AG85" s="2169"/>
      <c r="AH85" s="2169"/>
      <c r="AI85" s="2169"/>
      <c r="AJ85" s="2169"/>
      <c r="AK85" s="2241"/>
      <c r="AL85" s="2250"/>
      <c r="AM85" s="2250"/>
      <c r="AN85" s="2250"/>
      <c r="AO85" s="2250"/>
      <c r="AP85" s="2250"/>
      <c r="AQ85" s="2250"/>
      <c r="AR85" s="2241"/>
      <c r="AS85" s="2241"/>
      <c r="AT85" s="2241"/>
      <c r="AU85" s="2241"/>
      <c r="AV85" s="2241"/>
      <c r="AW85" s="2241"/>
      <c r="AX85" s="2241"/>
      <c r="AY85" s="2241"/>
      <c r="AZ85" s="2241"/>
      <c r="BA85" s="2241"/>
      <c r="BB85" s="2241"/>
      <c r="BC85" s="2241"/>
      <c r="BD85" s="2241"/>
      <c r="BE85" s="2241"/>
      <c r="BF85" s="2241"/>
      <c r="BG85" s="2241"/>
      <c r="BH85" s="2241"/>
      <c r="BI85" s="2241"/>
      <c r="BJ85" s="2241"/>
      <c r="BK85" s="2241"/>
      <c r="BL85" s="2241"/>
      <c r="BM85" s="2241"/>
      <c r="BN85" s="2241"/>
      <c r="BO85" s="2241"/>
      <c r="BP85" s="2241"/>
      <c r="BQ85" s="2241"/>
      <c r="BR85" s="2241"/>
      <c r="BS85" s="2241"/>
      <c r="BT85" s="2241"/>
      <c r="BU85" s="2241"/>
      <c r="BV85" s="2241"/>
      <c r="BW85" s="2241"/>
      <c r="BX85" s="2241"/>
      <c r="BY85" s="2241"/>
      <c r="BZ85" s="2241"/>
      <c r="CA85" s="2241"/>
      <c r="CB85" s="2241"/>
      <c r="CC85" s="2241"/>
      <c r="CD85" s="2241"/>
      <c r="CE85" s="2241"/>
      <c r="CF85" s="2241"/>
      <c r="CG85" s="2241"/>
      <c r="CH85" s="2241"/>
      <c r="CI85" s="2241"/>
      <c r="CJ85" s="2241"/>
      <c r="CK85" s="2241"/>
      <c r="CL85" s="2241"/>
      <c r="CM85" s="2241"/>
      <c r="CN85" s="2241"/>
      <c r="CO85" s="2241"/>
      <c r="CP85" s="2241"/>
      <c r="CQ85" s="2241"/>
      <c r="CR85" s="2241"/>
      <c r="CS85" s="2241"/>
      <c r="CT85" s="2241"/>
      <c r="CU85" s="2241"/>
      <c r="CV85" s="2241"/>
      <c r="CW85" s="2241"/>
      <c r="CX85" s="2241"/>
      <c r="CY85" s="2241"/>
      <c r="CZ85" s="2241"/>
      <c r="DA85" s="2241"/>
      <c r="DB85" s="2241"/>
      <c r="DC85" s="2241"/>
      <c r="DD85" s="2241"/>
      <c r="DE85" s="2241"/>
      <c r="DF85" s="2241"/>
      <c r="DG85" s="2241"/>
      <c r="DH85" s="2241"/>
      <c r="DI85" s="2241"/>
      <c r="DJ85" s="2241"/>
      <c r="DK85" s="2241"/>
      <c r="DL85" s="2241"/>
      <c r="DM85" s="2241"/>
      <c r="DN85" s="2241"/>
      <c r="DO85" s="2241"/>
      <c r="DP85" s="2241"/>
      <c r="DQ85" s="2241"/>
      <c r="DR85" s="2241"/>
      <c r="DS85" s="2241"/>
      <c r="DT85" s="2241"/>
      <c r="DU85" s="2241"/>
      <c r="DV85" s="2241"/>
      <c r="DW85" s="2241"/>
      <c r="DX85" s="2241"/>
      <c r="DY85" s="2241"/>
      <c r="DZ85" s="2241"/>
      <c r="EA85" s="2241"/>
      <c r="EB85" s="2241"/>
      <c r="EC85" s="2241"/>
      <c r="ED85" s="2241"/>
      <c r="EE85" s="2241"/>
      <c r="EF85" s="2241"/>
      <c r="EG85" s="2241"/>
      <c r="EH85" s="2241"/>
      <c r="EI85" s="2241"/>
      <c r="EJ85" s="2241"/>
      <c r="EK85" s="2241"/>
      <c r="EL85" s="2241"/>
      <c r="EM85" s="2241"/>
      <c r="EN85" s="2241"/>
      <c r="EO85" s="2241"/>
      <c r="EP85" s="2241"/>
      <c r="EQ85" s="2241"/>
      <c r="ER85" s="2241"/>
      <c r="ES85" s="2241"/>
      <c r="ET85" s="2241"/>
      <c r="EU85" s="2241"/>
      <c r="EV85" s="2241"/>
      <c r="EW85" s="2241"/>
      <c r="EX85" s="2241"/>
      <c r="EY85" s="2241"/>
      <c r="EZ85" s="2241"/>
      <c r="FA85" s="2241"/>
      <c r="FB85" s="2241"/>
      <c r="FC85" s="2241"/>
      <c r="FD85" s="2241"/>
      <c r="FE85" s="2241"/>
      <c r="FF85" s="2241"/>
      <c r="FG85" s="2241"/>
      <c r="FH85" s="2241"/>
      <c r="FI85" s="2241"/>
      <c r="FJ85" s="2241"/>
      <c r="FK85" s="2241"/>
      <c r="FL85" s="2241"/>
      <c r="FM85" s="2241"/>
      <c r="FN85" s="2241"/>
      <c r="FO85" s="2241"/>
      <c r="FP85" s="2241"/>
      <c r="FQ85" s="2241"/>
      <c r="FR85" s="2241"/>
      <c r="FS85" s="2241"/>
      <c r="FT85" s="2241"/>
      <c r="FU85" s="2241"/>
      <c r="FV85" s="2241"/>
      <c r="FW85" s="2241"/>
      <c r="FX85" s="2241"/>
      <c r="FY85" s="2241"/>
      <c r="FZ85" s="2241"/>
      <c r="GA85" s="2241"/>
      <c r="GB85" s="2241"/>
      <c r="GC85" s="2241"/>
      <c r="GD85" s="2241"/>
      <c r="GE85" s="2241"/>
      <c r="GF85" s="2241"/>
      <c r="GG85" s="2241"/>
      <c r="GH85" s="2241"/>
      <c r="GI85" s="2241"/>
      <c r="GJ85" s="2241"/>
      <c r="GK85" s="2241"/>
      <c r="GL85" s="2241"/>
      <c r="GM85" s="2241"/>
      <c r="GN85" s="2241"/>
      <c r="GO85" s="2241"/>
      <c r="GP85" s="2241"/>
      <c r="GQ85" s="2241"/>
      <c r="GR85" s="2241"/>
      <c r="GS85" s="2241"/>
      <c r="GT85" s="2241"/>
      <c r="GU85" s="2241"/>
      <c r="GV85" s="2241"/>
      <c r="GW85" s="2241"/>
      <c r="GX85" s="2241"/>
      <c r="GY85" s="2241"/>
      <c r="GZ85" s="2241"/>
      <c r="HA85" s="2241"/>
      <c r="HB85" s="2241"/>
      <c r="HC85" s="2241"/>
      <c r="HD85" s="2241"/>
      <c r="HE85" s="2241"/>
      <c r="HF85" s="2241"/>
      <c r="HG85" s="2241"/>
      <c r="HH85" s="2241"/>
      <c r="HI85" s="2241"/>
      <c r="HJ85" s="2241"/>
      <c r="HK85" s="2241"/>
      <c r="HL85" s="2241"/>
      <c r="HM85" s="2241"/>
      <c r="HN85" s="2241"/>
      <c r="HO85" s="2241"/>
      <c r="HP85" s="2241"/>
      <c r="HQ85" s="2241"/>
      <c r="HR85" s="2241"/>
      <c r="HS85" s="2241"/>
      <c r="HT85" s="2241"/>
      <c r="HU85" s="2241"/>
      <c r="HV85" s="2241"/>
      <c r="HW85" s="2241"/>
      <c r="HX85" s="2241"/>
      <c r="HY85" s="2241"/>
      <c r="HZ85" s="2241"/>
      <c r="IA85" s="2241"/>
      <c r="IB85" s="2241"/>
      <c r="IC85" s="2241"/>
      <c r="ID85" s="2241"/>
      <c r="IE85" s="2241"/>
      <c r="IF85" s="2241"/>
      <c r="IG85" s="2241"/>
      <c r="IH85" s="2241"/>
      <c r="II85" s="2241"/>
      <c r="IJ85" s="2241"/>
      <c r="IK85" s="2241"/>
      <c r="IL85" s="2241"/>
      <c r="IM85" s="2241"/>
      <c r="IN85" s="2241"/>
      <c r="IO85" s="2241"/>
      <c r="IP85" s="2241"/>
      <c r="IQ85" s="2241"/>
      <c r="IR85" s="2241"/>
      <c r="IS85" s="2241"/>
      <c r="IT85" s="2241"/>
      <c r="IU85" s="2241"/>
      <c r="IV85" s="2241"/>
      <c r="IW85" s="2241"/>
      <c r="IX85" s="2241"/>
    </row>
    <row r="86" spans="1:258" ht="24">
      <c r="A86" s="2279" t="s">
        <v>903</v>
      </c>
      <c r="B86" s="291" t="s">
        <v>904</v>
      </c>
      <c r="C86" s="2243" t="s">
        <v>833</v>
      </c>
      <c r="D86" s="2244">
        <f>D34+D37</f>
        <v>430.96258</v>
      </c>
      <c r="E86" s="1333">
        <f t="shared" ref="E86:U86" si="47">E31+E82+E85</f>
        <v>100.44782000000001</v>
      </c>
      <c r="F86" s="1331">
        <f>F31</f>
        <v>0</v>
      </c>
      <c r="G86" s="2280">
        <f t="shared" si="47"/>
        <v>0</v>
      </c>
      <c r="H86" s="2280">
        <f t="shared" si="47"/>
        <v>0</v>
      </c>
      <c r="I86" s="2263">
        <f t="shared" si="47"/>
        <v>0</v>
      </c>
      <c r="J86" s="997">
        <f t="shared" si="47"/>
        <v>5.2856912963592011</v>
      </c>
      <c r="K86" s="997">
        <f t="shared" si="47"/>
        <v>4.6912300801019997</v>
      </c>
      <c r="L86" s="997">
        <f t="shared" si="47"/>
        <v>4.2769375463591999</v>
      </c>
      <c r="M86" s="997">
        <f t="shared" si="47"/>
        <v>3.7959269551019998</v>
      </c>
      <c r="N86" s="997">
        <f t="shared" si="47"/>
        <v>0</v>
      </c>
      <c r="O86" s="997">
        <f t="shared" si="47"/>
        <v>0</v>
      </c>
      <c r="P86" s="996">
        <f t="shared" si="47"/>
        <v>0</v>
      </c>
      <c r="Q86" s="996">
        <f t="shared" si="47"/>
        <v>0</v>
      </c>
      <c r="R86" s="996">
        <f t="shared" si="47"/>
        <v>0.70612762500000004</v>
      </c>
      <c r="S86" s="996">
        <f t="shared" si="47"/>
        <v>0.62671218750000002</v>
      </c>
      <c r="T86" s="996">
        <f t="shared" si="47"/>
        <v>0.30262612500000008</v>
      </c>
      <c r="U86" s="996">
        <f t="shared" si="47"/>
        <v>0.26859093750000002</v>
      </c>
      <c r="V86" s="996">
        <f>V31+V82+V85</f>
        <v>0</v>
      </c>
      <c r="W86" s="996">
        <f>W31+W82+W85</f>
        <v>0</v>
      </c>
      <c r="X86" s="996">
        <f>X31+X82+X85</f>
        <v>0</v>
      </c>
      <c r="Y86" s="1331">
        <f>Y31+Y82+Y85</f>
        <v>0</v>
      </c>
      <c r="Z86" s="2249"/>
      <c r="AA86" s="2250"/>
      <c r="AB86" s="2250"/>
      <c r="AC86" s="2250"/>
      <c r="AD86" s="2241"/>
      <c r="AE86" s="2169"/>
      <c r="AF86" s="2169"/>
      <c r="AG86" s="2169"/>
      <c r="AH86" s="2169"/>
      <c r="AI86" s="2169"/>
      <c r="AJ86" s="2169"/>
      <c r="AK86" s="2241"/>
      <c r="AL86" s="2250"/>
      <c r="AM86" s="2250"/>
      <c r="AN86" s="2250"/>
      <c r="AO86" s="2250"/>
      <c r="AP86" s="2250"/>
      <c r="AQ86" s="2250"/>
      <c r="AR86" s="2241"/>
      <c r="AS86" s="2241"/>
      <c r="AT86" s="2241"/>
      <c r="AU86" s="2241"/>
      <c r="AV86" s="2241"/>
      <c r="AW86" s="2241"/>
      <c r="AX86" s="2241"/>
      <c r="AY86" s="2241"/>
      <c r="AZ86" s="2241"/>
      <c r="BA86" s="2241"/>
      <c r="BB86" s="2241"/>
      <c r="BC86" s="2241"/>
      <c r="BD86" s="2241"/>
      <c r="BE86" s="2241"/>
      <c r="BF86" s="2241"/>
      <c r="BG86" s="2241"/>
      <c r="BH86" s="2241"/>
      <c r="BI86" s="2241"/>
      <c r="BJ86" s="2241"/>
      <c r="BK86" s="2241"/>
      <c r="BL86" s="2241"/>
      <c r="BM86" s="2241"/>
      <c r="BN86" s="2241"/>
      <c r="BO86" s="2241"/>
      <c r="BP86" s="2241"/>
      <c r="BQ86" s="2241"/>
      <c r="BR86" s="2241"/>
      <c r="BS86" s="2241"/>
      <c r="BT86" s="2241"/>
      <c r="BU86" s="2241"/>
      <c r="BV86" s="2241"/>
      <c r="BW86" s="2241"/>
      <c r="BX86" s="2241"/>
      <c r="BY86" s="2241"/>
      <c r="BZ86" s="2241"/>
      <c r="CA86" s="2241"/>
      <c r="CB86" s="2241"/>
      <c r="CC86" s="2241"/>
      <c r="CD86" s="2241"/>
      <c r="CE86" s="2241"/>
      <c r="CF86" s="2241"/>
      <c r="CG86" s="2241"/>
      <c r="CH86" s="2241"/>
      <c r="CI86" s="2241"/>
      <c r="CJ86" s="2241"/>
      <c r="CK86" s="2241"/>
      <c r="CL86" s="2241"/>
      <c r="CM86" s="2241"/>
      <c r="CN86" s="2241"/>
      <c r="CO86" s="2241"/>
      <c r="CP86" s="2241"/>
      <c r="CQ86" s="2241"/>
      <c r="CR86" s="2241"/>
      <c r="CS86" s="2241"/>
      <c r="CT86" s="2241"/>
      <c r="CU86" s="2241"/>
      <c r="CV86" s="2241"/>
      <c r="CW86" s="2241"/>
      <c r="CX86" s="2241"/>
      <c r="CY86" s="2241"/>
      <c r="CZ86" s="2241"/>
      <c r="DA86" s="2241"/>
      <c r="DB86" s="2241"/>
      <c r="DC86" s="2241"/>
      <c r="DD86" s="2241"/>
      <c r="DE86" s="2241"/>
      <c r="DF86" s="2241"/>
      <c r="DG86" s="2241"/>
      <c r="DH86" s="2241"/>
      <c r="DI86" s="2241"/>
      <c r="DJ86" s="2241"/>
      <c r="DK86" s="2241"/>
      <c r="DL86" s="2241"/>
      <c r="DM86" s="2241"/>
      <c r="DN86" s="2241"/>
      <c r="DO86" s="2241"/>
      <c r="DP86" s="2241"/>
      <c r="DQ86" s="2241"/>
      <c r="DR86" s="2241"/>
      <c r="DS86" s="2241"/>
      <c r="DT86" s="2241"/>
      <c r="DU86" s="2241"/>
      <c r="DV86" s="2241"/>
      <c r="DW86" s="2241"/>
      <c r="DX86" s="2241"/>
      <c r="DY86" s="2241"/>
      <c r="DZ86" s="2241"/>
      <c r="EA86" s="2241"/>
      <c r="EB86" s="2241"/>
      <c r="EC86" s="2241"/>
      <c r="ED86" s="2241"/>
      <c r="EE86" s="2241"/>
      <c r="EF86" s="2241"/>
      <c r="EG86" s="2241"/>
      <c r="EH86" s="2241"/>
      <c r="EI86" s="2241"/>
      <c r="EJ86" s="2241"/>
      <c r="EK86" s="2241"/>
      <c r="EL86" s="2241"/>
      <c r="EM86" s="2241"/>
      <c r="EN86" s="2241"/>
      <c r="EO86" s="2241"/>
      <c r="EP86" s="2241"/>
      <c r="EQ86" s="2241"/>
      <c r="ER86" s="2241"/>
      <c r="ES86" s="2241"/>
      <c r="ET86" s="2241"/>
      <c r="EU86" s="2241"/>
      <c r="EV86" s="2241"/>
      <c r="EW86" s="2241"/>
      <c r="EX86" s="2241"/>
      <c r="EY86" s="2241"/>
      <c r="EZ86" s="2241"/>
      <c r="FA86" s="2241"/>
      <c r="FB86" s="2241"/>
      <c r="FC86" s="2241"/>
      <c r="FD86" s="2241"/>
      <c r="FE86" s="2241"/>
      <c r="FF86" s="2241"/>
      <c r="FG86" s="2241"/>
      <c r="FH86" s="2241"/>
      <c r="FI86" s="2241"/>
      <c r="FJ86" s="2241"/>
      <c r="FK86" s="2241"/>
      <c r="FL86" s="2241"/>
      <c r="FM86" s="2241"/>
      <c r="FN86" s="2241"/>
      <c r="FO86" s="2241"/>
      <c r="FP86" s="2241"/>
      <c r="FQ86" s="2241"/>
      <c r="FR86" s="2241"/>
      <c r="FS86" s="2241"/>
      <c r="FT86" s="2241"/>
      <c r="FU86" s="2241"/>
      <c r="FV86" s="2241"/>
      <c r="FW86" s="2241"/>
      <c r="FX86" s="2241"/>
      <c r="FY86" s="2241"/>
      <c r="FZ86" s="2241"/>
      <c r="GA86" s="2241"/>
      <c r="GB86" s="2241"/>
      <c r="GC86" s="2241"/>
      <c r="GD86" s="2241"/>
      <c r="GE86" s="2241"/>
      <c r="GF86" s="2241"/>
      <c r="GG86" s="2241"/>
      <c r="GH86" s="2241"/>
      <c r="GI86" s="2241"/>
      <c r="GJ86" s="2241"/>
      <c r="GK86" s="2241"/>
      <c r="GL86" s="2241"/>
      <c r="GM86" s="2241"/>
      <c r="GN86" s="2241"/>
      <c r="GO86" s="2241"/>
      <c r="GP86" s="2241"/>
      <c r="GQ86" s="2241"/>
      <c r="GR86" s="2241"/>
      <c r="GS86" s="2241"/>
      <c r="GT86" s="2241"/>
      <c r="GU86" s="2241"/>
      <c r="GV86" s="2241"/>
      <c r="GW86" s="2241"/>
      <c r="GX86" s="2241"/>
      <c r="GY86" s="2241"/>
      <c r="GZ86" s="2241"/>
      <c r="HA86" s="2241"/>
      <c r="HB86" s="2241"/>
      <c r="HC86" s="2241"/>
      <c r="HD86" s="2241"/>
      <c r="HE86" s="2241"/>
      <c r="HF86" s="2241"/>
      <c r="HG86" s="2241"/>
      <c r="HH86" s="2241"/>
      <c r="HI86" s="2241"/>
      <c r="HJ86" s="2241"/>
      <c r="HK86" s="2241"/>
      <c r="HL86" s="2241"/>
      <c r="HM86" s="2241"/>
      <c r="HN86" s="2241"/>
      <c r="HO86" s="2241"/>
      <c r="HP86" s="2241"/>
      <c r="HQ86" s="2241"/>
      <c r="HR86" s="2241"/>
      <c r="HS86" s="2241"/>
      <c r="HT86" s="2241"/>
      <c r="HU86" s="2241"/>
      <c r="HV86" s="2241"/>
      <c r="HW86" s="2241"/>
      <c r="HX86" s="2241"/>
      <c r="HY86" s="2241"/>
      <c r="HZ86" s="2241"/>
      <c r="IA86" s="2241"/>
      <c r="IB86" s="2241"/>
      <c r="IC86" s="2241"/>
      <c r="ID86" s="2241"/>
      <c r="IE86" s="2241"/>
      <c r="IF86" s="2241"/>
      <c r="IG86" s="2241"/>
      <c r="IH86" s="2241"/>
      <c r="II86" s="2241"/>
      <c r="IJ86" s="2241"/>
      <c r="IK86" s="2241"/>
      <c r="IL86" s="2241"/>
      <c r="IM86" s="2241"/>
      <c r="IN86" s="2241"/>
      <c r="IO86" s="2241"/>
      <c r="IP86" s="2241"/>
      <c r="IQ86" s="2241"/>
      <c r="IR86" s="2241"/>
      <c r="IS86" s="2241"/>
      <c r="IT86" s="2241"/>
      <c r="IU86" s="2241"/>
      <c r="IV86" s="2241"/>
      <c r="IW86" s="2241"/>
      <c r="IX86" s="2241"/>
    </row>
    <row r="87" spans="1:258" ht="36">
      <c r="A87" s="2281" t="s">
        <v>905</v>
      </c>
      <c r="B87" s="2282" t="s">
        <v>906</v>
      </c>
      <c r="C87" s="607" t="s">
        <v>70</v>
      </c>
      <c r="D87" s="2283">
        <f>D86/D88</f>
        <v>4.3156226597793488</v>
      </c>
      <c r="E87" s="2228">
        <f>E86/E88</f>
        <v>1.00587593502303</v>
      </c>
      <c r="F87" s="2283" t="e">
        <f t="shared" ref="F87:W87" si="48">F86/F88</f>
        <v>#DIV/0!</v>
      </c>
      <c r="G87" s="1329" t="e">
        <f t="shared" si="48"/>
        <v>#DIV/0!</v>
      </c>
      <c r="H87" s="1329" t="e">
        <f t="shared" si="48"/>
        <v>#DIV/0!</v>
      </c>
      <c r="I87" s="997" t="e">
        <f t="shared" si="48"/>
        <v>#DIV/0!</v>
      </c>
      <c r="J87" s="2284">
        <f t="shared" si="48"/>
        <v>0.61923942736169324</v>
      </c>
      <c r="K87" s="2283">
        <f t="shared" si="48"/>
        <v>0.54959596872887395</v>
      </c>
      <c r="L87" s="2283">
        <f t="shared" si="48"/>
        <v>0.50105997656228141</v>
      </c>
      <c r="M87" s="2283">
        <f t="shared" si="48"/>
        <v>0.44470770277546662</v>
      </c>
      <c r="N87" s="2283">
        <f t="shared" si="48"/>
        <v>0</v>
      </c>
      <c r="O87" s="2283">
        <f t="shared" si="48"/>
        <v>0</v>
      </c>
      <c r="P87" s="2285">
        <f t="shared" si="48"/>
        <v>0</v>
      </c>
      <c r="Q87" s="2285">
        <f t="shared" si="48"/>
        <v>0</v>
      </c>
      <c r="R87" s="2285">
        <f t="shared" si="48"/>
        <v>8.272561555958817E-2</v>
      </c>
      <c r="S87" s="2283">
        <f t="shared" si="48"/>
        <v>7.3421786167385164E-2</v>
      </c>
      <c r="T87" s="2283">
        <f t="shared" si="48"/>
        <v>3.5453835239823511E-2</v>
      </c>
      <c r="U87" s="2283">
        <f t="shared" si="48"/>
        <v>3.1466479786022218E-2</v>
      </c>
      <c r="V87" s="2283">
        <f t="shared" si="48"/>
        <v>0</v>
      </c>
      <c r="W87" s="2283">
        <f t="shared" si="48"/>
        <v>0</v>
      </c>
      <c r="X87" s="2228">
        <f>X86/X88</f>
        <v>0</v>
      </c>
      <c r="Y87" s="2283">
        <f>Y86/Y88</f>
        <v>0</v>
      </c>
      <c r="Z87" s="2249"/>
      <c r="AA87" s="2250"/>
      <c r="AB87" s="2250"/>
      <c r="AC87" s="2250"/>
      <c r="AD87" s="2241"/>
      <c r="AE87" s="2169"/>
      <c r="AF87" s="2169"/>
      <c r="AG87" s="2169"/>
      <c r="AH87" s="2169"/>
      <c r="AI87" s="2169"/>
      <c r="AJ87" s="2169"/>
      <c r="AK87" s="2241"/>
      <c r="AL87" s="2250"/>
      <c r="AM87" s="2250"/>
      <c r="AN87" s="2250"/>
      <c r="AO87" s="2250"/>
      <c r="AP87" s="2250"/>
      <c r="AQ87" s="2250"/>
      <c r="AR87" s="2241"/>
      <c r="AS87" s="2241"/>
      <c r="AT87" s="2241"/>
      <c r="AU87" s="2241"/>
      <c r="AV87" s="2241"/>
      <c r="AW87" s="2241"/>
      <c r="AX87" s="2241"/>
      <c r="AY87" s="2241"/>
      <c r="AZ87" s="2241"/>
      <c r="BA87" s="2241"/>
      <c r="BB87" s="2241"/>
      <c r="BC87" s="2241"/>
      <c r="BD87" s="2241"/>
      <c r="BE87" s="2241"/>
      <c r="BF87" s="2241"/>
      <c r="BG87" s="2241"/>
      <c r="BH87" s="2241"/>
      <c r="BI87" s="2241"/>
      <c r="BJ87" s="2241"/>
      <c r="BK87" s="2241"/>
      <c r="BL87" s="2241"/>
      <c r="BM87" s="2241"/>
      <c r="BN87" s="2241"/>
      <c r="BO87" s="2241"/>
      <c r="BP87" s="2241"/>
      <c r="BQ87" s="2241"/>
      <c r="BR87" s="2241"/>
      <c r="BS87" s="2241"/>
      <c r="BT87" s="2241"/>
      <c r="BU87" s="2241"/>
      <c r="BV87" s="2241"/>
      <c r="BW87" s="2241"/>
      <c r="BX87" s="2241"/>
      <c r="BY87" s="2241"/>
      <c r="BZ87" s="2241"/>
      <c r="CA87" s="2241"/>
      <c r="CB87" s="2241"/>
      <c r="CC87" s="2241"/>
      <c r="CD87" s="2241"/>
      <c r="CE87" s="2241"/>
      <c r="CF87" s="2241"/>
      <c r="CG87" s="2241"/>
      <c r="CH87" s="2241"/>
      <c r="CI87" s="2241"/>
      <c r="CJ87" s="2241"/>
      <c r="CK87" s="2241"/>
      <c r="CL87" s="2241"/>
      <c r="CM87" s="2241"/>
      <c r="CN87" s="2241"/>
      <c r="CO87" s="2241"/>
      <c r="CP87" s="2241"/>
      <c r="CQ87" s="2241"/>
      <c r="CR87" s="2241"/>
      <c r="CS87" s="2241"/>
      <c r="CT87" s="2241"/>
      <c r="CU87" s="2241"/>
      <c r="CV87" s="2241"/>
      <c r="CW87" s="2241"/>
      <c r="CX87" s="2241"/>
      <c r="CY87" s="2241"/>
      <c r="CZ87" s="2241"/>
      <c r="DA87" s="2241"/>
      <c r="DB87" s="2241"/>
      <c r="DC87" s="2241"/>
      <c r="DD87" s="2241"/>
      <c r="DE87" s="2241"/>
      <c r="DF87" s="2241"/>
      <c r="DG87" s="2241"/>
      <c r="DH87" s="2241"/>
      <c r="DI87" s="2241"/>
      <c r="DJ87" s="2241"/>
      <c r="DK87" s="2241"/>
      <c r="DL87" s="2241"/>
      <c r="DM87" s="2241"/>
      <c r="DN87" s="2241"/>
      <c r="DO87" s="2241"/>
      <c r="DP87" s="2241"/>
      <c r="DQ87" s="2241"/>
      <c r="DR87" s="2241"/>
      <c r="DS87" s="2241"/>
      <c r="DT87" s="2241"/>
      <c r="DU87" s="2241"/>
      <c r="DV87" s="2241"/>
      <c r="DW87" s="2241"/>
      <c r="DX87" s="2241"/>
      <c r="DY87" s="2241"/>
      <c r="DZ87" s="2241"/>
      <c r="EA87" s="2241"/>
      <c r="EB87" s="2241"/>
      <c r="EC87" s="2241"/>
      <c r="ED87" s="2241"/>
      <c r="EE87" s="2241"/>
      <c r="EF87" s="2241"/>
      <c r="EG87" s="2241"/>
      <c r="EH87" s="2241"/>
      <c r="EI87" s="2241"/>
      <c r="EJ87" s="2241"/>
      <c r="EK87" s="2241"/>
      <c r="EL87" s="2241"/>
      <c r="EM87" s="2241"/>
      <c r="EN87" s="2241"/>
      <c r="EO87" s="2241"/>
      <c r="EP87" s="2241"/>
      <c r="EQ87" s="2241"/>
      <c r="ER87" s="2241"/>
      <c r="ES87" s="2241"/>
      <c r="ET87" s="2241"/>
      <c r="EU87" s="2241"/>
      <c r="EV87" s="2241"/>
      <c r="EW87" s="2241"/>
      <c r="EX87" s="2241"/>
      <c r="EY87" s="2241"/>
      <c r="EZ87" s="2241"/>
      <c r="FA87" s="2241"/>
      <c r="FB87" s="2241"/>
      <c r="FC87" s="2241"/>
      <c r="FD87" s="2241"/>
      <c r="FE87" s="2241"/>
      <c r="FF87" s="2241"/>
      <c r="FG87" s="2241"/>
      <c r="FH87" s="2241"/>
      <c r="FI87" s="2241"/>
      <c r="FJ87" s="2241"/>
      <c r="FK87" s="2241"/>
      <c r="FL87" s="2241"/>
      <c r="FM87" s="2241"/>
      <c r="FN87" s="2241"/>
      <c r="FO87" s="2241"/>
      <c r="FP87" s="2241"/>
      <c r="FQ87" s="2241"/>
      <c r="FR87" s="2241"/>
      <c r="FS87" s="2241"/>
      <c r="FT87" s="2241"/>
      <c r="FU87" s="2241"/>
      <c r="FV87" s="2241"/>
      <c r="FW87" s="2241"/>
      <c r="FX87" s="2241"/>
      <c r="FY87" s="2241"/>
      <c r="FZ87" s="2241"/>
      <c r="GA87" s="2241"/>
      <c r="GB87" s="2241"/>
      <c r="GC87" s="2241"/>
      <c r="GD87" s="2241"/>
      <c r="GE87" s="2241"/>
      <c r="GF87" s="2241"/>
      <c r="GG87" s="2241"/>
      <c r="GH87" s="2241"/>
      <c r="GI87" s="2241"/>
      <c r="GJ87" s="2241"/>
      <c r="GK87" s="2241"/>
      <c r="GL87" s="2241"/>
      <c r="GM87" s="2241"/>
      <c r="GN87" s="2241"/>
      <c r="GO87" s="2241"/>
      <c r="GP87" s="2241"/>
      <c r="GQ87" s="2241"/>
      <c r="GR87" s="2241"/>
      <c r="GS87" s="2241"/>
      <c r="GT87" s="2241"/>
      <c r="GU87" s="2241"/>
      <c r="GV87" s="2241"/>
      <c r="GW87" s="2241"/>
      <c r="GX87" s="2241"/>
      <c r="GY87" s="2241"/>
      <c r="GZ87" s="2241"/>
      <c r="HA87" s="2241"/>
      <c r="HB87" s="2241"/>
      <c r="HC87" s="2241"/>
      <c r="HD87" s="2241"/>
      <c r="HE87" s="2241"/>
      <c r="HF87" s="2241"/>
      <c r="HG87" s="2241"/>
      <c r="HH87" s="2241"/>
      <c r="HI87" s="2241"/>
      <c r="HJ87" s="2241"/>
      <c r="HK87" s="2241"/>
      <c r="HL87" s="2241"/>
      <c r="HM87" s="2241"/>
      <c r="HN87" s="2241"/>
      <c r="HO87" s="2241"/>
      <c r="HP87" s="2241"/>
      <c r="HQ87" s="2241"/>
      <c r="HR87" s="2241"/>
      <c r="HS87" s="2241"/>
      <c r="HT87" s="2241"/>
      <c r="HU87" s="2241"/>
      <c r="HV87" s="2241"/>
      <c r="HW87" s="2241"/>
      <c r="HX87" s="2241"/>
      <c r="HY87" s="2241"/>
      <c r="HZ87" s="2241"/>
      <c r="IA87" s="2241"/>
      <c r="IB87" s="2241"/>
      <c r="IC87" s="2241"/>
      <c r="ID87" s="2241"/>
      <c r="IE87" s="2241"/>
      <c r="IF87" s="2241"/>
      <c r="IG87" s="2241"/>
      <c r="IH87" s="2241"/>
      <c r="II87" s="2241"/>
      <c r="IJ87" s="2241"/>
      <c r="IK87" s="2241"/>
      <c r="IL87" s="2241"/>
      <c r="IM87" s="2241"/>
      <c r="IN87" s="2241"/>
      <c r="IO87" s="2241"/>
      <c r="IP87" s="2241"/>
      <c r="IQ87" s="2241"/>
      <c r="IR87" s="2241"/>
      <c r="IS87" s="2241"/>
      <c r="IT87" s="2241"/>
      <c r="IU87" s="2241"/>
      <c r="IV87" s="2241"/>
      <c r="IW87" s="2241"/>
      <c r="IX87" s="2241"/>
    </row>
    <row r="88" spans="1:258" ht="24.6" thickBot="1">
      <c r="A88" s="2286" t="s">
        <v>907</v>
      </c>
      <c r="B88" s="2287" t="s">
        <v>908</v>
      </c>
      <c r="C88" s="608" t="s">
        <v>909</v>
      </c>
      <c r="D88" s="2288">
        <f>99861.043/1000</f>
        <v>99.861043000000009</v>
      </c>
      <c r="E88" s="2288">
        <f>D88</f>
        <v>99.861043000000009</v>
      </c>
      <c r="F88" s="1334">
        <v>0</v>
      </c>
      <c r="G88" s="2289">
        <f>F88</f>
        <v>0</v>
      </c>
      <c r="H88" s="2290">
        <v>0</v>
      </c>
      <c r="I88" s="2290">
        <v>0</v>
      </c>
      <c r="J88" s="609">
        <f>8535.77964/1000</f>
        <v>8.5357796400000012</v>
      </c>
      <c r="K88" s="610">
        <f>J88</f>
        <v>8.5357796400000012</v>
      </c>
      <c r="L88" s="610">
        <f t="shared" ref="L88:Y88" si="49">K88</f>
        <v>8.5357796400000012</v>
      </c>
      <c r="M88" s="610">
        <f t="shared" si="49"/>
        <v>8.5357796400000012</v>
      </c>
      <c r="N88" s="610">
        <f t="shared" si="49"/>
        <v>8.5357796400000012</v>
      </c>
      <c r="O88" s="610">
        <f t="shared" si="49"/>
        <v>8.5357796400000012</v>
      </c>
      <c r="P88" s="610">
        <f t="shared" si="49"/>
        <v>8.5357796400000012</v>
      </c>
      <c r="Q88" s="610">
        <f t="shared" si="49"/>
        <v>8.5357796400000012</v>
      </c>
      <c r="R88" s="610">
        <f t="shared" si="49"/>
        <v>8.5357796400000012</v>
      </c>
      <c r="S88" s="610">
        <f t="shared" si="49"/>
        <v>8.5357796400000012</v>
      </c>
      <c r="T88" s="610">
        <f t="shared" si="49"/>
        <v>8.5357796400000012</v>
      </c>
      <c r="U88" s="610">
        <f t="shared" si="49"/>
        <v>8.5357796400000012</v>
      </c>
      <c r="V88" s="610">
        <f t="shared" si="49"/>
        <v>8.5357796400000012</v>
      </c>
      <c r="W88" s="610">
        <f t="shared" si="49"/>
        <v>8.5357796400000012</v>
      </c>
      <c r="X88" s="610">
        <f t="shared" si="49"/>
        <v>8.5357796400000012</v>
      </c>
      <c r="Y88" s="610">
        <f t="shared" si="49"/>
        <v>8.5357796400000012</v>
      </c>
      <c r="Z88" s="2249"/>
      <c r="AA88" s="2250"/>
      <c r="AB88" s="2250"/>
      <c r="AC88" s="2250"/>
      <c r="AD88" s="2198"/>
      <c r="AE88" s="2169"/>
      <c r="AF88" s="2169"/>
      <c r="AG88" s="2169"/>
      <c r="AH88" s="2169"/>
      <c r="AI88" s="2169"/>
      <c r="AJ88" s="2169"/>
      <c r="AK88" s="2198"/>
      <c r="AL88" s="2250"/>
      <c r="AM88" s="2250"/>
      <c r="AN88" s="2250"/>
      <c r="AO88" s="2250"/>
      <c r="AP88" s="2250"/>
      <c r="AQ88" s="2250"/>
      <c r="AR88" s="2198"/>
      <c r="AS88" s="2198"/>
      <c r="AT88" s="2198"/>
      <c r="AU88" s="2198"/>
      <c r="AV88" s="2198"/>
      <c r="AW88" s="2198"/>
      <c r="AX88" s="2198"/>
      <c r="AY88" s="2198"/>
      <c r="AZ88" s="2198"/>
      <c r="BA88" s="2198"/>
      <c r="BB88" s="2198"/>
      <c r="BC88" s="2198"/>
      <c r="BD88" s="2198"/>
      <c r="BE88" s="2198"/>
      <c r="BF88" s="2198"/>
      <c r="BG88" s="2198"/>
      <c r="BH88" s="2198"/>
      <c r="BI88" s="2198"/>
      <c r="BJ88" s="2198"/>
      <c r="BK88" s="2198"/>
      <c r="BL88" s="2198"/>
      <c r="BM88" s="2198"/>
      <c r="BN88" s="2198"/>
      <c r="BO88" s="2198"/>
      <c r="BP88" s="2198"/>
      <c r="BQ88" s="2198"/>
      <c r="BR88" s="2198"/>
      <c r="BS88" s="2198"/>
      <c r="BT88" s="2198"/>
      <c r="BU88" s="2198"/>
      <c r="BV88" s="2198"/>
      <c r="BW88" s="2198"/>
      <c r="BX88" s="2198"/>
      <c r="BY88" s="2198"/>
      <c r="BZ88" s="2198"/>
      <c r="CA88" s="2198"/>
      <c r="CB88" s="2198"/>
      <c r="CC88" s="2198"/>
      <c r="CD88" s="2198"/>
      <c r="CE88" s="2198"/>
      <c r="CF88" s="2198"/>
      <c r="CG88" s="2198"/>
      <c r="CH88" s="2198"/>
      <c r="CI88" s="2198"/>
      <c r="CJ88" s="2198"/>
      <c r="CK88" s="2198"/>
      <c r="CL88" s="2198"/>
      <c r="CM88" s="2198"/>
      <c r="CN88" s="2198"/>
      <c r="CO88" s="2198"/>
      <c r="CP88" s="2198"/>
      <c r="CQ88" s="2198"/>
      <c r="CR88" s="2198"/>
      <c r="CS88" s="2198"/>
      <c r="CT88" s="2198"/>
      <c r="CU88" s="2198"/>
      <c r="CV88" s="2198"/>
      <c r="CW88" s="2198"/>
      <c r="CX88" s="2198"/>
      <c r="CY88" s="2198"/>
      <c r="CZ88" s="2198"/>
      <c r="DA88" s="2198"/>
      <c r="DB88" s="2198"/>
      <c r="DC88" s="2198"/>
      <c r="DD88" s="2198"/>
      <c r="DE88" s="2198"/>
      <c r="DF88" s="2198"/>
      <c r="DG88" s="2198"/>
      <c r="DH88" s="2198"/>
      <c r="DI88" s="2198"/>
      <c r="DJ88" s="2198"/>
      <c r="DK88" s="2198"/>
      <c r="DL88" s="2198"/>
      <c r="DM88" s="2198"/>
      <c r="DN88" s="2198"/>
      <c r="DO88" s="2198"/>
      <c r="DP88" s="2198"/>
      <c r="DQ88" s="2198"/>
      <c r="DR88" s="2198"/>
      <c r="DS88" s="2198"/>
      <c r="DT88" s="2198"/>
      <c r="DU88" s="2198"/>
      <c r="DV88" s="2198"/>
      <c r="DW88" s="2198"/>
      <c r="DX88" s="2198"/>
      <c r="DY88" s="2198"/>
      <c r="DZ88" s="2198"/>
      <c r="EA88" s="2198"/>
      <c r="EB88" s="2198"/>
      <c r="EC88" s="2198"/>
      <c r="ED88" s="2198"/>
      <c r="EE88" s="2198"/>
      <c r="EF88" s="2198"/>
      <c r="EG88" s="2198"/>
      <c r="EH88" s="2198"/>
      <c r="EI88" s="2198"/>
      <c r="EJ88" s="2198"/>
      <c r="EK88" s="2198"/>
      <c r="EL88" s="2198"/>
      <c r="EM88" s="2198"/>
      <c r="EN88" s="2198"/>
      <c r="EO88" s="2198"/>
      <c r="EP88" s="2198"/>
      <c r="EQ88" s="2198"/>
      <c r="ER88" s="2198"/>
      <c r="ES88" s="2198"/>
      <c r="ET88" s="2198"/>
      <c r="EU88" s="2198"/>
      <c r="EV88" s="2198"/>
      <c r="EW88" s="2198"/>
      <c r="EX88" s="2198"/>
      <c r="EY88" s="2198"/>
      <c r="EZ88" s="2198"/>
      <c r="FA88" s="2198"/>
      <c r="FB88" s="2198"/>
      <c r="FC88" s="2198"/>
      <c r="FD88" s="2198"/>
      <c r="FE88" s="2198"/>
      <c r="FF88" s="2198"/>
      <c r="FG88" s="2198"/>
      <c r="FH88" s="2198"/>
      <c r="FI88" s="2198"/>
      <c r="FJ88" s="2198"/>
      <c r="FK88" s="2198"/>
      <c r="FL88" s="2198"/>
      <c r="FM88" s="2198"/>
      <c r="FN88" s="2198"/>
      <c r="FO88" s="2198"/>
      <c r="FP88" s="2198"/>
      <c r="FQ88" s="2198"/>
      <c r="FR88" s="2198"/>
      <c r="FS88" s="2198"/>
      <c r="FT88" s="2198"/>
      <c r="FU88" s="2198"/>
      <c r="FV88" s="2198"/>
      <c r="FW88" s="2198"/>
      <c r="FX88" s="2198"/>
      <c r="FY88" s="2198"/>
      <c r="FZ88" s="2198"/>
      <c r="GA88" s="2198"/>
      <c r="GB88" s="2198"/>
      <c r="GC88" s="2198"/>
      <c r="GD88" s="2198"/>
      <c r="GE88" s="2198"/>
      <c r="GF88" s="2198"/>
      <c r="GG88" s="2198"/>
      <c r="GH88" s="2198"/>
      <c r="GI88" s="2198"/>
      <c r="GJ88" s="2198"/>
      <c r="GK88" s="2198"/>
      <c r="GL88" s="2198"/>
      <c r="GM88" s="2198"/>
      <c r="GN88" s="2198"/>
      <c r="GO88" s="2198"/>
      <c r="GP88" s="2198"/>
      <c r="GQ88" s="2198"/>
      <c r="GR88" s="2198"/>
      <c r="GS88" s="2198"/>
      <c r="GT88" s="2198"/>
      <c r="GU88" s="2198"/>
      <c r="GV88" s="2198"/>
      <c r="GW88" s="2198"/>
      <c r="GX88" s="2198"/>
      <c r="GY88" s="2198"/>
      <c r="GZ88" s="2198"/>
      <c r="HA88" s="2198"/>
      <c r="HB88" s="2198"/>
      <c r="HC88" s="2198"/>
      <c r="HD88" s="2198"/>
      <c r="HE88" s="2198"/>
      <c r="HF88" s="2198"/>
      <c r="HG88" s="2198"/>
      <c r="HH88" s="2198"/>
      <c r="HI88" s="2198"/>
      <c r="HJ88" s="2198"/>
      <c r="HK88" s="2198"/>
      <c r="HL88" s="2198"/>
      <c r="HM88" s="2198"/>
      <c r="HN88" s="2198"/>
      <c r="HO88" s="2198"/>
      <c r="HP88" s="2198"/>
      <c r="HQ88" s="2198"/>
      <c r="HR88" s="2198"/>
      <c r="HS88" s="2198"/>
      <c r="HT88" s="2198"/>
      <c r="HU88" s="2198"/>
      <c r="HV88" s="2198"/>
      <c r="HW88" s="2198"/>
      <c r="HX88" s="2198"/>
      <c r="HY88" s="2198"/>
      <c r="HZ88" s="2198"/>
      <c r="IA88" s="2198"/>
      <c r="IB88" s="2198"/>
      <c r="IC88" s="2198"/>
      <c r="ID88" s="2198"/>
      <c r="IE88" s="2198"/>
      <c r="IF88" s="2198"/>
      <c r="IG88" s="2198"/>
      <c r="IH88" s="2198"/>
      <c r="II88" s="2198"/>
      <c r="IJ88" s="2198"/>
      <c r="IK88" s="2198"/>
      <c r="IL88" s="2198"/>
      <c r="IM88" s="2198"/>
      <c r="IN88" s="2198"/>
      <c r="IO88" s="2198"/>
      <c r="IP88" s="2198"/>
      <c r="IQ88" s="2198"/>
      <c r="IR88" s="2198"/>
      <c r="IS88" s="2198"/>
      <c r="IT88" s="2198"/>
      <c r="IU88" s="2198"/>
      <c r="IV88" s="2198"/>
      <c r="IW88" s="2198"/>
      <c r="IX88" s="2198"/>
    </row>
    <row r="89" spans="1:258" ht="13.8" thickBot="1">
      <c r="A89" s="3065" t="s">
        <v>910</v>
      </c>
      <c r="B89" s="3066"/>
      <c r="C89" s="3066"/>
      <c r="D89" s="3066"/>
      <c r="E89" s="3066"/>
      <c r="F89" s="3066"/>
      <c r="G89" s="3066"/>
      <c r="H89" s="3066"/>
      <c r="I89" s="3066"/>
      <c r="J89" s="3066"/>
      <c r="K89" s="3066"/>
      <c r="L89" s="3066"/>
      <c r="M89" s="3066"/>
      <c r="N89" s="3066"/>
      <c r="O89" s="3066"/>
      <c r="P89" s="3066"/>
      <c r="Q89" s="3066"/>
      <c r="R89" s="3066"/>
      <c r="S89" s="3066"/>
      <c r="T89" s="3066"/>
      <c r="U89" s="3066"/>
      <c r="V89" s="2198"/>
      <c r="W89" s="2198"/>
      <c r="X89" s="2198"/>
      <c r="Y89" s="2198"/>
      <c r="Z89" s="2250"/>
      <c r="AA89" s="2250"/>
      <c r="AB89" s="2250"/>
      <c r="AC89" s="2250"/>
      <c r="AD89" s="2198"/>
      <c r="AE89" s="2169"/>
      <c r="AF89" s="2169"/>
      <c r="AG89" s="2169"/>
      <c r="AH89" s="2169"/>
      <c r="AI89" s="2169"/>
      <c r="AJ89" s="2169"/>
      <c r="AK89" s="2198"/>
      <c r="AL89" s="2250"/>
      <c r="AM89" s="2250"/>
      <c r="AN89" s="2250"/>
      <c r="AO89" s="2250"/>
      <c r="AP89" s="2250"/>
      <c r="AQ89" s="2250"/>
      <c r="AR89" s="2198"/>
      <c r="AS89" s="2198"/>
      <c r="AT89" s="2198"/>
      <c r="AU89" s="2198"/>
      <c r="AV89" s="2198"/>
      <c r="AW89" s="2198"/>
      <c r="AX89" s="2198"/>
      <c r="AY89" s="2198"/>
      <c r="AZ89" s="2198"/>
      <c r="BA89" s="2198"/>
      <c r="BB89" s="2198"/>
      <c r="BC89" s="2198"/>
      <c r="BD89" s="2198"/>
      <c r="BE89" s="2198"/>
      <c r="BF89" s="2198"/>
      <c r="BG89" s="2198"/>
      <c r="BH89" s="2198"/>
      <c r="BI89" s="2198"/>
      <c r="BJ89" s="2198"/>
      <c r="BK89" s="2198"/>
      <c r="BL89" s="2198"/>
      <c r="BM89" s="2198"/>
      <c r="BN89" s="2198"/>
      <c r="BO89" s="2198"/>
      <c r="BP89" s="2198"/>
      <c r="BQ89" s="2198"/>
      <c r="BR89" s="2198"/>
      <c r="BS89" s="2198"/>
      <c r="BT89" s="2198"/>
      <c r="BU89" s="2198"/>
      <c r="BV89" s="2198"/>
      <c r="BW89" s="2198"/>
      <c r="BX89" s="2198"/>
      <c r="BY89" s="2198"/>
      <c r="BZ89" s="2198"/>
      <c r="CA89" s="2198"/>
      <c r="CB89" s="2198"/>
      <c r="CC89" s="2198"/>
      <c r="CD89" s="2198"/>
      <c r="CE89" s="2198"/>
      <c r="CF89" s="2198"/>
      <c r="CG89" s="2198"/>
      <c r="CH89" s="2198"/>
      <c r="CI89" s="2198"/>
      <c r="CJ89" s="2198"/>
      <c r="CK89" s="2198"/>
      <c r="CL89" s="2198"/>
      <c r="CM89" s="2198"/>
      <c r="CN89" s="2198"/>
      <c r="CO89" s="2198"/>
      <c r="CP89" s="2198"/>
      <c r="CQ89" s="2198"/>
      <c r="CR89" s="2198"/>
      <c r="CS89" s="2198"/>
      <c r="CT89" s="2198"/>
      <c r="CU89" s="2198"/>
      <c r="CV89" s="2198"/>
      <c r="CW89" s="2198"/>
      <c r="CX89" s="2198"/>
      <c r="CY89" s="2198"/>
      <c r="CZ89" s="2198"/>
      <c r="DA89" s="2198"/>
      <c r="DB89" s="2198"/>
      <c r="DC89" s="2198"/>
      <c r="DD89" s="2198"/>
      <c r="DE89" s="2198"/>
      <c r="DF89" s="2198"/>
      <c r="DG89" s="2198"/>
      <c r="DH89" s="2198"/>
      <c r="DI89" s="2198"/>
      <c r="DJ89" s="2198"/>
      <c r="DK89" s="2198"/>
      <c r="DL89" s="2198"/>
      <c r="DM89" s="2198"/>
      <c r="DN89" s="2198"/>
      <c r="DO89" s="2198"/>
      <c r="DP89" s="2198"/>
      <c r="DQ89" s="2198"/>
      <c r="DR89" s="2198"/>
      <c r="DS89" s="2198"/>
      <c r="DT89" s="2198"/>
      <c r="DU89" s="2198"/>
      <c r="DV89" s="2198"/>
      <c r="DW89" s="2198"/>
      <c r="DX89" s="2198"/>
      <c r="DY89" s="2198"/>
      <c r="DZ89" s="2198"/>
      <c r="EA89" s="2198"/>
      <c r="EB89" s="2198"/>
      <c r="EC89" s="2198"/>
      <c r="ED89" s="2198"/>
      <c r="EE89" s="2198"/>
      <c r="EF89" s="2198"/>
      <c r="EG89" s="2198"/>
      <c r="EH89" s="2198"/>
      <c r="EI89" s="2198"/>
      <c r="EJ89" s="2198"/>
      <c r="EK89" s="2198"/>
      <c r="EL89" s="2198"/>
      <c r="EM89" s="2198"/>
      <c r="EN89" s="2198"/>
      <c r="EO89" s="2198"/>
      <c r="EP89" s="2198"/>
      <c r="EQ89" s="2198"/>
      <c r="ER89" s="2198"/>
      <c r="ES89" s="2198"/>
      <c r="ET89" s="2198"/>
      <c r="EU89" s="2198"/>
      <c r="EV89" s="2198"/>
      <c r="EW89" s="2198"/>
      <c r="EX89" s="2198"/>
      <c r="EY89" s="2198"/>
      <c r="EZ89" s="2198"/>
      <c r="FA89" s="2198"/>
      <c r="FB89" s="2198"/>
      <c r="FC89" s="2198"/>
      <c r="FD89" s="2198"/>
      <c r="FE89" s="2198"/>
      <c r="FF89" s="2198"/>
      <c r="FG89" s="2198"/>
      <c r="FH89" s="2198"/>
      <c r="FI89" s="2198"/>
      <c r="FJ89" s="2198"/>
      <c r="FK89" s="2198"/>
      <c r="FL89" s="2198"/>
      <c r="FM89" s="2198"/>
      <c r="FN89" s="2198"/>
      <c r="FO89" s="2198"/>
      <c r="FP89" s="2198"/>
      <c r="FQ89" s="2198"/>
      <c r="FR89" s="2198"/>
      <c r="FS89" s="2198"/>
      <c r="FT89" s="2198"/>
      <c r="FU89" s="2198"/>
      <c r="FV89" s="2198"/>
      <c r="FW89" s="2198"/>
      <c r="FX89" s="2198"/>
      <c r="FY89" s="2198"/>
      <c r="FZ89" s="2198"/>
      <c r="GA89" s="2198"/>
      <c r="GB89" s="2198"/>
      <c r="GC89" s="2198"/>
      <c r="GD89" s="2198"/>
      <c r="GE89" s="2198"/>
      <c r="GF89" s="2198"/>
      <c r="GG89" s="2198"/>
      <c r="GH89" s="2198"/>
      <c r="GI89" s="2198"/>
      <c r="GJ89" s="2198"/>
      <c r="GK89" s="2198"/>
      <c r="GL89" s="2198"/>
      <c r="GM89" s="2198"/>
      <c r="GN89" s="2198"/>
      <c r="GO89" s="2198"/>
      <c r="GP89" s="2198"/>
      <c r="GQ89" s="2198"/>
      <c r="GR89" s="2198"/>
      <c r="GS89" s="2198"/>
      <c r="GT89" s="2198"/>
      <c r="GU89" s="2198"/>
      <c r="GV89" s="2198"/>
      <c r="GW89" s="2198"/>
      <c r="GX89" s="2198"/>
      <c r="GY89" s="2198"/>
      <c r="GZ89" s="2198"/>
      <c r="HA89" s="2198"/>
      <c r="HB89" s="2198"/>
      <c r="HC89" s="2198"/>
      <c r="HD89" s="2198"/>
      <c r="HE89" s="2198"/>
      <c r="HF89" s="2198"/>
      <c r="HG89" s="2198"/>
      <c r="HH89" s="2198"/>
      <c r="HI89" s="2198"/>
      <c r="HJ89" s="2198"/>
      <c r="HK89" s="2198"/>
      <c r="HL89" s="2198"/>
      <c r="HM89" s="2198"/>
      <c r="HN89" s="2198"/>
      <c r="HO89" s="2198"/>
      <c r="HP89" s="2198"/>
      <c r="HQ89" s="2198"/>
      <c r="HR89" s="2198"/>
      <c r="HS89" s="2198"/>
      <c r="HT89" s="2198"/>
      <c r="HU89" s="2198"/>
      <c r="HV89" s="2198"/>
      <c r="HW89" s="2198"/>
      <c r="HX89" s="2198"/>
      <c r="HY89" s="2198"/>
      <c r="HZ89" s="2198"/>
      <c r="IA89" s="2198"/>
      <c r="IB89" s="2198"/>
      <c r="IC89" s="2198"/>
      <c r="ID89" s="2198"/>
      <c r="IE89" s="2198"/>
      <c r="IF89" s="2198"/>
      <c r="IG89" s="2198"/>
      <c r="IH89" s="2198"/>
      <c r="II89" s="2198"/>
      <c r="IJ89" s="2198"/>
      <c r="IK89" s="2198"/>
      <c r="IL89" s="2198"/>
      <c r="IM89" s="2198"/>
      <c r="IN89" s="2198"/>
      <c r="IO89" s="2198"/>
      <c r="IP89" s="2198"/>
      <c r="IQ89" s="2198"/>
      <c r="IR89" s="2198"/>
      <c r="IS89" s="2198"/>
      <c r="IT89" s="2198"/>
      <c r="IU89" s="2198"/>
      <c r="IV89" s="2198"/>
      <c r="IW89" s="2198"/>
      <c r="IX89" s="2198"/>
    </row>
    <row r="90" spans="1:258" ht="36">
      <c r="A90" s="2291" t="s">
        <v>911</v>
      </c>
      <c r="B90" s="292" t="s">
        <v>912</v>
      </c>
      <c r="C90" s="293" t="s">
        <v>803</v>
      </c>
      <c r="D90" s="3029">
        <f>2731.23+1473.14</f>
        <v>4204.37</v>
      </c>
      <c r="E90" s="3031"/>
      <c r="F90" s="3036">
        <v>0</v>
      </c>
      <c r="G90" s="3037"/>
      <c r="H90" s="3036">
        <v>0</v>
      </c>
      <c r="I90" s="3037"/>
      <c r="J90" s="3062">
        <f>'[36]V тмереж'!D25+'[36]V тмереж'!D31+[36]Vдом.сист.!B7+[36]Vдом.сист.!C7+[36]Vдом.сист.!B8+[36]Vдом.сист.!C8+[36]Vдом.сист.!B9+[36]Vдом.сист.!B10+[36]Vдом.сист.!B11+[36]Vдом.сист.!B12</f>
        <v>72.626000000000005</v>
      </c>
      <c r="K90" s="3063"/>
      <c r="L90" s="3063"/>
      <c r="M90" s="3063"/>
      <c r="N90" s="3063"/>
      <c r="O90" s="3064"/>
      <c r="P90" s="3044"/>
      <c r="Q90" s="3045"/>
      <c r="R90" s="3045"/>
      <c r="S90" s="3045"/>
      <c r="T90" s="3045"/>
      <c r="U90" s="3045"/>
      <c r="V90" s="3045"/>
      <c r="W90" s="3045"/>
      <c r="X90" s="3045"/>
      <c r="Y90" s="3046"/>
      <c r="Z90" s="2250"/>
      <c r="AA90" s="2250"/>
      <c r="AB90" s="2250"/>
      <c r="AC90" s="2250"/>
      <c r="AD90" s="2241"/>
      <c r="AE90" s="2169"/>
      <c r="AF90" s="2169"/>
      <c r="AG90" s="2169"/>
      <c r="AH90" s="2169"/>
      <c r="AI90" s="2169"/>
      <c r="AJ90" s="2169"/>
      <c r="AK90" s="2241"/>
      <c r="AL90" s="2250"/>
      <c r="AM90" s="2250"/>
      <c r="AN90" s="2250"/>
      <c r="AO90" s="2250"/>
      <c r="AP90" s="2250"/>
      <c r="AQ90" s="2250"/>
      <c r="AR90" s="2241"/>
      <c r="AS90" s="2241"/>
      <c r="AT90" s="2241"/>
      <c r="AU90" s="2241"/>
      <c r="AV90" s="2241"/>
      <c r="AW90" s="2241"/>
      <c r="AX90" s="2241"/>
      <c r="AY90" s="2241"/>
      <c r="AZ90" s="2241"/>
      <c r="BA90" s="2241"/>
      <c r="BB90" s="2241"/>
      <c r="BC90" s="2241"/>
      <c r="BD90" s="2241"/>
      <c r="BE90" s="2241"/>
      <c r="BF90" s="2241"/>
      <c r="BG90" s="2241"/>
      <c r="BH90" s="2241"/>
      <c r="BI90" s="2241"/>
      <c r="BJ90" s="2241"/>
      <c r="BK90" s="2241"/>
      <c r="BL90" s="2241"/>
      <c r="BM90" s="2241"/>
      <c r="BN90" s="2241"/>
      <c r="BO90" s="2241"/>
      <c r="BP90" s="2241"/>
      <c r="BQ90" s="2241"/>
      <c r="BR90" s="2241"/>
      <c r="BS90" s="2241"/>
      <c r="BT90" s="2241"/>
      <c r="BU90" s="2241"/>
      <c r="BV90" s="2241"/>
      <c r="BW90" s="2241"/>
      <c r="BX90" s="2241"/>
      <c r="BY90" s="2241"/>
      <c r="BZ90" s="2241"/>
      <c r="CA90" s="2241"/>
      <c r="CB90" s="2241"/>
      <c r="CC90" s="2241"/>
      <c r="CD90" s="2241"/>
      <c r="CE90" s="2241"/>
      <c r="CF90" s="2241"/>
      <c r="CG90" s="2241"/>
      <c r="CH90" s="2241"/>
      <c r="CI90" s="2241"/>
      <c r="CJ90" s="2241"/>
      <c r="CK90" s="2241"/>
      <c r="CL90" s="2241"/>
      <c r="CM90" s="2241"/>
      <c r="CN90" s="2241"/>
      <c r="CO90" s="2241"/>
      <c r="CP90" s="2241"/>
      <c r="CQ90" s="2241"/>
      <c r="CR90" s="2241"/>
      <c r="CS90" s="2241"/>
      <c r="CT90" s="2241"/>
      <c r="CU90" s="2241"/>
      <c r="CV90" s="2241"/>
      <c r="CW90" s="2241"/>
      <c r="CX90" s="2241"/>
      <c r="CY90" s="2241"/>
      <c r="CZ90" s="2241"/>
      <c r="DA90" s="2241"/>
      <c r="DB90" s="2241"/>
      <c r="DC90" s="2241"/>
      <c r="DD90" s="2241"/>
      <c r="DE90" s="2241"/>
      <c r="DF90" s="2241"/>
      <c r="DG90" s="2241"/>
      <c r="DH90" s="2241"/>
      <c r="DI90" s="2241"/>
      <c r="DJ90" s="2241"/>
      <c r="DK90" s="2241"/>
      <c r="DL90" s="2241"/>
      <c r="DM90" s="2241"/>
      <c r="DN90" s="2241"/>
      <c r="DO90" s="2241"/>
      <c r="DP90" s="2241"/>
      <c r="DQ90" s="2241"/>
      <c r="DR90" s="2241"/>
      <c r="DS90" s="2241"/>
      <c r="DT90" s="2241"/>
      <c r="DU90" s="2241"/>
      <c r="DV90" s="2241"/>
      <c r="DW90" s="2241"/>
      <c r="DX90" s="2241"/>
      <c r="DY90" s="2241"/>
      <c r="DZ90" s="2241"/>
      <c r="EA90" s="2241"/>
      <c r="EB90" s="2241"/>
      <c r="EC90" s="2241"/>
      <c r="ED90" s="2241"/>
      <c r="EE90" s="2241"/>
      <c r="EF90" s="2241"/>
      <c r="EG90" s="2241"/>
      <c r="EH90" s="2241"/>
      <c r="EI90" s="2241"/>
      <c r="EJ90" s="2241"/>
      <c r="EK90" s="2241"/>
      <c r="EL90" s="2241"/>
      <c r="EM90" s="2241"/>
      <c r="EN90" s="2241"/>
      <c r="EO90" s="2241"/>
      <c r="EP90" s="2241"/>
      <c r="EQ90" s="2241"/>
      <c r="ER90" s="2241"/>
      <c r="ES90" s="2241"/>
      <c r="ET90" s="2241"/>
      <c r="EU90" s="2241"/>
      <c r="EV90" s="2241"/>
      <c r="EW90" s="2241"/>
      <c r="EX90" s="2241"/>
      <c r="EY90" s="2241"/>
      <c r="EZ90" s="2241"/>
      <c r="FA90" s="2241"/>
      <c r="FB90" s="2241"/>
      <c r="FC90" s="2241"/>
      <c r="FD90" s="2241"/>
      <c r="FE90" s="2241"/>
      <c r="FF90" s="2241"/>
      <c r="FG90" s="2241"/>
      <c r="FH90" s="2241"/>
      <c r="FI90" s="2241"/>
      <c r="FJ90" s="2241"/>
      <c r="FK90" s="2241"/>
      <c r="FL90" s="2241"/>
      <c r="FM90" s="2241"/>
      <c r="FN90" s="2241"/>
      <c r="FO90" s="2241"/>
      <c r="FP90" s="2241"/>
      <c r="FQ90" s="2241"/>
      <c r="FR90" s="2241"/>
      <c r="FS90" s="2241"/>
      <c r="FT90" s="2241"/>
      <c r="FU90" s="2241"/>
      <c r="FV90" s="2241"/>
      <c r="FW90" s="2241"/>
      <c r="FX90" s="2241"/>
      <c r="FY90" s="2241"/>
      <c r="FZ90" s="2241"/>
      <c r="GA90" s="2241"/>
      <c r="GB90" s="2241"/>
      <c r="GC90" s="2241"/>
      <c r="GD90" s="2241"/>
      <c r="GE90" s="2241"/>
      <c r="GF90" s="2241"/>
      <c r="GG90" s="2241"/>
      <c r="GH90" s="2241"/>
      <c r="GI90" s="2241"/>
      <c r="GJ90" s="2241"/>
      <c r="GK90" s="2241"/>
      <c r="GL90" s="2241"/>
      <c r="GM90" s="2241"/>
      <c r="GN90" s="2241"/>
      <c r="GO90" s="2241"/>
      <c r="GP90" s="2241"/>
      <c r="GQ90" s="2241"/>
      <c r="GR90" s="2241"/>
      <c r="GS90" s="2241"/>
      <c r="GT90" s="2241"/>
      <c r="GU90" s="2241"/>
      <c r="GV90" s="2241"/>
      <c r="GW90" s="2241"/>
      <c r="GX90" s="2241"/>
      <c r="GY90" s="2241"/>
      <c r="GZ90" s="2241"/>
      <c r="HA90" s="2241"/>
      <c r="HB90" s="2241"/>
      <c r="HC90" s="2241"/>
      <c r="HD90" s="2241"/>
      <c r="HE90" s="2241"/>
      <c r="HF90" s="2241"/>
      <c r="HG90" s="2241"/>
      <c r="HH90" s="2241"/>
      <c r="HI90" s="2241"/>
      <c r="HJ90" s="2241"/>
      <c r="HK90" s="2241"/>
      <c r="HL90" s="2241"/>
      <c r="HM90" s="2241"/>
      <c r="HN90" s="2241"/>
      <c r="HO90" s="2241"/>
      <c r="HP90" s="2241"/>
      <c r="HQ90" s="2241"/>
      <c r="HR90" s="2241"/>
      <c r="HS90" s="2241"/>
      <c r="HT90" s="2241"/>
      <c r="HU90" s="2241"/>
      <c r="HV90" s="2241"/>
      <c r="HW90" s="2241"/>
      <c r="HX90" s="2241"/>
      <c r="HY90" s="2241"/>
      <c r="HZ90" s="2241"/>
      <c r="IA90" s="2241"/>
      <c r="IB90" s="2241"/>
      <c r="IC90" s="2241"/>
      <c r="ID90" s="2241"/>
      <c r="IE90" s="2241"/>
      <c r="IF90" s="2241"/>
      <c r="IG90" s="2241"/>
      <c r="IH90" s="2241"/>
      <c r="II90" s="2241"/>
      <c r="IJ90" s="2241"/>
      <c r="IK90" s="2241"/>
      <c r="IL90" s="2241"/>
      <c r="IM90" s="2241"/>
      <c r="IN90" s="2241"/>
      <c r="IO90" s="2241"/>
      <c r="IP90" s="2241"/>
      <c r="IQ90" s="2241"/>
      <c r="IR90" s="2241"/>
      <c r="IS90" s="2241"/>
      <c r="IT90" s="2241"/>
      <c r="IU90" s="2241"/>
      <c r="IV90" s="2241"/>
      <c r="IW90" s="2241"/>
      <c r="IX90" s="2241"/>
    </row>
    <row r="91" spans="1:258" ht="20.25" customHeight="1">
      <c r="A91" s="2257" t="s">
        <v>913</v>
      </c>
      <c r="B91" s="291" t="s">
        <v>914</v>
      </c>
      <c r="C91" s="294"/>
      <c r="D91" s="3029">
        <v>140</v>
      </c>
      <c r="E91" s="3031"/>
      <c r="F91" s="3029">
        <v>0</v>
      </c>
      <c r="G91" s="3031"/>
      <c r="H91" s="3029">
        <v>0</v>
      </c>
      <c r="I91" s="3031"/>
      <c r="J91" s="3036">
        <f>'[36]7. Вода та сіль Свод'!M12</f>
        <v>158</v>
      </c>
      <c r="K91" s="3061"/>
      <c r="L91" s="3061"/>
      <c r="M91" s="3061"/>
      <c r="N91" s="3061"/>
      <c r="O91" s="3037"/>
      <c r="P91" s="3023"/>
      <c r="Q91" s="3024"/>
      <c r="R91" s="3024"/>
      <c r="S91" s="3024"/>
      <c r="T91" s="3024"/>
      <c r="U91" s="3024"/>
      <c r="V91" s="3024"/>
      <c r="W91" s="3024"/>
      <c r="X91" s="3024"/>
      <c r="Y91" s="3025"/>
      <c r="Z91" s="2250"/>
      <c r="AA91" s="2250"/>
      <c r="AB91" s="2250"/>
      <c r="AC91" s="2250"/>
      <c r="AD91" s="2241"/>
      <c r="AE91" s="2169"/>
      <c r="AF91" s="2169"/>
      <c r="AG91" s="2169"/>
      <c r="AH91" s="2169"/>
      <c r="AI91" s="2169"/>
      <c r="AJ91" s="2169"/>
      <c r="AK91" s="2241"/>
      <c r="AL91" s="2250"/>
      <c r="AM91" s="2250"/>
      <c r="AN91" s="2250"/>
      <c r="AO91" s="2250"/>
      <c r="AP91" s="2250"/>
      <c r="AQ91" s="2250"/>
      <c r="AR91" s="2241"/>
      <c r="AS91" s="2241"/>
      <c r="AT91" s="2241"/>
      <c r="AU91" s="2241"/>
      <c r="AV91" s="2241"/>
      <c r="AW91" s="2241"/>
      <c r="AX91" s="2241"/>
      <c r="AY91" s="2241"/>
      <c r="AZ91" s="2241"/>
      <c r="BA91" s="2241"/>
      <c r="BB91" s="2241"/>
      <c r="BC91" s="2241"/>
      <c r="BD91" s="2241"/>
      <c r="BE91" s="2241"/>
      <c r="BF91" s="2241"/>
      <c r="BG91" s="2241"/>
      <c r="BH91" s="2241"/>
      <c r="BI91" s="2241"/>
      <c r="BJ91" s="2241"/>
      <c r="BK91" s="2241"/>
      <c r="BL91" s="2241"/>
      <c r="BM91" s="2241"/>
      <c r="BN91" s="2241"/>
      <c r="BO91" s="2241"/>
      <c r="BP91" s="2241"/>
      <c r="BQ91" s="2241"/>
      <c r="BR91" s="2241"/>
      <c r="BS91" s="2241"/>
      <c r="BT91" s="2241"/>
      <c r="BU91" s="2241"/>
      <c r="BV91" s="2241"/>
      <c r="BW91" s="2241"/>
      <c r="BX91" s="2241"/>
      <c r="BY91" s="2241"/>
      <c r="BZ91" s="2241"/>
      <c r="CA91" s="2241"/>
      <c r="CB91" s="2241"/>
      <c r="CC91" s="2241"/>
      <c r="CD91" s="2241"/>
      <c r="CE91" s="2241"/>
      <c r="CF91" s="2241"/>
      <c r="CG91" s="2241"/>
      <c r="CH91" s="2241"/>
      <c r="CI91" s="2241"/>
      <c r="CJ91" s="2241"/>
      <c r="CK91" s="2241"/>
      <c r="CL91" s="2241"/>
      <c r="CM91" s="2241"/>
      <c r="CN91" s="2241"/>
      <c r="CO91" s="2241"/>
      <c r="CP91" s="2241"/>
      <c r="CQ91" s="2241"/>
      <c r="CR91" s="2241"/>
      <c r="CS91" s="2241"/>
      <c r="CT91" s="2241"/>
      <c r="CU91" s="2241"/>
      <c r="CV91" s="2241"/>
      <c r="CW91" s="2241"/>
      <c r="CX91" s="2241"/>
      <c r="CY91" s="2241"/>
      <c r="CZ91" s="2241"/>
      <c r="DA91" s="2241"/>
      <c r="DB91" s="2241"/>
      <c r="DC91" s="2241"/>
      <c r="DD91" s="2241"/>
      <c r="DE91" s="2241"/>
      <c r="DF91" s="2241"/>
      <c r="DG91" s="2241"/>
      <c r="DH91" s="2241"/>
      <c r="DI91" s="2241"/>
      <c r="DJ91" s="2241"/>
      <c r="DK91" s="2241"/>
      <c r="DL91" s="2241"/>
      <c r="DM91" s="2241"/>
      <c r="DN91" s="2241"/>
      <c r="DO91" s="2241"/>
      <c r="DP91" s="2241"/>
      <c r="DQ91" s="2241"/>
      <c r="DR91" s="2241"/>
      <c r="DS91" s="2241"/>
      <c r="DT91" s="2241"/>
      <c r="DU91" s="2241"/>
      <c r="DV91" s="2241"/>
      <c r="DW91" s="2241"/>
      <c r="DX91" s="2241"/>
      <c r="DY91" s="2241"/>
      <c r="DZ91" s="2241"/>
      <c r="EA91" s="2241"/>
      <c r="EB91" s="2241"/>
      <c r="EC91" s="2241"/>
      <c r="ED91" s="2241"/>
      <c r="EE91" s="2241"/>
      <c r="EF91" s="2241"/>
      <c r="EG91" s="2241"/>
      <c r="EH91" s="2241"/>
      <c r="EI91" s="2241"/>
      <c r="EJ91" s="2241"/>
      <c r="EK91" s="2241"/>
      <c r="EL91" s="2241"/>
      <c r="EM91" s="2241"/>
      <c r="EN91" s="2241"/>
      <c r="EO91" s="2241"/>
      <c r="EP91" s="2241"/>
      <c r="EQ91" s="2241"/>
      <c r="ER91" s="2241"/>
      <c r="ES91" s="2241"/>
      <c r="ET91" s="2241"/>
      <c r="EU91" s="2241"/>
      <c r="EV91" s="2241"/>
      <c r="EW91" s="2241"/>
      <c r="EX91" s="2241"/>
      <c r="EY91" s="2241"/>
      <c r="EZ91" s="2241"/>
      <c r="FA91" s="2241"/>
      <c r="FB91" s="2241"/>
      <c r="FC91" s="2241"/>
      <c r="FD91" s="2241"/>
      <c r="FE91" s="2241"/>
      <c r="FF91" s="2241"/>
      <c r="FG91" s="2241"/>
      <c r="FH91" s="2241"/>
      <c r="FI91" s="2241"/>
      <c r="FJ91" s="2241"/>
      <c r="FK91" s="2241"/>
      <c r="FL91" s="2241"/>
      <c r="FM91" s="2241"/>
      <c r="FN91" s="2241"/>
      <c r="FO91" s="2241"/>
      <c r="FP91" s="2241"/>
      <c r="FQ91" s="2241"/>
      <c r="FR91" s="2241"/>
      <c r="FS91" s="2241"/>
      <c r="FT91" s="2241"/>
      <c r="FU91" s="2241"/>
      <c r="FV91" s="2241"/>
      <c r="FW91" s="2241"/>
      <c r="FX91" s="2241"/>
      <c r="FY91" s="2241"/>
      <c r="FZ91" s="2241"/>
      <c r="GA91" s="2241"/>
      <c r="GB91" s="2241"/>
      <c r="GC91" s="2241"/>
      <c r="GD91" s="2241"/>
      <c r="GE91" s="2241"/>
      <c r="GF91" s="2241"/>
      <c r="GG91" s="2241"/>
      <c r="GH91" s="2241"/>
      <c r="GI91" s="2241"/>
      <c r="GJ91" s="2241"/>
      <c r="GK91" s="2241"/>
      <c r="GL91" s="2241"/>
      <c r="GM91" s="2241"/>
      <c r="GN91" s="2241"/>
      <c r="GO91" s="2241"/>
      <c r="GP91" s="2241"/>
      <c r="GQ91" s="2241"/>
      <c r="GR91" s="2241"/>
      <c r="GS91" s="2241"/>
      <c r="GT91" s="2241"/>
      <c r="GU91" s="2241"/>
      <c r="GV91" s="2241"/>
      <c r="GW91" s="2241"/>
      <c r="GX91" s="2241"/>
      <c r="GY91" s="2241"/>
      <c r="GZ91" s="2241"/>
      <c r="HA91" s="2241"/>
      <c r="HB91" s="2241"/>
      <c r="HC91" s="2241"/>
      <c r="HD91" s="2241"/>
      <c r="HE91" s="2241"/>
      <c r="HF91" s="2241"/>
      <c r="HG91" s="2241"/>
      <c r="HH91" s="2241"/>
      <c r="HI91" s="2241"/>
      <c r="HJ91" s="2241"/>
      <c r="HK91" s="2241"/>
      <c r="HL91" s="2241"/>
      <c r="HM91" s="2241"/>
      <c r="HN91" s="2241"/>
      <c r="HO91" s="2241"/>
      <c r="HP91" s="2241"/>
      <c r="HQ91" s="2241"/>
      <c r="HR91" s="2241"/>
      <c r="HS91" s="2241"/>
      <c r="HT91" s="2241"/>
      <c r="HU91" s="2241"/>
      <c r="HV91" s="2241"/>
      <c r="HW91" s="2241"/>
      <c r="HX91" s="2241"/>
      <c r="HY91" s="2241"/>
      <c r="HZ91" s="2241"/>
      <c r="IA91" s="2241"/>
      <c r="IB91" s="2241"/>
      <c r="IC91" s="2241"/>
      <c r="ID91" s="2241"/>
      <c r="IE91" s="2241"/>
      <c r="IF91" s="2241"/>
      <c r="IG91" s="2241"/>
      <c r="IH91" s="2241"/>
      <c r="II91" s="2241"/>
      <c r="IJ91" s="2241"/>
      <c r="IK91" s="2241"/>
      <c r="IL91" s="2241"/>
      <c r="IM91" s="2241"/>
      <c r="IN91" s="2241"/>
      <c r="IO91" s="2241"/>
      <c r="IP91" s="2241"/>
      <c r="IQ91" s="2241"/>
      <c r="IR91" s="2241"/>
      <c r="IS91" s="2241"/>
      <c r="IT91" s="2241"/>
      <c r="IU91" s="2241"/>
      <c r="IV91" s="2241"/>
      <c r="IW91" s="2241"/>
      <c r="IX91" s="2241"/>
    </row>
    <row r="92" spans="1:258" ht="48">
      <c r="A92" s="2257" t="s">
        <v>915</v>
      </c>
      <c r="B92" s="291" t="s">
        <v>916</v>
      </c>
      <c r="C92" s="294" t="s">
        <v>803</v>
      </c>
      <c r="D92" s="3029">
        <f>D90</f>
        <v>4204.37</v>
      </c>
      <c r="E92" s="3031"/>
      <c r="F92" s="3036">
        <f>F90</f>
        <v>0</v>
      </c>
      <c r="G92" s="3037"/>
      <c r="H92" s="3036">
        <f>H90</f>
        <v>0</v>
      </c>
      <c r="I92" s="3037"/>
      <c r="J92" s="3026">
        <f>J90</f>
        <v>72.626000000000005</v>
      </c>
      <c r="K92" s="3027"/>
      <c r="L92" s="3027"/>
      <c r="M92" s="3027"/>
      <c r="N92" s="3027"/>
      <c r="O92" s="3028"/>
      <c r="P92" s="3023"/>
      <c r="Q92" s="3024"/>
      <c r="R92" s="3024"/>
      <c r="S92" s="3024"/>
      <c r="T92" s="3024"/>
      <c r="U92" s="3024"/>
      <c r="V92" s="3024"/>
      <c r="W92" s="3024"/>
      <c r="X92" s="3024"/>
      <c r="Y92" s="3025"/>
      <c r="Z92" s="2250"/>
      <c r="AA92" s="2250"/>
      <c r="AB92" s="2250"/>
      <c r="AC92" s="2250"/>
      <c r="AD92" s="2241"/>
      <c r="AE92" s="2169"/>
      <c r="AF92" s="2169"/>
      <c r="AG92" s="2169"/>
      <c r="AH92" s="2169"/>
      <c r="AI92" s="2169"/>
      <c r="AJ92" s="2169"/>
      <c r="AK92" s="2241"/>
      <c r="AL92" s="2250"/>
      <c r="AM92" s="2250"/>
      <c r="AN92" s="2250"/>
      <c r="AO92" s="2250"/>
      <c r="AP92" s="2250"/>
      <c r="AQ92" s="2250"/>
      <c r="AR92" s="2241"/>
      <c r="AS92" s="2241"/>
      <c r="AT92" s="2241"/>
      <c r="AU92" s="2241"/>
      <c r="AV92" s="2241"/>
      <c r="AW92" s="2241"/>
      <c r="AX92" s="2241"/>
      <c r="AY92" s="2241"/>
      <c r="AZ92" s="2241"/>
      <c r="BA92" s="2241"/>
      <c r="BB92" s="2241"/>
      <c r="BC92" s="2241"/>
      <c r="BD92" s="2241"/>
      <c r="BE92" s="2241"/>
      <c r="BF92" s="2241"/>
      <c r="BG92" s="2241"/>
      <c r="BH92" s="2241"/>
      <c r="BI92" s="2241"/>
      <c r="BJ92" s="2241"/>
      <c r="BK92" s="2241"/>
      <c r="BL92" s="2241"/>
      <c r="BM92" s="2241"/>
      <c r="BN92" s="2241"/>
      <c r="BO92" s="2241"/>
      <c r="BP92" s="2241"/>
      <c r="BQ92" s="2241"/>
      <c r="BR92" s="2241"/>
      <c r="BS92" s="2241"/>
      <c r="BT92" s="2241"/>
      <c r="BU92" s="2241"/>
      <c r="BV92" s="2241"/>
      <c r="BW92" s="2241"/>
      <c r="BX92" s="2241"/>
      <c r="BY92" s="2241"/>
      <c r="BZ92" s="2241"/>
      <c r="CA92" s="2241"/>
      <c r="CB92" s="2241"/>
      <c r="CC92" s="2241"/>
      <c r="CD92" s="2241"/>
      <c r="CE92" s="2241"/>
      <c r="CF92" s="2241"/>
      <c r="CG92" s="2241"/>
      <c r="CH92" s="2241"/>
      <c r="CI92" s="2241"/>
      <c r="CJ92" s="2241"/>
      <c r="CK92" s="2241"/>
      <c r="CL92" s="2241"/>
      <c r="CM92" s="2241"/>
      <c r="CN92" s="2241"/>
      <c r="CO92" s="2241"/>
      <c r="CP92" s="2241"/>
      <c r="CQ92" s="2241"/>
      <c r="CR92" s="2241"/>
      <c r="CS92" s="2241"/>
      <c r="CT92" s="2241"/>
      <c r="CU92" s="2241"/>
      <c r="CV92" s="2241"/>
      <c r="CW92" s="2241"/>
      <c r="CX92" s="2241"/>
      <c r="CY92" s="2241"/>
      <c r="CZ92" s="2241"/>
      <c r="DA92" s="2241"/>
      <c r="DB92" s="2241"/>
      <c r="DC92" s="2241"/>
      <c r="DD92" s="2241"/>
      <c r="DE92" s="2241"/>
      <c r="DF92" s="2241"/>
      <c r="DG92" s="2241"/>
      <c r="DH92" s="2241"/>
      <c r="DI92" s="2241"/>
      <c r="DJ92" s="2241"/>
      <c r="DK92" s="2241"/>
      <c r="DL92" s="2241"/>
      <c r="DM92" s="2241"/>
      <c r="DN92" s="2241"/>
      <c r="DO92" s="2241"/>
      <c r="DP92" s="2241"/>
      <c r="DQ92" s="2241"/>
      <c r="DR92" s="2241"/>
      <c r="DS92" s="2241"/>
      <c r="DT92" s="2241"/>
      <c r="DU92" s="2241"/>
      <c r="DV92" s="2241"/>
      <c r="DW92" s="2241"/>
      <c r="DX92" s="2241"/>
      <c r="DY92" s="2241"/>
      <c r="DZ92" s="2241"/>
      <c r="EA92" s="2241"/>
      <c r="EB92" s="2241"/>
      <c r="EC92" s="2241"/>
      <c r="ED92" s="2241"/>
      <c r="EE92" s="2241"/>
      <c r="EF92" s="2241"/>
      <c r="EG92" s="2241"/>
      <c r="EH92" s="2241"/>
      <c r="EI92" s="2241"/>
      <c r="EJ92" s="2241"/>
      <c r="EK92" s="2241"/>
      <c r="EL92" s="2241"/>
      <c r="EM92" s="2241"/>
      <c r="EN92" s="2241"/>
      <c r="EO92" s="2241"/>
      <c r="EP92" s="2241"/>
      <c r="EQ92" s="2241"/>
      <c r="ER92" s="2241"/>
      <c r="ES92" s="2241"/>
      <c r="ET92" s="2241"/>
      <c r="EU92" s="2241"/>
      <c r="EV92" s="2241"/>
      <c r="EW92" s="2241"/>
      <c r="EX92" s="2241"/>
      <c r="EY92" s="2241"/>
      <c r="EZ92" s="2241"/>
      <c r="FA92" s="2241"/>
      <c r="FB92" s="2241"/>
      <c r="FC92" s="2241"/>
      <c r="FD92" s="2241"/>
      <c r="FE92" s="2241"/>
      <c r="FF92" s="2241"/>
      <c r="FG92" s="2241"/>
      <c r="FH92" s="2241"/>
      <c r="FI92" s="2241"/>
      <c r="FJ92" s="2241"/>
      <c r="FK92" s="2241"/>
      <c r="FL92" s="2241"/>
      <c r="FM92" s="2241"/>
      <c r="FN92" s="2241"/>
      <c r="FO92" s="2241"/>
      <c r="FP92" s="2241"/>
      <c r="FQ92" s="2241"/>
      <c r="FR92" s="2241"/>
      <c r="FS92" s="2241"/>
      <c r="FT92" s="2241"/>
      <c r="FU92" s="2241"/>
      <c r="FV92" s="2241"/>
      <c r="FW92" s="2241"/>
      <c r="FX92" s="2241"/>
      <c r="FY92" s="2241"/>
      <c r="FZ92" s="2241"/>
      <c r="GA92" s="2241"/>
      <c r="GB92" s="2241"/>
      <c r="GC92" s="2241"/>
      <c r="GD92" s="2241"/>
      <c r="GE92" s="2241"/>
      <c r="GF92" s="2241"/>
      <c r="GG92" s="2241"/>
      <c r="GH92" s="2241"/>
      <c r="GI92" s="2241"/>
      <c r="GJ92" s="2241"/>
      <c r="GK92" s="2241"/>
      <c r="GL92" s="2241"/>
      <c r="GM92" s="2241"/>
      <c r="GN92" s="2241"/>
      <c r="GO92" s="2241"/>
      <c r="GP92" s="2241"/>
      <c r="GQ92" s="2241"/>
      <c r="GR92" s="2241"/>
      <c r="GS92" s="2241"/>
      <c r="GT92" s="2241"/>
      <c r="GU92" s="2241"/>
      <c r="GV92" s="2241"/>
      <c r="GW92" s="2241"/>
      <c r="GX92" s="2241"/>
      <c r="GY92" s="2241"/>
      <c r="GZ92" s="2241"/>
      <c r="HA92" s="2241"/>
      <c r="HB92" s="2241"/>
      <c r="HC92" s="2241"/>
      <c r="HD92" s="2241"/>
      <c r="HE92" s="2241"/>
      <c r="HF92" s="2241"/>
      <c r="HG92" s="2241"/>
      <c r="HH92" s="2241"/>
      <c r="HI92" s="2241"/>
      <c r="HJ92" s="2241"/>
      <c r="HK92" s="2241"/>
      <c r="HL92" s="2241"/>
      <c r="HM92" s="2241"/>
      <c r="HN92" s="2241"/>
      <c r="HO92" s="2241"/>
      <c r="HP92" s="2241"/>
      <c r="HQ92" s="2241"/>
      <c r="HR92" s="2241"/>
      <c r="HS92" s="2241"/>
      <c r="HT92" s="2241"/>
      <c r="HU92" s="2241"/>
      <c r="HV92" s="2241"/>
      <c r="HW92" s="2241"/>
      <c r="HX92" s="2241"/>
      <c r="HY92" s="2241"/>
      <c r="HZ92" s="2241"/>
      <c r="IA92" s="2241"/>
      <c r="IB92" s="2241"/>
      <c r="IC92" s="2241"/>
      <c r="ID92" s="2241"/>
      <c r="IE92" s="2241"/>
      <c r="IF92" s="2241"/>
      <c r="IG92" s="2241"/>
      <c r="IH92" s="2241"/>
      <c r="II92" s="2241"/>
      <c r="IJ92" s="2241"/>
      <c r="IK92" s="2241"/>
      <c r="IL92" s="2241"/>
      <c r="IM92" s="2241"/>
      <c r="IN92" s="2241"/>
      <c r="IO92" s="2241"/>
      <c r="IP92" s="2241"/>
      <c r="IQ92" s="2241"/>
      <c r="IR92" s="2241"/>
      <c r="IS92" s="2241"/>
      <c r="IT92" s="2241"/>
      <c r="IU92" s="2241"/>
      <c r="IV92" s="2241"/>
      <c r="IW92" s="2241"/>
      <c r="IX92" s="2241"/>
    </row>
    <row r="93" spans="1:258" ht="24" customHeight="1">
      <c r="A93" s="2257" t="s">
        <v>917</v>
      </c>
      <c r="B93" s="291" t="s">
        <v>918</v>
      </c>
      <c r="C93" s="294"/>
      <c r="D93" s="3029">
        <v>140</v>
      </c>
      <c r="E93" s="3031"/>
      <c r="F93" s="3029">
        <f>F91</f>
        <v>0</v>
      </c>
      <c r="G93" s="3031"/>
      <c r="H93" s="3029">
        <f>H91</f>
        <v>0</v>
      </c>
      <c r="I93" s="3031"/>
      <c r="J93" s="3029">
        <f>J91</f>
        <v>158</v>
      </c>
      <c r="K93" s="3030"/>
      <c r="L93" s="3030"/>
      <c r="M93" s="3030"/>
      <c r="N93" s="3030"/>
      <c r="O93" s="3031"/>
      <c r="P93" s="2241"/>
      <c r="Q93" s="2241"/>
      <c r="R93" s="2241"/>
      <c r="S93" s="2241"/>
      <c r="T93" s="2241"/>
      <c r="U93" s="2241"/>
      <c r="V93" s="2241"/>
      <c r="W93" s="2241"/>
      <c r="X93" s="2241"/>
      <c r="Y93" s="2241"/>
      <c r="Z93" s="2250"/>
      <c r="AA93" s="2250"/>
      <c r="AB93" s="2250"/>
      <c r="AC93" s="2250"/>
      <c r="AD93" s="2241"/>
      <c r="AE93" s="2169"/>
      <c r="AF93" s="2169"/>
      <c r="AG93" s="2169"/>
      <c r="AH93" s="2169"/>
      <c r="AI93" s="2169"/>
      <c r="AJ93" s="2169"/>
      <c r="AK93" s="2241"/>
      <c r="AL93" s="2250"/>
      <c r="AM93" s="2250"/>
      <c r="AN93" s="2250"/>
      <c r="AO93" s="2250"/>
      <c r="AP93" s="2250"/>
      <c r="AQ93" s="2250"/>
      <c r="AR93" s="2241"/>
      <c r="AS93" s="2241"/>
      <c r="AT93" s="2241"/>
      <c r="AU93" s="2241"/>
      <c r="AV93" s="2241"/>
      <c r="AW93" s="2241"/>
      <c r="AX93" s="2241"/>
      <c r="AY93" s="2241"/>
      <c r="AZ93" s="2241"/>
      <c r="BA93" s="2241"/>
      <c r="BB93" s="2241"/>
      <c r="BC93" s="2241"/>
      <c r="BD93" s="2241"/>
      <c r="BE93" s="2241"/>
      <c r="BF93" s="2241"/>
      <c r="BG93" s="2241"/>
      <c r="BH93" s="2241"/>
      <c r="BI93" s="2241"/>
      <c r="BJ93" s="2241"/>
      <c r="BK93" s="2241"/>
      <c r="BL93" s="2241"/>
      <c r="BM93" s="2241"/>
      <c r="BN93" s="2241"/>
      <c r="BO93" s="2241"/>
      <c r="BP93" s="2241"/>
      <c r="BQ93" s="2241"/>
      <c r="BR93" s="2241"/>
      <c r="BS93" s="2241"/>
      <c r="BT93" s="2241"/>
      <c r="BU93" s="2241"/>
      <c r="BV93" s="2241"/>
      <c r="BW93" s="2241"/>
      <c r="BX93" s="2241"/>
      <c r="BY93" s="2241"/>
      <c r="BZ93" s="2241"/>
      <c r="CA93" s="2241"/>
      <c r="CB93" s="2241"/>
      <c r="CC93" s="2241"/>
      <c r="CD93" s="2241"/>
      <c r="CE93" s="2241"/>
      <c r="CF93" s="2241"/>
      <c r="CG93" s="2241"/>
      <c r="CH93" s="2241"/>
      <c r="CI93" s="2241"/>
      <c r="CJ93" s="2241"/>
      <c r="CK93" s="2241"/>
      <c r="CL93" s="2241"/>
      <c r="CM93" s="2241"/>
      <c r="CN93" s="2241"/>
      <c r="CO93" s="2241"/>
      <c r="CP93" s="2241"/>
      <c r="CQ93" s="2241"/>
      <c r="CR93" s="2241"/>
      <c r="CS93" s="2241"/>
      <c r="CT93" s="2241"/>
      <c r="CU93" s="2241"/>
      <c r="CV93" s="2241"/>
      <c r="CW93" s="2241"/>
      <c r="CX93" s="2241"/>
      <c r="CY93" s="2241"/>
      <c r="CZ93" s="2241"/>
      <c r="DA93" s="2241"/>
      <c r="DB93" s="2241"/>
      <c r="DC93" s="2241"/>
      <c r="DD93" s="2241"/>
      <c r="DE93" s="2241"/>
      <c r="DF93" s="2241"/>
      <c r="DG93" s="2241"/>
      <c r="DH93" s="2241"/>
      <c r="DI93" s="2241"/>
      <c r="DJ93" s="2241"/>
      <c r="DK93" s="2241"/>
      <c r="DL93" s="2241"/>
      <c r="DM93" s="2241"/>
      <c r="DN93" s="2241"/>
      <c r="DO93" s="2241"/>
      <c r="DP93" s="2241"/>
      <c r="DQ93" s="2241"/>
      <c r="DR93" s="2241"/>
      <c r="DS93" s="2241"/>
      <c r="DT93" s="2241"/>
      <c r="DU93" s="2241"/>
      <c r="DV93" s="2241"/>
      <c r="DW93" s="2241"/>
      <c r="DX93" s="2241"/>
      <c r="DY93" s="2241"/>
      <c r="DZ93" s="2241"/>
      <c r="EA93" s="2241"/>
      <c r="EB93" s="2241"/>
      <c r="EC93" s="2241"/>
      <c r="ED93" s="2241"/>
      <c r="EE93" s="2241"/>
      <c r="EF93" s="2241"/>
      <c r="EG93" s="2241"/>
      <c r="EH93" s="2241"/>
      <c r="EI93" s="2241"/>
      <c r="EJ93" s="2241"/>
      <c r="EK93" s="2241"/>
      <c r="EL93" s="2241"/>
      <c r="EM93" s="2241"/>
      <c r="EN93" s="2241"/>
      <c r="EO93" s="2241"/>
      <c r="EP93" s="2241"/>
      <c r="EQ93" s="2241"/>
      <c r="ER93" s="2241"/>
      <c r="ES93" s="2241"/>
      <c r="ET93" s="2241"/>
      <c r="EU93" s="2241"/>
      <c r="EV93" s="2241"/>
      <c r="EW93" s="2241"/>
      <c r="EX93" s="2241"/>
      <c r="EY93" s="2241"/>
      <c r="EZ93" s="2241"/>
      <c r="FA93" s="2241"/>
      <c r="FB93" s="2241"/>
      <c r="FC93" s="2241"/>
      <c r="FD93" s="2241"/>
      <c r="FE93" s="2241"/>
      <c r="FF93" s="2241"/>
      <c r="FG93" s="2241"/>
      <c r="FH93" s="2241"/>
      <c r="FI93" s="2241"/>
      <c r="FJ93" s="2241"/>
      <c r="FK93" s="2241"/>
      <c r="FL93" s="2241"/>
      <c r="FM93" s="2241"/>
      <c r="FN93" s="2241"/>
      <c r="FO93" s="2241"/>
      <c r="FP93" s="2241"/>
      <c r="FQ93" s="2241"/>
      <c r="FR93" s="2241"/>
      <c r="FS93" s="2241"/>
      <c r="FT93" s="2241"/>
      <c r="FU93" s="2241"/>
      <c r="FV93" s="2241"/>
      <c r="FW93" s="2241"/>
      <c r="FX93" s="2241"/>
      <c r="FY93" s="2241"/>
      <c r="FZ93" s="2241"/>
      <c r="GA93" s="2241"/>
      <c r="GB93" s="2241"/>
      <c r="GC93" s="2241"/>
      <c r="GD93" s="2241"/>
      <c r="GE93" s="2241"/>
      <c r="GF93" s="2241"/>
      <c r="GG93" s="2241"/>
      <c r="GH93" s="2241"/>
      <c r="GI93" s="2241"/>
      <c r="GJ93" s="2241"/>
      <c r="GK93" s="2241"/>
      <c r="GL93" s="2241"/>
      <c r="GM93" s="2241"/>
      <c r="GN93" s="2241"/>
      <c r="GO93" s="2241"/>
      <c r="GP93" s="2241"/>
      <c r="GQ93" s="2241"/>
      <c r="GR93" s="2241"/>
      <c r="GS93" s="2241"/>
      <c r="GT93" s="2241"/>
      <c r="GU93" s="2241"/>
      <c r="GV93" s="2241"/>
      <c r="GW93" s="2241"/>
      <c r="GX93" s="2241"/>
      <c r="GY93" s="2241"/>
      <c r="GZ93" s="2241"/>
      <c r="HA93" s="2241"/>
      <c r="HB93" s="2241"/>
      <c r="HC93" s="2241"/>
      <c r="HD93" s="2241"/>
      <c r="HE93" s="2241"/>
      <c r="HF93" s="2241"/>
      <c r="HG93" s="2241"/>
      <c r="HH93" s="2241"/>
      <c r="HI93" s="2241"/>
      <c r="HJ93" s="2241"/>
      <c r="HK93" s="2241"/>
      <c r="HL93" s="2241"/>
      <c r="HM93" s="2241"/>
      <c r="HN93" s="2241"/>
      <c r="HO93" s="2241"/>
      <c r="HP93" s="2241"/>
      <c r="HQ93" s="2241"/>
      <c r="HR93" s="2241"/>
      <c r="HS93" s="2241"/>
      <c r="HT93" s="2241"/>
      <c r="HU93" s="2241"/>
      <c r="HV93" s="2241"/>
      <c r="HW93" s="2241"/>
      <c r="HX93" s="2241"/>
      <c r="HY93" s="2241"/>
      <c r="HZ93" s="2241"/>
      <c r="IA93" s="2241"/>
      <c r="IB93" s="2241"/>
      <c r="IC93" s="2241"/>
      <c r="ID93" s="2241"/>
      <c r="IE93" s="2241"/>
      <c r="IF93" s="2241"/>
      <c r="IG93" s="2241"/>
      <c r="IH93" s="2241"/>
      <c r="II93" s="2241"/>
      <c r="IJ93" s="2241"/>
      <c r="IK93" s="2241"/>
      <c r="IL93" s="2241"/>
      <c r="IM93" s="2241"/>
      <c r="IN93" s="2241"/>
      <c r="IO93" s="2241"/>
      <c r="IP93" s="2241"/>
      <c r="IQ93" s="2241"/>
      <c r="IR93" s="2241"/>
      <c r="IS93" s="2241"/>
      <c r="IT93" s="2241"/>
      <c r="IU93" s="2241"/>
      <c r="IV93" s="2241"/>
      <c r="IW93" s="2241"/>
      <c r="IX93" s="2241"/>
    </row>
    <row r="94" spans="1:258" ht="36.6" thickBot="1">
      <c r="A94" s="2292" t="s">
        <v>919</v>
      </c>
      <c r="B94" s="295" t="s">
        <v>920</v>
      </c>
      <c r="C94" s="296" t="s">
        <v>803</v>
      </c>
      <c r="D94" s="3032">
        <v>0</v>
      </c>
      <c r="E94" s="3034"/>
      <c r="F94" s="3032">
        <v>0</v>
      </c>
      <c r="G94" s="3034"/>
      <c r="H94" s="3032"/>
      <c r="I94" s="3034"/>
      <c r="J94" s="3032">
        <v>0</v>
      </c>
      <c r="K94" s="3033"/>
      <c r="L94" s="3033"/>
      <c r="M94" s="3033"/>
      <c r="N94" s="3033"/>
      <c r="O94" s="3034"/>
      <c r="P94" s="2241"/>
      <c r="Q94" s="2241"/>
      <c r="R94" s="2241"/>
      <c r="S94" s="2241"/>
      <c r="T94" s="2241"/>
      <c r="U94" s="2241"/>
      <c r="V94" s="2241"/>
      <c r="W94" s="2241"/>
      <c r="X94" s="2241"/>
      <c r="Y94" s="2241"/>
      <c r="Z94" s="2250"/>
      <c r="AA94" s="2250"/>
      <c r="AB94" s="2250"/>
      <c r="AC94" s="2250"/>
      <c r="AD94" s="2241"/>
      <c r="AE94" s="2169"/>
      <c r="AF94" s="2169"/>
      <c r="AG94" s="2169"/>
      <c r="AH94" s="2169"/>
      <c r="AI94" s="2169"/>
      <c r="AJ94" s="2169"/>
      <c r="AK94" s="2241"/>
      <c r="AL94" s="2250"/>
      <c r="AM94" s="2250"/>
      <c r="AN94" s="2250"/>
      <c r="AO94" s="2250"/>
      <c r="AP94" s="2250"/>
      <c r="AQ94" s="2250"/>
      <c r="AR94" s="2241"/>
      <c r="AS94" s="2241"/>
      <c r="AT94" s="2241"/>
      <c r="AU94" s="2241"/>
      <c r="AV94" s="2241"/>
      <c r="AW94" s="2241"/>
      <c r="AX94" s="2241"/>
      <c r="AY94" s="2241"/>
      <c r="AZ94" s="2241"/>
      <c r="BA94" s="2241"/>
      <c r="BB94" s="2241"/>
      <c r="BC94" s="2241"/>
      <c r="BD94" s="2241"/>
      <c r="BE94" s="2241"/>
      <c r="BF94" s="2241"/>
      <c r="BG94" s="2241"/>
      <c r="BH94" s="2241"/>
      <c r="BI94" s="2241"/>
      <c r="BJ94" s="2241"/>
      <c r="BK94" s="2241"/>
      <c r="BL94" s="2241"/>
      <c r="BM94" s="2241"/>
      <c r="BN94" s="2241"/>
      <c r="BO94" s="2241"/>
      <c r="BP94" s="2241"/>
      <c r="BQ94" s="2241"/>
      <c r="BR94" s="2241"/>
      <c r="BS94" s="2241"/>
      <c r="BT94" s="2241"/>
      <c r="BU94" s="2241"/>
      <c r="BV94" s="2241"/>
      <c r="BW94" s="2241"/>
      <c r="BX94" s="2241"/>
      <c r="BY94" s="2241"/>
      <c r="BZ94" s="2241"/>
      <c r="CA94" s="2241"/>
      <c r="CB94" s="2241"/>
      <c r="CC94" s="2241"/>
      <c r="CD94" s="2241"/>
      <c r="CE94" s="2241"/>
      <c r="CF94" s="2241"/>
      <c r="CG94" s="2241"/>
      <c r="CH94" s="2241"/>
      <c r="CI94" s="2241"/>
      <c r="CJ94" s="2241"/>
      <c r="CK94" s="2241"/>
      <c r="CL94" s="2241"/>
      <c r="CM94" s="2241"/>
      <c r="CN94" s="2241"/>
      <c r="CO94" s="2241"/>
      <c r="CP94" s="2241"/>
      <c r="CQ94" s="2241"/>
      <c r="CR94" s="2241"/>
      <c r="CS94" s="2241"/>
      <c r="CT94" s="2241"/>
      <c r="CU94" s="2241"/>
      <c r="CV94" s="2241"/>
      <c r="CW94" s="2241"/>
      <c r="CX94" s="2241"/>
      <c r="CY94" s="2241"/>
      <c r="CZ94" s="2241"/>
      <c r="DA94" s="2241"/>
      <c r="DB94" s="2241"/>
      <c r="DC94" s="2241"/>
      <c r="DD94" s="2241"/>
      <c r="DE94" s="2241"/>
      <c r="DF94" s="2241"/>
      <c r="DG94" s="2241"/>
      <c r="DH94" s="2241"/>
      <c r="DI94" s="2241"/>
      <c r="DJ94" s="2241"/>
      <c r="DK94" s="2241"/>
      <c r="DL94" s="2241"/>
      <c r="DM94" s="2241"/>
      <c r="DN94" s="2241"/>
      <c r="DO94" s="2241"/>
      <c r="DP94" s="2241"/>
      <c r="DQ94" s="2241"/>
      <c r="DR94" s="2241"/>
      <c r="DS94" s="2241"/>
      <c r="DT94" s="2241"/>
      <c r="DU94" s="2241"/>
      <c r="DV94" s="2241"/>
      <c r="DW94" s="2241"/>
      <c r="DX94" s="2241"/>
      <c r="DY94" s="2241"/>
      <c r="DZ94" s="2241"/>
      <c r="EA94" s="2241"/>
      <c r="EB94" s="2241"/>
      <c r="EC94" s="2241"/>
      <c r="ED94" s="2241"/>
      <c r="EE94" s="2241"/>
      <c r="EF94" s="2241"/>
      <c r="EG94" s="2241"/>
      <c r="EH94" s="2241"/>
      <c r="EI94" s="2241"/>
      <c r="EJ94" s="2241"/>
      <c r="EK94" s="2241"/>
      <c r="EL94" s="2241"/>
      <c r="EM94" s="2241"/>
      <c r="EN94" s="2241"/>
      <c r="EO94" s="2241"/>
      <c r="EP94" s="2241"/>
      <c r="EQ94" s="2241"/>
      <c r="ER94" s="2241"/>
      <c r="ES94" s="2241"/>
      <c r="ET94" s="2241"/>
      <c r="EU94" s="2241"/>
      <c r="EV94" s="2241"/>
      <c r="EW94" s="2241"/>
      <c r="EX94" s="2241"/>
      <c r="EY94" s="2241"/>
      <c r="EZ94" s="2241"/>
      <c r="FA94" s="2241"/>
      <c r="FB94" s="2241"/>
      <c r="FC94" s="2241"/>
      <c r="FD94" s="2241"/>
      <c r="FE94" s="2241"/>
      <c r="FF94" s="2241"/>
      <c r="FG94" s="2241"/>
      <c r="FH94" s="2241"/>
      <c r="FI94" s="2241"/>
      <c r="FJ94" s="2241"/>
      <c r="FK94" s="2241"/>
      <c r="FL94" s="2241"/>
      <c r="FM94" s="2241"/>
      <c r="FN94" s="2241"/>
      <c r="FO94" s="2241"/>
      <c r="FP94" s="2241"/>
      <c r="FQ94" s="2241"/>
      <c r="FR94" s="2241"/>
      <c r="FS94" s="2241"/>
      <c r="FT94" s="2241"/>
      <c r="FU94" s="2241"/>
      <c r="FV94" s="2241"/>
      <c r="FW94" s="2241"/>
      <c r="FX94" s="2241"/>
      <c r="FY94" s="2241"/>
      <c r="FZ94" s="2241"/>
      <c r="GA94" s="2241"/>
      <c r="GB94" s="2241"/>
      <c r="GC94" s="2241"/>
      <c r="GD94" s="2241"/>
      <c r="GE94" s="2241"/>
      <c r="GF94" s="2241"/>
      <c r="GG94" s="2241"/>
      <c r="GH94" s="2241"/>
      <c r="GI94" s="2241"/>
      <c r="GJ94" s="2241"/>
      <c r="GK94" s="2241"/>
      <c r="GL94" s="2241"/>
      <c r="GM94" s="2241"/>
      <c r="GN94" s="2241"/>
      <c r="GO94" s="2241"/>
      <c r="GP94" s="2241"/>
      <c r="GQ94" s="2241"/>
      <c r="GR94" s="2241"/>
      <c r="GS94" s="2241"/>
      <c r="GT94" s="2241"/>
      <c r="GU94" s="2241"/>
      <c r="GV94" s="2241"/>
      <c r="GW94" s="2241"/>
      <c r="GX94" s="2241"/>
      <c r="GY94" s="2241"/>
      <c r="GZ94" s="2241"/>
      <c r="HA94" s="2241"/>
      <c r="HB94" s="2241"/>
      <c r="HC94" s="2241"/>
      <c r="HD94" s="2241"/>
      <c r="HE94" s="2241"/>
      <c r="HF94" s="2241"/>
      <c r="HG94" s="2241"/>
      <c r="HH94" s="2241"/>
      <c r="HI94" s="2241"/>
      <c r="HJ94" s="2241"/>
      <c r="HK94" s="2241"/>
      <c r="HL94" s="2241"/>
      <c r="HM94" s="2241"/>
      <c r="HN94" s="2241"/>
      <c r="HO94" s="2241"/>
      <c r="HP94" s="2241"/>
      <c r="HQ94" s="2241"/>
      <c r="HR94" s="2241"/>
      <c r="HS94" s="2241"/>
      <c r="HT94" s="2241"/>
      <c r="HU94" s="2241"/>
      <c r="HV94" s="2241"/>
      <c r="HW94" s="2241"/>
      <c r="HX94" s="2241"/>
      <c r="HY94" s="2241"/>
      <c r="HZ94" s="2241"/>
      <c r="IA94" s="2241"/>
      <c r="IB94" s="2241"/>
      <c r="IC94" s="2241"/>
      <c r="ID94" s="2241"/>
      <c r="IE94" s="2241"/>
      <c r="IF94" s="2241"/>
      <c r="IG94" s="2241"/>
      <c r="IH94" s="2241"/>
      <c r="II94" s="2241"/>
      <c r="IJ94" s="2241"/>
      <c r="IK94" s="2241"/>
      <c r="IL94" s="2241"/>
      <c r="IM94" s="2241"/>
      <c r="IN94" s="2241"/>
      <c r="IO94" s="2241"/>
      <c r="IP94" s="2241"/>
      <c r="IQ94" s="2241"/>
      <c r="IR94" s="2241"/>
      <c r="IS94" s="2241"/>
      <c r="IT94" s="2241"/>
      <c r="IU94" s="2241"/>
      <c r="IV94" s="2241"/>
      <c r="IW94" s="2241"/>
      <c r="IX94" s="2241"/>
    </row>
    <row r="95" spans="1:258">
      <c r="A95" s="2241"/>
      <c r="B95" s="2241"/>
      <c r="C95" s="2293"/>
      <c r="D95" s="2241"/>
      <c r="E95" s="2241"/>
      <c r="F95" s="2241"/>
      <c r="G95" s="2241"/>
      <c r="H95" s="2241"/>
      <c r="I95" s="2241"/>
      <c r="J95" s="2241"/>
      <c r="K95" s="2241"/>
      <c r="L95" s="2241"/>
      <c r="M95" s="2241"/>
      <c r="N95" s="2241"/>
      <c r="O95" s="2241"/>
      <c r="P95" s="2241"/>
      <c r="Q95" s="2241"/>
      <c r="R95" s="2241"/>
      <c r="S95" s="2241"/>
      <c r="T95" s="2241"/>
      <c r="U95" s="2241"/>
      <c r="V95" s="2241"/>
      <c r="W95" s="2241"/>
      <c r="X95" s="2241"/>
      <c r="Y95" s="2241"/>
      <c r="Z95" s="2250"/>
      <c r="AA95" s="2250"/>
      <c r="AB95" s="2250"/>
      <c r="AC95" s="2250"/>
      <c r="AD95" s="2241"/>
      <c r="AE95" s="2169"/>
      <c r="AF95" s="2169"/>
      <c r="AG95" s="2169"/>
      <c r="AH95" s="2169"/>
      <c r="AI95" s="2169"/>
      <c r="AJ95" s="2169"/>
      <c r="AK95" s="2241"/>
      <c r="AL95" s="2250"/>
      <c r="AM95" s="2250"/>
      <c r="AN95" s="2250"/>
      <c r="AO95" s="2250"/>
      <c r="AP95" s="2250"/>
      <c r="AQ95" s="2250"/>
      <c r="AR95" s="2241"/>
      <c r="AS95" s="2241"/>
      <c r="AT95" s="2241"/>
      <c r="AU95" s="2241"/>
      <c r="AV95" s="2241"/>
      <c r="AW95" s="2241"/>
      <c r="AX95" s="2241"/>
      <c r="AY95" s="2241"/>
      <c r="AZ95" s="2241"/>
      <c r="BA95" s="2241"/>
      <c r="BB95" s="2241"/>
      <c r="BC95" s="2241"/>
      <c r="BD95" s="2241"/>
      <c r="BE95" s="2241"/>
      <c r="BF95" s="2241"/>
      <c r="BG95" s="2241"/>
      <c r="BH95" s="2241"/>
      <c r="BI95" s="2241"/>
      <c r="BJ95" s="2241"/>
      <c r="BK95" s="2241"/>
      <c r="BL95" s="2241"/>
      <c r="BM95" s="2241"/>
      <c r="BN95" s="2241"/>
      <c r="BO95" s="2241"/>
      <c r="BP95" s="2241"/>
      <c r="BQ95" s="2241"/>
      <c r="BR95" s="2241"/>
      <c r="BS95" s="2241"/>
      <c r="BT95" s="2241"/>
      <c r="BU95" s="2241"/>
      <c r="BV95" s="2241"/>
      <c r="BW95" s="2241"/>
      <c r="BX95" s="2241"/>
      <c r="BY95" s="2241"/>
      <c r="BZ95" s="2241"/>
      <c r="CA95" s="2241"/>
      <c r="CB95" s="2241"/>
      <c r="CC95" s="2241"/>
      <c r="CD95" s="2241"/>
      <c r="CE95" s="2241"/>
      <c r="CF95" s="2241"/>
      <c r="CG95" s="2241"/>
      <c r="CH95" s="2241"/>
      <c r="CI95" s="2241"/>
      <c r="CJ95" s="2241"/>
      <c r="CK95" s="2241"/>
      <c r="CL95" s="2241"/>
      <c r="CM95" s="2241"/>
      <c r="CN95" s="2241"/>
      <c r="CO95" s="2241"/>
      <c r="CP95" s="2241"/>
      <c r="CQ95" s="2241"/>
      <c r="CR95" s="2241"/>
      <c r="CS95" s="2241"/>
      <c r="CT95" s="2241"/>
      <c r="CU95" s="2241"/>
      <c r="CV95" s="2241"/>
      <c r="CW95" s="2241"/>
      <c r="CX95" s="2241"/>
      <c r="CY95" s="2241"/>
      <c r="CZ95" s="2241"/>
      <c r="DA95" s="2241"/>
      <c r="DB95" s="2241"/>
      <c r="DC95" s="2241"/>
      <c r="DD95" s="2241"/>
      <c r="DE95" s="2241"/>
      <c r="DF95" s="2241"/>
      <c r="DG95" s="2241"/>
      <c r="DH95" s="2241"/>
      <c r="DI95" s="2241"/>
      <c r="DJ95" s="2241"/>
      <c r="DK95" s="2241"/>
      <c r="DL95" s="2241"/>
      <c r="DM95" s="2241"/>
      <c r="DN95" s="2241"/>
      <c r="DO95" s="2241"/>
      <c r="DP95" s="2241"/>
      <c r="DQ95" s="2241"/>
      <c r="DR95" s="2241"/>
      <c r="DS95" s="2241"/>
      <c r="DT95" s="2241"/>
      <c r="DU95" s="2241"/>
      <c r="DV95" s="2241"/>
      <c r="DW95" s="2241"/>
      <c r="DX95" s="2241"/>
      <c r="DY95" s="2241"/>
      <c r="DZ95" s="2241"/>
      <c r="EA95" s="2241"/>
      <c r="EB95" s="2241"/>
      <c r="EC95" s="2241"/>
      <c r="ED95" s="2241"/>
      <c r="EE95" s="2241"/>
      <c r="EF95" s="2241"/>
      <c r="EG95" s="2241"/>
      <c r="EH95" s="2241"/>
      <c r="EI95" s="2241"/>
      <c r="EJ95" s="2241"/>
      <c r="EK95" s="2241"/>
      <c r="EL95" s="2241"/>
      <c r="EM95" s="2241"/>
      <c r="EN95" s="2241"/>
      <c r="EO95" s="2241"/>
      <c r="EP95" s="2241"/>
      <c r="EQ95" s="2241"/>
      <c r="ER95" s="2241"/>
      <c r="ES95" s="2241"/>
      <c r="ET95" s="2241"/>
      <c r="EU95" s="2241"/>
      <c r="EV95" s="2241"/>
      <c r="EW95" s="2241"/>
      <c r="EX95" s="2241"/>
      <c r="EY95" s="2241"/>
      <c r="EZ95" s="2241"/>
      <c r="FA95" s="2241"/>
      <c r="FB95" s="2241"/>
      <c r="FC95" s="2241"/>
      <c r="FD95" s="2241"/>
      <c r="FE95" s="2241"/>
      <c r="FF95" s="2241"/>
      <c r="FG95" s="2241"/>
      <c r="FH95" s="2241"/>
      <c r="FI95" s="2241"/>
      <c r="FJ95" s="2241"/>
      <c r="FK95" s="2241"/>
      <c r="FL95" s="2241"/>
      <c r="FM95" s="2241"/>
      <c r="FN95" s="2241"/>
      <c r="FO95" s="2241"/>
      <c r="FP95" s="2241"/>
      <c r="FQ95" s="2241"/>
      <c r="FR95" s="2241"/>
      <c r="FS95" s="2241"/>
      <c r="FT95" s="2241"/>
      <c r="FU95" s="2241"/>
      <c r="FV95" s="2241"/>
      <c r="FW95" s="2241"/>
      <c r="FX95" s="2241"/>
      <c r="FY95" s="2241"/>
      <c r="FZ95" s="2241"/>
      <c r="GA95" s="2241"/>
      <c r="GB95" s="2241"/>
      <c r="GC95" s="2241"/>
      <c r="GD95" s="2241"/>
      <c r="GE95" s="2241"/>
      <c r="GF95" s="2241"/>
      <c r="GG95" s="2241"/>
      <c r="GH95" s="2241"/>
      <c r="GI95" s="2241"/>
      <c r="GJ95" s="2241"/>
      <c r="GK95" s="2241"/>
      <c r="GL95" s="2241"/>
      <c r="GM95" s="2241"/>
      <c r="GN95" s="2241"/>
      <c r="GO95" s="2241"/>
      <c r="GP95" s="2241"/>
      <c r="GQ95" s="2241"/>
      <c r="GR95" s="2241"/>
      <c r="GS95" s="2241"/>
      <c r="GT95" s="2241"/>
      <c r="GU95" s="2241"/>
      <c r="GV95" s="2241"/>
      <c r="GW95" s="2241"/>
      <c r="GX95" s="2241"/>
      <c r="GY95" s="2241"/>
      <c r="GZ95" s="2241"/>
      <c r="HA95" s="2241"/>
      <c r="HB95" s="2241"/>
      <c r="HC95" s="2241"/>
      <c r="HD95" s="2241"/>
      <c r="HE95" s="2241"/>
      <c r="HF95" s="2241"/>
      <c r="HG95" s="2241"/>
      <c r="HH95" s="2241"/>
      <c r="HI95" s="2241"/>
      <c r="HJ95" s="2241"/>
      <c r="HK95" s="2241"/>
      <c r="HL95" s="2241"/>
      <c r="HM95" s="2241"/>
      <c r="HN95" s="2241"/>
      <c r="HO95" s="2241"/>
      <c r="HP95" s="2241"/>
      <c r="HQ95" s="2241"/>
      <c r="HR95" s="2241"/>
      <c r="HS95" s="2241"/>
      <c r="HT95" s="2241"/>
      <c r="HU95" s="2241"/>
      <c r="HV95" s="2241"/>
      <c r="HW95" s="2241"/>
      <c r="HX95" s="2241"/>
      <c r="HY95" s="2241"/>
      <c r="HZ95" s="2241"/>
      <c r="IA95" s="2241"/>
      <c r="IB95" s="2241"/>
      <c r="IC95" s="2241"/>
      <c r="ID95" s="2241"/>
      <c r="IE95" s="2241"/>
      <c r="IF95" s="2241"/>
      <c r="IG95" s="2241"/>
      <c r="IH95" s="2241"/>
      <c r="II95" s="2241"/>
      <c r="IJ95" s="2241"/>
      <c r="IK95" s="2241"/>
      <c r="IL95" s="2241"/>
      <c r="IM95" s="2241"/>
      <c r="IN95" s="2241"/>
      <c r="IO95" s="2241"/>
      <c r="IP95" s="2241"/>
      <c r="IQ95" s="2241"/>
      <c r="IR95" s="2241"/>
      <c r="IS95" s="2241"/>
      <c r="IT95" s="2241"/>
      <c r="IU95" s="2241"/>
      <c r="IV95" s="2241"/>
      <c r="IW95" s="2241"/>
      <c r="IX95" s="2241"/>
    </row>
    <row r="96" spans="1:258">
      <c r="Z96" s="2169"/>
      <c r="AA96" s="2169"/>
      <c r="AB96" s="2169"/>
      <c r="AC96" s="2169"/>
      <c r="AE96" s="2169"/>
      <c r="AF96" s="2169"/>
      <c r="AG96" s="2169"/>
      <c r="AH96" s="2169"/>
      <c r="AI96" s="2169"/>
      <c r="AJ96" s="2169"/>
      <c r="AL96" s="2169"/>
      <c r="AM96" s="2169"/>
      <c r="AN96" s="2169"/>
      <c r="AO96" s="2169"/>
      <c r="AP96" s="2169"/>
      <c r="AQ96" s="2169"/>
    </row>
    <row r="101" spans="2:22">
      <c r="D101" s="3035"/>
      <c r="E101" s="3035"/>
      <c r="F101" s="3035"/>
      <c r="G101" s="3035"/>
      <c r="H101" s="3035"/>
      <c r="I101" s="3035"/>
      <c r="J101" s="3035"/>
      <c r="K101" s="3035"/>
      <c r="R101" s="3035"/>
      <c r="S101" s="3035"/>
      <c r="T101" s="3035"/>
      <c r="U101" s="3035"/>
      <c r="V101" s="3035"/>
    </row>
    <row r="102" spans="2:22">
      <c r="D102" s="2294"/>
      <c r="E102" s="2294"/>
      <c r="F102" s="2294"/>
      <c r="G102" s="2294"/>
      <c r="H102" s="2294"/>
      <c r="I102" s="2294"/>
      <c r="J102" s="2294"/>
      <c r="K102" s="2294"/>
      <c r="R102" s="2294"/>
      <c r="S102" s="2294"/>
      <c r="T102" s="2294"/>
      <c r="U102" s="2294"/>
      <c r="V102" s="2294"/>
    </row>
    <row r="103" spans="2:22">
      <c r="D103" s="2294"/>
      <c r="E103" s="2294"/>
      <c r="F103" s="2294"/>
      <c r="G103" s="2294"/>
      <c r="H103" s="2294"/>
      <c r="I103" s="2294"/>
      <c r="J103" s="2294"/>
      <c r="K103" s="2294"/>
      <c r="R103" s="2294"/>
      <c r="S103" s="2294"/>
      <c r="T103" s="2294"/>
      <c r="U103" s="2294"/>
      <c r="V103" s="2294"/>
    </row>
    <row r="104" spans="2:22" ht="15">
      <c r="D104" s="2295"/>
      <c r="E104" s="2296"/>
      <c r="F104" s="2296"/>
      <c r="G104" s="2296"/>
      <c r="H104" s="2296"/>
      <c r="I104" s="2296"/>
      <c r="J104" s="2296"/>
      <c r="K104" s="2296"/>
      <c r="L104" s="2296"/>
      <c r="M104" s="2296"/>
      <c r="N104" s="2296"/>
      <c r="O104" s="2296"/>
      <c r="P104" s="2296"/>
      <c r="Q104" s="2296"/>
      <c r="R104" s="2296"/>
      <c r="S104" s="2296"/>
      <c r="T104" s="2296"/>
      <c r="U104" s="2296"/>
      <c r="V104" s="2296"/>
    </row>
    <row r="105" spans="2:22" ht="15">
      <c r="B105" s="2297"/>
      <c r="C105" s="2298"/>
      <c r="D105" s="2297"/>
      <c r="E105" s="2296"/>
      <c r="F105" s="2296"/>
      <c r="G105" s="2296"/>
      <c r="H105" s="2296"/>
      <c r="I105" s="2296"/>
      <c r="J105" s="2296"/>
      <c r="K105" s="2296"/>
      <c r="L105" s="2296"/>
      <c r="M105" s="2296"/>
      <c r="N105" s="2296"/>
      <c r="O105" s="2296"/>
      <c r="P105" s="2296"/>
      <c r="Q105" s="2296"/>
      <c r="R105" s="2296"/>
      <c r="S105" s="2296"/>
      <c r="T105" s="2296"/>
      <c r="U105" s="2296"/>
      <c r="V105" s="2296"/>
    </row>
    <row r="106" spans="2:22" ht="15">
      <c r="D106" s="2296"/>
      <c r="E106" s="2296"/>
      <c r="F106" s="2296"/>
      <c r="G106" s="2296"/>
      <c r="H106" s="2296"/>
      <c r="I106" s="2296"/>
      <c r="J106" s="2296"/>
      <c r="K106" s="2296"/>
      <c r="L106" s="2296"/>
      <c r="M106" s="2296"/>
      <c r="N106" s="2296"/>
      <c r="O106" s="2296"/>
      <c r="P106" s="2296"/>
      <c r="Q106" s="2296"/>
      <c r="R106" s="2296"/>
      <c r="S106" s="2296"/>
      <c r="T106" s="2296"/>
      <c r="U106" s="2296"/>
      <c r="V106" s="2296"/>
    </row>
    <row r="107" spans="2:22" ht="15">
      <c r="D107" s="2296"/>
      <c r="E107" s="2296"/>
      <c r="F107" s="2296"/>
      <c r="G107" s="2296"/>
      <c r="H107" s="2296"/>
      <c r="I107" s="2296"/>
      <c r="J107" s="2296"/>
      <c r="K107" s="2296"/>
      <c r="L107" s="2296"/>
      <c r="M107" s="2296"/>
      <c r="N107" s="2296"/>
      <c r="O107" s="2296"/>
      <c r="P107" s="2296"/>
      <c r="Q107" s="2296"/>
      <c r="R107" s="2296"/>
      <c r="S107" s="2296"/>
      <c r="T107" s="2296"/>
      <c r="U107" s="2296"/>
      <c r="V107" s="2296"/>
    </row>
    <row r="108" spans="2:22" ht="15">
      <c r="D108" s="2296"/>
      <c r="E108" s="2296"/>
      <c r="F108" s="2296"/>
      <c r="G108" s="2296"/>
      <c r="H108" s="2296"/>
      <c r="I108" s="2296"/>
      <c r="J108" s="2296"/>
      <c r="K108" s="2296"/>
      <c r="L108" s="2296"/>
      <c r="M108" s="2296"/>
      <c r="N108" s="2296"/>
      <c r="O108" s="2296"/>
      <c r="P108" s="2296"/>
      <c r="Q108" s="2296"/>
      <c r="R108" s="2296"/>
      <c r="S108" s="2296"/>
      <c r="T108" s="2296"/>
      <c r="U108" s="2296"/>
      <c r="V108" s="2296"/>
    </row>
  </sheetData>
  <mergeCells count="71">
    <mergeCell ref="W6:Y6"/>
    <mergeCell ref="A9:Y9"/>
    <mergeCell ref="D10:E10"/>
    <mergeCell ref="F5:G5"/>
    <mergeCell ref="W3:Y3"/>
    <mergeCell ref="W4:Y4"/>
    <mergeCell ref="O5:P5"/>
    <mergeCell ref="W5:Y5"/>
    <mergeCell ref="A11:A13"/>
    <mergeCell ref="B11:B13"/>
    <mergeCell ref="C11:C13"/>
    <mergeCell ref="D11:E11"/>
    <mergeCell ref="F11:G11"/>
    <mergeCell ref="D12:E12"/>
    <mergeCell ref="F12:G12"/>
    <mergeCell ref="F91:G91"/>
    <mergeCell ref="H91:I91"/>
    <mergeCell ref="J91:O91"/>
    <mergeCell ref="A41:A43"/>
    <mergeCell ref="A44:A46"/>
    <mergeCell ref="A47:A49"/>
    <mergeCell ref="A50:A52"/>
    <mergeCell ref="D90:E90"/>
    <mergeCell ref="F90:G90"/>
    <mergeCell ref="H90:I90"/>
    <mergeCell ref="J90:O90"/>
    <mergeCell ref="A68:A70"/>
    <mergeCell ref="A71:A73"/>
    <mergeCell ref="A74:A76"/>
    <mergeCell ref="A77:A79"/>
    <mergeCell ref="A89:U89"/>
    <mergeCell ref="P90:Y90"/>
    <mergeCell ref="H11:I11"/>
    <mergeCell ref="J11:Y11"/>
    <mergeCell ref="X12:Y12"/>
    <mergeCell ref="AE12:AJ12"/>
    <mergeCell ref="H12:I12"/>
    <mergeCell ref="A15:Y15"/>
    <mergeCell ref="A28:Y28"/>
    <mergeCell ref="A32:A34"/>
    <mergeCell ref="A35:A37"/>
    <mergeCell ref="A38:A40"/>
    <mergeCell ref="A53:A55"/>
    <mergeCell ref="A56:A58"/>
    <mergeCell ref="A59:A61"/>
    <mergeCell ref="A62:A64"/>
    <mergeCell ref="A65:A67"/>
    <mergeCell ref="AL12:AQ12"/>
    <mergeCell ref="J12:K12"/>
    <mergeCell ref="L12:M12"/>
    <mergeCell ref="N12:O12"/>
    <mergeCell ref="P12:Q12"/>
    <mergeCell ref="V12:W12"/>
    <mergeCell ref="R12:S12"/>
    <mergeCell ref="T12:U12"/>
    <mergeCell ref="P91:Y92"/>
    <mergeCell ref="J92:O92"/>
    <mergeCell ref="J93:O93"/>
    <mergeCell ref="J94:O94"/>
    <mergeCell ref="D101:K101"/>
    <mergeCell ref="R101:V101"/>
    <mergeCell ref="H94:I94"/>
    <mergeCell ref="D93:E93"/>
    <mergeCell ref="F93:G93"/>
    <mergeCell ref="D94:E94"/>
    <mergeCell ref="F94:G94"/>
    <mergeCell ref="H93:I93"/>
    <mergeCell ref="D92:E92"/>
    <mergeCell ref="F92:G92"/>
    <mergeCell ref="H92:I92"/>
    <mergeCell ref="D91:E91"/>
  </mergeCells>
  <conditionalFormatting sqref="F6:G90">
    <cfRule type="cellIs" dxfId="3" priority="2" operator="equal">
      <formula>0</formula>
    </cfRule>
  </conditionalFormatting>
  <conditionalFormatting sqref="F1:I4 M1:P4 E1:E9 D1:D13 J1:J24 K1:N31 Q1:Y31 A1:C93 Z1:IX94 F6:F9 G6:I24 O6:P31 E11:E13 F11:F24 D15:E79 F25:J79 K32:Y79 D80:Y84 K85:Y88 D85:E91 G85:I91 F85:F95 J85:J95 K89:O89 Q89:Y89 P89:P91 K91:O91 H92 A92:D95 P93:Y94 A94:J94 A95:XFD65543">
    <cfRule type="cellIs" dxfId="2" priority="1" operator="equal">
      <formula>0</formula>
    </cfRule>
  </conditionalFormatting>
  <conditionalFormatting sqref="H1:L33 O1:W33 A1:E81 X1:HQ96 M6:N33 D16:W90 A82:W86 O87:W91 A87:E93 G87:P93 H93:I95 N95:W96 A96:J96 G97:W107 A97:F65541 X97:XFD65541 G108 G109:W65541">
    <cfRule type="cellIs" dxfId="1" priority="23" operator="equal">
      <formula>0</formula>
    </cfRule>
  </conditionalFormatting>
  <conditionalFormatting sqref="N28">
    <cfRule type="cellIs" dxfId="0" priority="4"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104">
    <tabColor rgb="FFEC20C5"/>
    <pageSetUpPr fitToPage="1"/>
  </sheetPr>
  <dimension ref="A1:L50"/>
  <sheetViews>
    <sheetView topLeftCell="A31" workbookViewId="0">
      <selection activeCell="B2" sqref="B2:F2"/>
    </sheetView>
  </sheetViews>
  <sheetFormatPr defaultColWidth="9.109375" defaultRowHeight="13.8"/>
  <cols>
    <col min="1" max="1" width="7.88671875" style="614" customWidth="1"/>
    <col min="2" max="2" width="56.44140625" style="9" customWidth="1"/>
    <col min="3" max="3" width="14.6640625" style="9" customWidth="1"/>
    <col min="4" max="4" width="14.44140625" style="614" customWidth="1"/>
    <col min="5" max="7" width="14.44140625" style="9" customWidth="1"/>
    <col min="8" max="8" width="7.6640625" style="9" customWidth="1"/>
    <col min="9" max="16384" width="9.109375" style="9"/>
  </cols>
  <sheetData>
    <row r="1" spans="1:12" ht="85.95" customHeight="1">
      <c r="A1" s="813"/>
      <c r="F1" s="3076" t="s">
        <v>1264</v>
      </c>
      <c r="G1" s="3076"/>
    </row>
    <row r="2" spans="1:12" ht="45.75" customHeight="1">
      <c r="A2" s="9"/>
      <c r="B2" s="3077" t="s">
        <v>1265</v>
      </c>
      <c r="C2" s="3077"/>
      <c r="D2" s="3077"/>
      <c r="E2" s="3077"/>
      <c r="F2" s="3077"/>
      <c r="G2" s="620"/>
    </row>
    <row r="3" spans="1:12" ht="14.4" thickBot="1">
      <c r="G3" s="9" t="s">
        <v>792</v>
      </c>
    </row>
    <row r="4" spans="1:12" ht="30" customHeight="1" thickBot="1">
      <c r="A4" s="2918" t="s">
        <v>7</v>
      </c>
      <c r="B4" s="2918" t="s">
        <v>534</v>
      </c>
      <c r="C4" s="2918" t="s">
        <v>1266</v>
      </c>
      <c r="D4" s="2921" t="s">
        <v>1267</v>
      </c>
      <c r="E4" s="2922"/>
      <c r="F4" s="2922"/>
      <c r="G4" s="2923"/>
      <c r="H4" s="86"/>
      <c r="I4" s="86"/>
    </row>
    <row r="5" spans="1:12" ht="75" customHeight="1" thickBot="1">
      <c r="A5" s="2919"/>
      <c r="B5" s="2920"/>
      <c r="C5" s="2920"/>
      <c r="D5" s="680" t="s">
        <v>1268</v>
      </c>
      <c r="E5" s="680" t="s">
        <v>1269</v>
      </c>
      <c r="F5" s="680" t="s">
        <v>1270</v>
      </c>
      <c r="G5" s="680" t="s">
        <v>1271</v>
      </c>
      <c r="H5" s="86"/>
      <c r="I5" s="86"/>
    </row>
    <row r="6" spans="1:12" ht="14.4" thickBot="1">
      <c r="A6" s="681">
        <v>1</v>
      </c>
      <c r="B6" s="682">
        <v>2</v>
      </c>
      <c r="C6" s="678">
        <v>3</v>
      </c>
      <c r="D6" s="681">
        <v>4</v>
      </c>
      <c r="E6" s="678">
        <v>5</v>
      </c>
      <c r="F6" s="682">
        <v>6</v>
      </c>
      <c r="G6" s="679">
        <v>7</v>
      </c>
    </row>
    <row r="7" spans="1:12" ht="14.4" thickBot="1">
      <c r="A7" s="708" t="s">
        <v>1418</v>
      </c>
      <c r="B7" s="2913" t="s">
        <v>1272</v>
      </c>
      <c r="C7" s="3078"/>
      <c r="D7" s="3078"/>
      <c r="E7" s="3078"/>
      <c r="F7" s="3078"/>
      <c r="G7" s="3079"/>
    </row>
    <row r="8" spans="1:12" ht="16.95" customHeight="1">
      <c r="A8" s="684" t="s">
        <v>1273</v>
      </c>
      <c r="B8" s="685" t="s">
        <v>1274</v>
      </c>
      <c r="C8" s="684" t="s">
        <v>210</v>
      </c>
      <c r="D8" s="684" t="e">
        <f>SUM(D9:D11)</f>
        <v>#REF!</v>
      </c>
      <c r="E8" s="686" t="e">
        <f>SUM(E9:E11)</f>
        <v>#REF!</v>
      </c>
      <c r="F8" s="684" t="e">
        <f>SUM(F9:F11)</f>
        <v>#REF!</v>
      </c>
      <c r="G8" s="687" t="e">
        <f>SUM(G9:G11)</f>
        <v>#REF!</v>
      </c>
      <c r="H8" s="310"/>
      <c r="I8" s="310"/>
      <c r="J8" s="310"/>
      <c r="K8" s="310"/>
      <c r="L8" s="310"/>
    </row>
    <row r="9" spans="1:12" ht="16.95" customHeight="1">
      <c r="A9" s="688" t="s">
        <v>806</v>
      </c>
      <c r="B9" s="689" t="s">
        <v>1275</v>
      </c>
      <c r="C9" s="688" t="s">
        <v>210</v>
      </c>
      <c r="D9" s="688" t="e">
        <f>'Додаток 3 до рішення'!D7</f>
        <v>#REF!</v>
      </c>
      <c r="E9" s="688" t="e">
        <f>IF(E10=0,0,'Додаток 3 до рішення'!E7)</f>
        <v>#REF!</v>
      </c>
      <c r="F9" s="688" t="e">
        <f>'Додаток 3 до рішення'!F7</f>
        <v>#REF!</v>
      </c>
      <c r="G9" s="688" t="e">
        <f>'Додаток 3 до рішення'!G7</f>
        <v>#REF!</v>
      </c>
      <c r="H9" s="310"/>
      <c r="I9" s="310"/>
      <c r="J9" s="310"/>
      <c r="K9" s="310"/>
      <c r="L9" s="310"/>
    </row>
    <row r="10" spans="1:12" ht="32.4" customHeight="1">
      <c r="A10" s="688" t="s">
        <v>808</v>
      </c>
      <c r="B10" s="690" t="s">
        <v>1276</v>
      </c>
      <c r="C10" s="688" t="s">
        <v>210</v>
      </c>
      <c r="D10" s="688" t="e">
        <f>'Додаток 4 до рішення'!D7</f>
        <v>#REF!</v>
      </c>
      <c r="E10" s="688" t="e">
        <f>'Додаток 4 до рішення'!E7</f>
        <v>#REF!</v>
      </c>
      <c r="F10" s="688" t="e">
        <f>'Додаток 4 до рішення'!F7</f>
        <v>#REF!</v>
      </c>
      <c r="G10" s="688" t="e">
        <f>'Додаток 4 до рішення'!G7</f>
        <v>#REF!</v>
      </c>
      <c r="H10" s="310"/>
      <c r="I10" s="310"/>
      <c r="J10" s="310"/>
      <c r="K10" s="310"/>
      <c r="L10" s="310"/>
    </row>
    <row r="11" spans="1:12" ht="16.95" customHeight="1" thickBot="1">
      <c r="A11" s="691" t="s">
        <v>810</v>
      </c>
      <c r="B11" s="692" t="s">
        <v>1277</v>
      </c>
      <c r="C11" s="691" t="s">
        <v>210</v>
      </c>
      <c r="D11" s="691" t="e">
        <f>'Додаток 6 до рішення'!D7</f>
        <v>#REF!</v>
      </c>
      <c r="E11" s="691" t="e">
        <f>IF(E10=0,0,'Додаток 6 до рішення'!E7)</f>
        <v>#REF!</v>
      </c>
      <c r="F11" s="691" t="e">
        <f>'Додаток 6 до рішення'!F7</f>
        <v>#REF!</v>
      </c>
      <c r="G11" s="691" t="e">
        <f>'Додаток 6 до рішення'!G7</f>
        <v>#REF!</v>
      </c>
      <c r="H11" s="310"/>
      <c r="I11" s="310"/>
      <c r="J11" s="310"/>
      <c r="K11" s="310"/>
      <c r="L11" s="310"/>
    </row>
    <row r="12" spans="1:12" ht="18.75" customHeight="1" thickBot="1">
      <c r="A12" s="693" t="s">
        <v>1278</v>
      </c>
      <c r="B12" s="2913" t="s">
        <v>1419</v>
      </c>
      <c r="C12" s="3074"/>
      <c r="D12" s="3074"/>
      <c r="E12" s="3074"/>
      <c r="F12" s="3074"/>
      <c r="G12" s="3075"/>
      <c r="H12" s="661"/>
    </row>
    <row r="13" spans="1:12" s="14" customFormat="1">
      <c r="A13" s="694" t="s">
        <v>804</v>
      </c>
      <c r="B13" s="695" t="s">
        <v>1279</v>
      </c>
      <c r="C13" s="688" t="e">
        <f>C14+C19+C20+C24</f>
        <v>#REF!</v>
      </c>
      <c r="D13" s="688" t="e">
        <f>D14+D19+D20+D24</f>
        <v>#REF!</v>
      </c>
      <c r="E13" s="688" t="e">
        <f>E14+E19+E20+E24</f>
        <v>#REF!</v>
      </c>
      <c r="F13" s="688" t="e">
        <f>F14+F19+F20+F24</f>
        <v>#REF!</v>
      </c>
      <c r="G13" s="688" t="e">
        <f>G14+G19+G20+G24</f>
        <v>#REF!</v>
      </c>
      <c r="H13" s="661"/>
    </row>
    <row r="14" spans="1:12">
      <c r="A14" s="696" t="s">
        <v>806</v>
      </c>
      <c r="B14" s="68" t="s">
        <v>1280</v>
      </c>
      <c r="C14" s="697" t="e">
        <f>SUM(C15:C18)</f>
        <v>#REF!</v>
      </c>
      <c r="D14" s="697" t="e">
        <f>SUM(D15:D18)</f>
        <v>#REF!</v>
      </c>
      <c r="E14" s="697" t="e">
        <f>SUM(E15:E18)</f>
        <v>#REF!</v>
      </c>
      <c r="F14" s="697" t="e">
        <f>SUM(F15:F18)</f>
        <v>#REF!</v>
      </c>
      <c r="G14" s="697" t="e">
        <f>SUM(G15:G18)</f>
        <v>#REF!</v>
      </c>
      <c r="H14" s="661"/>
      <c r="I14" s="310"/>
    </row>
    <row r="15" spans="1:12">
      <c r="A15" s="696" t="s">
        <v>1281</v>
      </c>
      <c r="B15" s="68" t="s">
        <v>1282</v>
      </c>
      <c r="C15" s="697" t="e">
        <f>'Додаток 3 до рішення'!I11</f>
        <v>#REF!</v>
      </c>
      <c r="D15" s="697">
        <f>'Додаток 3 до рішення'!D11</f>
        <v>970.03517428698422</v>
      </c>
      <c r="E15" s="697" t="e">
        <f>IF(E10=0,0,'Додаток 3 до рішення'!E11)</f>
        <v>#REF!</v>
      </c>
      <c r="F15" s="697">
        <f>'Додаток 3 до рішення'!F11</f>
        <v>980.6867487119747</v>
      </c>
      <c r="G15" s="697">
        <f>'Додаток 3 до рішення'!G11</f>
        <v>963.54078571696164</v>
      </c>
      <c r="H15" s="661"/>
    </row>
    <row r="16" spans="1:12">
      <c r="A16" s="696" t="s">
        <v>1283</v>
      </c>
      <c r="B16" s="68" t="s">
        <v>1284</v>
      </c>
      <c r="C16" s="697" t="e">
        <f>'Додаток 3 до рішення'!I12+'Додаток 4 до рішення'!C11</f>
        <v>#REF!</v>
      </c>
      <c r="D16" s="697" t="e">
        <f>'Додаток 3 до рішення'!D12+'Додаток 4 до рішення'!D11</f>
        <v>#REF!</v>
      </c>
      <c r="E16" s="697" t="e">
        <f>IF(E10=0,0,'Додаток 3 до рішення'!E12+'Додаток 4 до рішення'!E11)</f>
        <v>#REF!</v>
      </c>
      <c r="F16" s="697" t="e">
        <f>'Додаток 3 до рішення'!F12+'Додаток 4 до рішення'!F11</f>
        <v>#REF!</v>
      </c>
      <c r="G16" s="697" t="e">
        <f>'Додаток 3 до рішення'!G12+'Додаток 4 до рішення'!G11</f>
        <v>#REF!</v>
      </c>
      <c r="H16" s="661"/>
    </row>
    <row r="17" spans="1:8">
      <c r="A17" s="696" t="s">
        <v>1285</v>
      </c>
      <c r="B17" s="68" t="s">
        <v>1286</v>
      </c>
      <c r="C17" s="697" t="e">
        <f>'Додаток 3 до рішення'!I13+'Додаток 4 до рішення'!C12</f>
        <v>#REF!</v>
      </c>
      <c r="D17" s="697" t="e">
        <f>'Додаток 3 до рішення'!D13+'Додаток 4 до рішення'!D12</f>
        <v>#REF!</v>
      </c>
      <c r="E17" s="697" t="e">
        <f>IF(E10=0,0,'Додаток 3 до рішення'!E13+'Додаток 4 до рішення'!E12)</f>
        <v>#REF!</v>
      </c>
      <c r="F17" s="697" t="e">
        <f>'Додаток 3 до рішення'!F13+'Додаток 4 до рішення'!F12</f>
        <v>#REF!</v>
      </c>
      <c r="G17" s="697" t="e">
        <f>'Додаток 3 до рішення'!G13+'Додаток 4 до рішення'!G12</f>
        <v>#REF!</v>
      </c>
      <c r="H17" s="661"/>
    </row>
    <row r="18" spans="1:8">
      <c r="A18" s="696" t="s">
        <v>1287</v>
      </c>
      <c r="B18" s="68" t="s">
        <v>1171</v>
      </c>
      <c r="C18" s="697" t="e">
        <f>'Додаток 3 до рішення'!I14+'Додаток 4 до рішення'!C13+'Додаток 6 до рішення'!I10</f>
        <v>#REF!</v>
      </c>
      <c r="D18" s="697" t="e">
        <f>'Додаток 3 до рішення'!D14+'Додаток 4 до рішення'!D13+'Додаток 6 до рішення'!D10</f>
        <v>#REF!</v>
      </c>
      <c r="E18" s="697" t="e">
        <f>IF(E10=0,0,'Додаток 3 до рішення'!E14+'Додаток 4 до рішення'!E13+'Додаток 6 до рішення'!E10)</f>
        <v>#REF!</v>
      </c>
      <c r="F18" s="697" t="e">
        <f>'Додаток 3 до рішення'!F14+'Додаток 4 до рішення'!F13+'Додаток 6 до рішення'!F10</f>
        <v>#REF!</v>
      </c>
      <c r="G18" s="697" t="e">
        <f>'Додаток 3 до рішення'!G14+'Додаток 4 до рішення'!G13+'Додаток 6 до рішення'!G10</f>
        <v>#REF!</v>
      </c>
      <c r="H18" s="661"/>
    </row>
    <row r="19" spans="1:8">
      <c r="A19" s="698" t="s">
        <v>808</v>
      </c>
      <c r="B19" s="155" t="s">
        <v>1288</v>
      </c>
      <c r="C19" s="688" t="e">
        <f>'Додаток 3 до рішення'!I15+'Додаток 4 до рішення'!C15+'Додаток 6 до рішення'!I11</f>
        <v>#REF!</v>
      </c>
      <c r="D19" s="688" t="e">
        <f>'Додаток 3 до рішення'!D15+'Додаток 4 до рішення'!D15+'Додаток 6 до рішення'!D11</f>
        <v>#REF!</v>
      </c>
      <c r="E19" s="688" t="e">
        <f>IF(E10=0,0,'Додаток 3 до рішення'!E15+'Додаток 4 до рішення'!E15+'Додаток 6 до рішення'!E11)</f>
        <v>#REF!</v>
      </c>
      <c r="F19" s="688" t="e">
        <f>'Додаток 3 до рішення'!F15+'Додаток 4 до рішення'!F15+'Додаток 6 до рішення'!F11</f>
        <v>#REF!</v>
      </c>
      <c r="G19" s="688" t="e">
        <f>'Додаток 3 до рішення'!G15+'Додаток 4 до рішення'!G15+'Додаток 6 до рішення'!G11</f>
        <v>#REF!</v>
      </c>
      <c r="H19" s="661"/>
    </row>
    <row r="20" spans="1:8">
      <c r="A20" s="698" t="s">
        <v>810</v>
      </c>
      <c r="B20" s="155" t="s">
        <v>1289</v>
      </c>
      <c r="C20" s="688" t="e">
        <f>C21+C22+C23</f>
        <v>#REF!</v>
      </c>
      <c r="D20" s="688" t="e">
        <f>D21+D22+D23</f>
        <v>#REF!</v>
      </c>
      <c r="E20" s="688" t="e">
        <f>E21+E22+E23</f>
        <v>#REF!</v>
      </c>
      <c r="F20" s="688" t="e">
        <f>F21+F22+F23</f>
        <v>#REF!</v>
      </c>
      <c r="G20" s="688" t="e">
        <f>G21+G22+G23</f>
        <v>#REF!</v>
      </c>
      <c r="H20" s="661"/>
    </row>
    <row r="21" spans="1:8">
      <c r="A21" s="696" t="s">
        <v>1290</v>
      </c>
      <c r="B21" s="68" t="s">
        <v>1291</v>
      </c>
      <c r="C21" s="697" t="e">
        <f>'Додаток 3 до рішення'!I17+'Додаток 4 до рішення'!C17+'Додаток 6 до рішення'!I13</f>
        <v>#REF!</v>
      </c>
      <c r="D21" s="697" t="e">
        <f>'Додаток 3 до рішення'!D17+'Додаток 4 до рішення'!D17+'Додаток 6 до рішення'!D13</f>
        <v>#REF!</v>
      </c>
      <c r="E21" s="697" t="e">
        <f>IF(E10=0,0,'Додаток 3 до рішення'!E17+'Додаток 4 до рішення'!E17+'Додаток 6 до рішення'!E13)</f>
        <v>#REF!</v>
      </c>
      <c r="F21" s="697" t="e">
        <f>'Додаток 3 до рішення'!F17+'Додаток 4 до рішення'!F17+'Додаток 6 до рішення'!F13</f>
        <v>#REF!</v>
      </c>
      <c r="G21" s="697" t="e">
        <f>'Додаток 3 до рішення'!G17+'Додаток 4 до рішення'!G17+'Додаток 6 до рішення'!G13</f>
        <v>#REF!</v>
      </c>
      <c r="H21" s="661"/>
    </row>
    <row r="22" spans="1:8">
      <c r="A22" s="696" t="s">
        <v>1292</v>
      </c>
      <c r="B22" s="68" t="s">
        <v>1293</v>
      </c>
      <c r="C22" s="697" t="e">
        <f>'Додаток 3 до рішення'!I18+'Додаток 4 до рішення'!C18+'Додаток 6 до рішення'!I14</f>
        <v>#REF!</v>
      </c>
      <c r="D22" s="697" t="e">
        <f>'Додаток 3 до рішення'!D18+'Додаток 4 до рішення'!D18+'Додаток 6 до рішення'!D14</f>
        <v>#REF!</v>
      </c>
      <c r="E22" s="697" t="e">
        <f>IF(E10=0,0,'Додаток 3 до рішення'!E18+'Додаток 4 до рішення'!E18+'Додаток 6 до рішення'!E14)</f>
        <v>#REF!</v>
      </c>
      <c r="F22" s="697" t="e">
        <f>'Додаток 3 до рішення'!F18+'Додаток 4 до рішення'!F18+'Додаток 6 до рішення'!F14</f>
        <v>#REF!</v>
      </c>
      <c r="G22" s="697" t="e">
        <f>'Додаток 3 до рішення'!G18+'Додаток 4 до рішення'!G18+'Додаток 6 до рішення'!G14</f>
        <v>#REF!</v>
      </c>
      <c r="H22" s="661"/>
    </row>
    <row r="23" spans="1:8">
      <c r="A23" s="696" t="s">
        <v>1294</v>
      </c>
      <c r="B23" s="68" t="s">
        <v>77</v>
      </c>
      <c r="C23" s="697" t="e">
        <f>'Додаток 3 до рішення'!I19+'Додаток 4 до рішення'!C19+'Додаток 6 до рішення'!I15</f>
        <v>#REF!</v>
      </c>
      <c r="D23" s="697" t="e">
        <f>'Додаток 3 до рішення'!D19+'Додаток 4 до рішення'!D19+'Додаток 6 до рішення'!D15</f>
        <v>#REF!</v>
      </c>
      <c r="E23" s="697" t="e">
        <f>IF(E10=0,0,'Додаток 3 до рішення'!E19+'Додаток 4 до рішення'!E19+'Додаток 6 до рішення'!E15)</f>
        <v>#REF!</v>
      </c>
      <c r="F23" s="697" t="e">
        <f>'Додаток 3 до рішення'!F19+'Додаток 4 до рішення'!F19+'Додаток 6 до рішення'!F15</f>
        <v>#REF!</v>
      </c>
      <c r="G23" s="697" t="e">
        <f>'Додаток 3 до рішення'!G19+'Додаток 4 до рішення'!G19+'Додаток 6 до рішення'!G15</f>
        <v>#REF!</v>
      </c>
      <c r="H23" s="661"/>
    </row>
    <row r="24" spans="1:8" s="14" customFormat="1">
      <c r="A24" s="698" t="s">
        <v>812</v>
      </c>
      <c r="B24" s="155" t="s">
        <v>1295</v>
      </c>
      <c r="C24" s="688" t="e">
        <f>C25+C26+C27+C28</f>
        <v>#REF!</v>
      </c>
      <c r="D24" s="688" t="e">
        <f>D25+D26+D27+D28</f>
        <v>#REF!</v>
      </c>
      <c r="E24" s="688" t="e">
        <f>E25+E26+E27+E28</f>
        <v>#REF!</v>
      </c>
      <c r="F24" s="688" t="e">
        <f>F25+F26+F27+F28</f>
        <v>#REF!</v>
      </c>
      <c r="G24" s="688" t="e">
        <f>G25+G26+G27+G28</f>
        <v>#REF!</v>
      </c>
      <c r="H24" s="661"/>
    </row>
    <row r="25" spans="1:8">
      <c r="A25" s="699" t="s">
        <v>1296</v>
      </c>
      <c r="B25" s="68" t="s">
        <v>1297</v>
      </c>
      <c r="C25" s="697" t="e">
        <f>'Додаток 3 до рішення'!I21+'Додаток 4 до рішення'!C21+'Додаток 6 до рішення'!I17</f>
        <v>#REF!</v>
      </c>
      <c r="D25" s="697" t="e">
        <f>'Додаток 3 до рішення'!D21+'Додаток 4 до рішення'!D21+'Додаток 6 до рішення'!D17</f>
        <v>#REF!</v>
      </c>
      <c r="E25" s="697" t="e">
        <f>IF(E10=0,0,'Додаток 3 до рішення'!E21+'Додаток 4 до рішення'!E21+'Додаток 6 до рішення'!E17)</f>
        <v>#REF!</v>
      </c>
      <c r="F25" s="697" t="e">
        <f>'Додаток 3 до рішення'!F21+'Додаток 4 до рішення'!F21+'Додаток 6 до рішення'!F17</f>
        <v>#REF!</v>
      </c>
      <c r="G25" s="697" t="e">
        <f>'Додаток 3 до рішення'!G21+'Додаток 4 до рішення'!G21+'Додаток 6 до рішення'!G17</f>
        <v>#REF!</v>
      </c>
      <c r="H25" s="661"/>
    </row>
    <row r="26" spans="1:8">
      <c r="A26" s="699" t="s">
        <v>1298</v>
      </c>
      <c r="B26" s="68" t="s">
        <v>1172</v>
      </c>
      <c r="C26" s="697" t="e">
        <f>'Додаток 3 до рішення'!I22+'Додаток 4 до рішення'!C22+'Додаток 6 до рішення'!I18</f>
        <v>#REF!</v>
      </c>
      <c r="D26" s="697" t="e">
        <f>'Додаток 3 до рішення'!D22+'Додаток 4 до рішення'!D22+'Додаток 6 до рішення'!D18</f>
        <v>#REF!</v>
      </c>
      <c r="E26" s="697" t="e">
        <f>IF(E10=0,0,'Додаток 3 до рішення'!E22+'Додаток 4 до рішення'!E22+'Додаток 6 до рішення'!E18)</f>
        <v>#REF!</v>
      </c>
      <c r="F26" s="697" t="e">
        <f>'Додаток 3 до рішення'!F22+'Додаток 4 до рішення'!F22+'Додаток 6 до рішення'!F18</f>
        <v>#REF!</v>
      </c>
      <c r="G26" s="697" t="e">
        <f>'Додаток 3 до рішення'!G22+'Додаток 4 до рішення'!G22+'Додаток 6 до рішення'!G18</f>
        <v>#REF!</v>
      </c>
      <c r="H26" s="661"/>
    </row>
    <row r="27" spans="1:8">
      <c r="A27" s="699" t="s">
        <v>1299</v>
      </c>
      <c r="B27" s="68" t="s">
        <v>1293</v>
      </c>
      <c r="C27" s="697" t="e">
        <f>'Додаток 3 до рішення'!I23+'Додаток 4 до рішення'!C24+'Додаток 6 до рішення'!I19</f>
        <v>#REF!</v>
      </c>
      <c r="D27" s="697" t="e">
        <f>'Додаток 3 до рішення'!D23+'Додаток 4 до рішення'!D24+'Додаток 6 до рішення'!D19</f>
        <v>#REF!</v>
      </c>
      <c r="E27" s="697" t="e">
        <f>IF(E10=0,0,'Додаток 3 до рішення'!E23+'Додаток 4 до рішення'!E24+'Додаток 6 до рішення'!E19)</f>
        <v>#REF!</v>
      </c>
      <c r="F27" s="697" t="e">
        <f>'Додаток 3 до рішення'!F23+'Додаток 4 до рішення'!F24+'Додаток 6 до рішення'!F19</f>
        <v>#REF!</v>
      </c>
      <c r="G27" s="697" t="e">
        <f>'Додаток 3 до рішення'!G23+'Додаток 4 до рішення'!G24+'Додаток 6 до рішення'!G19</f>
        <v>#REF!</v>
      </c>
      <c r="H27" s="661"/>
    </row>
    <row r="28" spans="1:8">
      <c r="A28" s="699" t="s">
        <v>1300</v>
      </c>
      <c r="B28" s="68" t="s">
        <v>54</v>
      </c>
      <c r="C28" s="697" t="e">
        <f>'Додаток 3 до рішення'!I24+'Додаток 4 до рішення'!#REF!+'Додаток 6 до рішення'!I20</f>
        <v>#REF!</v>
      </c>
      <c r="D28" s="697" t="e">
        <f>'Додаток 3 до рішення'!D24+'Додаток 4 до рішення'!#REF!+'Додаток 6 до рішення'!D20</f>
        <v>#REF!</v>
      </c>
      <c r="E28" s="697" t="e">
        <f>IF(E10=0,0,'Додаток 3 до рішення'!E24+'Додаток 4 до рішення'!#REF!+'Додаток 6 до рішення'!E20)</f>
        <v>#REF!</v>
      </c>
      <c r="F28" s="697" t="e">
        <f>'Додаток 3 до рішення'!F24+'Додаток 4 до рішення'!#REF!+'Додаток 6 до рішення'!F20</f>
        <v>#REF!</v>
      </c>
      <c r="G28" s="697" t="e">
        <f>'Додаток 3 до рішення'!G24+'Додаток 4 до рішення'!#REF!+'Додаток 6 до рішення'!G20</f>
        <v>#REF!</v>
      </c>
      <c r="H28" s="661"/>
    </row>
    <row r="29" spans="1:8" s="14" customFormat="1">
      <c r="A29" s="694" t="s">
        <v>821</v>
      </c>
      <c r="B29" s="155" t="s">
        <v>1301</v>
      </c>
      <c r="C29" s="688" t="e">
        <f>C30+C31+C32+C33</f>
        <v>#REF!</v>
      </c>
      <c r="D29" s="688" t="e">
        <f>D30+D31+D32+D33</f>
        <v>#REF!</v>
      </c>
      <c r="E29" s="688" t="e">
        <f>E30+E31+E32+E33</f>
        <v>#REF!</v>
      </c>
      <c r="F29" s="688" t="e">
        <f>F30+F31+F32+F33</f>
        <v>#REF!</v>
      </c>
      <c r="G29" s="688" t="e">
        <f>G30+G31+G32+G33</f>
        <v>#REF!</v>
      </c>
      <c r="H29" s="661"/>
    </row>
    <row r="30" spans="1:8">
      <c r="A30" s="699" t="s">
        <v>1302</v>
      </c>
      <c r="B30" s="68" t="s">
        <v>51</v>
      </c>
      <c r="C30" s="697" t="e">
        <f>'Додаток 3 до рішення'!I26+'Додаток 4 до рішення'!C26+'Додаток 6 до рішення'!I22</f>
        <v>#REF!</v>
      </c>
      <c r="D30" s="697" t="e">
        <f>'Додаток 3 до рішення'!D26+'Додаток 4 до рішення'!D26+'Додаток 6 до рішення'!D22</f>
        <v>#REF!</v>
      </c>
      <c r="E30" s="697" t="e">
        <f>IF(E10=0,0,'Додаток 3 до рішення'!E26+'Додаток 4 до рішення'!E26+'Додаток 6 до рішення'!E22)</f>
        <v>#REF!</v>
      </c>
      <c r="F30" s="697" t="e">
        <f>'Додаток 3 до рішення'!F26+'Додаток 4 до рішення'!F26+'Додаток 6 до рішення'!F22</f>
        <v>#REF!</v>
      </c>
      <c r="G30" s="697" t="e">
        <f>'Додаток 3 до рішення'!G26+'Додаток 4 до рішення'!G26+'Додаток 6 до рішення'!G22</f>
        <v>#REF!</v>
      </c>
      <c r="H30" s="661"/>
    </row>
    <row r="31" spans="1:8">
      <c r="A31" s="699" t="s">
        <v>1303</v>
      </c>
      <c r="B31" s="68" t="s">
        <v>1304</v>
      </c>
      <c r="C31" s="697" t="e">
        <f>'Додаток 3 до рішення'!I27+'Додаток 4 до рішення'!C27+'Додаток 6 до рішення'!I23</f>
        <v>#REF!</v>
      </c>
      <c r="D31" s="697" t="e">
        <f>'Додаток 3 до рішення'!D27+'Додаток 4 до рішення'!D27+'Додаток 6 до рішення'!D23</f>
        <v>#REF!</v>
      </c>
      <c r="E31" s="697" t="e">
        <f>IF(E10=0,0,'Додаток 3 до рішення'!E27+'Додаток 4 до рішення'!E27+'Додаток 6 до рішення'!E23)</f>
        <v>#REF!</v>
      </c>
      <c r="F31" s="697" t="e">
        <f>'Додаток 3 до рішення'!F27+'Додаток 4 до рішення'!F27+'Додаток 6 до рішення'!F23</f>
        <v>#REF!</v>
      </c>
      <c r="G31" s="697" t="e">
        <f>'Додаток 3 до рішення'!G27+'Додаток 4 до рішення'!G27+'Додаток 6 до рішення'!G23</f>
        <v>#REF!</v>
      </c>
      <c r="H31" s="661"/>
    </row>
    <row r="32" spans="1:8">
      <c r="A32" s="699" t="s">
        <v>1305</v>
      </c>
      <c r="B32" s="68" t="s">
        <v>1293</v>
      </c>
      <c r="C32" s="697" t="e">
        <f>'Додаток 3 до рішення'!I28+'Додаток 4 до рішення'!C29+'Додаток 6 до рішення'!I24</f>
        <v>#REF!</v>
      </c>
      <c r="D32" s="697" t="e">
        <f>'Додаток 3 до рішення'!D28+'Додаток 4 до рішення'!D29+'Додаток 6 до рішення'!D24</f>
        <v>#REF!</v>
      </c>
      <c r="E32" s="697" t="e">
        <f>IF(E10=0,0,'Додаток 3 до рішення'!E28+'Додаток 4 до рішення'!E29+'Додаток 6 до рішення'!E24)</f>
        <v>#REF!</v>
      </c>
      <c r="F32" s="697" t="e">
        <f>'Додаток 3 до рішення'!F28+'Додаток 4 до рішення'!F29+'Додаток 6 до рішення'!F24</f>
        <v>#REF!</v>
      </c>
      <c r="G32" s="697" t="e">
        <f>'Додаток 3 до рішення'!G28+'Додаток 4 до рішення'!G29+'Додаток 6 до рішення'!G24</f>
        <v>#REF!</v>
      </c>
      <c r="H32" s="661"/>
    </row>
    <row r="33" spans="1:9">
      <c r="A33" s="699" t="s">
        <v>1306</v>
      </c>
      <c r="B33" s="68" t="s">
        <v>1307</v>
      </c>
      <c r="C33" s="697" t="e">
        <f>'Додаток 3 до рішення'!I29+'Додаток 4 до рішення'!#REF!+'Додаток 6 до рішення'!I25</f>
        <v>#REF!</v>
      </c>
      <c r="D33" s="697" t="e">
        <f>'Додаток 3 до рішення'!D29+'Додаток 4 до рішення'!#REF!+'Додаток 6 до рішення'!D25</f>
        <v>#REF!</v>
      </c>
      <c r="E33" s="697" t="e">
        <f>IF(E10=0,0,'Додаток 3 до рішення'!E29+'Додаток 4 до рішення'!#REF!+'Додаток 6 до рішення'!E25)</f>
        <v>#REF!</v>
      </c>
      <c r="F33" s="697" t="e">
        <f>'Додаток 3 до рішення'!F29+'Додаток 4 до рішення'!#REF!+'Додаток 6 до рішення'!F25</f>
        <v>#REF!</v>
      </c>
      <c r="G33" s="697" t="e">
        <f>'Додаток 3 до рішення'!G29+'Додаток 4 до рішення'!#REF!+'Додаток 6 до рішення'!G25</f>
        <v>#REF!</v>
      </c>
      <c r="H33" s="661"/>
    </row>
    <row r="34" spans="1:9" s="14" customFormat="1">
      <c r="A34" s="694" t="s">
        <v>823</v>
      </c>
      <c r="B34" s="155" t="s">
        <v>1308</v>
      </c>
      <c r="C34" s="694">
        <v>0</v>
      </c>
      <c r="D34" s="694">
        <v>0</v>
      </c>
      <c r="E34" s="694">
        <v>0</v>
      </c>
      <c r="F34" s="694">
        <v>0</v>
      </c>
      <c r="G34" s="694">
        <v>0</v>
      </c>
      <c r="H34" s="661"/>
    </row>
    <row r="35" spans="1:9" s="14" customFormat="1" ht="27.6">
      <c r="A35" s="694" t="s">
        <v>826</v>
      </c>
      <c r="B35" s="831" t="s">
        <v>1309</v>
      </c>
      <c r="C35" s="688" t="e">
        <f>'Додаток 4 до рішення'!#REF!</f>
        <v>#REF!</v>
      </c>
      <c r="D35" s="688" t="e">
        <f>'Додаток 4 до рішення'!#REF!</f>
        <v>#REF!</v>
      </c>
      <c r="E35" s="688" t="e">
        <f>IF(E10=0,0,'Додаток 4 до рішення'!#REF!)</f>
        <v>#REF!</v>
      </c>
      <c r="F35" s="688" t="e">
        <f>'Додаток 4 до рішення'!#REF!</f>
        <v>#REF!</v>
      </c>
      <c r="G35" s="688" t="e">
        <f>'Додаток 4 до рішення'!#REF!</f>
        <v>#REF!</v>
      </c>
      <c r="H35" s="661"/>
      <c r="I35" s="551" t="e">
        <f>G35*G46+F35*F46+E35*E46+D35*D46-C35</f>
        <v>#REF!</v>
      </c>
    </row>
    <row r="36" spans="1:9" s="14" customFormat="1">
      <c r="A36" s="694" t="s">
        <v>891</v>
      </c>
      <c r="B36" s="155" t="s">
        <v>1310</v>
      </c>
      <c r="C36" s="688" t="e">
        <f>'Додаток 3 до рішення'!I31+'Додаток 4 до рішення'!C32+'Додаток 6 до рішення'!I27</f>
        <v>#REF!</v>
      </c>
      <c r="D36" s="688" t="e">
        <f>'Додаток 3 до рішення'!D31+'Додаток 4 до рішення'!D32+'Додаток 6 до рішення'!D27</f>
        <v>#REF!</v>
      </c>
      <c r="E36" s="688" t="e">
        <f>IF(E10=0,0,'Додаток 3 до рішення'!E31+'Додаток 4 до рішення'!E32+'Додаток 6 до рішення'!E27)</f>
        <v>#REF!</v>
      </c>
      <c r="F36" s="688" t="e">
        <f>'Додаток 3 до рішення'!F31+'Додаток 4 до рішення'!F32+'Додаток 6 до рішення'!F27</f>
        <v>#REF!</v>
      </c>
      <c r="G36" s="688" t="e">
        <f>'Додаток 3 до рішення'!G31+'Додаток 4 до рішення'!G32+'Додаток 6 до рішення'!G27</f>
        <v>#REF!</v>
      </c>
      <c r="H36" s="661"/>
    </row>
    <row r="37" spans="1:9" s="14" customFormat="1">
      <c r="A37" s="694" t="s">
        <v>897</v>
      </c>
      <c r="B37" s="155" t="s">
        <v>1311</v>
      </c>
      <c r="C37" s="694">
        <v>0</v>
      </c>
      <c r="D37" s="694">
        <v>0</v>
      </c>
      <c r="E37" s="694">
        <v>0</v>
      </c>
      <c r="F37" s="694">
        <v>0</v>
      </c>
      <c r="G37" s="694">
        <v>0</v>
      </c>
      <c r="H37" s="661"/>
    </row>
    <row r="38" spans="1:9" s="728" customFormat="1">
      <c r="A38" s="724" t="s">
        <v>903</v>
      </c>
      <c r="B38" s="725" t="s">
        <v>1312</v>
      </c>
      <c r="C38" s="726" t="e">
        <f>'Додаток 3 до рішення'!I33</f>
        <v>#REF!</v>
      </c>
      <c r="D38" s="726">
        <f>'Додаток 3 до рішення'!D33</f>
        <v>0</v>
      </c>
      <c r="E38" s="726" t="e">
        <f>IF(E10=0,0,'Додаток 3 до рішення'!E33)</f>
        <v>#REF!</v>
      </c>
      <c r="F38" s="726">
        <f>'Додаток 3 до рішення'!F33</f>
        <v>0</v>
      </c>
      <c r="G38" s="726">
        <f>'Додаток 3 до рішення'!G33</f>
        <v>0</v>
      </c>
      <c r="H38" s="727"/>
    </row>
    <row r="39" spans="1:9" s="14" customFormat="1">
      <c r="A39" s="694" t="s">
        <v>905</v>
      </c>
      <c r="B39" s="155" t="s">
        <v>1313</v>
      </c>
      <c r="C39" s="688" t="e">
        <f>SUM(C40:C43)</f>
        <v>#REF!</v>
      </c>
      <c r="D39" s="688" t="e">
        <f>SUM(D40:D43)</f>
        <v>#REF!</v>
      </c>
      <c r="E39" s="688" t="e">
        <f>SUM(E40:E43)</f>
        <v>#REF!</v>
      </c>
      <c r="F39" s="688" t="e">
        <f>SUM(F40:F43)</f>
        <v>#REF!</v>
      </c>
      <c r="G39" s="688" t="e">
        <f>SUM(G40:G43)</f>
        <v>#REF!</v>
      </c>
      <c r="H39" s="661"/>
    </row>
    <row r="40" spans="1:9">
      <c r="A40" s="699" t="s">
        <v>734</v>
      </c>
      <c r="B40" s="68" t="s">
        <v>61</v>
      </c>
      <c r="C40" s="697" t="e">
        <f>'Додаток 3 до рішення'!I35+'Додаток 4 до рішення'!C36+'Додаток 6 до рішення'!I31</f>
        <v>#REF!</v>
      </c>
      <c r="D40" s="697" t="e">
        <f>'Додаток 3 до рішення'!D35+'Додаток 4 до рішення'!D36+'Додаток 6 до рішення'!D31</f>
        <v>#REF!</v>
      </c>
      <c r="E40" s="697" t="e">
        <f>IF(E10=0,0,'Додаток 3 до рішення'!E35+'Додаток 4 до рішення'!E36+'Додаток 6 до рішення'!E31)</f>
        <v>#REF!</v>
      </c>
      <c r="F40" s="697" t="e">
        <f>'Додаток 3 до рішення'!F35+'Додаток 4 до рішення'!F36+'Додаток 6 до рішення'!F31</f>
        <v>#REF!</v>
      </c>
      <c r="G40" s="697" t="e">
        <f>'Додаток 3 до рішення'!G35+'Додаток 4 до рішення'!G36+'Додаток 6 до рішення'!G31</f>
        <v>#REF!</v>
      </c>
      <c r="H40" s="661"/>
    </row>
    <row r="41" spans="1:9">
      <c r="A41" s="699" t="s">
        <v>1314</v>
      </c>
      <c r="B41" s="68" t="s">
        <v>80</v>
      </c>
      <c r="C41" s="697" t="e">
        <f>'Додаток 3 до рішення'!I36+'Додаток 4 до рішення'!C37+'Додаток 6 до рішення'!I32</f>
        <v>#REF!</v>
      </c>
      <c r="D41" s="697" t="e">
        <f>'Додаток 3 до рішення'!D36+'Додаток 4 до рішення'!D37+'Додаток 6 до рішення'!D32</f>
        <v>#REF!</v>
      </c>
      <c r="E41" s="697" t="e">
        <f>IF(E10=0,0,'Додаток 3 до рішення'!E36+'Додаток 4 до рішення'!E37+'Додаток 6 до рішення'!E32)</f>
        <v>#REF!</v>
      </c>
      <c r="F41" s="697" t="e">
        <f>'Додаток 3 до рішення'!F36+'Додаток 4 до рішення'!F37+'Додаток 6 до рішення'!F32</f>
        <v>#REF!</v>
      </c>
      <c r="G41" s="697" t="e">
        <f>'Додаток 3 до рішення'!G36+'Додаток 4 до рішення'!G37+'Додаток 6 до рішення'!G32</f>
        <v>#REF!</v>
      </c>
      <c r="H41" s="661"/>
    </row>
    <row r="42" spans="1:9">
      <c r="A42" s="699" t="s">
        <v>1315</v>
      </c>
      <c r="B42" s="68" t="s">
        <v>67</v>
      </c>
      <c r="C42" s="697" t="e">
        <f>'Додаток 3 до рішення'!I37+'Додаток 4 до рішення'!C38+'Додаток 6 до рішення'!I33</f>
        <v>#REF!</v>
      </c>
      <c r="D42" s="697" t="e">
        <f>'Додаток 3 до рішення'!D37+'Додаток 4 до рішення'!D38+'Додаток 6 до рішення'!D33</f>
        <v>#REF!</v>
      </c>
      <c r="E42" s="697" t="e">
        <f>IF(E10=0,0,'Додаток 3 до рішення'!E37+'Додаток 4 до рішення'!E38+'Додаток 6 до рішення'!E33)</f>
        <v>#REF!</v>
      </c>
      <c r="F42" s="697" t="e">
        <f>'Додаток 3 до рішення'!F37+'Додаток 4 до рішення'!F38+'Додаток 6 до рішення'!F33</f>
        <v>#REF!</v>
      </c>
      <c r="G42" s="697" t="e">
        <f>'Додаток 3 до рішення'!G37+'Додаток 4 до рішення'!G38+'Додаток 6 до рішення'!G33</f>
        <v>#REF!</v>
      </c>
      <c r="H42" s="661"/>
    </row>
    <row r="43" spans="1:9" ht="14.4" thickBot="1">
      <c r="A43" s="700" t="s">
        <v>1316</v>
      </c>
      <c r="B43" s="701" t="s">
        <v>1222</v>
      </c>
      <c r="C43" s="702" t="e">
        <f>'Додаток 3 до рішення'!I38+'Додаток 4 до рішення'!C39+'Додаток 6 до рішення'!I34</f>
        <v>#REF!</v>
      </c>
      <c r="D43" s="702" t="e">
        <f>'Додаток 3 до рішення'!D38+'Додаток 4 до рішення'!D39+'Додаток 6 до рішення'!D34</f>
        <v>#REF!</v>
      </c>
      <c r="E43" s="702" t="e">
        <f>IF(E10=0,0,'Додаток 3 до рішення'!E38+'Додаток 4 до рішення'!E39+'Додаток 6 до рішення'!E34)</f>
        <v>#REF!</v>
      </c>
      <c r="F43" s="702" t="e">
        <f>'Додаток 3 до рішення'!F38+'Додаток 4 до рішення'!F39+'Додаток 6 до рішення'!F34</f>
        <v>#REF!</v>
      </c>
      <c r="G43" s="702" t="e">
        <f>'Додаток 3 до рішення'!G38+'Додаток 4 до рішення'!G39+'Додаток 6 до рішення'!G34</f>
        <v>#REF!</v>
      </c>
      <c r="H43" s="661"/>
    </row>
    <row r="44" spans="1:9" ht="14.4" thickBot="1">
      <c r="A44" s="693" t="s">
        <v>907</v>
      </c>
      <c r="B44" s="703" t="s">
        <v>1317</v>
      </c>
      <c r="C44" s="704" t="e">
        <f>C13+C29+C34+C35+C36+C37+C38+C39</f>
        <v>#REF!</v>
      </c>
      <c r="D44" s="704" t="e">
        <f>D13+D29+D34+D35+D36+D37+D38+D39</f>
        <v>#REF!</v>
      </c>
      <c r="E44" s="704" t="e">
        <f>E13+E29+E34+E35+E36+E37+E38+E39</f>
        <v>#REF!</v>
      </c>
      <c r="F44" s="704" t="e">
        <f>F13+F29+F34+F35+F36+F37+F38+F39</f>
        <v>#REF!</v>
      </c>
      <c r="G44" s="704" t="e">
        <f>G13+G29+G34+G35+G36+G37+G38+G39</f>
        <v>#REF!</v>
      </c>
      <c r="H44" s="661"/>
    </row>
    <row r="45" spans="1:9" s="14" customFormat="1" ht="31.8" thickBot="1">
      <c r="A45" s="693" t="s">
        <v>911</v>
      </c>
      <c r="B45" s="479" t="s">
        <v>1318</v>
      </c>
      <c r="C45" s="704" t="e">
        <f>'Додаток 3 до рішення'!I7</f>
        <v>#REF!</v>
      </c>
      <c r="D45" s="704" t="e">
        <f>'Додаток 3 до рішення'!J7</f>
        <v>#REF!</v>
      </c>
      <c r="E45" s="704" t="e">
        <f>'Додаток 3 до рішення'!K7</f>
        <v>#REF!</v>
      </c>
      <c r="F45" s="704" t="e">
        <f>'Додаток 3 до рішення'!L7</f>
        <v>#REF!</v>
      </c>
      <c r="G45" s="704" t="e">
        <f>'Додаток 3 до рішення'!M7</f>
        <v>#REF!</v>
      </c>
      <c r="H45" s="661"/>
    </row>
    <row r="46" spans="1:9" s="14" customFormat="1" ht="15.6" customHeight="1" thickBot="1">
      <c r="A46" s="693" t="s">
        <v>913</v>
      </c>
      <c r="B46" s="69" t="s">
        <v>1319</v>
      </c>
      <c r="C46" s="704" t="e">
        <f>'Додаток 6 до рішення'!I7</f>
        <v>#REF!</v>
      </c>
      <c r="D46" s="704" t="e">
        <f>'Додаток 6 до рішення'!J7</f>
        <v>#REF!</v>
      </c>
      <c r="E46" s="704" t="e">
        <f>'Додаток 6 до рішення'!K7</f>
        <v>#REF!</v>
      </c>
      <c r="F46" s="704" t="e">
        <f>'Додаток 6 до рішення'!L7</f>
        <v>#REF!</v>
      </c>
      <c r="G46" s="704" t="e">
        <f>'Додаток 6 до рішення'!M7</f>
        <v>#REF!</v>
      </c>
      <c r="H46" s="661"/>
    </row>
    <row r="47" spans="1:9">
      <c r="B47" s="310"/>
      <c r="C47" s="774"/>
      <c r="D47" s="705"/>
      <c r="E47" s="705"/>
      <c r="F47" s="705"/>
      <c r="G47" s="705"/>
    </row>
    <row r="48" spans="1:9">
      <c r="C48" s="2139"/>
      <c r="D48" s="707"/>
      <c r="E48" s="705"/>
      <c r="F48" s="705"/>
      <c r="G48" s="705"/>
    </row>
    <row r="49" spans="2:7">
      <c r="B49" s="9" t="s">
        <v>1352</v>
      </c>
      <c r="C49" s="774"/>
      <c r="D49" s="705"/>
      <c r="E49" s="705"/>
      <c r="F49" s="794" t="s">
        <v>1353</v>
      </c>
      <c r="G49" s="705"/>
    </row>
    <row r="50" spans="2:7">
      <c r="B50" s="538"/>
    </row>
  </sheetData>
  <mergeCells count="8">
    <mergeCell ref="B12:G12"/>
    <mergeCell ref="F1:G1"/>
    <mergeCell ref="B2:F2"/>
    <mergeCell ref="A4:A5"/>
    <mergeCell ref="B4:B5"/>
    <mergeCell ref="C4:C5"/>
    <mergeCell ref="D4:G4"/>
    <mergeCell ref="B7:G7"/>
  </mergeCells>
  <pageMargins left="0.70866141732283472" right="0.23" top="0.74803149606299213" bottom="0.74803149606299213" header="0.31496062992125984" footer="0.31496062992125984"/>
  <pageSetup paperSize="9" scale="68" fitToHeight="2"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4">
    <tabColor rgb="FF92D050"/>
    <pageSetUpPr fitToPage="1"/>
  </sheetPr>
  <dimension ref="A1:R58"/>
  <sheetViews>
    <sheetView zoomScaleNormal="100" zoomScaleSheetLayoutView="85" workbookViewId="0">
      <selection activeCell="H9" sqref="H9"/>
    </sheetView>
  </sheetViews>
  <sheetFormatPr defaultColWidth="9.109375" defaultRowHeight="14.4"/>
  <cols>
    <col min="1" max="1" width="5.44140625" style="95" customWidth="1"/>
    <col min="2" max="2" width="51.33203125" style="95" customWidth="1"/>
    <col min="3" max="3" width="7.5546875" style="95" customWidth="1"/>
    <col min="4" max="4" width="11.44140625" style="95" customWidth="1"/>
    <col min="5" max="5" width="8.5546875" style="95" customWidth="1"/>
    <col min="6" max="6" width="10.77734375" style="95" customWidth="1"/>
    <col min="7" max="7" width="11.6640625" style="95" customWidth="1"/>
    <col min="8" max="8" width="9.77734375" style="95" customWidth="1"/>
    <col min="9" max="12" width="12" style="95" customWidth="1"/>
    <col min="13" max="13" width="11.6640625" style="149" bestFit="1" customWidth="1"/>
    <col min="14" max="16384" width="9.109375" style="95"/>
  </cols>
  <sheetData>
    <row r="1" spans="1:18" ht="15.6" customHeight="1">
      <c r="A1" s="88"/>
      <c r="B1" s="89"/>
      <c r="C1" s="90"/>
      <c r="D1" s="768"/>
      <c r="E1" s="768"/>
      <c r="F1" s="768"/>
      <c r="G1" s="768"/>
      <c r="H1" s="2571" t="s">
        <v>1902</v>
      </c>
      <c r="I1" s="2571"/>
      <c r="J1" s="2571"/>
      <c r="K1" s="2571"/>
      <c r="L1" s="2571"/>
      <c r="M1" s="95"/>
    </row>
    <row r="2" spans="1:18" ht="29.4" customHeight="1">
      <c r="A2" s="88"/>
      <c r="B2" s="89"/>
      <c r="C2" s="90"/>
      <c r="D2" s="768"/>
      <c r="E2" s="768"/>
      <c r="F2" s="768"/>
      <c r="G2" s="768"/>
      <c r="H2" s="2571" t="str">
        <f>"до розрахунку тарифів на теплову енергію"&amp;"  "&amp;'Вхідні дані'!F5</f>
        <v>до розрахунку тарифів на теплову енергію  ТОВ ДП " Моноліт- Сервіс "</v>
      </c>
      <c r="I2" s="2571"/>
      <c r="J2" s="2571"/>
      <c r="K2" s="2571"/>
      <c r="L2" s="2571"/>
      <c r="M2" s="95"/>
    </row>
    <row r="3" spans="1:18" ht="15" customHeight="1">
      <c r="A3" s="88"/>
      <c r="B3" s="89"/>
      <c r="C3" s="90"/>
      <c r="D3" s="810"/>
      <c r="E3" s="810"/>
      <c r="F3" s="810"/>
      <c r="G3" s="810"/>
      <c r="H3" s="2572" t="str">
        <f>'Вхідні дані'!F1</f>
        <v>станом на 01.09.2023 року</v>
      </c>
      <c r="I3" s="2572"/>
      <c r="J3" s="2572"/>
      <c r="K3" s="2572"/>
    </row>
    <row r="4" spans="1:18" ht="15.75" customHeight="1">
      <c r="A4" s="2570" t="s">
        <v>432</v>
      </c>
      <c r="B4" s="2570"/>
      <c r="C4" s="2570"/>
      <c r="D4" s="2570"/>
      <c r="E4" s="2570"/>
      <c r="F4" s="2570"/>
      <c r="G4" s="2570"/>
      <c r="H4" s="2570"/>
      <c r="I4" s="2570"/>
      <c r="J4" s="2570"/>
      <c r="K4" s="2570"/>
      <c r="L4" s="2570"/>
    </row>
    <row r="5" spans="1:18" ht="14.4" customHeight="1">
      <c r="A5" s="2568" t="s">
        <v>777</v>
      </c>
      <c r="B5" s="2568"/>
      <c r="C5" s="2568"/>
      <c r="D5" s="2568"/>
      <c r="E5" s="2568"/>
      <c r="F5" s="2568"/>
      <c r="G5" s="2568"/>
      <c r="H5" s="2568"/>
      <c r="I5" s="2568"/>
      <c r="J5" s="2568"/>
      <c r="K5" s="2568"/>
      <c r="L5" s="2568"/>
    </row>
    <row r="6" spans="1:18">
      <c r="A6" s="2569" t="s">
        <v>1833</v>
      </c>
      <c r="B6" s="2569"/>
      <c r="C6" s="2569"/>
      <c r="D6" s="2569"/>
      <c r="E6" s="2569"/>
      <c r="F6" s="2569"/>
      <c r="G6" s="2569"/>
      <c r="H6" s="2569"/>
      <c r="I6" s="2569"/>
      <c r="J6" s="2569"/>
      <c r="K6" s="2569"/>
      <c r="L6" s="2569"/>
    </row>
    <row r="7" spans="1:18">
      <c r="A7" s="2567" t="s">
        <v>197</v>
      </c>
      <c r="B7" s="2567"/>
      <c r="C7" s="2567"/>
      <c r="D7" s="2567"/>
      <c r="E7" s="2567"/>
      <c r="F7" s="2567"/>
      <c r="G7" s="2567"/>
      <c r="H7" s="2567"/>
      <c r="I7" s="2567"/>
      <c r="J7" s="2567"/>
      <c r="K7" s="2567"/>
      <c r="L7" s="2567"/>
    </row>
    <row r="8" spans="1:18" ht="19.2" customHeight="1">
      <c r="A8" s="2573" t="s">
        <v>7</v>
      </c>
      <c r="B8" s="2576" t="s">
        <v>8</v>
      </c>
      <c r="C8" s="2579" t="s">
        <v>34</v>
      </c>
      <c r="D8" s="2583" t="s">
        <v>76</v>
      </c>
      <c r="E8" s="2584"/>
      <c r="F8" s="2584"/>
      <c r="G8" s="2582" t="s">
        <v>440</v>
      </c>
      <c r="H8" s="2583" t="s">
        <v>1832</v>
      </c>
      <c r="I8" s="2584"/>
      <c r="J8" s="2584"/>
      <c r="K8" s="2584"/>
      <c r="L8" s="2585"/>
    </row>
    <row r="9" spans="1:18" ht="35.25" customHeight="1">
      <c r="A9" s="2574"/>
      <c r="B9" s="2577"/>
      <c r="C9" s="2580"/>
      <c r="D9" s="1318" t="s">
        <v>225</v>
      </c>
      <c r="E9" s="1318" t="s">
        <v>199</v>
      </c>
      <c r="F9" s="124" t="s">
        <v>200</v>
      </c>
      <c r="G9" s="2582"/>
      <c r="H9" s="140" t="str">
        <f>Постачання_1ст!G8</f>
        <v>котельні</v>
      </c>
      <c r="I9" s="140" t="str">
        <f>Постачання_1ст!H8</f>
        <v>САО Парусна, 1-А</v>
      </c>
      <c r="J9" s="140" t="str">
        <f>Постачання_1ст!I8</f>
        <v>САО Парусна, 1-Б</v>
      </c>
      <c r="K9" s="140" t="str">
        <f>Постачання_1ст!J8</f>
        <v>САО Паркова, 50</v>
      </c>
      <c r="L9" s="140" t="str">
        <f>Постачання_1ст!K8</f>
        <v>САО Паркова, 52</v>
      </c>
    </row>
    <row r="10" spans="1:18">
      <c r="A10" s="2575"/>
      <c r="B10" s="2578"/>
      <c r="C10" s="2581"/>
      <c r="D10" s="1318">
        <f>'Вхідні дані'!$F$8</f>
        <v>2021</v>
      </c>
      <c r="E10" s="1318">
        <f>'Вхідні дані'!$F$7</f>
        <v>2022</v>
      </c>
      <c r="F10" s="1318">
        <f>'Вхідні дані'!$F$9</f>
        <v>0</v>
      </c>
      <c r="G10" s="1318" t="str">
        <f>'Вхідні дані'!$F$6</f>
        <v>2023-2024</v>
      </c>
      <c r="H10" s="2004">
        <f>Постачання_1ст!G6</f>
        <v>0.75682087781731899</v>
      </c>
      <c r="I10" s="2004">
        <f>Постачання_1ст!H6</f>
        <v>5.6346381969157769E-2</v>
      </c>
      <c r="J10" s="2004">
        <f>Постачання_1ст!I6</f>
        <v>9.3515223408461828E-2</v>
      </c>
      <c r="K10" s="2004">
        <f>Постачання_1ст!J6</f>
        <v>4.5867931988928426E-2</v>
      </c>
      <c r="L10" s="2004">
        <f>Постачання_1ст!K6</f>
        <v>4.7449584816132859E-2</v>
      </c>
      <c r="N10" s="654" t="s">
        <v>1977</v>
      </c>
    </row>
    <row r="11" spans="1:18">
      <c r="A11" s="141">
        <v>1</v>
      </c>
      <c r="B11" s="141">
        <v>2</v>
      </c>
      <c r="C11" s="141">
        <v>3</v>
      </c>
      <c r="D11" s="141">
        <v>4</v>
      </c>
      <c r="E11" s="141">
        <v>5</v>
      </c>
      <c r="F11" s="141">
        <v>6</v>
      </c>
      <c r="G11" s="141">
        <v>7</v>
      </c>
      <c r="H11" s="141">
        <v>8</v>
      </c>
      <c r="I11" s="141">
        <v>9</v>
      </c>
      <c r="J11" s="141">
        <v>10</v>
      </c>
      <c r="K11" s="141">
        <v>11</v>
      </c>
      <c r="L11" s="141">
        <v>12</v>
      </c>
      <c r="N11" s="654">
        <f>Постачання_1ст!F9</f>
        <v>151.1070950819672</v>
      </c>
    </row>
    <row r="12" spans="1:18" s="105" customFormat="1">
      <c r="A12" s="2005">
        <v>1</v>
      </c>
      <c r="B12" s="487" t="s">
        <v>201</v>
      </c>
      <c r="C12" s="731" t="s">
        <v>36</v>
      </c>
      <c r="D12" s="1281">
        <f>D13+D14+D15+D19</f>
        <v>0</v>
      </c>
      <c r="E12" s="1281">
        <f t="shared" ref="E12:L12" si="0">E13+E14+E15+E19</f>
        <v>0</v>
      </c>
      <c r="F12" s="1281">
        <f t="shared" si="0"/>
        <v>0</v>
      </c>
      <c r="G12" s="1281">
        <f t="shared" si="0"/>
        <v>152.71347162429942</v>
      </c>
      <c r="H12" s="1281">
        <f t="shared" si="0"/>
        <v>115.57674364923251</v>
      </c>
      <c r="I12" s="1281">
        <f t="shared" si="0"/>
        <v>8.6048516039789114</v>
      </c>
      <c r="J12" s="1281">
        <f t="shared" si="0"/>
        <v>14.281034416428156</v>
      </c>
      <c r="K12" s="1281">
        <f t="shared" si="0"/>
        <v>7.0046511302565158</v>
      </c>
      <c r="L12" s="1281">
        <f t="shared" si="0"/>
        <v>7.2461908244032935</v>
      </c>
      <c r="M12" s="330"/>
      <c r="N12" s="655">
        <f>ЗВВ_1ст!H8</f>
        <v>1.6063765423322054</v>
      </c>
    </row>
    <row r="13" spans="1:18">
      <c r="A13" s="139" t="s">
        <v>22</v>
      </c>
      <c r="B13" s="140" t="s">
        <v>97</v>
      </c>
      <c r="C13" s="1318" t="s">
        <v>36</v>
      </c>
      <c r="D13" s="1280"/>
      <c r="E13" s="1280"/>
      <c r="F13" s="1280"/>
      <c r="G13" s="1280">
        <f>Постачання_1ст!F10</f>
        <v>0</v>
      </c>
      <c r="H13" s="1280">
        <f>$G13*H$10</f>
        <v>0</v>
      </c>
      <c r="I13" s="1280">
        <f t="shared" ref="I13:L28" si="1">$G13*I$10</f>
        <v>0</v>
      </c>
      <c r="J13" s="1280">
        <f t="shared" si="1"/>
        <v>0</v>
      </c>
      <c r="K13" s="1280">
        <f t="shared" si="1"/>
        <v>0</v>
      </c>
      <c r="L13" s="1280">
        <f t="shared" si="1"/>
        <v>0</v>
      </c>
      <c r="N13" s="654">
        <f>Адміністративні_1ст!H8</f>
        <v>13.611857553552259</v>
      </c>
    </row>
    <row r="14" spans="1:18">
      <c r="A14" s="139" t="s">
        <v>23</v>
      </c>
      <c r="B14" s="140" t="s">
        <v>98</v>
      </c>
      <c r="C14" s="1318" t="s">
        <v>36</v>
      </c>
      <c r="D14" s="1280"/>
      <c r="E14" s="1280"/>
      <c r="F14" s="1280"/>
      <c r="G14" s="1280">
        <f>Постачання_1ст!F21</f>
        <v>144.13114754098359</v>
      </c>
      <c r="H14" s="1280">
        <f t="shared" ref="H14:L41" si="2">$G14*H$10</f>
        <v>109.08146160278471</v>
      </c>
      <c r="I14" s="1280">
        <f t="shared" si="1"/>
        <v>8.1212686929972957</v>
      </c>
      <c r="J14" s="1280">
        <f t="shared" si="1"/>
        <v>13.478456462413055</v>
      </c>
      <c r="K14" s="1280">
        <f t="shared" si="1"/>
        <v>6.610997672896044</v>
      </c>
      <c r="L14" s="1280">
        <f t="shared" si="1"/>
        <v>6.8389631098924601</v>
      </c>
      <c r="N14" s="654">
        <f>SUM(N11:N13)</f>
        <v>166.32532917785167</v>
      </c>
    </row>
    <row r="15" spans="1:18">
      <c r="A15" s="139" t="s">
        <v>44</v>
      </c>
      <c r="B15" s="140" t="s">
        <v>203</v>
      </c>
      <c r="C15" s="1318" t="s">
        <v>36</v>
      </c>
      <c r="D15" s="1280"/>
      <c r="E15" s="1280"/>
      <c r="F15" s="1280"/>
      <c r="G15" s="1280">
        <f>G16+G17+G18</f>
        <v>6.9759475409836069</v>
      </c>
      <c r="H15" s="1280">
        <f t="shared" si="2"/>
        <v>5.2795427415747813</v>
      </c>
      <c r="I15" s="1280">
        <f t="shared" si="1"/>
        <v>0.39306940474106916</v>
      </c>
      <c r="J15" s="1280">
        <f t="shared" si="1"/>
        <v>0.65235729278079191</v>
      </c>
      <c r="K15" s="1280">
        <f t="shared" si="1"/>
        <v>0.31997228736816857</v>
      </c>
      <c r="L15" s="1280">
        <f t="shared" si="1"/>
        <v>0.33100581451879513</v>
      </c>
      <c r="N15" s="2127">
        <f>G33-N14</f>
        <v>0</v>
      </c>
    </row>
    <row r="16" spans="1:18" ht="26.4">
      <c r="A16" s="139" t="s">
        <v>45</v>
      </c>
      <c r="B16" s="140" t="s">
        <v>433</v>
      </c>
      <c r="C16" s="1318" t="s">
        <v>36</v>
      </c>
      <c r="D16" s="1280"/>
      <c r="E16" s="1280"/>
      <c r="F16" s="1280"/>
      <c r="G16" s="1280">
        <f>Постачання_1ст!F24</f>
        <v>6.9759475409836069</v>
      </c>
      <c r="H16" s="1280">
        <f t="shared" si="2"/>
        <v>5.2795427415747813</v>
      </c>
      <c r="I16" s="1280">
        <f t="shared" si="1"/>
        <v>0.39306940474106916</v>
      </c>
      <c r="J16" s="1280">
        <f t="shared" si="1"/>
        <v>0.65235729278079191</v>
      </c>
      <c r="K16" s="1280">
        <f t="shared" si="1"/>
        <v>0.31997228736816857</v>
      </c>
      <c r="L16" s="1280">
        <f t="shared" si="1"/>
        <v>0.33100581451879513</v>
      </c>
      <c r="N16" s="149"/>
      <c r="O16" s="149"/>
      <c r="P16" s="149"/>
      <c r="Q16" s="149"/>
      <c r="R16" s="149"/>
    </row>
    <row r="17" spans="1:18">
      <c r="A17" s="139" t="s">
        <v>46</v>
      </c>
      <c r="B17" s="140" t="s">
        <v>441</v>
      </c>
      <c r="C17" s="1318" t="s">
        <v>36</v>
      </c>
      <c r="D17" s="1280"/>
      <c r="E17" s="1280"/>
      <c r="F17" s="1280"/>
      <c r="G17" s="1280">
        <f>Постачання_1ст!F25+Постачання_1ст!F26</f>
        <v>0</v>
      </c>
      <c r="H17" s="1280">
        <f t="shared" si="2"/>
        <v>0</v>
      </c>
      <c r="I17" s="1280">
        <f t="shared" si="1"/>
        <v>0</v>
      </c>
      <c r="J17" s="1280">
        <f t="shared" si="1"/>
        <v>0</v>
      </c>
      <c r="K17" s="1280">
        <f t="shared" si="1"/>
        <v>0</v>
      </c>
      <c r="L17" s="1280">
        <f t="shared" si="1"/>
        <v>0</v>
      </c>
      <c r="N17" s="149"/>
      <c r="O17" s="149"/>
      <c r="P17" s="149"/>
      <c r="Q17" s="149"/>
      <c r="R17" s="149"/>
    </row>
    <row r="18" spans="1:18">
      <c r="A18" s="139" t="s">
        <v>47</v>
      </c>
      <c r="B18" s="140" t="s">
        <v>48</v>
      </c>
      <c r="C18" s="1318" t="s">
        <v>36</v>
      </c>
      <c r="D18" s="1280"/>
      <c r="E18" s="1280"/>
      <c r="F18" s="1280"/>
      <c r="G18" s="1280">
        <f>Постачання_1ст!F9-Постачання_1ст!F21-Постачання_1ст!F24</f>
        <v>0</v>
      </c>
      <c r="H18" s="1280">
        <f t="shared" si="2"/>
        <v>0</v>
      </c>
      <c r="I18" s="1280">
        <f t="shared" si="1"/>
        <v>0</v>
      </c>
      <c r="J18" s="1280">
        <f t="shared" si="1"/>
        <v>0</v>
      </c>
      <c r="K18" s="1280">
        <f t="shared" si="1"/>
        <v>0</v>
      </c>
      <c r="L18" s="1280">
        <f t="shared" si="1"/>
        <v>0</v>
      </c>
    </row>
    <row r="19" spans="1:18">
      <c r="A19" s="139" t="s">
        <v>49</v>
      </c>
      <c r="B19" s="140" t="s">
        <v>204</v>
      </c>
      <c r="C19" s="1318" t="s">
        <v>36</v>
      </c>
      <c r="D19" s="1280">
        <f>D20+D21+D22</f>
        <v>0</v>
      </c>
      <c r="E19" s="1280">
        <f>E20+E21+E22</f>
        <v>0</v>
      </c>
      <c r="F19" s="1280">
        <f>F20+F21+F22</f>
        <v>0</v>
      </c>
      <c r="G19" s="1280">
        <f>SUM(G20:G22)</f>
        <v>1.6063765423322054</v>
      </c>
      <c r="H19" s="1280">
        <f t="shared" si="2"/>
        <v>1.2157393048730094</v>
      </c>
      <c r="I19" s="1280">
        <f t="shared" si="1"/>
        <v>9.0513506240545383E-2</v>
      </c>
      <c r="J19" s="1280">
        <f t="shared" si="1"/>
        <v>0.15022066123430863</v>
      </c>
      <c r="K19" s="1280">
        <f t="shared" si="1"/>
        <v>7.3681169992303605E-2</v>
      </c>
      <c r="L19" s="1280">
        <f t="shared" si="1"/>
        <v>7.6221899992038211E-2</v>
      </c>
    </row>
    <row r="20" spans="1:18">
      <c r="A20" s="139" t="s">
        <v>50</v>
      </c>
      <c r="B20" s="140" t="s">
        <v>99</v>
      </c>
      <c r="C20" s="1318" t="s">
        <v>36</v>
      </c>
      <c r="D20" s="1280"/>
      <c r="E20" s="1280"/>
      <c r="F20" s="1282"/>
      <c r="G20" s="1280">
        <f>ЗВВ_1ст!H21</f>
        <v>1.5222946100506025</v>
      </c>
      <c r="H20" s="1280">
        <f t="shared" si="2"/>
        <v>1.1521043430750704</v>
      </c>
      <c r="I20" s="1280">
        <f t="shared" si="1"/>
        <v>8.5775793567501327E-2</v>
      </c>
      <c r="J20" s="1280">
        <f t="shared" si="1"/>
        <v>0.14235772055237939</v>
      </c>
      <c r="K20" s="1280">
        <f t="shared" si="1"/>
        <v>6.9824505640913359E-2</v>
      </c>
      <c r="L20" s="1280">
        <f t="shared" si="1"/>
        <v>7.2232247214737963E-2</v>
      </c>
    </row>
    <row r="21" spans="1:18" ht="26.4">
      <c r="A21" s="139" t="s">
        <v>52</v>
      </c>
      <c r="B21" s="140" t="s">
        <v>433</v>
      </c>
      <c r="C21" s="1318" t="s">
        <v>36</v>
      </c>
      <c r="D21" s="1280"/>
      <c r="E21" s="1280"/>
      <c r="F21" s="1282"/>
      <c r="G21" s="1280">
        <f>ЗВВ_1ст!H23</f>
        <v>7.3679059126449162E-2</v>
      </c>
      <c r="H21" s="1280">
        <f t="shared" si="2"/>
        <v>5.5761850204833402E-2</v>
      </c>
      <c r="I21" s="1280">
        <f t="shared" si="1"/>
        <v>4.1515484086670643E-3</v>
      </c>
      <c r="J21" s="1280">
        <f t="shared" si="1"/>
        <v>6.8901136747351616E-3</v>
      </c>
      <c r="K21" s="1280">
        <f t="shared" si="1"/>
        <v>3.3795060730202062E-3</v>
      </c>
      <c r="L21" s="1280">
        <f t="shared" si="1"/>
        <v>3.4960407651933173E-3</v>
      </c>
    </row>
    <row r="22" spans="1:18">
      <c r="A22" s="139" t="s">
        <v>53</v>
      </c>
      <c r="B22" s="140" t="s">
        <v>54</v>
      </c>
      <c r="C22" s="1318" t="s">
        <v>36</v>
      </c>
      <c r="D22" s="1280"/>
      <c r="E22" s="1280"/>
      <c r="F22" s="1282"/>
      <c r="G22" s="1281">
        <f>ЗВВ_1ст!H8-ЗВВ_1ст!H20</f>
        <v>1.0402873155153758E-2</v>
      </c>
      <c r="H22" s="1280">
        <f t="shared" si="2"/>
        <v>7.8731115931056899E-3</v>
      </c>
      <c r="I22" s="1280">
        <f t="shared" si="1"/>
        <v>5.8616426437699113E-4</v>
      </c>
      <c r="J22" s="1280">
        <f t="shared" si="1"/>
        <v>9.7282700719409385E-4</v>
      </c>
      <c r="K22" s="1280">
        <f t="shared" si="1"/>
        <v>4.7715827837004185E-4</v>
      </c>
      <c r="L22" s="1280">
        <f t="shared" si="1"/>
        <v>4.9361201210693984E-4</v>
      </c>
    </row>
    <row r="23" spans="1:18" s="105" customFormat="1">
      <c r="A23" s="2005">
        <v>2</v>
      </c>
      <c r="B23" s="487" t="s">
        <v>205</v>
      </c>
      <c r="C23" s="731" t="s">
        <v>36</v>
      </c>
      <c r="D23" s="1281">
        <f>D24+D25+D26</f>
        <v>0</v>
      </c>
      <c r="E23" s="1281">
        <f>E24+E25+E26</f>
        <v>0</v>
      </c>
      <c r="F23" s="1281">
        <f>F24+F25+F26</f>
        <v>0</v>
      </c>
      <c r="G23" s="1281">
        <f>SUM(G24:G26)</f>
        <v>13.611857553552259</v>
      </c>
      <c r="H23" s="1281">
        <f t="shared" si="2"/>
        <v>10.301737982403724</v>
      </c>
      <c r="I23" s="1281">
        <f t="shared" si="1"/>
        <v>0.76697892502222098</v>
      </c>
      <c r="J23" s="1281">
        <f t="shared" si="1"/>
        <v>1.2729159001245982</v>
      </c>
      <c r="K23" s="1281">
        <f t="shared" si="1"/>
        <v>0.62434775650931662</v>
      </c>
      <c r="L23" s="1281">
        <f t="shared" si="1"/>
        <v>0.64587698949239658</v>
      </c>
      <c r="M23" s="330"/>
    </row>
    <row r="24" spans="1:18">
      <c r="A24" s="139" t="s">
        <v>24</v>
      </c>
      <c r="B24" s="140" t="s">
        <v>51</v>
      </c>
      <c r="C24" s="1318" t="s">
        <v>36</v>
      </c>
      <c r="D24" s="1280"/>
      <c r="E24" s="1280"/>
      <c r="F24" s="1282"/>
      <c r="G24" s="1280">
        <f>Адміністративні_1ст!H21</f>
        <v>11.690977570773116</v>
      </c>
      <c r="H24" s="1280">
        <f t="shared" si="2"/>
        <v>8.8479759076550977</v>
      </c>
      <c r="I24" s="1280">
        <f t="shared" si="1"/>
        <v>0.65874428779563821</v>
      </c>
      <c r="J24" s="1280">
        <f t="shared" si="1"/>
        <v>1.0932843793941642</v>
      </c>
      <c r="K24" s="1280">
        <f t="shared" si="1"/>
        <v>0.53624096410030897</v>
      </c>
      <c r="L24" s="1280">
        <f t="shared" si="1"/>
        <v>0.55473203182790587</v>
      </c>
    </row>
    <row r="25" spans="1:18" ht="26.4">
      <c r="A25" s="139" t="s">
        <v>25</v>
      </c>
      <c r="B25" s="140" t="s">
        <v>433</v>
      </c>
      <c r="C25" s="1318" t="s">
        <v>36</v>
      </c>
      <c r="D25" s="1280"/>
      <c r="E25" s="1280"/>
      <c r="F25" s="1282"/>
      <c r="G25" s="1280">
        <f>Адміністративні_1ст!H23</f>
        <v>0.5658433144254188</v>
      </c>
      <c r="H25" s="1280">
        <f t="shared" si="2"/>
        <v>0.42824203393050669</v>
      </c>
      <c r="I25" s="1280">
        <f t="shared" si="1"/>
        <v>3.1883223529308891E-2</v>
      </c>
      <c r="J25" s="1280">
        <f t="shared" si="1"/>
        <v>5.2914963962677551E-2</v>
      </c>
      <c r="K25" s="1280">
        <f t="shared" si="1"/>
        <v>2.5954062662454952E-2</v>
      </c>
      <c r="L25" s="1280">
        <f t="shared" si="1"/>
        <v>2.6849030340470644E-2</v>
      </c>
    </row>
    <row r="26" spans="1:18">
      <c r="A26" s="139" t="s">
        <v>55</v>
      </c>
      <c r="B26" s="140" t="s">
        <v>54</v>
      </c>
      <c r="C26" s="1318" t="s">
        <v>36</v>
      </c>
      <c r="D26" s="1280"/>
      <c r="E26" s="1280"/>
      <c r="F26" s="1282"/>
      <c r="G26" s="1280">
        <f>Адміністративні_1ст!H8-Адміністративні_1ст!H20</f>
        <v>1.3550366683537245</v>
      </c>
      <c r="H26" s="1280">
        <f t="shared" si="2"/>
        <v>1.0255200408181211</v>
      </c>
      <c r="I26" s="1280">
        <f t="shared" si="1"/>
        <v>7.6351413697273912E-2</v>
      </c>
      <c r="J26" s="1280">
        <f t="shared" si="1"/>
        <v>0.12671655676775634</v>
      </c>
      <c r="K26" s="1280">
        <f t="shared" si="1"/>
        <v>6.2152729746552796E-2</v>
      </c>
      <c r="L26" s="1280">
        <f t="shared" si="1"/>
        <v>6.4295927324020147E-2</v>
      </c>
    </row>
    <row r="27" spans="1:18" s="105" customFormat="1">
      <c r="A27" s="137" t="s">
        <v>166</v>
      </c>
      <c r="B27" s="1309" t="s">
        <v>206</v>
      </c>
      <c r="C27" s="731" t="s">
        <v>36</v>
      </c>
      <c r="D27" s="1281">
        <f>D28+D29+D30</f>
        <v>0</v>
      </c>
      <c r="E27" s="1281">
        <f>E28+E29+E30</f>
        <v>0</v>
      </c>
      <c r="F27" s="1281">
        <f>F28+F29+F30</f>
        <v>0</v>
      </c>
      <c r="G27" s="1281">
        <f>G28+G29+G30</f>
        <v>0</v>
      </c>
      <c r="H27" s="1281">
        <f t="shared" si="2"/>
        <v>0</v>
      </c>
      <c r="I27" s="1281">
        <f t="shared" si="1"/>
        <v>0</v>
      </c>
      <c r="J27" s="1281">
        <f t="shared" si="1"/>
        <v>0</v>
      </c>
      <c r="K27" s="1281">
        <f t="shared" si="1"/>
        <v>0</v>
      </c>
      <c r="L27" s="1281">
        <f t="shared" si="1"/>
        <v>0</v>
      </c>
      <c r="M27" s="330"/>
    </row>
    <row r="28" spans="1:18">
      <c r="A28" s="138" t="s">
        <v>56</v>
      </c>
      <c r="B28" s="390" t="s">
        <v>51</v>
      </c>
      <c r="C28" s="1318" t="s">
        <v>36</v>
      </c>
      <c r="D28" s="1280"/>
      <c r="E28" s="1280"/>
      <c r="F28" s="1280"/>
      <c r="G28" s="1280">
        <v>0</v>
      </c>
      <c r="H28" s="1280">
        <f t="shared" si="2"/>
        <v>0</v>
      </c>
      <c r="I28" s="1280">
        <f t="shared" si="1"/>
        <v>0</v>
      </c>
      <c r="J28" s="1280">
        <f t="shared" si="1"/>
        <v>0</v>
      </c>
      <c r="K28" s="1280">
        <f t="shared" si="1"/>
        <v>0</v>
      </c>
      <c r="L28" s="1280">
        <f t="shared" si="1"/>
        <v>0</v>
      </c>
    </row>
    <row r="29" spans="1:18" ht="24">
      <c r="A29" s="138" t="s">
        <v>57</v>
      </c>
      <c r="B29" s="390" t="s">
        <v>433</v>
      </c>
      <c r="C29" s="1318" t="s">
        <v>36</v>
      </c>
      <c r="D29" s="1280"/>
      <c r="E29" s="1280"/>
      <c r="F29" s="1280"/>
      <c r="G29" s="1280">
        <v>0</v>
      </c>
      <c r="H29" s="1280">
        <f t="shared" si="2"/>
        <v>0</v>
      </c>
      <c r="I29" s="1280">
        <f t="shared" si="2"/>
        <v>0</v>
      </c>
      <c r="J29" s="1280">
        <f t="shared" si="2"/>
        <v>0</v>
      </c>
      <c r="K29" s="1280">
        <f t="shared" si="2"/>
        <v>0</v>
      </c>
      <c r="L29" s="1280">
        <f t="shared" si="2"/>
        <v>0</v>
      </c>
    </row>
    <row r="30" spans="1:18">
      <c r="A30" s="136" t="s">
        <v>58</v>
      </c>
      <c r="B30" s="833" t="s">
        <v>219</v>
      </c>
      <c r="C30" s="1318" t="s">
        <v>36</v>
      </c>
      <c r="D30" s="1280"/>
      <c r="E30" s="1280"/>
      <c r="F30" s="1280"/>
      <c r="G30" s="1280">
        <v>0</v>
      </c>
      <c r="H30" s="1280">
        <f t="shared" si="2"/>
        <v>0</v>
      </c>
      <c r="I30" s="1280">
        <f t="shared" si="2"/>
        <v>0</v>
      </c>
      <c r="J30" s="1280">
        <f t="shared" si="2"/>
        <v>0</v>
      </c>
      <c r="K30" s="1280">
        <f t="shared" si="2"/>
        <v>0</v>
      </c>
      <c r="L30" s="1280">
        <f t="shared" si="2"/>
        <v>0</v>
      </c>
    </row>
    <row r="31" spans="1:18" s="105" customFormat="1">
      <c r="A31" s="2005" t="s">
        <v>167</v>
      </c>
      <c r="B31" s="487" t="s">
        <v>100</v>
      </c>
      <c r="C31" s="731" t="s">
        <v>36</v>
      </c>
      <c r="D31" s="1280">
        <v>0</v>
      </c>
      <c r="E31" s="1280">
        <v>0</v>
      </c>
      <c r="F31" s="1280">
        <v>0</v>
      </c>
      <c r="G31" s="1280">
        <v>0</v>
      </c>
      <c r="H31" s="1280">
        <f t="shared" si="2"/>
        <v>0</v>
      </c>
      <c r="I31" s="1280">
        <f t="shared" si="2"/>
        <v>0</v>
      </c>
      <c r="J31" s="1280">
        <f t="shared" si="2"/>
        <v>0</v>
      </c>
      <c r="K31" s="1280">
        <f t="shared" si="2"/>
        <v>0</v>
      </c>
      <c r="L31" s="1280">
        <f t="shared" si="2"/>
        <v>0</v>
      </c>
      <c r="M31" s="330"/>
    </row>
    <row r="32" spans="1:18" s="105" customFormat="1">
      <c r="A32" s="2005" t="s">
        <v>162</v>
      </c>
      <c r="B32" s="487" t="s">
        <v>5</v>
      </c>
      <c r="C32" s="731" t="s">
        <v>36</v>
      </c>
      <c r="D32" s="1280">
        <v>0</v>
      </c>
      <c r="E32" s="1280">
        <v>0</v>
      </c>
      <c r="F32" s="1280">
        <v>0</v>
      </c>
      <c r="G32" s="1280">
        <v>0</v>
      </c>
      <c r="H32" s="1280">
        <f t="shared" si="2"/>
        <v>0</v>
      </c>
      <c r="I32" s="1280">
        <f t="shared" si="2"/>
        <v>0</v>
      </c>
      <c r="J32" s="1280">
        <f t="shared" si="2"/>
        <v>0</v>
      </c>
      <c r="K32" s="1280">
        <f t="shared" si="2"/>
        <v>0</v>
      </c>
      <c r="L32" s="1280">
        <f t="shared" si="2"/>
        <v>0</v>
      </c>
      <c r="M32" s="330"/>
    </row>
    <row r="33" spans="1:14" s="105" customFormat="1">
      <c r="A33" s="2005" t="s">
        <v>163</v>
      </c>
      <c r="B33" s="487" t="s">
        <v>59</v>
      </c>
      <c r="C33" s="731" t="s">
        <v>36</v>
      </c>
      <c r="D33" s="1281">
        <f>D32+D31+D27+D23+D12</f>
        <v>0</v>
      </c>
      <c r="E33" s="1281">
        <f>E32+E31+E27+E23+E12</f>
        <v>0</v>
      </c>
      <c r="F33" s="1281">
        <f>F32+F31+F27+F23+F12</f>
        <v>0</v>
      </c>
      <c r="G33" s="1281">
        <f>G32+G31+G27+G23+G12</f>
        <v>166.32532917785167</v>
      </c>
      <c r="H33" s="1281">
        <f t="shared" si="2"/>
        <v>125.87848163163625</v>
      </c>
      <c r="I33" s="1281">
        <f t="shared" si="2"/>
        <v>9.3718305290011319</v>
      </c>
      <c r="J33" s="1281">
        <f t="shared" si="2"/>
        <v>15.553950316552754</v>
      </c>
      <c r="K33" s="1281">
        <f t="shared" si="2"/>
        <v>7.6289988867658334</v>
      </c>
      <c r="L33" s="1281">
        <f t="shared" si="2"/>
        <v>7.8920678138956903</v>
      </c>
      <c r="M33" s="359"/>
      <c r="N33" s="2006"/>
    </row>
    <row r="34" spans="1:14" s="105" customFormat="1">
      <c r="A34" s="2005" t="s">
        <v>164</v>
      </c>
      <c r="B34" s="1317" t="s">
        <v>1250</v>
      </c>
      <c r="C34" s="731" t="s">
        <v>36</v>
      </c>
      <c r="D34" s="1281">
        <v>0</v>
      </c>
      <c r="E34" s="1281">
        <v>0</v>
      </c>
      <c r="F34" s="1281">
        <v>0</v>
      </c>
      <c r="G34" s="1280">
        <v>0</v>
      </c>
      <c r="H34" s="1280">
        <f t="shared" si="2"/>
        <v>0</v>
      </c>
      <c r="I34" s="1280">
        <f t="shared" si="2"/>
        <v>0</v>
      </c>
      <c r="J34" s="1280">
        <f t="shared" si="2"/>
        <v>0</v>
      </c>
      <c r="K34" s="1280">
        <f t="shared" si="2"/>
        <v>0</v>
      </c>
      <c r="L34" s="1280">
        <f t="shared" si="2"/>
        <v>0</v>
      </c>
      <c r="M34" s="330"/>
    </row>
    <row r="35" spans="1:14" s="105" customFormat="1">
      <c r="A35" s="2005" t="s">
        <v>165</v>
      </c>
      <c r="B35" s="487" t="s">
        <v>226</v>
      </c>
      <c r="C35" s="731" t="s">
        <v>36</v>
      </c>
      <c r="D35" s="2007">
        <f>D36+D37+D38+D39+D40</f>
        <v>0</v>
      </c>
      <c r="E35" s="2007">
        <f>E36+E37+E38+E39+E40</f>
        <v>0</v>
      </c>
      <c r="F35" s="2007">
        <f>F36+F37+F38+F39+F40</f>
        <v>0</v>
      </c>
      <c r="G35" s="2008">
        <f>SUM(G36:G40)</f>
        <v>7.9105949243124574</v>
      </c>
      <c r="H35" s="1281">
        <f t="shared" si="2"/>
        <v>5.986903394675382</v>
      </c>
      <c r="I35" s="1281">
        <f t="shared" si="2"/>
        <v>0.4457334032085904</v>
      </c>
      <c r="J35" s="1281">
        <f t="shared" si="2"/>
        <v>0.73976105164092365</v>
      </c>
      <c r="K35" s="1281">
        <f t="shared" si="2"/>
        <v>0.36284262998032618</v>
      </c>
      <c r="L35" s="1281">
        <f t="shared" si="2"/>
        <v>0.37535444480723401</v>
      </c>
      <c r="M35" s="2009"/>
    </row>
    <row r="36" spans="1:14">
      <c r="A36" s="139" t="s">
        <v>109</v>
      </c>
      <c r="B36" s="140" t="s">
        <v>61</v>
      </c>
      <c r="C36" s="1318" t="s">
        <v>79</v>
      </c>
      <c r="D36" s="1280"/>
      <c r="E36" s="1280"/>
      <c r="F36" s="1282"/>
      <c r="G36" s="1283">
        <f>(G37+G38+G39+G40)/(100%-'Вхідні дані'!$D$46)-(G37+G38+G39+G40)</f>
        <v>1.423907086376242</v>
      </c>
      <c r="H36" s="1280">
        <f t="shared" si="2"/>
        <v>1.0776426110415684</v>
      </c>
      <c r="I36" s="1280">
        <f t="shared" si="2"/>
        <v>8.0232012577546252E-2</v>
      </c>
      <c r="J36" s="1280">
        <f t="shared" si="2"/>
        <v>0.13315698929536623</v>
      </c>
      <c r="K36" s="1280">
        <f t="shared" si="2"/>
        <v>6.53116733964587E-2</v>
      </c>
      <c r="L36" s="1280">
        <f t="shared" si="2"/>
        <v>6.7563800065302104E-2</v>
      </c>
      <c r="M36" s="2010"/>
      <c r="N36" s="105"/>
    </row>
    <row r="37" spans="1:14">
      <c r="A37" s="139" t="s">
        <v>111</v>
      </c>
      <c r="B37" s="140" t="s">
        <v>80</v>
      </c>
      <c r="C37" s="1318" t="s">
        <v>36</v>
      </c>
      <c r="D37" s="1280"/>
      <c r="E37" s="1280"/>
      <c r="F37" s="1282"/>
      <c r="G37" s="1283">
        <f>(G39+G40)/(100%-'Вхідні дані'!$D$47)*'Вхідні дані'!$D$47</f>
        <v>0</v>
      </c>
      <c r="H37" s="1280">
        <f t="shared" si="2"/>
        <v>0</v>
      </c>
      <c r="I37" s="1280">
        <f t="shared" si="2"/>
        <v>0</v>
      </c>
      <c r="J37" s="1280">
        <f t="shared" si="2"/>
        <v>0</v>
      </c>
      <c r="K37" s="1280">
        <f t="shared" si="2"/>
        <v>0</v>
      </c>
      <c r="L37" s="1280">
        <f t="shared" si="2"/>
        <v>0</v>
      </c>
      <c r="M37" s="2010"/>
    </row>
    <row r="38" spans="1:14">
      <c r="A38" s="139" t="s">
        <v>113</v>
      </c>
      <c r="B38" s="140" t="s">
        <v>81</v>
      </c>
      <c r="C38" s="1318" t="s">
        <v>36</v>
      </c>
      <c r="D38" s="1280"/>
      <c r="E38" s="1280"/>
      <c r="F38" s="1282"/>
      <c r="G38" s="1283">
        <v>0</v>
      </c>
      <c r="H38" s="1280">
        <f t="shared" si="2"/>
        <v>0</v>
      </c>
      <c r="I38" s="1280">
        <f t="shared" si="2"/>
        <v>0</v>
      </c>
      <c r="J38" s="1280">
        <f t="shared" si="2"/>
        <v>0</v>
      </c>
      <c r="K38" s="1280">
        <f t="shared" si="2"/>
        <v>0</v>
      </c>
      <c r="L38" s="1280">
        <f t="shared" si="2"/>
        <v>0</v>
      </c>
      <c r="M38" s="2010"/>
    </row>
    <row r="39" spans="1:14">
      <c r="A39" s="139" t="s">
        <v>115</v>
      </c>
      <c r="B39" s="140" t="s">
        <v>67</v>
      </c>
      <c r="C39" s="1318" t="s">
        <v>36</v>
      </c>
      <c r="D39" s="1280"/>
      <c r="E39" s="1280"/>
      <c r="F39" s="1282"/>
      <c r="G39" s="1283">
        <v>0</v>
      </c>
      <c r="H39" s="1280">
        <f t="shared" si="2"/>
        <v>0</v>
      </c>
      <c r="I39" s="1280">
        <f t="shared" si="2"/>
        <v>0</v>
      </c>
      <c r="J39" s="1280">
        <f t="shared" si="2"/>
        <v>0</v>
      </c>
      <c r="K39" s="1280">
        <f t="shared" si="2"/>
        <v>0</v>
      </c>
      <c r="L39" s="1280">
        <f t="shared" si="2"/>
        <v>0</v>
      </c>
      <c r="M39" s="2010"/>
    </row>
    <row r="40" spans="1:14">
      <c r="A40" s="139" t="s">
        <v>209</v>
      </c>
      <c r="B40" s="140" t="s">
        <v>82</v>
      </c>
      <c r="C40" s="1318" t="s">
        <v>36</v>
      </c>
      <c r="D40" s="1280"/>
      <c r="E40" s="1280"/>
      <c r="F40" s="1282"/>
      <c r="G40" s="1283">
        <f>G33*'Вхідні дані'!D45</f>
        <v>6.4866878379362154</v>
      </c>
      <c r="H40" s="1280">
        <f t="shared" si="2"/>
        <v>4.9092607836338136</v>
      </c>
      <c r="I40" s="1280">
        <f t="shared" si="2"/>
        <v>0.36550139063104414</v>
      </c>
      <c r="J40" s="1280">
        <f t="shared" si="2"/>
        <v>0.60660406234555742</v>
      </c>
      <c r="K40" s="1280">
        <f t="shared" si="2"/>
        <v>0.29753095658386752</v>
      </c>
      <c r="L40" s="1280">
        <f t="shared" si="2"/>
        <v>0.30779064474193191</v>
      </c>
      <c r="M40" s="2010"/>
    </row>
    <row r="41" spans="1:14" s="105" customFormat="1" ht="30.6" customHeight="1">
      <c r="A41" s="2005" t="s">
        <v>180</v>
      </c>
      <c r="B41" s="487" t="s">
        <v>101</v>
      </c>
      <c r="C41" s="731" t="s">
        <v>36</v>
      </c>
      <c r="D41" s="1281">
        <f>D33+D34+D35</f>
        <v>0</v>
      </c>
      <c r="E41" s="1281">
        <f>E33+E34+E35</f>
        <v>0</v>
      </c>
      <c r="F41" s="1281">
        <f>F33+F34+F35</f>
        <v>0</v>
      </c>
      <c r="G41" s="1281">
        <f>G33+G34+G35</f>
        <v>174.23592410216412</v>
      </c>
      <c r="H41" s="1281">
        <f t="shared" si="2"/>
        <v>131.86538502631163</v>
      </c>
      <c r="I41" s="1281">
        <f t="shared" si="2"/>
        <v>9.8175639322097226</v>
      </c>
      <c r="J41" s="1281">
        <f t="shared" si="2"/>
        <v>16.293711368193676</v>
      </c>
      <c r="K41" s="1281">
        <f t="shared" si="2"/>
        <v>7.9918415167461587</v>
      </c>
      <c r="L41" s="1281">
        <f t="shared" si="2"/>
        <v>8.2674222587029238</v>
      </c>
      <c r="M41" s="2011"/>
      <c r="N41" s="2006"/>
    </row>
    <row r="42" spans="1:14" s="105" customFormat="1" ht="18.600000000000001" customHeight="1">
      <c r="A42" s="2005" t="s">
        <v>181</v>
      </c>
      <c r="B42" s="487" t="s">
        <v>102</v>
      </c>
      <c r="C42" s="731" t="s">
        <v>70</v>
      </c>
      <c r="D42" s="1281" t="e">
        <f t="shared" ref="D42:L42" si="3">D41/D43*1000</f>
        <v>#DIV/0!</v>
      </c>
      <c r="E42" s="1281" t="e">
        <f t="shared" si="3"/>
        <v>#DIV/0!</v>
      </c>
      <c r="F42" s="1281" t="e">
        <f t="shared" si="3"/>
        <v>#DIV/0!</v>
      </c>
      <c r="G42" s="1281">
        <f t="shared" si="3"/>
        <v>20.412420593154408</v>
      </c>
      <c r="H42" s="1281">
        <f t="shared" si="3"/>
        <v>20.412420593154408</v>
      </c>
      <c r="I42" s="1281">
        <f t="shared" si="3"/>
        <v>20.412420593154408</v>
      </c>
      <c r="J42" s="1281">
        <f t="shared" si="3"/>
        <v>20.412420593154405</v>
      </c>
      <c r="K42" s="1281">
        <f t="shared" si="3"/>
        <v>20.412420593154408</v>
      </c>
      <c r="L42" s="1281">
        <f t="shared" si="3"/>
        <v>20.412420593154408</v>
      </c>
      <c r="M42" s="2012"/>
    </row>
    <row r="43" spans="1:14" s="105" customFormat="1" ht="26.4">
      <c r="A43" s="2005" t="s">
        <v>182</v>
      </c>
      <c r="B43" s="487" t="s">
        <v>517</v>
      </c>
      <c r="C43" s="731" t="s">
        <v>21</v>
      </c>
      <c r="D43" s="2013">
        <f>D44+D45+D46+D48</f>
        <v>0</v>
      </c>
      <c r="E43" s="2013">
        <f>E44+E45+E46+E48</f>
        <v>0</v>
      </c>
      <c r="F43" s="2013">
        <f>F44+F45+F46+F48</f>
        <v>0</v>
      </c>
      <c r="G43" s="2013">
        <f>SUM(G44:G48)</f>
        <v>8535.7796400000007</v>
      </c>
      <c r="H43" s="2013">
        <f>'Д 7_РП'!F184</f>
        <v>6460.0562399999999</v>
      </c>
      <c r="I43" s="2013">
        <f>'Д 7_РП'!G184</f>
        <v>480.96030000000002</v>
      </c>
      <c r="J43" s="2013">
        <f>'Д 7_РП'!H184</f>
        <v>798.22533999999996</v>
      </c>
      <c r="K43" s="2013">
        <f>'Д 7_РП'!I184</f>
        <v>391.51855999999998</v>
      </c>
      <c r="L43" s="2013">
        <f>'Д 7_РП'!J184</f>
        <v>405.01920000000001</v>
      </c>
      <c r="M43" s="149"/>
    </row>
    <row r="44" spans="1:14">
      <c r="A44" s="139" t="s">
        <v>86</v>
      </c>
      <c r="B44" s="140" t="s">
        <v>1823</v>
      </c>
      <c r="C44" s="1318" t="s">
        <v>21</v>
      </c>
      <c r="D44" s="1283"/>
      <c r="E44" s="1283"/>
      <c r="F44" s="1283"/>
      <c r="G44" s="1283">
        <f>H43</f>
        <v>6460.0562399999999</v>
      </c>
      <c r="H44" s="2014"/>
      <c r="I44" s="2014"/>
      <c r="J44" s="2014"/>
      <c r="K44" s="2014"/>
      <c r="L44" s="2014"/>
    </row>
    <row r="45" spans="1:14">
      <c r="A45" s="139" t="s">
        <v>87</v>
      </c>
      <c r="B45" s="140" t="s">
        <v>1714</v>
      </c>
      <c r="C45" s="1318" t="s">
        <v>21</v>
      </c>
      <c r="D45" s="1283"/>
      <c r="E45" s="1283"/>
      <c r="F45" s="1283"/>
      <c r="G45" s="1283">
        <f>I43</f>
        <v>480.96030000000002</v>
      </c>
      <c r="H45" s="2014"/>
      <c r="I45" s="2014"/>
      <c r="J45" s="2014"/>
      <c r="K45" s="2014"/>
      <c r="L45" s="2014"/>
    </row>
    <row r="46" spans="1:14">
      <c r="A46" s="139" t="s">
        <v>227</v>
      </c>
      <c r="B46" s="140" t="s">
        <v>1715</v>
      </c>
      <c r="C46" s="1318" t="s">
        <v>21</v>
      </c>
      <c r="D46" s="1283"/>
      <c r="E46" s="1283"/>
      <c r="F46" s="1283"/>
      <c r="G46" s="1283">
        <f>J43</f>
        <v>798.22533999999996</v>
      </c>
      <c r="H46" s="2014"/>
      <c r="I46" s="2014"/>
      <c r="J46" s="2014"/>
      <c r="K46" s="2014"/>
      <c r="L46" s="2014"/>
    </row>
    <row r="47" spans="1:14">
      <c r="A47" s="139"/>
      <c r="B47" s="140" t="s">
        <v>1903</v>
      </c>
      <c r="C47" s="1318"/>
      <c r="D47" s="1283"/>
      <c r="E47" s="1283"/>
      <c r="F47" s="1283"/>
      <c r="G47" s="1283">
        <f>K43</f>
        <v>391.51855999999998</v>
      </c>
      <c r="H47" s="2014"/>
      <c r="I47" s="2014"/>
      <c r="J47" s="2014"/>
      <c r="K47" s="2014"/>
      <c r="L47" s="2014"/>
    </row>
    <row r="48" spans="1:14">
      <c r="A48" s="139" t="s">
        <v>228</v>
      </c>
      <c r="B48" s="140" t="s">
        <v>1904</v>
      </c>
      <c r="C48" s="1318" t="s">
        <v>21</v>
      </c>
      <c r="D48" s="1283"/>
      <c r="E48" s="1283"/>
      <c r="F48" s="1283"/>
      <c r="G48" s="1283">
        <f>L43</f>
        <v>405.01920000000001</v>
      </c>
      <c r="H48" s="2014"/>
      <c r="I48" s="2014"/>
      <c r="J48" s="2014"/>
      <c r="K48" s="2014"/>
      <c r="L48" s="2014"/>
    </row>
    <row r="49" spans="1:13">
      <c r="A49" s="2015"/>
      <c r="B49" s="2016"/>
      <c r="C49" s="1319"/>
      <c r="D49" s="1319"/>
      <c r="E49" s="1319"/>
      <c r="F49" s="2017"/>
      <c r="G49" s="1319"/>
      <c r="H49" s="2017"/>
      <c r="I49" s="2017"/>
      <c r="J49" s="2017"/>
      <c r="K49" s="2017"/>
      <c r="L49" s="2017"/>
    </row>
    <row r="50" spans="1:13" s="143" customFormat="1" ht="12">
      <c r="A50" s="2018" t="s">
        <v>75</v>
      </c>
      <c r="M50" s="2019"/>
    </row>
    <row r="51" spans="1:13" s="143" customFormat="1" ht="12">
      <c r="A51" s="2020"/>
      <c r="M51" s="2019"/>
    </row>
    <row r="52" spans="1:13" s="143" customFormat="1" ht="13.8">
      <c r="A52" s="2020"/>
      <c r="B52" s="1930" t="str">
        <f>'Вхідні дані'!B13</f>
        <v>Директор підприємства</v>
      </c>
      <c r="C52" s="2587" t="s">
        <v>94</v>
      </c>
      <c r="D52" s="2587"/>
      <c r="E52" s="2587"/>
      <c r="F52" s="2588" t="str">
        <f>'Вхідні дані'!F13</f>
        <v>Сергій НІКУЛЬЧА</v>
      </c>
      <c r="G52" s="2588"/>
      <c r="M52" s="2019"/>
    </row>
    <row r="53" spans="1:13" s="143" customFormat="1" ht="12">
      <c r="A53" s="2020"/>
      <c r="B53" s="2021" t="s">
        <v>218</v>
      </c>
      <c r="C53" s="2586" t="s">
        <v>95</v>
      </c>
      <c r="D53" s="2586"/>
      <c r="E53" s="2586"/>
      <c r="F53" s="2586" t="s">
        <v>96</v>
      </c>
      <c r="G53" s="2586"/>
      <c r="M53" s="2019"/>
    </row>
    <row r="55" spans="1:13">
      <c r="F55" s="2022"/>
    </row>
    <row r="56" spans="1:13">
      <c r="B56" s="2023"/>
      <c r="D56" s="2024"/>
      <c r="E56" s="2024"/>
      <c r="F56" s="2024"/>
      <c r="G56" s="2024"/>
    </row>
    <row r="58" spans="1:13">
      <c r="D58" s="2022"/>
      <c r="E58" s="2022"/>
      <c r="F58" s="2022"/>
      <c r="G58" s="2022"/>
    </row>
  </sheetData>
  <mergeCells count="17">
    <mergeCell ref="H8:L8"/>
    <mergeCell ref="C53:E53"/>
    <mergeCell ref="F53:G53"/>
    <mergeCell ref="C52:E52"/>
    <mergeCell ref="F52:G52"/>
    <mergeCell ref="A8:A10"/>
    <mergeCell ref="B8:B10"/>
    <mergeCell ref="C8:C10"/>
    <mergeCell ref="G8:G9"/>
    <mergeCell ref="D8:F8"/>
    <mergeCell ref="A7:L7"/>
    <mergeCell ref="A5:L5"/>
    <mergeCell ref="A6:L6"/>
    <mergeCell ref="A4:L4"/>
    <mergeCell ref="H1:L1"/>
    <mergeCell ref="H3:K3"/>
    <mergeCell ref="H2:L2"/>
  </mergeCells>
  <conditionalFormatting sqref="B1:B3">
    <cfRule type="containsText" dxfId="43"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7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Лист105">
    <tabColor rgb="FFEC20C5"/>
    <pageSetUpPr fitToPage="1"/>
  </sheetPr>
  <dimension ref="A1:L53"/>
  <sheetViews>
    <sheetView topLeftCell="A28" workbookViewId="0">
      <selection activeCell="D41" sqref="D41"/>
    </sheetView>
  </sheetViews>
  <sheetFormatPr defaultColWidth="9.109375" defaultRowHeight="13.8"/>
  <cols>
    <col min="1" max="1" width="7.88671875" style="614" customWidth="1"/>
    <col min="2" max="2" width="56.44140625" style="9" customWidth="1"/>
    <col min="3" max="3" width="14.6640625" style="9" customWidth="1"/>
    <col min="4" max="4" width="14.44140625" style="614" customWidth="1"/>
    <col min="5" max="8" width="14.44140625" style="9" customWidth="1"/>
    <col min="9" max="16384" width="9.109375" style="9"/>
  </cols>
  <sheetData>
    <row r="1" spans="1:12" ht="96.75" customHeight="1">
      <c r="A1" s="813"/>
      <c r="F1" s="2942" t="s">
        <v>1320</v>
      </c>
      <c r="G1" s="2942"/>
    </row>
    <row r="2" spans="1:12" ht="45.75" customHeight="1">
      <c r="A2" s="9"/>
      <c r="B2" s="3077" t="s">
        <v>1321</v>
      </c>
      <c r="C2" s="3077"/>
      <c r="D2" s="3077"/>
      <c r="E2" s="3077"/>
      <c r="F2" s="3077"/>
      <c r="G2" s="620"/>
    </row>
    <row r="3" spans="1:12" ht="14.4" thickBot="1">
      <c r="G3" s="9" t="s">
        <v>792</v>
      </c>
    </row>
    <row r="4" spans="1:12" ht="30" customHeight="1" thickBot="1">
      <c r="A4" s="2918" t="s">
        <v>7</v>
      </c>
      <c r="B4" s="2918" t="s">
        <v>534</v>
      </c>
      <c r="C4" s="2918" t="s">
        <v>1266</v>
      </c>
      <c r="D4" s="2921" t="s">
        <v>1267</v>
      </c>
      <c r="E4" s="2922"/>
      <c r="F4" s="2922"/>
      <c r="G4" s="2923"/>
      <c r="H4" s="86"/>
      <c r="I4" s="86"/>
    </row>
    <row r="5" spans="1:12" ht="75" customHeight="1" thickBot="1">
      <c r="A5" s="2919"/>
      <c r="B5" s="2920"/>
      <c r="C5" s="2920"/>
      <c r="D5" s="680" t="s">
        <v>1268</v>
      </c>
      <c r="E5" s="680" t="s">
        <v>1269</v>
      </c>
      <c r="F5" s="680" t="s">
        <v>1270</v>
      </c>
      <c r="G5" s="680" t="s">
        <v>1271</v>
      </c>
      <c r="H5" s="86"/>
      <c r="I5" s="86"/>
    </row>
    <row r="6" spans="1:12" ht="14.4" thickBot="1">
      <c r="A6" s="681">
        <v>1</v>
      </c>
      <c r="B6" s="682">
        <v>2</v>
      </c>
      <c r="C6" s="678">
        <v>3</v>
      </c>
      <c r="D6" s="681">
        <v>4</v>
      </c>
      <c r="E6" s="678">
        <v>5</v>
      </c>
      <c r="F6" s="682">
        <v>6</v>
      </c>
      <c r="G6" s="679">
        <v>7</v>
      </c>
    </row>
    <row r="7" spans="1:12" ht="14.4" thickBot="1">
      <c r="A7" s="683"/>
      <c r="B7" s="2913" t="s">
        <v>1272</v>
      </c>
      <c r="C7" s="3078"/>
      <c r="D7" s="3078"/>
      <c r="E7" s="3078"/>
      <c r="F7" s="3078"/>
      <c r="G7" s="3079"/>
    </row>
    <row r="8" spans="1:12" ht="35.25" customHeight="1">
      <c r="A8" s="684" t="s">
        <v>1273</v>
      </c>
      <c r="B8" s="684" t="s">
        <v>1274</v>
      </c>
      <c r="C8" s="684" t="s">
        <v>210</v>
      </c>
      <c r="D8" s="684" t="e">
        <f>SUM(D9:D11)</f>
        <v>#REF!</v>
      </c>
      <c r="E8" s="686" t="e">
        <f>SUM(E9:E11)</f>
        <v>#REF!</v>
      </c>
      <c r="F8" s="684" t="e">
        <f>SUM(F9:F11)</f>
        <v>#REF!</v>
      </c>
      <c r="G8" s="687" t="e">
        <f>SUM(G9:G11)</f>
        <v>#REF!</v>
      </c>
      <c r="H8" s="310"/>
      <c r="I8" s="310"/>
      <c r="J8" s="310"/>
      <c r="K8" s="310"/>
      <c r="L8" s="310"/>
    </row>
    <row r="9" spans="1:12" ht="35.25" customHeight="1">
      <c r="A9" s="688" t="s">
        <v>806</v>
      </c>
      <c r="B9" s="689" t="s">
        <v>1275</v>
      </c>
      <c r="C9" s="688" t="s">
        <v>210</v>
      </c>
      <c r="D9" s="688" t="e">
        <f>'Додаток 3 до рішення'!D7</f>
        <v>#REF!</v>
      </c>
      <c r="E9" s="688" t="e">
        <f>'Додаток 3 до рішення'!E7</f>
        <v>#REF!</v>
      </c>
      <c r="F9" s="688" t="e">
        <f>'Додаток 3 до рішення'!F7</f>
        <v>#REF!</v>
      </c>
      <c r="G9" s="688" t="e">
        <f>'Додаток 3 до рішення'!G7</f>
        <v>#REF!</v>
      </c>
      <c r="H9" s="310"/>
      <c r="I9" s="310"/>
      <c r="J9" s="310"/>
      <c r="K9" s="310"/>
      <c r="L9" s="310"/>
    </row>
    <row r="10" spans="1:12" ht="50.25" customHeight="1">
      <c r="A10" s="688" t="s">
        <v>808</v>
      </c>
      <c r="B10" s="690" t="s">
        <v>1322</v>
      </c>
      <c r="C10" s="688" t="s">
        <v>210</v>
      </c>
      <c r="D10" s="688" t="e">
        <f>'Додаток 5 до рішення'!D7</f>
        <v>#REF!</v>
      </c>
      <c r="E10" s="688" t="e">
        <f>'Додаток 5 до рішення'!E7</f>
        <v>#REF!</v>
      </c>
      <c r="F10" s="688" t="e">
        <f>'Додаток 5 до рішення'!F7</f>
        <v>#REF!</v>
      </c>
      <c r="G10" s="688" t="e">
        <f>'Додаток 5 до рішення'!G7</f>
        <v>#REF!</v>
      </c>
      <c r="H10" s="310"/>
      <c r="I10" s="310"/>
      <c r="J10" s="310"/>
      <c r="K10" s="310"/>
      <c r="L10" s="310"/>
    </row>
    <row r="11" spans="1:12" ht="35.25" customHeight="1" thickBot="1">
      <c r="A11" s="691" t="s">
        <v>810</v>
      </c>
      <c r="B11" s="692" t="s">
        <v>1277</v>
      </c>
      <c r="C11" s="691" t="s">
        <v>210</v>
      </c>
      <c r="D11" s="691" t="e">
        <f>'Додаток 6 до рішення'!D7</f>
        <v>#REF!</v>
      </c>
      <c r="E11" s="691" t="e">
        <f>'Додаток 6 до рішення'!E7</f>
        <v>#REF!</v>
      </c>
      <c r="F11" s="691" t="e">
        <f>'Додаток 6 до рішення'!F7</f>
        <v>#REF!</v>
      </c>
      <c r="G11" s="691" t="e">
        <f>'Додаток 6 до рішення'!G7</f>
        <v>#REF!</v>
      </c>
      <c r="H11" s="310"/>
      <c r="I11" s="310"/>
      <c r="J11" s="310"/>
      <c r="K11" s="310"/>
      <c r="L11" s="310"/>
    </row>
    <row r="12" spans="1:12" ht="18.75" customHeight="1" thickBot="1">
      <c r="A12" s="693" t="s">
        <v>1278</v>
      </c>
      <c r="B12" s="2913" t="s">
        <v>1440</v>
      </c>
      <c r="C12" s="3074"/>
      <c r="D12" s="3074"/>
      <c r="E12" s="3074"/>
      <c r="F12" s="3074"/>
      <c r="G12" s="3075"/>
      <c r="H12" s="661"/>
    </row>
    <row r="13" spans="1:12" s="14" customFormat="1">
      <c r="A13" s="694" t="s">
        <v>804</v>
      </c>
      <c r="B13" s="695" t="s">
        <v>1279</v>
      </c>
      <c r="C13" s="688" t="e">
        <f>C14+C19+C20+C24</f>
        <v>#REF!</v>
      </c>
      <c r="D13" s="688" t="e">
        <f>D14+D19+D20+D24</f>
        <v>#REF!</v>
      </c>
      <c r="E13" s="688" t="e">
        <f>E14+E19+E20+E24</f>
        <v>#REF!</v>
      </c>
      <c r="F13" s="688" t="e">
        <f>F14+F19+F20+F24</f>
        <v>#REF!</v>
      </c>
      <c r="G13" s="688" t="e">
        <f>G14+G19+G20+G24</f>
        <v>#REF!</v>
      </c>
      <c r="H13" s="661"/>
    </row>
    <row r="14" spans="1:12">
      <c r="A14" s="696" t="s">
        <v>806</v>
      </c>
      <c r="B14" s="68" t="s">
        <v>1280</v>
      </c>
      <c r="C14" s="697" t="e">
        <f>SUM(C15:C18)</f>
        <v>#REF!</v>
      </c>
      <c r="D14" s="697" t="e">
        <f>SUM(D15:D18)</f>
        <v>#REF!</v>
      </c>
      <c r="E14" s="697" t="e">
        <f>SUM(E15:E18)</f>
        <v>#REF!</v>
      </c>
      <c r="F14" s="697" t="e">
        <f>SUM(F15:F18)</f>
        <v>#REF!</v>
      </c>
      <c r="G14" s="697" t="e">
        <f>SUM(G15:G18)</f>
        <v>#REF!</v>
      </c>
      <c r="H14" s="661"/>
      <c r="I14" s="310"/>
    </row>
    <row r="15" spans="1:12">
      <c r="A15" s="696" t="s">
        <v>1281</v>
      </c>
      <c r="B15" s="68" t="s">
        <v>1282</v>
      </c>
      <c r="C15" s="697" t="e">
        <f>'Додаток 3 до рішення'!N11</f>
        <v>#REF!</v>
      </c>
      <c r="D15" s="697">
        <f>'Додаток 3 до рішення'!D11</f>
        <v>970.03517428698422</v>
      </c>
      <c r="E15" s="697">
        <f>'Додаток 3 до рішення'!E11</f>
        <v>998.75361828332927</v>
      </c>
      <c r="F15" s="697">
        <f>'Додаток 3 до рішення'!F11</f>
        <v>980.6867487119747</v>
      </c>
      <c r="G15" s="697">
        <f>'Додаток 3 до рішення'!G11</f>
        <v>963.54078571696164</v>
      </c>
      <c r="H15" s="661"/>
    </row>
    <row r="16" spans="1:12">
      <c r="A16" s="696" t="s">
        <v>1283</v>
      </c>
      <c r="B16" s="68" t="s">
        <v>1284</v>
      </c>
      <c r="C16" s="697" t="e">
        <f>'Додаток 3 до рішення'!N12+'Додаток 5 до рішення'!C11</f>
        <v>#REF!</v>
      </c>
      <c r="D16" s="697" t="e">
        <f>'Додаток 3 до рішення'!D12+'Додаток 5 до рішення'!D11</f>
        <v>#REF!</v>
      </c>
      <c r="E16" s="697" t="e">
        <f>'Додаток 3 до рішення'!E12+'Додаток 5 до рішення'!E11</f>
        <v>#REF!</v>
      </c>
      <c r="F16" s="697" t="e">
        <f>'Додаток 3 до рішення'!F12+'Додаток 5 до рішення'!F11</f>
        <v>#REF!</v>
      </c>
      <c r="G16" s="697" t="e">
        <f>'Додаток 3 до рішення'!G12+'Додаток 5 до рішення'!G11</f>
        <v>#REF!</v>
      </c>
      <c r="H16" s="661"/>
    </row>
    <row r="17" spans="1:8">
      <c r="A17" s="696" t="s">
        <v>1285</v>
      </c>
      <c r="B17" s="68" t="s">
        <v>1286</v>
      </c>
      <c r="C17" s="697" t="e">
        <f>'Додаток 3 до рішення'!N13+'Додаток 5 до рішення'!C12</f>
        <v>#REF!</v>
      </c>
      <c r="D17" s="697" t="e">
        <f>'Додаток 3 до рішення'!D13+'Додаток 5 до рішення'!D12</f>
        <v>#REF!</v>
      </c>
      <c r="E17" s="697" t="e">
        <f>'Додаток 3 до рішення'!E13+'Додаток 5 до рішення'!E12</f>
        <v>#REF!</v>
      </c>
      <c r="F17" s="697" t="e">
        <f>'Додаток 3 до рішення'!F13+'Додаток 5 до рішення'!F12</f>
        <v>#REF!</v>
      </c>
      <c r="G17" s="697" t="e">
        <f>'Додаток 3 до рішення'!G13+'Додаток 5 до рішення'!G12</f>
        <v>#REF!</v>
      </c>
      <c r="H17" s="661"/>
    </row>
    <row r="18" spans="1:8">
      <c r="A18" s="696" t="s">
        <v>1287</v>
      </c>
      <c r="B18" s="68" t="s">
        <v>1171</v>
      </c>
      <c r="C18" s="697" t="e">
        <f>'Додаток 3 до рішення'!N14+'Додаток 5 до рішення'!C13+'Додаток 6 до рішення'!N10</f>
        <v>#REF!</v>
      </c>
      <c r="D18" s="697" t="e">
        <f>'Додаток 3 до рішення'!D14+'Додаток 5 до рішення'!D13+'Додаток 6 до рішення'!D10</f>
        <v>#REF!</v>
      </c>
      <c r="E18" s="697" t="e">
        <f>'Додаток 3 до рішення'!E14+'Додаток 5 до рішення'!E13+'Додаток 6 до рішення'!E10</f>
        <v>#REF!</v>
      </c>
      <c r="F18" s="697" t="e">
        <f>'Додаток 3 до рішення'!F14+'Додаток 5 до рішення'!F13+'Додаток 6 до рішення'!F10</f>
        <v>#REF!</v>
      </c>
      <c r="G18" s="697" t="e">
        <f>'Додаток 3 до рішення'!G14+'Додаток 5 до рішення'!G13+'Додаток 6 до рішення'!G10</f>
        <v>#REF!</v>
      </c>
      <c r="H18" s="661"/>
    </row>
    <row r="19" spans="1:8">
      <c r="A19" s="698" t="s">
        <v>808</v>
      </c>
      <c r="B19" s="155" t="s">
        <v>1288</v>
      </c>
      <c r="C19" s="688" t="e">
        <f>'Додаток 3 до рішення'!N15+'Додаток 5 до рішення'!C14+'Додаток 6 до рішення'!N11</f>
        <v>#REF!</v>
      </c>
      <c r="D19" s="688" t="e">
        <f>'Додаток 3 до рішення'!D15+'Додаток 5 до рішення'!D14+'Додаток 6 до рішення'!D11</f>
        <v>#REF!</v>
      </c>
      <c r="E19" s="688" t="e">
        <f>'Додаток 3 до рішення'!E15+'Додаток 5 до рішення'!E14+'Додаток 6 до рішення'!E11</f>
        <v>#REF!</v>
      </c>
      <c r="F19" s="688" t="e">
        <f>'Додаток 3 до рішення'!F15+'Додаток 5 до рішення'!F14+'Додаток 6 до рішення'!F11</f>
        <v>#REF!</v>
      </c>
      <c r="G19" s="688" t="e">
        <f>'Додаток 3 до рішення'!G15+'Додаток 5 до рішення'!G14+'Додаток 6 до рішення'!G11</f>
        <v>#REF!</v>
      </c>
      <c r="H19" s="661"/>
    </row>
    <row r="20" spans="1:8">
      <c r="A20" s="698" t="s">
        <v>810</v>
      </c>
      <c r="B20" s="155" t="s">
        <v>1289</v>
      </c>
      <c r="C20" s="688" t="e">
        <f>C21+C22+C23</f>
        <v>#REF!</v>
      </c>
      <c r="D20" s="688" t="e">
        <f>D21+D22+D23</f>
        <v>#REF!</v>
      </c>
      <c r="E20" s="688" t="e">
        <f>E21+E22+E23</f>
        <v>#REF!</v>
      </c>
      <c r="F20" s="688" t="e">
        <f>F21+F22+F23</f>
        <v>#REF!</v>
      </c>
      <c r="G20" s="688" t="e">
        <f>G21+G22+G23</f>
        <v>#REF!</v>
      </c>
      <c r="H20" s="661"/>
    </row>
    <row r="21" spans="1:8">
      <c r="A21" s="696" t="s">
        <v>1290</v>
      </c>
      <c r="B21" s="68" t="s">
        <v>1291</v>
      </c>
      <c r="C21" s="697" t="e">
        <f>'Додаток 3 до рішення'!N17+'Додаток 5 до рішення'!C16+'Додаток 6 до рішення'!N13</f>
        <v>#REF!</v>
      </c>
      <c r="D21" s="697" t="e">
        <f>'Додаток 3 до рішення'!D17+'Додаток 5 до рішення'!D16+'Додаток 6 до рішення'!D13</f>
        <v>#REF!</v>
      </c>
      <c r="E21" s="697" t="e">
        <f>'Додаток 3 до рішення'!E17+'Додаток 5 до рішення'!E16+'Додаток 6 до рішення'!E13</f>
        <v>#REF!</v>
      </c>
      <c r="F21" s="697" t="e">
        <f>'Додаток 3 до рішення'!F17+'Додаток 5 до рішення'!F16+'Додаток 6 до рішення'!F13</f>
        <v>#REF!</v>
      </c>
      <c r="G21" s="697" t="e">
        <f>'Додаток 3 до рішення'!G17+'Додаток 5 до рішення'!G16+'Додаток 6 до рішення'!G13</f>
        <v>#REF!</v>
      </c>
      <c r="H21" s="661"/>
    </row>
    <row r="22" spans="1:8">
      <c r="A22" s="696" t="s">
        <v>1292</v>
      </c>
      <c r="B22" s="68" t="s">
        <v>1293</v>
      </c>
      <c r="C22" s="697" t="e">
        <f>'Додаток 3 до рішення'!N18+'Додаток 5 до рішення'!C17+'Додаток 6 до рішення'!N14</f>
        <v>#REF!</v>
      </c>
      <c r="D22" s="697" t="e">
        <f>'Додаток 3 до рішення'!D18+'Додаток 5 до рішення'!D17+'Додаток 6 до рішення'!D14</f>
        <v>#REF!</v>
      </c>
      <c r="E22" s="697" t="e">
        <f>'Додаток 3 до рішення'!E18+'Додаток 5 до рішення'!E17+'Додаток 6 до рішення'!E14</f>
        <v>#REF!</v>
      </c>
      <c r="F22" s="697" t="e">
        <f>'Додаток 3 до рішення'!F18+'Додаток 5 до рішення'!F17+'Додаток 6 до рішення'!F14</f>
        <v>#REF!</v>
      </c>
      <c r="G22" s="697" t="e">
        <f>'Додаток 3 до рішення'!G18+'Додаток 5 до рішення'!G17+'Додаток 6 до рішення'!G14</f>
        <v>#REF!</v>
      </c>
      <c r="H22" s="661"/>
    </row>
    <row r="23" spans="1:8">
      <c r="A23" s="696" t="s">
        <v>1294</v>
      </c>
      <c r="B23" s="68" t="s">
        <v>77</v>
      </c>
      <c r="C23" s="697" t="e">
        <f>'Додаток 3 до рішення'!N19+'Додаток 5 до рішення'!C18+'Додаток 6 до рішення'!N15</f>
        <v>#REF!</v>
      </c>
      <c r="D23" s="697" t="e">
        <f>'Додаток 3 до рішення'!D19+'Додаток 5 до рішення'!D18+'Додаток 6 до рішення'!D15</f>
        <v>#REF!</v>
      </c>
      <c r="E23" s="697" t="e">
        <f>'Додаток 3 до рішення'!E19+'Додаток 5 до рішення'!E18+'Додаток 6 до рішення'!E15</f>
        <v>#REF!</v>
      </c>
      <c r="F23" s="697" t="e">
        <f>'Додаток 3 до рішення'!F19+'Додаток 5 до рішення'!F18+'Додаток 6 до рішення'!F15</f>
        <v>#REF!</v>
      </c>
      <c r="G23" s="697" t="e">
        <f>'Додаток 3 до рішення'!G19+'Додаток 5 до рішення'!G18+'Додаток 6 до рішення'!G15</f>
        <v>#REF!</v>
      </c>
      <c r="H23" s="661"/>
    </row>
    <row r="24" spans="1:8" s="14" customFormat="1">
      <c r="A24" s="698" t="s">
        <v>812</v>
      </c>
      <c r="B24" s="155" t="s">
        <v>1295</v>
      </c>
      <c r="C24" s="688" t="e">
        <f>C25+C26+C27+C28</f>
        <v>#REF!</v>
      </c>
      <c r="D24" s="157" t="e">
        <f>D25+D26+D27+D28</f>
        <v>#REF!</v>
      </c>
      <c r="E24" s="157" t="e">
        <f>E25+E26+E27+E28</f>
        <v>#REF!</v>
      </c>
      <c r="F24" s="157" t="e">
        <f>F25+F26+F27+F28</f>
        <v>#REF!</v>
      </c>
      <c r="G24" s="157" t="e">
        <f>G25+G26+G27+G28</f>
        <v>#REF!</v>
      </c>
      <c r="H24" s="661"/>
    </row>
    <row r="25" spans="1:8">
      <c r="A25" s="699" t="s">
        <v>1296</v>
      </c>
      <c r="B25" s="68" t="s">
        <v>1297</v>
      </c>
      <c r="C25" s="697" t="e">
        <f>'Додаток 3 до рішення'!N21+'Додаток 5 до рішення'!C20+'Додаток 6 до рішення'!N17</f>
        <v>#REF!</v>
      </c>
      <c r="D25" s="697" t="e">
        <f>'Додаток 3 до рішення'!D21+'Додаток 5 до рішення'!D20+'Додаток 6 до рішення'!D17</f>
        <v>#REF!</v>
      </c>
      <c r="E25" s="697" t="e">
        <f>'Додаток 3 до рішення'!E21+'Додаток 5 до рішення'!E20+'Додаток 6 до рішення'!E17</f>
        <v>#REF!</v>
      </c>
      <c r="F25" s="697" t="e">
        <f>'Додаток 3 до рішення'!F21+'Додаток 5 до рішення'!F20+'Додаток 6 до рішення'!F17</f>
        <v>#REF!</v>
      </c>
      <c r="G25" s="697" t="e">
        <f>'Додаток 3 до рішення'!G21+'Додаток 5 до рішення'!G20+'Додаток 6 до рішення'!G17</f>
        <v>#REF!</v>
      </c>
      <c r="H25" s="661"/>
    </row>
    <row r="26" spans="1:8">
      <c r="A26" s="699" t="s">
        <v>1298</v>
      </c>
      <c r="B26" s="68" t="s">
        <v>1172</v>
      </c>
      <c r="C26" s="697" t="e">
        <f>'Додаток 3 до рішення'!N22+'Додаток 5 до рішення'!C21+'Додаток 6 до рішення'!N18</f>
        <v>#REF!</v>
      </c>
      <c r="D26" s="697" t="e">
        <f>'Додаток 3 до рішення'!D22+'Додаток 5 до рішення'!D21+'Додаток 6 до рішення'!D18</f>
        <v>#REF!</v>
      </c>
      <c r="E26" s="697" t="e">
        <f>'Додаток 3 до рішення'!E22+'Додаток 5 до рішення'!E21+'Додаток 6 до рішення'!E18</f>
        <v>#REF!</v>
      </c>
      <c r="F26" s="697" t="e">
        <f>'Додаток 3 до рішення'!F22+'Додаток 5 до рішення'!F21+'Додаток 6 до рішення'!F18</f>
        <v>#REF!</v>
      </c>
      <c r="G26" s="697" t="e">
        <f>'Додаток 3 до рішення'!G22+'Додаток 5 до рішення'!G21+'Додаток 6 до рішення'!G18</f>
        <v>#REF!</v>
      </c>
      <c r="H26" s="661"/>
    </row>
    <row r="27" spans="1:8">
      <c r="A27" s="699" t="s">
        <v>1299</v>
      </c>
      <c r="B27" s="68" t="s">
        <v>1293</v>
      </c>
      <c r="C27" s="697" t="e">
        <f>'Додаток 3 до рішення'!N23+'Додаток 5 до рішення'!C22+'Додаток 6 до рішення'!N19</f>
        <v>#REF!</v>
      </c>
      <c r="D27" s="697" t="e">
        <f>'Додаток 3 до рішення'!D23+'Додаток 5 до рішення'!D22+'Додаток 6 до рішення'!D19</f>
        <v>#REF!</v>
      </c>
      <c r="E27" s="697" t="e">
        <f>'Додаток 3 до рішення'!E23+'Додаток 5 до рішення'!E22+'Додаток 6 до рішення'!E19</f>
        <v>#REF!</v>
      </c>
      <c r="F27" s="697" t="e">
        <f>'Додаток 3 до рішення'!F23+'Додаток 5 до рішення'!F22+'Додаток 6 до рішення'!F19</f>
        <v>#REF!</v>
      </c>
      <c r="G27" s="697" t="e">
        <f>'Додаток 3 до рішення'!G23+'Додаток 5 до рішення'!G22+'Додаток 6 до рішення'!G19</f>
        <v>#REF!</v>
      </c>
      <c r="H27" s="661"/>
    </row>
    <row r="28" spans="1:8">
      <c r="A28" s="699" t="s">
        <v>1300</v>
      </c>
      <c r="B28" s="68" t="s">
        <v>54</v>
      </c>
      <c r="C28" s="697" t="e">
        <f>'Додаток 3 до рішення'!N24+'Додаток 5 до рішення'!C23+'Додаток 6 до рішення'!N20</f>
        <v>#REF!</v>
      </c>
      <c r="D28" s="697" t="e">
        <f>'Додаток 3 до рішення'!D24+'Додаток 5 до рішення'!D23+'Додаток 6 до рішення'!D20</f>
        <v>#REF!</v>
      </c>
      <c r="E28" s="697" t="e">
        <f>'Додаток 3 до рішення'!E24+'Додаток 5 до рішення'!E23+'Додаток 6 до рішення'!E20</f>
        <v>#REF!</v>
      </c>
      <c r="F28" s="697" t="e">
        <f>'Додаток 3 до рішення'!F24+'Додаток 5 до рішення'!F23+'Додаток 6 до рішення'!F20</f>
        <v>#REF!</v>
      </c>
      <c r="G28" s="697" t="e">
        <f>'Додаток 3 до рішення'!G24+'Додаток 5 до рішення'!G23+'Додаток 6 до рішення'!G20</f>
        <v>#REF!</v>
      </c>
      <c r="H28" s="661"/>
    </row>
    <row r="29" spans="1:8" s="14" customFormat="1">
      <c r="A29" s="694" t="s">
        <v>821</v>
      </c>
      <c r="B29" s="155" t="s">
        <v>1301</v>
      </c>
      <c r="C29" s="688" t="e">
        <f>C30+C31+C32+C33</f>
        <v>#REF!</v>
      </c>
      <c r="D29" s="157" t="e">
        <f>D30+D31+D32+D33</f>
        <v>#REF!</v>
      </c>
      <c r="E29" s="157" t="e">
        <f>E30+E31+E32+E33</f>
        <v>#REF!</v>
      </c>
      <c r="F29" s="157" t="e">
        <f>F30+F31+F32+F33</f>
        <v>#REF!</v>
      </c>
      <c r="G29" s="157" t="e">
        <f>G30+G31+G32+G33</f>
        <v>#REF!</v>
      </c>
      <c r="H29" s="661"/>
    </row>
    <row r="30" spans="1:8">
      <c r="A30" s="699" t="s">
        <v>1302</v>
      </c>
      <c r="B30" s="68" t="s">
        <v>51</v>
      </c>
      <c r="C30" s="697" t="e">
        <f>'Додаток 3 до рішення'!N26+'Додаток 5 до рішення'!C25+'Додаток 6 до рішення'!N22</f>
        <v>#REF!</v>
      </c>
      <c r="D30" s="697" t="e">
        <f>'Додаток 3 до рішення'!D26+'Додаток 5 до рішення'!D25+'Додаток 6 до рішення'!D22</f>
        <v>#REF!</v>
      </c>
      <c r="E30" s="697" t="e">
        <f>'Додаток 3 до рішення'!E26+'Додаток 5 до рішення'!E25+'Додаток 6 до рішення'!E22</f>
        <v>#REF!</v>
      </c>
      <c r="F30" s="697" t="e">
        <f>'Додаток 3 до рішення'!F26+'Додаток 5 до рішення'!F25+'Додаток 6 до рішення'!F22</f>
        <v>#REF!</v>
      </c>
      <c r="G30" s="697" t="e">
        <f>'Додаток 3 до рішення'!G26+'Додаток 5 до рішення'!G25+'Додаток 6 до рішення'!G22</f>
        <v>#REF!</v>
      </c>
      <c r="H30" s="661"/>
    </row>
    <row r="31" spans="1:8">
      <c r="A31" s="699" t="s">
        <v>1303</v>
      </c>
      <c r="B31" s="68" t="s">
        <v>1304</v>
      </c>
      <c r="C31" s="697" t="e">
        <f>'Додаток 3 до рішення'!N27+'Додаток 5 до рішення'!C26+'Додаток 6 до рішення'!N23</f>
        <v>#REF!</v>
      </c>
      <c r="D31" s="697" t="e">
        <f>'Додаток 3 до рішення'!D27+'Додаток 5 до рішення'!D26+'Додаток 6 до рішення'!D23</f>
        <v>#REF!</v>
      </c>
      <c r="E31" s="697" t="e">
        <f>'Додаток 3 до рішення'!E27+'Додаток 5 до рішення'!E26+'Додаток 6 до рішення'!E23</f>
        <v>#REF!</v>
      </c>
      <c r="F31" s="697" t="e">
        <f>'Додаток 3 до рішення'!F27+'Додаток 5 до рішення'!F26+'Додаток 6 до рішення'!F23</f>
        <v>#REF!</v>
      </c>
      <c r="G31" s="697" t="e">
        <f>'Додаток 3 до рішення'!G27+'Додаток 5 до рішення'!G26+'Додаток 6 до рішення'!G23</f>
        <v>#REF!</v>
      </c>
      <c r="H31" s="661"/>
    </row>
    <row r="32" spans="1:8">
      <c r="A32" s="699" t="s">
        <v>1305</v>
      </c>
      <c r="B32" s="68" t="s">
        <v>1293</v>
      </c>
      <c r="C32" s="697" t="e">
        <f>'Додаток 3 до рішення'!N28+'Додаток 5 до рішення'!C27+'Додаток 6 до рішення'!N24</f>
        <v>#REF!</v>
      </c>
      <c r="D32" s="697" t="e">
        <f>'Додаток 3 до рішення'!D28+'Додаток 5 до рішення'!D27+'Додаток 6 до рішення'!D24</f>
        <v>#REF!</v>
      </c>
      <c r="E32" s="697" t="e">
        <f>'Додаток 3 до рішення'!E28+'Додаток 5 до рішення'!E27+'Додаток 6 до рішення'!E24</f>
        <v>#REF!</v>
      </c>
      <c r="F32" s="697" t="e">
        <f>'Додаток 3 до рішення'!F28+'Додаток 5 до рішення'!F27+'Додаток 6 до рішення'!F24</f>
        <v>#REF!</v>
      </c>
      <c r="G32" s="697" t="e">
        <f>'Додаток 3 до рішення'!G28+'Додаток 5 до рішення'!G27+'Додаток 6 до рішення'!G24</f>
        <v>#REF!</v>
      </c>
      <c r="H32" s="661"/>
    </row>
    <row r="33" spans="1:8">
      <c r="A33" s="699" t="s">
        <v>1306</v>
      </c>
      <c r="B33" s="68" t="s">
        <v>1307</v>
      </c>
      <c r="C33" s="697" t="e">
        <f>'Додаток 3 до рішення'!N29+'Додаток 5 до рішення'!C28+'Додаток 6 до рішення'!N25</f>
        <v>#REF!</v>
      </c>
      <c r="D33" s="697" t="e">
        <f>'Додаток 3 до рішення'!D29+'Додаток 5 до рішення'!D28+'Додаток 6 до рішення'!D25</f>
        <v>#REF!</v>
      </c>
      <c r="E33" s="697" t="e">
        <f>'Додаток 3 до рішення'!E29+'Додаток 5 до рішення'!E28+'Додаток 6 до рішення'!E25</f>
        <v>#REF!</v>
      </c>
      <c r="F33" s="697" t="e">
        <f>'Додаток 3 до рішення'!F29+'Додаток 5 до рішення'!F28+'Додаток 6 до рішення'!F25</f>
        <v>#REF!</v>
      </c>
      <c r="G33" s="697" t="e">
        <f>'Додаток 3 до рішення'!G29+'Додаток 5 до рішення'!G28+'Додаток 6 до рішення'!G25</f>
        <v>#REF!</v>
      </c>
      <c r="H33" s="661"/>
    </row>
    <row r="34" spans="1:8" s="14" customFormat="1">
      <c r="A34" s="694" t="s">
        <v>823</v>
      </c>
      <c r="B34" s="155" t="s">
        <v>1308</v>
      </c>
      <c r="C34" s="694">
        <v>0</v>
      </c>
      <c r="D34" s="694">
        <v>0</v>
      </c>
      <c r="E34" s="694">
        <v>0</v>
      </c>
      <c r="F34" s="694">
        <v>0</v>
      </c>
      <c r="G34" s="694">
        <v>0</v>
      </c>
      <c r="H34" s="661"/>
    </row>
    <row r="35" spans="1:8" s="14" customFormat="1" ht="27.6">
      <c r="A35" s="694" t="s">
        <v>826</v>
      </c>
      <c r="B35" s="831" t="s">
        <v>1309</v>
      </c>
      <c r="C35" s="688" t="e">
        <f>'Додаток 5 до рішення'!C31</f>
        <v>#REF!</v>
      </c>
      <c r="D35" s="688" t="e">
        <f>'Додаток 5 до рішення'!D31</f>
        <v>#REF!</v>
      </c>
      <c r="E35" s="688" t="e">
        <f>'Додаток 5 до рішення'!E31</f>
        <v>#REF!</v>
      </c>
      <c r="F35" s="688" t="e">
        <f>'Додаток 5 до рішення'!F31</f>
        <v>#REF!</v>
      </c>
      <c r="G35" s="688" t="e">
        <f>'Додаток 5 до рішення'!G31</f>
        <v>#REF!</v>
      </c>
      <c r="H35" s="661"/>
    </row>
    <row r="36" spans="1:8" s="14" customFormat="1">
      <c r="A36" s="694" t="s">
        <v>891</v>
      </c>
      <c r="B36" s="155" t="s">
        <v>1310</v>
      </c>
      <c r="C36" s="688" t="e">
        <f>'Додаток 3 до рішення'!N31+'Додаток 5 до рішення'!C32+'Додаток 6 до рішення'!N27</f>
        <v>#REF!</v>
      </c>
      <c r="D36" s="688" t="e">
        <f>'Додаток 3 до рішення'!D31+'Додаток 5 до рішення'!D32+'Додаток 6 до рішення'!D27</f>
        <v>#REF!</v>
      </c>
      <c r="E36" s="688" t="e">
        <f>'Додаток 3 до рішення'!E31+'Додаток 5 до рішення'!E32+'Додаток 6 до рішення'!E27</f>
        <v>#REF!</v>
      </c>
      <c r="F36" s="688" t="e">
        <f>'Додаток 3 до рішення'!F31+'Додаток 5 до рішення'!F32+'Додаток 6 до рішення'!F27</f>
        <v>#REF!</v>
      </c>
      <c r="G36" s="688" t="e">
        <f>'Додаток 3 до рішення'!G31+'Додаток 5 до рішення'!G32+'Додаток 6 до рішення'!G27</f>
        <v>#REF!</v>
      </c>
      <c r="H36" s="661"/>
    </row>
    <row r="37" spans="1:8" s="14" customFormat="1">
      <c r="A37" s="694" t="s">
        <v>897</v>
      </c>
      <c r="B37" s="155" t="s">
        <v>1311</v>
      </c>
      <c r="C37" s="694">
        <v>0</v>
      </c>
      <c r="D37" s="694">
        <v>0</v>
      </c>
      <c r="E37" s="694">
        <v>0</v>
      </c>
      <c r="F37" s="694">
        <v>0</v>
      </c>
      <c r="G37" s="694">
        <v>0</v>
      </c>
      <c r="H37" s="661"/>
    </row>
    <row r="38" spans="1:8" s="728" customFormat="1">
      <c r="A38" s="724" t="s">
        <v>903</v>
      </c>
      <c r="B38" s="725" t="s">
        <v>1312</v>
      </c>
      <c r="C38" s="726" t="e">
        <f>'Додаток 3 до рішення'!N33</f>
        <v>#REF!</v>
      </c>
      <c r="D38" s="726">
        <f>'Додаток 3 до рішення'!D33</f>
        <v>0</v>
      </c>
      <c r="E38" s="726">
        <f>'Додаток 3 до рішення'!E33</f>
        <v>0</v>
      </c>
      <c r="F38" s="726">
        <f>'Додаток 3 до рішення'!F33</f>
        <v>0</v>
      </c>
      <c r="G38" s="726">
        <f>'Додаток 3 до рішення'!G33</f>
        <v>0</v>
      </c>
      <c r="H38" s="727"/>
    </row>
    <row r="39" spans="1:8" s="14" customFormat="1">
      <c r="A39" s="694" t="s">
        <v>905</v>
      </c>
      <c r="B39" s="155" t="s">
        <v>1313</v>
      </c>
      <c r="C39" s="688" t="e">
        <f>SUM(C40:C43)</f>
        <v>#REF!</v>
      </c>
      <c r="D39" s="688" t="e">
        <f>SUM(D40:D43)</f>
        <v>#REF!</v>
      </c>
      <c r="E39" s="688" t="e">
        <f>SUM(E40:E43)</f>
        <v>#REF!</v>
      </c>
      <c r="F39" s="688" t="e">
        <f>SUM(F40:F43)</f>
        <v>#REF!</v>
      </c>
      <c r="G39" s="688" t="e">
        <f>SUM(G40:G43)</f>
        <v>#REF!</v>
      </c>
      <c r="H39" s="661"/>
    </row>
    <row r="40" spans="1:8">
      <c r="A40" s="699" t="s">
        <v>734</v>
      </c>
      <c r="B40" s="68" t="s">
        <v>61</v>
      </c>
      <c r="C40" s="697" t="e">
        <f>'Додаток 3 до рішення'!N35+'Додаток 5 до рішення'!C36+'Додаток 6 до рішення'!N31</f>
        <v>#REF!</v>
      </c>
      <c r="D40" s="697" t="e">
        <f>'Додаток 3 до рішення'!D35+'Додаток 5 до рішення'!D36+'Додаток 6 до рішення'!D31</f>
        <v>#REF!</v>
      </c>
      <c r="E40" s="697" t="e">
        <f>'Додаток 3 до рішення'!E35+'Додаток 5 до рішення'!E36+'Додаток 6 до рішення'!E31</f>
        <v>#REF!</v>
      </c>
      <c r="F40" s="697" t="e">
        <f>'Додаток 3 до рішення'!F35+'Додаток 5 до рішення'!F36+'Додаток 6 до рішення'!F31</f>
        <v>#REF!</v>
      </c>
      <c r="G40" s="697" t="e">
        <f>'Додаток 3 до рішення'!G35+'Додаток 5 до рішення'!G36+'Додаток 6 до рішення'!G31</f>
        <v>#REF!</v>
      </c>
      <c r="H40" s="661"/>
    </row>
    <row r="41" spans="1:8">
      <c r="A41" s="699" t="s">
        <v>1314</v>
      </c>
      <c r="B41" s="68" t="s">
        <v>80</v>
      </c>
      <c r="C41" s="697" t="e">
        <f>'Додаток 3 до рішення'!N36+'Додаток 5 до рішення'!C37+'Додаток 6 до рішення'!N32</f>
        <v>#REF!</v>
      </c>
      <c r="D41" s="697" t="e">
        <f>'Додаток 3 до рішення'!D36+'Додаток 5 до рішення'!D37+'Додаток 6 до рішення'!D32</f>
        <v>#REF!</v>
      </c>
      <c r="E41" s="697" t="e">
        <f>'Додаток 3 до рішення'!E36+'Додаток 5 до рішення'!E37+'Додаток 6 до рішення'!E32</f>
        <v>#REF!</v>
      </c>
      <c r="F41" s="697" t="e">
        <f>'Додаток 3 до рішення'!F36+'Додаток 5 до рішення'!F37+'Додаток 6 до рішення'!F32</f>
        <v>#REF!</v>
      </c>
      <c r="G41" s="697" t="e">
        <f>'Додаток 3 до рішення'!G36+'Додаток 5 до рішення'!G37+'Додаток 6 до рішення'!G32</f>
        <v>#REF!</v>
      </c>
      <c r="H41" s="661"/>
    </row>
    <row r="42" spans="1:8">
      <c r="A42" s="699" t="s">
        <v>1315</v>
      </c>
      <c r="B42" s="68" t="s">
        <v>67</v>
      </c>
      <c r="C42" s="697" t="e">
        <f>'Додаток 3 до рішення'!N37+'Додаток 5 до рішення'!C38+'Додаток 6 до рішення'!N33</f>
        <v>#REF!</v>
      </c>
      <c r="D42" s="697" t="e">
        <f>'Додаток 3 до рішення'!D37+'Додаток 5 до рішення'!D38+'Додаток 6 до рішення'!D33</f>
        <v>#REF!</v>
      </c>
      <c r="E42" s="697" t="e">
        <f>'Додаток 3 до рішення'!E37+'Додаток 5 до рішення'!E38+'Додаток 6 до рішення'!E33</f>
        <v>#REF!</v>
      </c>
      <c r="F42" s="697" t="e">
        <f>'Додаток 3 до рішення'!F37+'Додаток 5 до рішення'!F38+'Додаток 6 до рішення'!F33</f>
        <v>#REF!</v>
      </c>
      <c r="G42" s="697" t="e">
        <f>'Додаток 3 до рішення'!G37+'Додаток 5 до рішення'!G38+'Додаток 6 до рішення'!G33</f>
        <v>#REF!</v>
      </c>
      <c r="H42" s="661"/>
    </row>
    <row r="43" spans="1:8" ht="14.4" thickBot="1">
      <c r="A43" s="700" t="s">
        <v>1316</v>
      </c>
      <c r="B43" s="701" t="s">
        <v>1222</v>
      </c>
      <c r="C43" s="702" t="e">
        <f>'Додаток 3 до рішення'!N38+'Додаток 5 до рішення'!C39+'Додаток 6 до рішення'!N34</f>
        <v>#REF!</v>
      </c>
      <c r="D43" s="702" t="e">
        <f>'Додаток 3 до рішення'!D38+'Додаток 5 до рішення'!D39+'Додаток 6 до рішення'!D34</f>
        <v>#REF!</v>
      </c>
      <c r="E43" s="702" t="e">
        <f>'Додаток 3 до рішення'!E38+'Додаток 5 до рішення'!E39+'Додаток 6 до рішення'!E34</f>
        <v>#REF!</v>
      </c>
      <c r="F43" s="702" t="e">
        <f>'Додаток 3 до рішення'!F38+'Додаток 5 до рішення'!F39+'Додаток 6 до рішення'!F34</f>
        <v>#REF!</v>
      </c>
      <c r="G43" s="702" t="e">
        <f>'Додаток 3 до рішення'!G38+'Додаток 5 до рішення'!G39+'Додаток 6 до рішення'!G34</f>
        <v>#REF!</v>
      </c>
      <c r="H43" s="661"/>
    </row>
    <row r="44" spans="1:8" ht="14.4" thickBot="1">
      <c r="A44" s="693" t="s">
        <v>907</v>
      </c>
      <c r="B44" s="703" t="s">
        <v>1317</v>
      </c>
      <c r="C44" s="704" t="e">
        <f>C13+C29+C34+C35+C36+C37+C38+C39</f>
        <v>#REF!</v>
      </c>
      <c r="D44" s="704" t="e">
        <f>D13+D29+D34+D35+D36+D37+D38+D39</f>
        <v>#REF!</v>
      </c>
      <c r="E44" s="704" t="e">
        <f>E13+E29+E34+E35+E36+E37+E38+E39</f>
        <v>#REF!</v>
      </c>
      <c r="F44" s="704" t="e">
        <f>F13+F29+F34+F35+F36+F37+F38+F39</f>
        <v>#REF!</v>
      </c>
      <c r="G44" s="704" t="e">
        <f>G13+G29+G34+G35+G36+G37+G38+G39</f>
        <v>#REF!</v>
      </c>
      <c r="H44" s="661"/>
    </row>
    <row r="45" spans="1:8" ht="31.8" thickBot="1">
      <c r="A45" s="693" t="s">
        <v>911</v>
      </c>
      <c r="B45" s="479" t="s">
        <v>1318</v>
      </c>
      <c r="C45" s="704" t="e">
        <f>'Додаток 3 до рішення'!N7</f>
        <v>#REF!</v>
      </c>
      <c r="D45" s="704" t="e">
        <f>'Додаток 3 до рішення'!O7</f>
        <v>#REF!</v>
      </c>
      <c r="E45" s="704" t="e">
        <f>'Додаток 3 до рішення'!P7</f>
        <v>#REF!</v>
      </c>
      <c r="F45" s="704" t="e">
        <f>'Додаток 3 до рішення'!Q7</f>
        <v>#REF!</v>
      </c>
      <c r="G45" s="704" t="e">
        <f>'Додаток 3 до рішення'!R7</f>
        <v>#REF!</v>
      </c>
      <c r="H45" s="661"/>
    </row>
    <row r="46" spans="1:8" s="14" customFormat="1" ht="28.2" thickBot="1">
      <c r="A46" s="693" t="s">
        <v>913</v>
      </c>
      <c r="B46" s="703" t="s">
        <v>1319</v>
      </c>
      <c r="C46" s="704" t="e">
        <f>'Додаток 6 до рішення'!N7</f>
        <v>#REF!</v>
      </c>
      <c r="D46" s="704" t="e">
        <f>'Додаток 6 до рішення'!O7</f>
        <v>#REF!</v>
      </c>
      <c r="E46" s="704" t="e">
        <f>'Додаток 6 до рішення'!P7</f>
        <v>#REF!</v>
      </c>
      <c r="F46" s="704" t="e">
        <f>'Додаток 6 до рішення'!Q7</f>
        <v>#REF!</v>
      </c>
      <c r="G46" s="704" t="e">
        <f>'Додаток 6 до рішення'!R7</f>
        <v>#REF!</v>
      </c>
      <c r="H46" s="661"/>
    </row>
    <row r="47" spans="1:8">
      <c r="C47" s="816"/>
    </row>
    <row r="48" spans="1:8">
      <c r="B48" s="310"/>
      <c r="C48" s="814" t="e">
        <f>C13+C29+C35+C36+C38+C39</f>
        <v>#REF!</v>
      </c>
      <c r="D48" s="705"/>
      <c r="E48" s="705"/>
      <c r="F48" s="705"/>
      <c r="G48" s="705"/>
    </row>
    <row r="49" spans="2:7">
      <c r="B49" s="9" t="s">
        <v>1352</v>
      </c>
      <c r="C49" s="815" t="e">
        <f>'Додаток 6 до рішення'!N37+'Додаток 5 до рішення'!C43+'Додаток 3 до рішення'!N39</f>
        <v>#REF!</v>
      </c>
      <c r="D49" s="707"/>
      <c r="E49" s="705"/>
      <c r="F49" s="794" t="s">
        <v>1353</v>
      </c>
      <c r="G49" s="705"/>
    </row>
    <row r="50" spans="2:7">
      <c r="C50" s="774" t="e">
        <f>C48-C49</f>
        <v>#REF!</v>
      </c>
      <c r="D50" s="705"/>
      <c r="E50" s="705"/>
      <c r="F50" s="705"/>
      <c r="G50" s="705"/>
    </row>
    <row r="51" spans="2:7">
      <c r="C51" s="817" t="e">
        <f>C49+'Додаток 1 до рішення'!C48</f>
        <v>#REF!</v>
      </c>
    </row>
    <row r="52" spans="2:7">
      <c r="C52" s="817" t="e">
        <f>#REF!</f>
        <v>#REF!</v>
      </c>
    </row>
    <row r="53" spans="2:7">
      <c r="C53" s="818" t="e">
        <f>#REF!</f>
        <v>#REF!</v>
      </c>
    </row>
  </sheetData>
  <mergeCells count="8">
    <mergeCell ref="B7:G7"/>
    <mergeCell ref="B12:G12"/>
    <mergeCell ref="F1:G1"/>
    <mergeCell ref="B2:F2"/>
    <mergeCell ref="A4:A5"/>
    <mergeCell ref="B4:B5"/>
    <mergeCell ref="C4:C5"/>
    <mergeCell ref="D4:G4"/>
  </mergeCells>
  <pageMargins left="0.70866141732283472" right="0.35433070866141736" top="0.51181102362204722" bottom="0.47244094488188981" header="0.31496062992125984" footer="0.31496062992125984"/>
  <pageSetup paperSize="9" scale="67" fitToHeight="2"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Лист106">
    <tabColor rgb="FFEC20C5"/>
    <pageSetUpPr fitToPage="1"/>
  </sheetPr>
  <dimension ref="A1:R46"/>
  <sheetViews>
    <sheetView workbookViewId="0">
      <selection activeCell="A7" sqref="A7:XFD40"/>
    </sheetView>
  </sheetViews>
  <sheetFormatPr defaultColWidth="9.109375" defaultRowHeight="13.8"/>
  <cols>
    <col min="1" max="1" width="7.88671875" style="614" customWidth="1"/>
    <col min="2" max="2" width="45.5546875" style="9" customWidth="1"/>
    <col min="3" max="3" width="11.88671875" style="9" customWidth="1"/>
    <col min="4" max="4" width="11.5546875" style="614" customWidth="1"/>
    <col min="5" max="5" width="13.6640625" style="9" customWidth="1"/>
    <col min="6" max="6" width="14.44140625" style="9" customWidth="1"/>
    <col min="7" max="7" width="14.6640625" style="9" customWidth="1"/>
    <col min="8" max="8" width="13.33203125" style="538" customWidth="1"/>
    <col min="9" max="13" width="12" style="9" customWidth="1"/>
    <col min="14" max="14" width="11.6640625" style="9" customWidth="1"/>
    <col min="15" max="18" width="12" style="9" customWidth="1"/>
    <col min="19" max="16384" width="9.109375" style="9"/>
  </cols>
  <sheetData>
    <row r="1" spans="1:18" ht="81.599999999999994" customHeight="1">
      <c r="A1" s="813"/>
      <c r="E1" s="3080" t="s">
        <v>1416</v>
      </c>
      <c r="F1" s="3080"/>
      <c r="G1" s="3080"/>
    </row>
    <row r="2" spans="1:18" ht="31.2" customHeight="1">
      <c r="A2" s="9"/>
      <c r="B2" s="3077" t="s">
        <v>1328</v>
      </c>
      <c r="C2" s="3077"/>
      <c r="D2" s="3077"/>
      <c r="E2" s="3077"/>
      <c r="F2" s="3077"/>
      <c r="G2" s="620"/>
    </row>
    <row r="3" spans="1:18" ht="14.4" thickBot="1">
      <c r="G3" s="9" t="s">
        <v>792</v>
      </c>
      <c r="I3" s="298" t="s">
        <v>1195</v>
      </c>
      <c r="J3" s="298"/>
      <c r="K3" s="298"/>
      <c r="L3" s="298"/>
      <c r="M3" s="298"/>
      <c r="N3" s="298" t="s">
        <v>1196</v>
      </c>
      <c r="O3" s="298"/>
      <c r="P3" s="298"/>
      <c r="Q3" s="298"/>
      <c r="R3" s="298"/>
    </row>
    <row r="4" spans="1:18" ht="14.4" thickBot="1">
      <c r="A4" s="2918" t="s">
        <v>7</v>
      </c>
      <c r="B4" s="2918" t="s">
        <v>534</v>
      </c>
      <c r="C4" s="2918" t="s">
        <v>1266</v>
      </c>
      <c r="D4" s="2921" t="s">
        <v>1267</v>
      </c>
      <c r="E4" s="2922"/>
      <c r="F4" s="2922"/>
      <c r="G4" s="2923"/>
      <c r="H4" s="539"/>
      <c r="I4" s="2918" t="s">
        <v>1266</v>
      </c>
      <c r="J4" s="718"/>
      <c r="K4" s="718"/>
      <c r="L4" s="718"/>
      <c r="M4" s="718"/>
      <c r="N4" s="2918" t="s">
        <v>1266</v>
      </c>
      <c r="O4" s="718"/>
      <c r="P4" s="718"/>
      <c r="Q4" s="718"/>
      <c r="R4" s="718"/>
    </row>
    <row r="5" spans="1:18" ht="57.6" customHeight="1" thickBot="1">
      <c r="A5" s="2919"/>
      <c r="B5" s="2920"/>
      <c r="C5" s="2920"/>
      <c r="D5" s="680" t="s">
        <v>1268</v>
      </c>
      <c r="E5" s="680" t="s">
        <v>1269</v>
      </c>
      <c r="F5" s="680" t="s">
        <v>1415</v>
      </c>
      <c r="G5" s="680" t="s">
        <v>1341</v>
      </c>
      <c r="I5" s="2920"/>
      <c r="J5" s="680" t="s">
        <v>1268</v>
      </c>
      <c r="K5" s="680" t="s">
        <v>1269</v>
      </c>
      <c r="L5" s="680" t="s">
        <v>1270</v>
      </c>
      <c r="M5" s="680" t="s">
        <v>1341</v>
      </c>
      <c r="N5" s="2920"/>
      <c r="O5" s="680" t="s">
        <v>1268</v>
      </c>
      <c r="P5" s="680" t="s">
        <v>1269</v>
      </c>
      <c r="Q5" s="680" t="s">
        <v>1270</v>
      </c>
      <c r="R5" s="680" t="s">
        <v>1341</v>
      </c>
    </row>
    <row r="6" spans="1:18" ht="14.4" thickBot="1">
      <c r="A6" s="681">
        <v>1</v>
      </c>
      <c r="B6" s="682">
        <v>2</v>
      </c>
      <c r="C6" s="678">
        <v>3</v>
      </c>
      <c r="D6" s="681">
        <v>4</v>
      </c>
      <c r="E6" s="678">
        <v>5</v>
      </c>
      <c r="F6" s="682">
        <v>6</v>
      </c>
      <c r="G6" s="679">
        <v>7</v>
      </c>
    </row>
    <row r="7" spans="1:18" ht="14.4" thickBot="1">
      <c r="A7" s="708" t="s">
        <v>1273</v>
      </c>
      <c r="B7" s="709" t="s">
        <v>1534</v>
      </c>
      <c r="C7" s="704" t="s">
        <v>300</v>
      </c>
      <c r="D7" s="704" t="e">
        <f>D39</f>
        <v>#REF!</v>
      </c>
      <c r="E7" s="704" t="e">
        <f>E39</f>
        <v>#REF!</v>
      </c>
      <c r="F7" s="704" t="e">
        <f>F39</f>
        <v>#REF!</v>
      </c>
      <c r="G7" s="704" t="e">
        <f>G39</f>
        <v>#REF!</v>
      </c>
      <c r="H7" s="568" t="e">
        <f>I7+N7</f>
        <v>#REF!</v>
      </c>
      <c r="I7" s="719" t="e">
        <f>'Д 7_РП'!#REF!/1000</f>
        <v>#REF!</v>
      </c>
      <c r="J7" s="719" t="e">
        <f>'Д 7_РП'!#REF!/1000</f>
        <v>#REF!</v>
      </c>
      <c r="K7" s="719" t="e">
        <f>'Д 7_РП'!#REF!/1000</f>
        <v>#REF!</v>
      </c>
      <c r="L7" s="719" t="e">
        <f>'Д 7_РП'!#REF!/1000</f>
        <v>#REF!</v>
      </c>
      <c r="M7" s="719" t="e">
        <f>'Д 7_РП'!#REF!/1000</f>
        <v>#REF!</v>
      </c>
      <c r="N7" s="719" t="e">
        <f>'Д 7_РП'!#REF!/1000</f>
        <v>#REF!</v>
      </c>
      <c r="O7" s="719" t="e">
        <f>'Д 7_РП'!#REF!/1000</f>
        <v>#REF!</v>
      </c>
      <c r="P7" s="719" t="e">
        <f>'Д 7_РП'!#REF!/1000</f>
        <v>#REF!</v>
      </c>
      <c r="Q7" s="719" t="e">
        <f>'Д 7_РП'!#REF!/1000</f>
        <v>#REF!</v>
      </c>
      <c r="R7" s="719" t="e">
        <f>'Д 7_РП'!#REF!/1000</f>
        <v>#REF!</v>
      </c>
    </row>
    <row r="8" spans="1:18" ht="14.4" thickBot="1">
      <c r="A8" s="693"/>
      <c r="B8" s="2913" t="s">
        <v>1414</v>
      </c>
      <c r="C8" s="2914"/>
      <c r="D8" s="2914"/>
      <c r="E8" s="2914"/>
      <c r="F8" s="2914"/>
      <c r="G8" s="2915"/>
    </row>
    <row r="9" spans="1:18" s="14" customFormat="1" ht="27.6">
      <c r="A9" s="694" t="s">
        <v>804</v>
      </c>
      <c r="B9" s="695" t="s">
        <v>1323</v>
      </c>
      <c r="C9" s="688" t="e">
        <f>C10+C15+C16+C20</f>
        <v>#REF!</v>
      </c>
      <c r="D9" s="688" t="e">
        <f>D10+D15+D16+D20</f>
        <v>#REF!</v>
      </c>
      <c r="E9" s="688" t="e">
        <f>E10+E15+E16+E20</f>
        <v>#REF!</v>
      </c>
      <c r="F9" s="688" t="e">
        <f>F10+F15+F16+F20</f>
        <v>#REF!</v>
      </c>
      <c r="G9" s="688" t="e">
        <f>G10+G15+G16+G20</f>
        <v>#REF!</v>
      </c>
      <c r="H9" s="721" t="e">
        <f>I9+N9-C9</f>
        <v>#REF!</v>
      </c>
      <c r="I9" s="688" t="e">
        <f>I10+I15+I16+I20</f>
        <v>#REF!</v>
      </c>
      <c r="J9" s="688" t="e">
        <f t="shared" ref="J9:R9" si="0">J10+J15+J16+J20</f>
        <v>#REF!</v>
      </c>
      <c r="K9" s="688" t="e">
        <f t="shared" si="0"/>
        <v>#REF!</v>
      </c>
      <c r="L9" s="688" t="e">
        <f t="shared" si="0"/>
        <v>#REF!</v>
      </c>
      <c r="M9" s="688" t="e">
        <f t="shared" si="0"/>
        <v>#REF!</v>
      </c>
      <c r="N9" s="688" t="e">
        <f t="shared" si="0"/>
        <v>#REF!</v>
      </c>
      <c r="O9" s="688" t="e">
        <f t="shared" si="0"/>
        <v>#REF!</v>
      </c>
      <c r="P9" s="688" t="e">
        <f t="shared" si="0"/>
        <v>#REF!</v>
      </c>
      <c r="Q9" s="688" t="e">
        <f t="shared" si="0"/>
        <v>#REF!</v>
      </c>
      <c r="R9" s="688" t="e">
        <f t="shared" si="0"/>
        <v>#REF!</v>
      </c>
    </row>
    <row r="10" spans="1:18">
      <c r="A10" s="696" t="s">
        <v>806</v>
      </c>
      <c r="B10" s="773" t="s">
        <v>1280</v>
      </c>
      <c r="C10" s="697">
        <f>SUM(C11:C14)</f>
        <v>9714.0286569070067</v>
      </c>
      <c r="D10" s="697">
        <f>SUM(D11:D14)</f>
        <v>1135.5633812553622</v>
      </c>
      <c r="E10" s="697">
        <f>SUM(E11:E14)</f>
        <v>1163.4540768717497</v>
      </c>
      <c r="F10" s="697">
        <f>SUM(F11:F14)</f>
        <v>1145.5731792508209</v>
      </c>
      <c r="G10" s="697">
        <f>SUM(G11:G14)</f>
        <v>1128.2341269560093</v>
      </c>
      <c r="H10" s="721" t="e">
        <f t="shared" ref="H10:H39" si="1">I10+N10-C10</f>
        <v>#REF!</v>
      </c>
      <c r="I10" s="697" t="e">
        <f>SUM(I11:I14)</f>
        <v>#REF!</v>
      </c>
      <c r="J10" s="697" t="e">
        <f t="shared" ref="J10:R10" si="2">SUM(J11:J14)</f>
        <v>#REF!</v>
      </c>
      <c r="K10" s="697" t="e">
        <f t="shared" si="2"/>
        <v>#REF!</v>
      </c>
      <c r="L10" s="697" t="e">
        <f t="shared" si="2"/>
        <v>#REF!</v>
      </c>
      <c r="M10" s="697" t="e">
        <f t="shared" si="2"/>
        <v>#REF!</v>
      </c>
      <c r="N10" s="697" t="e">
        <f t="shared" si="2"/>
        <v>#REF!</v>
      </c>
      <c r="O10" s="697" t="e">
        <f t="shared" si="2"/>
        <v>#REF!</v>
      </c>
      <c r="P10" s="697" t="e">
        <f t="shared" si="2"/>
        <v>#REF!</v>
      </c>
      <c r="Q10" s="697" t="e">
        <f t="shared" si="2"/>
        <v>#REF!</v>
      </c>
      <c r="R10" s="697" t="e">
        <f t="shared" si="2"/>
        <v>#REF!</v>
      </c>
    </row>
    <row r="11" spans="1:18" ht="27.6">
      <c r="A11" s="696" t="s">
        <v>1281</v>
      </c>
      <c r="B11" s="773" t="s">
        <v>1282</v>
      </c>
      <c r="C11" s="697">
        <f>Виробництво_1ст!F12</f>
        <v>8302.6957517161845</v>
      </c>
      <c r="D11" s="697">
        <f>'Д 2_Т на В'!L14/'Д 2_Т на В'!L$58*1000</f>
        <v>970.03517428698422</v>
      </c>
      <c r="E11" s="697">
        <f>'Д 2_Т на В'!P14/'Д 2_Т на В'!P$58*1000</f>
        <v>998.75361828332927</v>
      </c>
      <c r="F11" s="697">
        <f>'Д 2_Т на В'!T14/'Д 2_Т на В'!T$58*1000</f>
        <v>980.6867487119747</v>
      </c>
      <c r="G11" s="697">
        <f>'Д 2_Т на В'!X14/'Д 2_Т на В'!X$58*1000</f>
        <v>963.54078571696164</v>
      </c>
      <c r="H11" s="721" t="e">
        <f t="shared" si="1"/>
        <v>#REF!</v>
      </c>
      <c r="I11" s="722" t="e">
        <f>SUM(J11:M11)</f>
        <v>#REF!</v>
      </c>
      <c r="J11" s="67" t="e">
        <f>J$7*D11</f>
        <v>#REF!</v>
      </c>
      <c r="K11" s="67" t="e">
        <f t="shared" ref="K11:M26" si="3">K$7*E11</f>
        <v>#REF!</v>
      </c>
      <c r="L11" s="67" t="e">
        <f t="shared" si="3"/>
        <v>#REF!</v>
      </c>
      <c r="M11" s="67" t="e">
        <f t="shared" si="3"/>
        <v>#REF!</v>
      </c>
      <c r="N11" s="722" t="e">
        <f>SUM(O11:R11)</f>
        <v>#REF!</v>
      </c>
      <c r="O11" s="67" t="e">
        <f>O$7*D11</f>
        <v>#REF!</v>
      </c>
      <c r="P11" s="67" t="e">
        <f t="shared" ref="P11:R26" si="4">P$7*E11</f>
        <v>#REF!</v>
      </c>
      <c r="Q11" s="67" t="e">
        <f t="shared" si="4"/>
        <v>#REF!</v>
      </c>
      <c r="R11" s="67" t="e">
        <f t="shared" si="4"/>
        <v>#REF!</v>
      </c>
    </row>
    <row r="12" spans="1:18" ht="27.6">
      <c r="A12" s="696" t="s">
        <v>1283</v>
      </c>
      <c r="B12" s="773" t="s">
        <v>1284</v>
      </c>
      <c r="C12" s="697">
        <f>Виробництво_1ст!F16</f>
        <v>1403.2600406893612</v>
      </c>
      <c r="D12" s="697">
        <f>'Д 2_Т на В'!L18/'Д 2_Т на В'!L$58*1000</f>
        <v>164.39740713472321</v>
      </c>
      <c r="E12" s="697">
        <f>'Д 2_Т на В'!P18/'Д 2_Т на В'!P$58*1000</f>
        <v>164.39740713472321</v>
      </c>
      <c r="F12" s="697">
        <f>'Д 2_Т на В'!T18/'Д 2_Т на В'!T$58*1000</f>
        <v>164.39740713472318</v>
      </c>
      <c r="G12" s="697">
        <f>'Д 2_Т на В'!X18/'Д 2_Т на В'!X$58*1000</f>
        <v>164.39740713472321</v>
      </c>
      <c r="H12" s="721" t="e">
        <f t="shared" si="1"/>
        <v>#REF!</v>
      </c>
      <c r="I12" s="722" t="e">
        <f t="shared" ref="I12:I39" si="5">SUM(J12:M12)</f>
        <v>#REF!</v>
      </c>
      <c r="J12" s="67" t="e">
        <f t="shared" ref="J12:M39" si="6">J$7*D12</f>
        <v>#REF!</v>
      </c>
      <c r="K12" s="67" t="e">
        <f t="shared" si="3"/>
        <v>#REF!</v>
      </c>
      <c r="L12" s="67" t="e">
        <f t="shared" si="3"/>
        <v>#REF!</v>
      </c>
      <c r="M12" s="67" t="e">
        <f t="shared" si="3"/>
        <v>#REF!</v>
      </c>
      <c r="N12" s="722" t="e">
        <f t="shared" ref="N12:N39" si="7">SUM(O12:R12)</f>
        <v>#REF!</v>
      </c>
      <c r="O12" s="67" t="e">
        <f t="shared" ref="O12:R39" si="8">O$7*D12</f>
        <v>#REF!</v>
      </c>
      <c r="P12" s="67" t="e">
        <f t="shared" si="4"/>
        <v>#REF!</v>
      </c>
      <c r="Q12" s="67" t="e">
        <f t="shared" si="4"/>
        <v>#REF!</v>
      </c>
      <c r="R12" s="67" t="e">
        <f t="shared" si="4"/>
        <v>#REF!</v>
      </c>
    </row>
    <row r="13" spans="1:18" ht="27.6">
      <c r="A13" s="696" t="s">
        <v>1285</v>
      </c>
      <c r="B13" s="773" t="s">
        <v>1286</v>
      </c>
      <c r="C13" s="697">
        <f>Виробництво_1ст!F17</f>
        <v>8.0728645014612006</v>
      </c>
      <c r="D13" s="697">
        <f>'Д 2_Т на В'!L22/'Д 2_Т на В'!L$58*1000</f>
        <v>1.1307998336546372</v>
      </c>
      <c r="E13" s="697">
        <f>'Д 2_Т на В'!P22/'Д 2_Т на В'!P$58*1000</f>
        <v>0.30305145369711389</v>
      </c>
      <c r="F13" s="697">
        <f>'Д 2_Т на В'!T22/'Д 2_Т на В'!T$58*1000</f>
        <v>0.48902340412295114</v>
      </c>
      <c r="G13" s="697">
        <f>'Д 2_Т на В'!X22/'Д 2_Т на В'!X$58*1000</f>
        <v>0.29593410432445399</v>
      </c>
      <c r="H13" s="721" t="e">
        <f t="shared" si="1"/>
        <v>#REF!</v>
      </c>
      <c r="I13" s="722" t="e">
        <f t="shared" si="5"/>
        <v>#REF!</v>
      </c>
      <c r="J13" s="67" t="e">
        <f t="shared" si="6"/>
        <v>#REF!</v>
      </c>
      <c r="K13" s="67" t="e">
        <f t="shared" si="3"/>
        <v>#REF!</v>
      </c>
      <c r="L13" s="67" t="e">
        <f t="shared" si="3"/>
        <v>#REF!</v>
      </c>
      <c r="M13" s="67" t="e">
        <f t="shared" si="3"/>
        <v>#REF!</v>
      </c>
      <c r="N13" s="722" t="e">
        <f t="shared" si="7"/>
        <v>#REF!</v>
      </c>
      <c r="O13" s="67" t="e">
        <f t="shared" si="8"/>
        <v>#REF!</v>
      </c>
      <c r="P13" s="67" t="e">
        <f t="shared" si="4"/>
        <v>#REF!</v>
      </c>
      <c r="Q13" s="67" t="e">
        <f t="shared" si="4"/>
        <v>#REF!</v>
      </c>
      <c r="R13" s="67" t="e">
        <f t="shared" si="4"/>
        <v>#REF!</v>
      </c>
    </row>
    <row r="14" spans="1:18" ht="27.6">
      <c r="A14" s="696" t="s">
        <v>1287</v>
      </c>
      <c r="B14" s="773" t="s">
        <v>1171</v>
      </c>
      <c r="C14" s="697">
        <f>Виробництво_1ст!F11-Виробництво_1ст!F12-Виробництво_1ст!F17-Виробництво_1ст!F16</f>
        <v>0</v>
      </c>
      <c r="D14" s="697">
        <f>'Д 2_Т на В'!L23/'Д 2_Т на В'!L$58*1000</f>
        <v>0</v>
      </c>
      <c r="E14" s="697">
        <f>'Д 2_Т на В'!P23/'Д 2_Т на В'!P$58*1000</f>
        <v>0</v>
      </c>
      <c r="F14" s="697">
        <f>'Д 2_Т на В'!T23/'Д 2_Т на В'!T$58*1000</f>
        <v>0</v>
      </c>
      <c r="G14" s="697">
        <f>'Д 2_Т на В'!X23/'Д 2_Т на В'!X$58*1000</f>
        <v>0</v>
      </c>
      <c r="H14" s="721" t="e">
        <f t="shared" si="1"/>
        <v>#REF!</v>
      </c>
      <c r="I14" s="722" t="e">
        <f t="shared" si="5"/>
        <v>#REF!</v>
      </c>
      <c r="J14" s="67" t="e">
        <f t="shared" si="6"/>
        <v>#REF!</v>
      </c>
      <c r="K14" s="67" t="e">
        <f t="shared" si="3"/>
        <v>#REF!</v>
      </c>
      <c r="L14" s="67" t="e">
        <f t="shared" si="3"/>
        <v>#REF!</v>
      </c>
      <c r="M14" s="67" t="e">
        <f t="shared" si="3"/>
        <v>#REF!</v>
      </c>
      <c r="N14" s="722" t="e">
        <f t="shared" si="7"/>
        <v>#REF!</v>
      </c>
      <c r="O14" s="67" t="e">
        <f t="shared" si="8"/>
        <v>#REF!</v>
      </c>
      <c r="P14" s="67" t="e">
        <f t="shared" si="4"/>
        <v>#REF!</v>
      </c>
      <c r="Q14" s="67" t="e">
        <f t="shared" si="4"/>
        <v>#REF!</v>
      </c>
      <c r="R14" s="67" t="e">
        <f t="shared" si="4"/>
        <v>#REF!</v>
      </c>
    </row>
    <row r="15" spans="1:18">
      <c r="A15" s="696" t="s">
        <v>808</v>
      </c>
      <c r="B15" s="773" t="s">
        <v>1288</v>
      </c>
      <c r="C15" s="697">
        <f>Виробництво_1ст!F29</f>
        <v>216</v>
      </c>
      <c r="D15" s="697">
        <f>'Д 2_Т на В'!L24/'Д 2_Т на В'!L$58*1000</f>
        <v>25.305245579184138</v>
      </c>
      <c r="E15" s="697">
        <f>'Д 2_Т на В'!P24/'Д 2_Т на В'!P$58*1000</f>
        <v>25.305245579184138</v>
      </c>
      <c r="F15" s="697">
        <f>'Д 2_Т на В'!T24/'Д 2_Т на В'!T$58*1000</f>
        <v>25.305245579184142</v>
      </c>
      <c r="G15" s="697">
        <f>'Д 2_Т на В'!X24/'Д 2_Т на В'!X$58*1000</f>
        <v>25.305245579184138</v>
      </c>
      <c r="H15" s="721" t="e">
        <f t="shared" si="1"/>
        <v>#REF!</v>
      </c>
      <c r="I15" s="722" t="e">
        <f t="shared" si="5"/>
        <v>#REF!</v>
      </c>
      <c r="J15" s="67" t="e">
        <f t="shared" si="6"/>
        <v>#REF!</v>
      </c>
      <c r="K15" s="67" t="e">
        <f t="shared" si="3"/>
        <v>#REF!</v>
      </c>
      <c r="L15" s="67" t="e">
        <f t="shared" si="3"/>
        <v>#REF!</v>
      </c>
      <c r="M15" s="67" t="e">
        <f t="shared" si="3"/>
        <v>#REF!</v>
      </c>
      <c r="N15" s="722" t="e">
        <f t="shared" si="7"/>
        <v>#REF!</v>
      </c>
      <c r="O15" s="67" t="e">
        <f t="shared" si="8"/>
        <v>#REF!</v>
      </c>
      <c r="P15" s="67" t="e">
        <f t="shared" si="4"/>
        <v>#REF!</v>
      </c>
      <c r="Q15" s="67" t="e">
        <f t="shared" si="4"/>
        <v>#REF!</v>
      </c>
      <c r="R15" s="67" t="e">
        <f t="shared" si="4"/>
        <v>#REF!</v>
      </c>
    </row>
    <row r="16" spans="1:18">
      <c r="A16" s="696" t="s">
        <v>810</v>
      </c>
      <c r="B16" s="773" t="s">
        <v>1289</v>
      </c>
      <c r="C16" s="697">
        <f>C17+C18+C19</f>
        <v>217.59440000000001</v>
      </c>
      <c r="D16" s="697">
        <f>'Д 2_Т на В'!L25/'Д 2_Т на В'!L$58*1000</f>
        <v>25.492035780811229</v>
      </c>
      <c r="E16" s="697">
        <f>'Д 2_Т на В'!P25/'Д 2_Т на В'!P$58*1000</f>
        <v>25.492035780811229</v>
      </c>
      <c r="F16" s="697">
        <f>'Д 2_Т на В'!T25/'Д 2_Т на В'!T$58*1000</f>
        <v>25.492035780811225</v>
      </c>
      <c r="G16" s="697">
        <f>'Д 2_Т на В'!X25/'Д 2_Т на В'!X$58*1000</f>
        <v>25.492035780811229</v>
      </c>
      <c r="H16" s="721" t="e">
        <f t="shared" si="1"/>
        <v>#REF!</v>
      </c>
      <c r="I16" s="722" t="e">
        <f t="shared" si="5"/>
        <v>#REF!</v>
      </c>
      <c r="J16" s="67" t="e">
        <f t="shared" si="6"/>
        <v>#REF!</v>
      </c>
      <c r="K16" s="67" t="e">
        <f t="shared" si="3"/>
        <v>#REF!</v>
      </c>
      <c r="L16" s="67" t="e">
        <f t="shared" si="3"/>
        <v>#REF!</v>
      </c>
      <c r="M16" s="67" t="e">
        <f t="shared" si="3"/>
        <v>#REF!</v>
      </c>
      <c r="N16" s="722" t="e">
        <f t="shared" si="7"/>
        <v>#REF!</v>
      </c>
      <c r="O16" s="67" t="e">
        <f t="shared" si="8"/>
        <v>#REF!</v>
      </c>
      <c r="P16" s="67" t="e">
        <f t="shared" si="4"/>
        <v>#REF!</v>
      </c>
      <c r="Q16" s="67" t="e">
        <f t="shared" si="4"/>
        <v>#REF!</v>
      </c>
      <c r="R16" s="67" t="e">
        <f t="shared" si="4"/>
        <v>#REF!</v>
      </c>
    </row>
    <row r="17" spans="1:18">
      <c r="A17" s="696" t="s">
        <v>1290</v>
      </c>
      <c r="B17" s="773" t="s">
        <v>1304</v>
      </c>
      <c r="C17" s="697">
        <f>Виробництво_1ст!F32</f>
        <v>10.4544</v>
      </c>
      <c r="D17" s="697">
        <f>'Д 2_Т на В'!L26/'Д 2_Т на В'!L$58*1000</f>
        <v>1.2247738860325124</v>
      </c>
      <c r="E17" s="697">
        <f>'Д 2_Т на В'!P26/'Д 2_Т на В'!P$58*1000</f>
        <v>1.2247738860325124</v>
      </c>
      <c r="F17" s="697">
        <f>'Д 2_Т на В'!T26/'Д 2_Т на В'!T$58*1000</f>
        <v>1.2247738860325124</v>
      </c>
      <c r="G17" s="697">
        <f>'Д 2_Т на В'!X26/'Д 2_Т на В'!X$58*1000</f>
        <v>1.2247738860325124</v>
      </c>
      <c r="H17" s="721" t="e">
        <f t="shared" si="1"/>
        <v>#REF!</v>
      </c>
      <c r="I17" s="722" t="e">
        <f t="shared" si="5"/>
        <v>#REF!</v>
      </c>
      <c r="J17" s="67" t="e">
        <f t="shared" si="6"/>
        <v>#REF!</v>
      </c>
      <c r="K17" s="67" t="e">
        <f t="shared" si="3"/>
        <v>#REF!</v>
      </c>
      <c r="L17" s="67" t="e">
        <f t="shared" si="3"/>
        <v>#REF!</v>
      </c>
      <c r="M17" s="67" t="e">
        <f t="shared" si="3"/>
        <v>#REF!</v>
      </c>
      <c r="N17" s="722" t="e">
        <f t="shared" si="7"/>
        <v>#REF!</v>
      </c>
      <c r="O17" s="67" t="e">
        <f t="shared" si="8"/>
        <v>#REF!</v>
      </c>
      <c r="P17" s="67" t="e">
        <f t="shared" si="4"/>
        <v>#REF!</v>
      </c>
      <c r="Q17" s="67" t="e">
        <f t="shared" si="4"/>
        <v>#REF!</v>
      </c>
      <c r="R17" s="67" t="e">
        <f t="shared" si="4"/>
        <v>#REF!</v>
      </c>
    </row>
    <row r="18" spans="1:18">
      <c r="A18" s="696" t="s">
        <v>1292</v>
      </c>
      <c r="B18" s="773" t="s">
        <v>1293</v>
      </c>
      <c r="C18" s="697">
        <f>Виробництво_1ст!F33+Виробництво_1ст!F34</f>
        <v>0</v>
      </c>
      <c r="D18" s="697">
        <f>'Д 2_Т на В'!L27/'Д 2_Т на В'!L$58*1000</f>
        <v>0</v>
      </c>
      <c r="E18" s="697">
        <f>'Д 2_Т на В'!P27/'Д 2_Т на В'!P$58*1000</f>
        <v>0</v>
      </c>
      <c r="F18" s="697">
        <f>'Д 2_Т на В'!T27/'Д 2_Т на В'!T$58*1000</f>
        <v>0</v>
      </c>
      <c r="G18" s="697">
        <f>'Д 2_Т на В'!X27/'Д 2_Т на В'!X$58*1000</f>
        <v>0</v>
      </c>
      <c r="H18" s="721" t="e">
        <f t="shared" si="1"/>
        <v>#REF!</v>
      </c>
      <c r="I18" s="722" t="e">
        <f t="shared" si="5"/>
        <v>#REF!</v>
      </c>
      <c r="J18" s="67" t="e">
        <f t="shared" si="6"/>
        <v>#REF!</v>
      </c>
      <c r="K18" s="67" t="e">
        <f t="shared" si="3"/>
        <v>#REF!</v>
      </c>
      <c r="L18" s="67" t="e">
        <f t="shared" si="3"/>
        <v>#REF!</v>
      </c>
      <c r="M18" s="67" t="e">
        <f t="shared" si="3"/>
        <v>#REF!</v>
      </c>
      <c r="N18" s="722" t="e">
        <f t="shared" si="7"/>
        <v>#REF!</v>
      </c>
      <c r="O18" s="67" t="e">
        <f t="shared" si="8"/>
        <v>#REF!</v>
      </c>
      <c r="P18" s="67" t="e">
        <f t="shared" si="4"/>
        <v>#REF!</v>
      </c>
      <c r="Q18" s="67" t="e">
        <f t="shared" si="4"/>
        <v>#REF!</v>
      </c>
      <c r="R18" s="67" t="e">
        <f t="shared" si="4"/>
        <v>#REF!</v>
      </c>
    </row>
    <row r="19" spans="1:18">
      <c r="A19" s="696" t="s">
        <v>1294</v>
      </c>
      <c r="B19" s="773" t="s">
        <v>77</v>
      </c>
      <c r="C19" s="697">
        <f>Виробництво_1ст!F31-Виробництво_1ст!F32-Виробництво_1ст!F33-Виробництво_1ст!F34</f>
        <v>207.14000000000001</v>
      </c>
      <c r="D19" s="697">
        <f>'Д 2_Т на В'!L28/'Д 2_Т на В'!L$58*1000</f>
        <v>24.267261894778716</v>
      </c>
      <c r="E19" s="697">
        <f>'Д 2_Т на В'!P28/'Д 2_Т на В'!P$58*1000</f>
        <v>24.267261894778716</v>
      </c>
      <c r="F19" s="697">
        <f>'Д 2_Т на В'!T28/'Д 2_Т на В'!T$58*1000</f>
        <v>24.267261894778713</v>
      </c>
      <c r="G19" s="697">
        <f>'Д 2_Т на В'!X28/'Д 2_Т на В'!X$58*1000</f>
        <v>24.267261894778713</v>
      </c>
      <c r="H19" s="721" t="e">
        <f t="shared" si="1"/>
        <v>#REF!</v>
      </c>
      <c r="I19" s="722" t="e">
        <f t="shared" si="5"/>
        <v>#REF!</v>
      </c>
      <c r="J19" s="67" t="e">
        <f t="shared" si="6"/>
        <v>#REF!</v>
      </c>
      <c r="K19" s="67" t="e">
        <f t="shared" si="3"/>
        <v>#REF!</v>
      </c>
      <c r="L19" s="67" t="e">
        <f t="shared" si="3"/>
        <v>#REF!</v>
      </c>
      <c r="M19" s="67" t="e">
        <f t="shared" si="3"/>
        <v>#REF!</v>
      </c>
      <c r="N19" s="722" t="e">
        <f t="shared" si="7"/>
        <v>#REF!</v>
      </c>
      <c r="O19" s="67" t="e">
        <f t="shared" si="8"/>
        <v>#REF!</v>
      </c>
      <c r="P19" s="67" t="e">
        <f t="shared" si="4"/>
        <v>#REF!</v>
      </c>
      <c r="Q19" s="67" t="e">
        <f t="shared" si="4"/>
        <v>#REF!</v>
      </c>
      <c r="R19" s="67" t="e">
        <f t="shared" si="4"/>
        <v>#REF!</v>
      </c>
    </row>
    <row r="20" spans="1:18" s="14" customFormat="1">
      <c r="A20" s="698" t="s">
        <v>812</v>
      </c>
      <c r="B20" s="695" t="s">
        <v>1295</v>
      </c>
      <c r="C20" s="688" t="e">
        <f>C21+C22+C23+C24</f>
        <v>#REF!</v>
      </c>
      <c r="D20" s="157" t="e">
        <f>D21+D22+D23+D24</f>
        <v>#REF!</v>
      </c>
      <c r="E20" s="157" t="e">
        <f>E21+E22+E23+E24</f>
        <v>#REF!</v>
      </c>
      <c r="F20" s="157" t="e">
        <f>F21+F22+F23+F24</f>
        <v>#REF!</v>
      </c>
      <c r="G20" s="157" t="e">
        <f>G21+G22+G23+G24</f>
        <v>#REF!</v>
      </c>
      <c r="H20" s="721" t="e">
        <f t="shared" si="1"/>
        <v>#REF!</v>
      </c>
      <c r="I20" s="722" t="e">
        <f t="shared" si="5"/>
        <v>#REF!</v>
      </c>
      <c r="J20" s="67" t="e">
        <f t="shared" si="6"/>
        <v>#REF!</v>
      </c>
      <c r="K20" s="67" t="e">
        <f t="shared" si="3"/>
        <v>#REF!</v>
      </c>
      <c r="L20" s="67" t="e">
        <f t="shared" si="3"/>
        <v>#REF!</v>
      </c>
      <c r="M20" s="67" t="e">
        <f t="shared" si="3"/>
        <v>#REF!</v>
      </c>
      <c r="N20" s="722" t="e">
        <f t="shared" si="7"/>
        <v>#REF!</v>
      </c>
      <c r="O20" s="67" t="e">
        <f t="shared" si="8"/>
        <v>#REF!</v>
      </c>
      <c r="P20" s="67" t="e">
        <f t="shared" si="4"/>
        <v>#REF!</v>
      </c>
      <c r="Q20" s="67" t="e">
        <f t="shared" si="4"/>
        <v>#REF!</v>
      </c>
      <c r="R20" s="67" t="e">
        <f t="shared" si="4"/>
        <v>#REF!</v>
      </c>
    </row>
    <row r="21" spans="1:18">
      <c r="A21" s="699" t="s">
        <v>1296</v>
      </c>
      <c r="B21" s="773" t="s">
        <v>1297</v>
      </c>
      <c r="C21" s="697" t="e">
        <f>#REF!</f>
        <v>#REF!</v>
      </c>
      <c r="D21" s="697">
        <f>'Д 2_Т на В'!L30/'Д 2_Т на В'!L$58*1000</f>
        <v>11.976639704155039</v>
      </c>
      <c r="E21" s="697">
        <f>'Д 2_Т на В'!P30/'Д 2_Т на В'!P$58*1000</f>
        <v>11.976639704155039</v>
      </c>
      <c r="F21" s="697">
        <f>'Д 2_Т на В'!T30/'Д 2_Т на В'!T$58*1000</f>
        <v>11.976639704155039</v>
      </c>
      <c r="G21" s="697">
        <f>'Д 2_Т на В'!X30/'Д 2_Т на В'!X$58*1000</f>
        <v>11.976639704155039</v>
      </c>
      <c r="H21" s="721" t="e">
        <f t="shared" si="1"/>
        <v>#REF!</v>
      </c>
      <c r="I21" s="722" t="e">
        <f t="shared" si="5"/>
        <v>#REF!</v>
      </c>
      <c r="J21" s="67" t="e">
        <f t="shared" si="6"/>
        <v>#REF!</v>
      </c>
      <c r="K21" s="67" t="e">
        <f t="shared" si="3"/>
        <v>#REF!</v>
      </c>
      <c r="L21" s="67" t="e">
        <f t="shared" si="3"/>
        <v>#REF!</v>
      </c>
      <c r="M21" s="67" t="e">
        <f t="shared" si="3"/>
        <v>#REF!</v>
      </c>
      <c r="N21" s="722" t="e">
        <f t="shared" si="7"/>
        <v>#REF!</v>
      </c>
      <c r="O21" s="67" t="e">
        <f t="shared" si="8"/>
        <v>#REF!</v>
      </c>
      <c r="P21" s="67" t="e">
        <f t="shared" si="4"/>
        <v>#REF!</v>
      </c>
      <c r="Q21" s="67" t="e">
        <f t="shared" si="4"/>
        <v>#REF!</v>
      </c>
      <c r="R21" s="67" t="e">
        <f t="shared" si="4"/>
        <v>#REF!</v>
      </c>
    </row>
    <row r="22" spans="1:18">
      <c r="A22" s="699" t="s">
        <v>1298</v>
      </c>
      <c r="B22" s="773" t="s">
        <v>1172</v>
      </c>
      <c r="C22" s="697" t="e">
        <f>#REF!</f>
        <v>#REF!</v>
      </c>
      <c r="D22" s="697">
        <f>'Д 2_Т на В'!L31/'Д 2_Т на В'!L$58*1000</f>
        <v>0.57966936168110383</v>
      </c>
      <c r="E22" s="697">
        <f>'Д 2_Т на В'!P31/'Д 2_Т на В'!P$58*1000</f>
        <v>0.57966936168110383</v>
      </c>
      <c r="F22" s="697">
        <f>'Д 2_Т на В'!T31/'Д 2_Т на В'!T$58*1000</f>
        <v>0.57966936168110383</v>
      </c>
      <c r="G22" s="697">
        <f>'Д 2_Т на В'!X31/'Д 2_Т на В'!X$58*1000</f>
        <v>0.57966936168110383</v>
      </c>
      <c r="H22" s="721" t="e">
        <f t="shared" si="1"/>
        <v>#REF!</v>
      </c>
      <c r="I22" s="722" t="e">
        <f t="shared" si="5"/>
        <v>#REF!</v>
      </c>
      <c r="J22" s="67" t="e">
        <f t="shared" si="6"/>
        <v>#REF!</v>
      </c>
      <c r="K22" s="67" t="e">
        <f t="shared" si="3"/>
        <v>#REF!</v>
      </c>
      <c r="L22" s="67" t="e">
        <f t="shared" si="3"/>
        <v>#REF!</v>
      </c>
      <c r="M22" s="67" t="e">
        <f t="shared" si="3"/>
        <v>#REF!</v>
      </c>
      <c r="N22" s="722" t="e">
        <f t="shared" si="7"/>
        <v>#REF!</v>
      </c>
      <c r="O22" s="67" t="e">
        <f t="shared" si="8"/>
        <v>#REF!</v>
      </c>
      <c r="P22" s="67" t="e">
        <f t="shared" si="4"/>
        <v>#REF!</v>
      </c>
      <c r="Q22" s="67" t="e">
        <f t="shared" si="4"/>
        <v>#REF!</v>
      </c>
      <c r="R22" s="67" t="e">
        <f t="shared" si="4"/>
        <v>#REF!</v>
      </c>
    </row>
    <row r="23" spans="1:18">
      <c r="A23" s="699" t="s">
        <v>1299</v>
      </c>
      <c r="B23" s="773" t="s">
        <v>1293</v>
      </c>
      <c r="C23" s="697" t="e">
        <f>#REF!+#REF!</f>
        <v>#REF!</v>
      </c>
      <c r="D23" s="697" t="e">
        <f t="shared" ref="D23:D33" si="9">C23/$C$40</f>
        <v>#REF!</v>
      </c>
      <c r="E23" s="697" t="e">
        <f>C23/$C$40</f>
        <v>#REF!</v>
      </c>
      <c r="F23" s="697" t="e">
        <f>C23/$C$40</f>
        <v>#REF!</v>
      </c>
      <c r="G23" s="697" t="e">
        <f>C23/$C$40</f>
        <v>#REF!</v>
      </c>
      <c r="H23" s="721" t="e">
        <f t="shared" si="1"/>
        <v>#REF!</v>
      </c>
      <c r="I23" s="722" t="e">
        <f t="shared" si="5"/>
        <v>#REF!</v>
      </c>
      <c r="J23" s="67" t="e">
        <f t="shared" si="6"/>
        <v>#REF!</v>
      </c>
      <c r="K23" s="67" t="e">
        <f t="shared" si="3"/>
        <v>#REF!</v>
      </c>
      <c r="L23" s="67" t="e">
        <f t="shared" si="3"/>
        <v>#REF!</v>
      </c>
      <c r="M23" s="67" t="e">
        <f t="shared" si="3"/>
        <v>#REF!</v>
      </c>
      <c r="N23" s="722" t="e">
        <f t="shared" si="7"/>
        <v>#REF!</v>
      </c>
      <c r="O23" s="67" t="e">
        <f t="shared" si="8"/>
        <v>#REF!</v>
      </c>
      <c r="P23" s="67" t="e">
        <f t="shared" si="4"/>
        <v>#REF!</v>
      </c>
      <c r="Q23" s="67" t="e">
        <f t="shared" si="4"/>
        <v>#REF!</v>
      </c>
      <c r="R23" s="67" t="e">
        <f t="shared" si="4"/>
        <v>#REF!</v>
      </c>
    </row>
    <row r="24" spans="1:18">
      <c r="A24" s="699" t="s">
        <v>1300</v>
      </c>
      <c r="B24" s="773" t="s">
        <v>54</v>
      </c>
      <c r="C24" s="697" t="e">
        <f>#REF!+#REF!+#REF!</f>
        <v>#REF!</v>
      </c>
      <c r="D24" s="697" t="e">
        <f t="shared" si="9"/>
        <v>#REF!</v>
      </c>
      <c r="E24" s="697" t="e">
        <f>C24/$C$40</f>
        <v>#REF!</v>
      </c>
      <c r="F24" s="697" t="e">
        <f>C24/$C$40</f>
        <v>#REF!</v>
      </c>
      <c r="G24" s="697" t="e">
        <f>C24/$C$40</f>
        <v>#REF!</v>
      </c>
      <c r="H24" s="721" t="e">
        <f t="shared" si="1"/>
        <v>#REF!</v>
      </c>
      <c r="I24" s="722" t="e">
        <f t="shared" si="5"/>
        <v>#REF!</v>
      </c>
      <c r="J24" s="67" t="e">
        <f t="shared" si="6"/>
        <v>#REF!</v>
      </c>
      <c r="K24" s="67" t="e">
        <f t="shared" si="3"/>
        <v>#REF!</v>
      </c>
      <c r="L24" s="67" t="e">
        <f t="shared" si="3"/>
        <v>#REF!</v>
      </c>
      <c r="M24" s="67" t="e">
        <f t="shared" si="3"/>
        <v>#REF!</v>
      </c>
      <c r="N24" s="722" t="e">
        <f t="shared" si="7"/>
        <v>#REF!</v>
      </c>
      <c r="O24" s="67" t="e">
        <f t="shared" si="8"/>
        <v>#REF!</v>
      </c>
      <c r="P24" s="67" t="e">
        <f t="shared" si="4"/>
        <v>#REF!</v>
      </c>
      <c r="Q24" s="67" t="e">
        <f t="shared" si="4"/>
        <v>#REF!</v>
      </c>
      <c r="R24" s="67" t="e">
        <f t="shared" si="4"/>
        <v>#REF!</v>
      </c>
    </row>
    <row r="25" spans="1:18" s="14" customFormat="1">
      <c r="A25" s="694" t="s">
        <v>821</v>
      </c>
      <c r="B25" s="695" t="s">
        <v>1301</v>
      </c>
      <c r="C25" s="688" t="e">
        <f>C26+C27+C28+C29</f>
        <v>#REF!</v>
      </c>
      <c r="D25" s="157" t="e">
        <f>D26+D27+D28+D29</f>
        <v>#REF!</v>
      </c>
      <c r="E25" s="157" t="e">
        <f>E26+E27+E28+E29</f>
        <v>#REF!</v>
      </c>
      <c r="F25" s="157" t="e">
        <f>F26+F27+F28+F29</f>
        <v>#REF!</v>
      </c>
      <c r="G25" s="157" t="e">
        <f>G26+G27+G28+G29</f>
        <v>#REF!</v>
      </c>
      <c r="H25" s="721" t="e">
        <f t="shared" si="1"/>
        <v>#REF!</v>
      </c>
      <c r="I25" s="722" t="e">
        <f t="shared" si="5"/>
        <v>#REF!</v>
      </c>
      <c r="J25" s="67" t="e">
        <f t="shared" si="6"/>
        <v>#REF!</v>
      </c>
      <c r="K25" s="67" t="e">
        <f t="shared" si="3"/>
        <v>#REF!</v>
      </c>
      <c r="L25" s="67" t="e">
        <f t="shared" si="3"/>
        <v>#REF!</v>
      </c>
      <c r="M25" s="67" t="e">
        <f t="shared" si="3"/>
        <v>#REF!</v>
      </c>
      <c r="N25" s="722" t="e">
        <f t="shared" si="7"/>
        <v>#REF!</v>
      </c>
      <c r="O25" s="67" t="e">
        <f t="shared" si="8"/>
        <v>#REF!</v>
      </c>
      <c r="P25" s="67" t="e">
        <f t="shared" si="4"/>
        <v>#REF!</v>
      </c>
      <c r="Q25" s="67" t="e">
        <f t="shared" si="4"/>
        <v>#REF!</v>
      </c>
      <c r="R25" s="67" t="e">
        <f t="shared" si="4"/>
        <v>#REF!</v>
      </c>
    </row>
    <row r="26" spans="1:18">
      <c r="A26" s="699" t="s">
        <v>1302</v>
      </c>
      <c r="B26" s="773" t="s">
        <v>51</v>
      </c>
      <c r="C26" s="697" t="e">
        <f>#REF!</f>
        <v>#REF!</v>
      </c>
      <c r="D26" s="697">
        <f>'Д 2_Т на В'!L34/'Д 2_Т на В'!L$58*1000</f>
        <v>91.978665121761793</v>
      </c>
      <c r="E26" s="697">
        <f>'Д 2_Т на В'!P34/'Д 2_Т на В'!P$58*1000</f>
        <v>91.978665121761793</v>
      </c>
      <c r="F26" s="697">
        <f>'Д 2_Т на В'!T34/'Д 2_Т на В'!T$58*1000</f>
        <v>91.978665121761793</v>
      </c>
      <c r="G26" s="697">
        <f>'Д 2_Т на В'!X34/'Д 2_Т на В'!X$58*1000</f>
        <v>91.978665121761779</v>
      </c>
      <c r="H26" s="721" t="e">
        <f t="shared" si="1"/>
        <v>#REF!</v>
      </c>
      <c r="I26" s="722" t="e">
        <f t="shared" si="5"/>
        <v>#REF!</v>
      </c>
      <c r="J26" s="67" t="e">
        <f t="shared" si="6"/>
        <v>#REF!</v>
      </c>
      <c r="K26" s="67" t="e">
        <f t="shared" si="3"/>
        <v>#REF!</v>
      </c>
      <c r="L26" s="67" t="e">
        <f t="shared" si="3"/>
        <v>#REF!</v>
      </c>
      <c r="M26" s="67" t="e">
        <f t="shared" si="3"/>
        <v>#REF!</v>
      </c>
      <c r="N26" s="722" t="e">
        <f t="shared" si="7"/>
        <v>#REF!</v>
      </c>
      <c r="O26" s="67" t="e">
        <f t="shared" si="8"/>
        <v>#REF!</v>
      </c>
      <c r="P26" s="67" t="e">
        <f t="shared" si="4"/>
        <v>#REF!</v>
      </c>
      <c r="Q26" s="67" t="e">
        <f t="shared" si="4"/>
        <v>#REF!</v>
      </c>
      <c r="R26" s="67" t="e">
        <f t="shared" si="4"/>
        <v>#REF!</v>
      </c>
    </row>
    <row r="27" spans="1:18">
      <c r="A27" s="699" t="s">
        <v>1303</v>
      </c>
      <c r="B27" s="773" t="s">
        <v>1304</v>
      </c>
      <c r="C27" s="697" t="e">
        <f>#REF!</f>
        <v>#REF!</v>
      </c>
      <c r="D27" s="697">
        <f>'Д 2_Т на В'!L35/'Д 2_Т на В'!L$58*1000</f>
        <v>4.451767391893271</v>
      </c>
      <c r="E27" s="697">
        <f>'Д 2_Т на В'!P35/'Д 2_Т на В'!P$58*1000</f>
        <v>4.451767391893271</v>
      </c>
      <c r="F27" s="697">
        <f>'Д 2_Т на В'!T35/'Д 2_Т на В'!T$58*1000</f>
        <v>4.451767391893271</v>
      </c>
      <c r="G27" s="697">
        <f>'Д 2_Т на В'!X35/'Д 2_Т на В'!X$58*1000</f>
        <v>4.451767391893271</v>
      </c>
      <c r="H27" s="721" t="e">
        <f t="shared" si="1"/>
        <v>#REF!</v>
      </c>
      <c r="I27" s="722" t="e">
        <f t="shared" si="5"/>
        <v>#REF!</v>
      </c>
      <c r="J27" s="67" t="e">
        <f t="shared" si="6"/>
        <v>#REF!</v>
      </c>
      <c r="K27" s="67" t="e">
        <f t="shared" si="6"/>
        <v>#REF!</v>
      </c>
      <c r="L27" s="67" t="e">
        <f t="shared" si="6"/>
        <v>#REF!</v>
      </c>
      <c r="M27" s="67" t="e">
        <f t="shared" si="6"/>
        <v>#REF!</v>
      </c>
      <c r="N27" s="722" t="e">
        <f t="shared" si="7"/>
        <v>#REF!</v>
      </c>
      <c r="O27" s="67" t="e">
        <f t="shared" si="8"/>
        <v>#REF!</v>
      </c>
      <c r="P27" s="67" t="e">
        <f t="shared" si="8"/>
        <v>#REF!</v>
      </c>
      <c r="Q27" s="67" t="e">
        <f t="shared" si="8"/>
        <v>#REF!</v>
      </c>
      <c r="R27" s="67" t="e">
        <f t="shared" si="8"/>
        <v>#REF!</v>
      </c>
    </row>
    <row r="28" spans="1:18">
      <c r="A28" s="699" t="s">
        <v>1305</v>
      </c>
      <c r="B28" s="773" t="s">
        <v>1293</v>
      </c>
      <c r="C28" s="697" t="e">
        <f>#REF!+#REF!</f>
        <v>#REF!</v>
      </c>
      <c r="D28" s="697" t="e">
        <f t="shared" si="9"/>
        <v>#REF!</v>
      </c>
      <c r="E28" s="697" t="e">
        <f>C28/$C$40</f>
        <v>#REF!</v>
      </c>
      <c r="F28" s="697" t="e">
        <f>C28/$C$40</f>
        <v>#REF!</v>
      </c>
      <c r="G28" s="697" t="e">
        <f>C28/$C$40</f>
        <v>#REF!</v>
      </c>
      <c r="H28" s="721" t="e">
        <f t="shared" si="1"/>
        <v>#REF!</v>
      </c>
      <c r="I28" s="722" t="e">
        <f t="shared" si="5"/>
        <v>#REF!</v>
      </c>
      <c r="J28" s="67" t="e">
        <f t="shared" si="6"/>
        <v>#REF!</v>
      </c>
      <c r="K28" s="67" t="e">
        <f t="shared" si="6"/>
        <v>#REF!</v>
      </c>
      <c r="L28" s="67" t="e">
        <f t="shared" si="6"/>
        <v>#REF!</v>
      </c>
      <c r="M28" s="67" t="e">
        <f t="shared" si="6"/>
        <v>#REF!</v>
      </c>
      <c r="N28" s="722" t="e">
        <f t="shared" si="7"/>
        <v>#REF!</v>
      </c>
      <c r="O28" s="67" t="e">
        <f t="shared" si="8"/>
        <v>#REF!</v>
      </c>
      <c r="P28" s="67" t="e">
        <f t="shared" si="8"/>
        <v>#REF!</v>
      </c>
      <c r="Q28" s="67" t="e">
        <f t="shared" si="8"/>
        <v>#REF!</v>
      </c>
      <c r="R28" s="67" t="e">
        <f t="shared" si="8"/>
        <v>#REF!</v>
      </c>
    </row>
    <row r="29" spans="1:18">
      <c r="A29" s="699" t="s">
        <v>1306</v>
      </c>
      <c r="B29" s="773" t="s">
        <v>1307</v>
      </c>
      <c r="C29" s="697" t="e">
        <f>#REF!+#REF!+#REF!</f>
        <v>#REF!</v>
      </c>
      <c r="D29" s="697" t="e">
        <f t="shared" si="9"/>
        <v>#REF!</v>
      </c>
      <c r="E29" s="697" t="e">
        <f>C29/$C$40</f>
        <v>#REF!</v>
      </c>
      <c r="F29" s="697" t="e">
        <f>C29/$C$40</f>
        <v>#REF!</v>
      </c>
      <c r="G29" s="697" t="e">
        <f>C29/$C$40</f>
        <v>#REF!</v>
      </c>
      <c r="H29" s="721" t="e">
        <f t="shared" si="1"/>
        <v>#REF!</v>
      </c>
      <c r="I29" s="722" t="e">
        <f t="shared" si="5"/>
        <v>#REF!</v>
      </c>
      <c r="J29" s="67" t="e">
        <f t="shared" si="6"/>
        <v>#REF!</v>
      </c>
      <c r="K29" s="67" t="e">
        <f t="shared" si="6"/>
        <v>#REF!</v>
      </c>
      <c r="L29" s="67" t="e">
        <f t="shared" si="6"/>
        <v>#REF!</v>
      </c>
      <c r="M29" s="67" t="e">
        <f t="shared" si="6"/>
        <v>#REF!</v>
      </c>
      <c r="N29" s="722" t="e">
        <f t="shared" si="7"/>
        <v>#REF!</v>
      </c>
      <c r="O29" s="67" t="e">
        <f t="shared" si="8"/>
        <v>#REF!</v>
      </c>
      <c r="P29" s="67" t="e">
        <f t="shared" si="8"/>
        <v>#REF!</v>
      </c>
      <c r="Q29" s="67" t="e">
        <f t="shared" si="8"/>
        <v>#REF!</v>
      </c>
      <c r="R29" s="67" t="e">
        <f t="shared" si="8"/>
        <v>#REF!</v>
      </c>
    </row>
    <row r="30" spans="1:18" s="14" customFormat="1">
      <c r="A30" s="694" t="s">
        <v>823</v>
      </c>
      <c r="B30" s="695" t="s">
        <v>1308</v>
      </c>
      <c r="C30" s="688">
        <v>0</v>
      </c>
      <c r="D30" s="688">
        <v>0</v>
      </c>
      <c r="E30" s="688">
        <v>0</v>
      </c>
      <c r="F30" s="688">
        <v>0</v>
      </c>
      <c r="G30" s="688">
        <v>0</v>
      </c>
      <c r="H30" s="721" t="e">
        <f t="shared" si="1"/>
        <v>#REF!</v>
      </c>
      <c r="I30" s="722" t="e">
        <f t="shared" si="5"/>
        <v>#REF!</v>
      </c>
      <c r="J30" s="67" t="e">
        <f t="shared" si="6"/>
        <v>#REF!</v>
      </c>
      <c r="K30" s="67" t="e">
        <f t="shared" si="6"/>
        <v>#REF!</v>
      </c>
      <c r="L30" s="67" t="e">
        <f t="shared" si="6"/>
        <v>#REF!</v>
      </c>
      <c r="M30" s="67" t="e">
        <f t="shared" si="6"/>
        <v>#REF!</v>
      </c>
      <c r="N30" s="722" t="e">
        <f t="shared" si="7"/>
        <v>#REF!</v>
      </c>
      <c r="O30" s="67" t="e">
        <f t="shared" si="8"/>
        <v>#REF!</v>
      </c>
      <c r="P30" s="67" t="e">
        <f t="shared" si="8"/>
        <v>#REF!</v>
      </c>
      <c r="Q30" s="67" t="e">
        <f t="shared" si="8"/>
        <v>#REF!</v>
      </c>
      <c r="R30" s="67" t="e">
        <f t="shared" si="8"/>
        <v>#REF!</v>
      </c>
    </row>
    <row r="31" spans="1:18" s="14" customFormat="1">
      <c r="A31" s="694" t="s">
        <v>826</v>
      </c>
      <c r="B31" s="695" t="s">
        <v>1310</v>
      </c>
      <c r="C31" s="688">
        <f>'ТЕ_2ст_тариф_з ІТП'!E68</f>
        <v>0</v>
      </c>
      <c r="D31" s="688">
        <f t="shared" si="9"/>
        <v>0</v>
      </c>
      <c r="E31" s="688">
        <f>C31/$C$40</f>
        <v>0</v>
      </c>
      <c r="F31" s="688">
        <f>C31/$C$40</f>
        <v>0</v>
      </c>
      <c r="G31" s="688">
        <f>C31/$C$40</f>
        <v>0</v>
      </c>
      <c r="H31" s="721" t="e">
        <f t="shared" si="1"/>
        <v>#REF!</v>
      </c>
      <c r="I31" s="722" t="e">
        <f t="shared" si="5"/>
        <v>#REF!</v>
      </c>
      <c r="J31" s="67" t="e">
        <f t="shared" si="6"/>
        <v>#REF!</v>
      </c>
      <c r="K31" s="67" t="e">
        <f t="shared" si="6"/>
        <v>#REF!</v>
      </c>
      <c r="L31" s="67" t="e">
        <f t="shared" si="6"/>
        <v>#REF!</v>
      </c>
      <c r="M31" s="67" t="e">
        <f t="shared" si="6"/>
        <v>#REF!</v>
      </c>
      <c r="N31" s="722" t="e">
        <f t="shared" si="7"/>
        <v>#REF!</v>
      </c>
      <c r="O31" s="67" t="e">
        <f t="shared" si="8"/>
        <v>#REF!</v>
      </c>
      <c r="P31" s="67" t="e">
        <f t="shared" si="8"/>
        <v>#REF!</v>
      </c>
      <c r="Q31" s="67" t="e">
        <f t="shared" si="8"/>
        <v>#REF!</v>
      </c>
      <c r="R31" s="67" t="e">
        <f t="shared" si="8"/>
        <v>#REF!</v>
      </c>
    </row>
    <row r="32" spans="1:18" s="14" customFormat="1">
      <c r="A32" s="694" t="s">
        <v>891</v>
      </c>
      <c r="B32" s="695" t="s">
        <v>1311</v>
      </c>
      <c r="C32" s="688">
        <v>0</v>
      </c>
      <c r="D32" s="688">
        <f t="shared" si="9"/>
        <v>0</v>
      </c>
      <c r="E32" s="688">
        <f>C32/$C$40</f>
        <v>0</v>
      </c>
      <c r="F32" s="688">
        <f>C32/$C$40</f>
        <v>0</v>
      </c>
      <c r="G32" s="688">
        <f>C32/$C$40</f>
        <v>0</v>
      </c>
      <c r="H32" s="721" t="e">
        <f t="shared" si="1"/>
        <v>#REF!</v>
      </c>
      <c r="I32" s="722" t="e">
        <f t="shared" si="5"/>
        <v>#REF!</v>
      </c>
      <c r="J32" s="67" t="e">
        <f t="shared" si="6"/>
        <v>#REF!</v>
      </c>
      <c r="K32" s="67" t="e">
        <f t="shared" si="6"/>
        <v>#REF!</v>
      </c>
      <c r="L32" s="67" t="e">
        <f t="shared" si="6"/>
        <v>#REF!</v>
      </c>
      <c r="M32" s="67" t="e">
        <f t="shared" si="6"/>
        <v>#REF!</v>
      </c>
      <c r="N32" s="722" t="e">
        <f t="shared" si="7"/>
        <v>#REF!</v>
      </c>
      <c r="O32" s="67" t="e">
        <f t="shared" si="8"/>
        <v>#REF!</v>
      </c>
      <c r="P32" s="67" t="e">
        <f t="shared" si="8"/>
        <v>#REF!</v>
      </c>
      <c r="Q32" s="67" t="e">
        <f t="shared" si="8"/>
        <v>#REF!</v>
      </c>
      <c r="R32" s="67" t="e">
        <f t="shared" si="8"/>
        <v>#REF!</v>
      </c>
    </row>
    <row r="33" spans="1:18" s="14" customFormat="1">
      <c r="A33" s="694" t="s">
        <v>897</v>
      </c>
      <c r="B33" s="695" t="s">
        <v>1312</v>
      </c>
      <c r="C33" s="710">
        <f>'ТЕ_2ст_тариф_з ІТП'!E70</f>
        <v>0</v>
      </c>
      <c r="D33" s="711">
        <f t="shared" si="9"/>
        <v>0</v>
      </c>
      <c r="E33" s="711">
        <f>C33/$C$40</f>
        <v>0</v>
      </c>
      <c r="F33" s="711">
        <f>C33/$C$40</f>
        <v>0</v>
      </c>
      <c r="G33" s="711">
        <f>C33/$C$40</f>
        <v>0</v>
      </c>
      <c r="H33" s="721" t="e">
        <f t="shared" si="1"/>
        <v>#REF!</v>
      </c>
      <c r="I33" s="722" t="e">
        <f t="shared" si="5"/>
        <v>#REF!</v>
      </c>
      <c r="J33" s="67" t="e">
        <f t="shared" si="6"/>
        <v>#REF!</v>
      </c>
      <c r="K33" s="67" t="e">
        <f t="shared" si="6"/>
        <v>#REF!</v>
      </c>
      <c r="L33" s="67" t="e">
        <f t="shared" si="6"/>
        <v>#REF!</v>
      </c>
      <c r="M33" s="67" t="e">
        <f t="shared" si="6"/>
        <v>#REF!</v>
      </c>
      <c r="N33" s="722" t="e">
        <f t="shared" si="7"/>
        <v>#REF!</v>
      </c>
      <c r="O33" s="67" t="e">
        <f t="shared" si="8"/>
        <v>#REF!</v>
      </c>
      <c r="P33" s="67" t="e">
        <f t="shared" si="8"/>
        <v>#REF!</v>
      </c>
      <c r="Q33" s="67" t="e">
        <f t="shared" si="8"/>
        <v>#REF!</v>
      </c>
      <c r="R33" s="67" t="e">
        <f t="shared" si="8"/>
        <v>#REF!</v>
      </c>
    </row>
    <row r="34" spans="1:18" s="14" customFormat="1">
      <c r="A34" s="694" t="s">
        <v>903</v>
      </c>
      <c r="B34" s="695" t="s">
        <v>1313</v>
      </c>
      <c r="C34" s="688">
        <f>SUM(C35:C38)</f>
        <v>531.23736780367972</v>
      </c>
      <c r="D34" s="688">
        <f>'Д 2_Т на В'!L45/'Д 2_Т на В'!L$58*1000</f>
        <v>62.118914063472729</v>
      </c>
      <c r="E34" s="688">
        <f>'Д 2_Т на В'!P45/'Д 2_Т на В'!P$58*1000</f>
        <v>63.445422757422875</v>
      </c>
      <c r="F34" s="688">
        <f>'Д 2_Т на В'!T45/'Д 2_Т на В'!T$58*1000</f>
        <v>62.59498982179332</v>
      </c>
      <c r="G34" s="688">
        <f>'Д 2_Т на В'!X45/'Д 2_Т на В'!X$58*1000</f>
        <v>61.770327578503512</v>
      </c>
      <c r="H34" s="721" t="e">
        <f t="shared" si="1"/>
        <v>#REF!</v>
      </c>
      <c r="I34" s="722" t="e">
        <f t="shared" si="5"/>
        <v>#REF!</v>
      </c>
      <c r="J34" s="67" t="e">
        <f t="shared" si="6"/>
        <v>#REF!</v>
      </c>
      <c r="K34" s="67" t="e">
        <f t="shared" si="6"/>
        <v>#REF!</v>
      </c>
      <c r="L34" s="67" t="e">
        <f t="shared" si="6"/>
        <v>#REF!</v>
      </c>
      <c r="M34" s="67" t="e">
        <f t="shared" si="6"/>
        <v>#REF!</v>
      </c>
      <c r="N34" s="722" t="e">
        <f t="shared" si="7"/>
        <v>#REF!</v>
      </c>
      <c r="O34" s="67" t="e">
        <f t="shared" si="8"/>
        <v>#REF!</v>
      </c>
      <c r="P34" s="67" t="e">
        <f t="shared" si="8"/>
        <v>#REF!</v>
      </c>
      <c r="Q34" s="67" t="e">
        <f t="shared" si="8"/>
        <v>#REF!</v>
      </c>
      <c r="R34" s="67" t="e">
        <f t="shared" si="8"/>
        <v>#REF!</v>
      </c>
    </row>
    <row r="35" spans="1:18">
      <c r="A35" s="699" t="s">
        <v>733</v>
      </c>
      <c r="B35" s="773" t="s">
        <v>61</v>
      </c>
      <c r="C35" s="697">
        <f>'ТЕ_2ст_тариф_з ІТП'!E72</f>
        <v>95.622726204662342</v>
      </c>
      <c r="D35" s="697">
        <f>'Д 2_Т на В'!L46/'Д 2_Т на В'!L$58*1000</f>
        <v>11.181404531425086</v>
      </c>
      <c r="E35" s="697">
        <f>'Д 2_Т на В'!P46/'Д 2_Т на В'!P$58*1000</f>
        <v>11.420176096336112</v>
      </c>
      <c r="F35" s="697">
        <f>'Д 2_Т на В'!T46/'Д 2_Т на В'!T$58*1000</f>
        <v>11.267098167922793</v>
      </c>
      <c r="G35" s="697">
        <f>'Д 2_Т на В'!X46/'Д 2_Т на В'!X$58*1000</f>
        <v>11.118658964130626</v>
      </c>
      <c r="H35" s="721" t="e">
        <f t="shared" si="1"/>
        <v>#REF!</v>
      </c>
      <c r="I35" s="722" t="e">
        <f t="shared" si="5"/>
        <v>#REF!</v>
      </c>
      <c r="J35" s="67" t="e">
        <f t="shared" si="6"/>
        <v>#REF!</v>
      </c>
      <c r="K35" s="67" t="e">
        <f t="shared" si="6"/>
        <v>#REF!</v>
      </c>
      <c r="L35" s="67" t="e">
        <f t="shared" si="6"/>
        <v>#REF!</v>
      </c>
      <c r="M35" s="67" t="e">
        <f t="shared" si="6"/>
        <v>#REF!</v>
      </c>
      <c r="N35" s="722" t="e">
        <f t="shared" si="7"/>
        <v>#REF!</v>
      </c>
      <c r="O35" s="67" t="e">
        <f t="shared" si="8"/>
        <v>#REF!</v>
      </c>
      <c r="P35" s="67" t="e">
        <f t="shared" si="8"/>
        <v>#REF!</v>
      </c>
      <c r="Q35" s="67" t="e">
        <f t="shared" si="8"/>
        <v>#REF!</v>
      </c>
      <c r="R35" s="67" t="e">
        <f t="shared" si="8"/>
        <v>#REF!</v>
      </c>
    </row>
    <row r="36" spans="1:18">
      <c r="A36" s="699" t="s">
        <v>1324</v>
      </c>
      <c r="B36" s="773" t="s">
        <v>80</v>
      </c>
      <c r="C36" s="697">
        <f>'ТЕ_2ст_тариф_з ІТП'!E73</f>
        <v>0</v>
      </c>
      <c r="D36" s="697">
        <f>'Д 2_Т на В'!L47/'Д 2_Т на В'!L$58*1000</f>
        <v>0</v>
      </c>
      <c r="E36" s="697">
        <f>'Д 2_Т на В'!P47/'Д 2_Т на В'!P$58*1000</f>
        <v>0</v>
      </c>
      <c r="F36" s="697">
        <f>'Д 2_Т на В'!T47/'Д 2_Т на В'!T$58*1000</f>
        <v>0</v>
      </c>
      <c r="G36" s="697">
        <f>'Д 2_Т на В'!X47/'Д 2_Т на В'!X$58*1000</f>
        <v>0</v>
      </c>
      <c r="H36" s="721" t="e">
        <f t="shared" si="1"/>
        <v>#REF!</v>
      </c>
      <c r="I36" s="722" t="e">
        <f t="shared" si="5"/>
        <v>#REF!</v>
      </c>
      <c r="J36" s="67" t="e">
        <f t="shared" si="6"/>
        <v>#REF!</v>
      </c>
      <c r="K36" s="67" t="e">
        <f t="shared" si="6"/>
        <v>#REF!</v>
      </c>
      <c r="L36" s="67" t="e">
        <f t="shared" si="6"/>
        <v>#REF!</v>
      </c>
      <c r="M36" s="67" t="e">
        <f t="shared" si="6"/>
        <v>#REF!</v>
      </c>
      <c r="N36" s="722" t="e">
        <f t="shared" si="7"/>
        <v>#REF!</v>
      </c>
      <c r="O36" s="67" t="e">
        <f t="shared" si="8"/>
        <v>#REF!</v>
      </c>
      <c r="P36" s="67" t="e">
        <f t="shared" si="8"/>
        <v>#REF!</v>
      </c>
      <c r="Q36" s="67" t="e">
        <f t="shared" si="8"/>
        <v>#REF!</v>
      </c>
      <c r="R36" s="67" t="e">
        <f t="shared" si="8"/>
        <v>#REF!</v>
      </c>
    </row>
    <row r="37" spans="1:18">
      <c r="A37" s="699" t="s">
        <v>1325</v>
      </c>
      <c r="B37" s="773" t="s">
        <v>67</v>
      </c>
      <c r="C37" s="697">
        <f>'ТЕ_2ст_тариф_з ІТП'!E75</f>
        <v>0</v>
      </c>
      <c r="D37" s="697">
        <f>'Д 2_Т на В'!L48/'Д 2_Т на В'!L$58*1000</f>
        <v>0</v>
      </c>
      <c r="E37" s="697">
        <f>'Д 2_Т на В'!P48/'Д 2_Т на В'!P$58*1000</f>
        <v>0</v>
      </c>
      <c r="F37" s="697">
        <f>'Д 2_Т на В'!T48/'Д 2_Т на В'!T$58*1000</f>
        <v>0</v>
      </c>
      <c r="G37" s="697">
        <f>'Д 2_Т на В'!X48/'Д 2_Т на В'!X$58*1000</f>
        <v>0</v>
      </c>
      <c r="H37" s="721" t="e">
        <f t="shared" si="1"/>
        <v>#REF!</v>
      </c>
      <c r="I37" s="722" t="e">
        <f t="shared" si="5"/>
        <v>#REF!</v>
      </c>
      <c r="J37" s="67" t="e">
        <f t="shared" si="6"/>
        <v>#REF!</v>
      </c>
      <c r="K37" s="67" t="e">
        <f t="shared" si="6"/>
        <v>#REF!</v>
      </c>
      <c r="L37" s="67" t="e">
        <f t="shared" si="6"/>
        <v>#REF!</v>
      </c>
      <c r="M37" s="67" t="e">
        <f t="shared" si="6"/>
        <v>#REF!</v>
      </c>
      <c r="N37" s="722" t="e">
        <f t="shared" si="7"/>
        <v>#REF!</v>
      </c>
      <c r="O37" s="67" t="e">
        <f t="shared" si="8"/>
        <v>#REF!</v>
      </c>
      <c r="P37" s="67" t="e">
        <f t="shared" si="8"/>
        <v>#REF!</v>
      </c>
      <c r="Q37" s="67" t="e">
        <f t="shared" si="8"/>
        <v>#REF!</v>
      </c>
      <c r="R37" s="67" t="e">
        <f t="shared" si="8"/>
        <v>#REF!</v>
      </c>
    </row>
    <row r="38" spans="1:18">
      <c r="A38" s="699" t="s">
        <v>1326</v>
      </c>
      <c r="B38" s="773" t="s">
        <v>1222</v>
      </c>
      <c r="C38" s="697">
        <f>'ТЕ_2ст_тариф_з ІТП'!E76</f>
        <v>435.61464159901738</v>
      </c>
      <c r="D38" s="697">
        <f>'Д 2_Т на В'!L50/'Д 2_Т на В'!L$58*1000</f>
        <v>50.937509532047642</v>
      </c>
      <c r="E38" s="697">
        <f>'Д 2_Т на В'!P50/'Д 2_Т на В'!P$58*1000</f>
        <v>52.025246661086761</v>
      </c>
      <c r="F38" s="697">
        <f>'Д 2_Т на В'!T50/'Д 2_Т на В'!T$58*1000</f>
        <v>51.32789165387053</v>
      </c>
      <c r="G38" s="697">
        <f>'Д 2_Т на В'!X50/'Д 2_Т на В'!X$58*1000</f>
        <v>50.65166861437288</v>
      </c>
      <c r="H38" s="721" t="e">
        <f t="shared" si="1"/>
        <v>#REF!</v>
      </c>
      <c r="I38" s="722" t="e">
        <f t="shared" si="5"/>
        <v>#REF!</v>
      </c>
      <c r="J38" s="67" t="e">
        <f t="shared" si="6"/>
        <v>#REF!</v>
      </c>
      <c r="K38" s="67" t="e">
        <f t="shared" si="6"/>
        <v>#REF!</v>
      </c>
      <c r="L38" s="67" t="e">
        <f t="shared" si="6"/>
        <v>#REF!</v>
      </c>
      <c r="M38" s="67" t="e">
        <f t="shared" si="6"/>
        <v>#REF!</v>
      </c>
      <c r="N38" s="722" t="e">
        <f t="shared" si="7"/>
        <v>#REF!</v>
      </c>
      <c r="O38" s="67" t="e">
        <f t="shared" si="8"/>
        <v>#REF!</v>
      </c>
      <c r="P38" s="67" t="e">
        <f t="shared" si="8"/>
        <v>#REF!</v>
      </c>
      <c r="Q38" s="67" t="e">
        <f t="shared" si="8"/>
        <v>#REF!</v>
      </c>
      <c r="R38" s="67" t="e">
        <f t="shared" si="8"/>
        <v>#REF!</v>
      </c>
    </row>
    <row r="39" spans="1:18" ht="28.95" customHeight="1">
      <c r="A39" s="712" t="s">
        <v>905</v>
      </c>
      <c r="B39" s="713" t="s">
        <v>1327</v>
      </c>
      <c r="C39" s="710" t="e">
        <f>C9+C25+C30+C31+C32+C33+C34</f>
        <v>#REF!</v>
      </c>
      <c r="D39" s="688" t="e">
        <f>D9+D25+D30+D31+D32+D33+D34</f>
        <v>#REF!</v>
      </c>
      <c r="E39" s="688" t="e">
        <f>E9+E25+E30+E31+E32+E33+E34</f>
        <v>#REF!</v>
      </c>
      <c r="F39" s="688" t="e">
        <f>F9+F25+F30+F31+F32+F33+F34</f>
        <v>#REF!</v>
      </c>
      <c r="G39" s="688" t="e">
        <f>G9+G25+G30+G31+G32+G33+G34</f>
        <v>#REF!</v>
      </c>
      <c r="H39" s="721" t="e">
        <f t="shared" si="1"/>
        <v>#REF!</v>
      </c>
      <c r="I39" s="722" t="e">
        <f t="shared" si="5"/>
        <v>#REF!</v>
      </c>
      <c r="J39" s="67" t="e">
        <f t="shared" si="6"/>
        <v>#REF!</v>
      </c>
      <c r="K39" s="67" t="e">
        <f t="shared" si="6"/>
        <v>#REF!</v>
      </c>
      <c r="L39" s="67" t="e">
        <f t="shared" si="6"/>
        <v>#REF!</v>
      </c>
      <c r="M39" s="67" t="e">
        <f t="shared" si="6"/>
        <v>#REF!</v>
      </c>
      <c r="N39" s="722" t="e">
        <f t="shared" si="7"/>
        <v>#REF!</v>
      </c>
      <c r="O39" s="67" t="e">
        <f t="shared" si="8"/>
        <v>#REF!</v>
      </c>
      <c r="P39" s="67" t="e">
        <f t="shared" si="8"/>
        <v>#REF!</v>
      </c>
      <c r="Q39" s="67" t="e">
        <f t="shared" si="8"/>
        <v>#REF!</v>
      </c>
      <c r="R39" s="67" t="e">
        <f t="shared" si="8"/>
        <v>#REF!</v>
      </c>
    </row>
    <row r="40" spans="1:18" s="14" customFormat="1" ht="33.75" customHeight="1" thickBot="1">
      <c r="A40" s="714" t="s">
        <v>907</v>
      </c>
      <c r="B40" s="479" t="s">
        <v>1318</v>
      </c>
      <c r="C40" s="715">
        <f>'ТЕ_2ст_тариф_з ІТП'!E31</f>
        <v>8.5357796399999994</v>
      </c>
      <c r="D40" s="691">
        <f>'ТЕ_2ст_тариф_з ІТП'!H31</f>
        <v>6.4600562400000001</v>
      </c>
      <c r="E40" s="691">
        <f>'ТЕ_2ст_тариф_з ІТП'!K31</f>
        <v>0.48096030000000001</v>
      </c>
      <c r="F40" s="691">
        <f>'ТЕ_2ст_тариф_з ІТП'!N31</f>
        <v>0.79822534000000001</v>
      </c>
      <c r="G40" s="691">
        <f>'ТЕ_2ст_тариф_з ІТП'!T31</f>
        <v>0.40501920000000002</v>
      </c>
      <c r="H40" s="551"/>
    </row>
    <row r="41" spans="1:18" s="44" customFormat="1" ht="41.4" customHeight="1">
      <c r="A41" s="39"/>
      <c r="B41" s="44" t="s">
        <v>1352</v>
      </c>
      <c r="D41" s="39"/>
      <c r="F41" s="44" t="s">
        <v>1353</v>
      </c>
      <c r="H41" s="621"/>
    </row>
    <row r="42" spans="1:18">
      <c r="C42" s="705" t="e">
        <f>C9+C25+C31+C34+C33</f>
        <v>#REF!</v>
      </c>
      <c r="D42" s="705">
        <f>'Д 2_Т на В'!L52</f>
        <v>1368.2089020646943</v>
      </c>
      <c r="E42" s="705">
        <f>'Д 2_Т на В'!P52</f>
        <v>1397.4261063750318</v>
      </c>
      <c r="F42" s="705">
        <f>'Д 2_Т на В'!T52</f>
        <v>1378.6947758184735</v>
      </c>
      <c r="G42" s="705">
        <f>'Д 2_Т на В'!X52</f>
        <v>1360.5310612803723</v>
      </c>
    </row>
    <row r="43" spans="1:18">
      <c r="C43" s="706">
        <f>'ТЕ_2ст_тариф_з ІТП'!E77</f>
        <v>11700.84356265028</v>
      </c>
      <c r="D43" s="707" t="e">
        <f>D9+D25+D30+D31+D32+D33+D34</f>
        <v>#REF!</v>
      </c>
      <c r="E43" s="707" t="e">
        <f>E9+E25+E30+E31+E32+E33+E34</f>
        <v>#REF!</v>
      </c>
      <c r="F43" s="707" t="e">
        <f>F9+F25+F30+F31+F32+F33+F34</f>
        <v>#REF!</v>
      </c>
      <c r="G43" s="707" t="e">
        <f>G9+G25+G30+G31+G32+G33+G34</f>
        <v>#REF!</v>
      </c>
    </row>
    <row r="44" spans="1:18">
      <c r="C44" s="705" t="e">
        <f>C42-C43</f>
        <v>#REF!</v>
      </c>
      <c r="D44" s="705"/>
      <c r="E44" s="705"/>
      <c r="F44" s="705"/>
      <c r="G44" s="705"/>
    </row>
    <row r="45" spans="1:18">
      <c r="D45" s="720" t="e">
        <f>D39-D42</f>
        <v>#REF!</v>
      </c>
      <c r="E45" s="720" t="e">
        <f>E39-E42</f>
        <v>#REF!</v>
      </c>
      <c r="F45" s="720" t="e">
        <f>F39-F42</f>
        <v>#REF!</v>
      </c>
      <c r="G45" s="720" t="e">
        <f>G39-G42</f>
        <v>#REF!</v>
      </c>
    </row>
    <row r="46" spans="1:18">
      <c r="C46" s="812" t="e">
        <f>C39-C34</f>
        <v>#REF!</v>
      </c>
    </row>
  </sheetData>
  <mergeCells count="9">
    <mergeCell ref="A4:A5"/>
    <mergeCell ref="B4:B5"/>
    <mergeCell ref="C4:C5"/>
    <mergeCell ref="D4:G4"/>
    <mergeCell ref="B8:G8"/>
    <mergeCell ref="E1:G1"/>
    <mergeCell ref="I4:I5"/>
    <mergeCell ref="N4:N5"/>
    <mergeCell ref="B2:F2"/>
  </mergeCells>
  <pageMargins left="0.87" right="0.43" top="0.74803149606299213" bottom="0.74803149606299213" header="0.31496062992125984" footer="0.31496062992125984"/>
  <pageSetup paperSize="9" scale="74" fitToHeight="2" orientation="portrait"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Лист107">
    <tabColor rgb="FFEC20C5"/>
    <pageSetUpPr fitToPage="1"/>
  </sheetPr>
  <dimension ref="A1:I46"/>
  <sheetViews>
    <sheetView workbookViewId="0">
      <selection activeCell="D12" sqref="D12"/>
    </sheetView>
  </sheetViews>
  <sheetFormatPr defaultColWidth="9.109375" defaultRowHeight="13.8"/>
  <cols>
    <col min="1" max="1" width="7.88671875" style="614" customWidth="1"/>
    <col min="2" max="2" width="45.6640625" style="86" customWidth="1"/>
    <col min="3" max="3" width="12.6640625" style="9" customWidth="1"/>
    <col min="4" max="4" width="11.109375" style="614" customWidth="1"/>
    <col min="5" max="7" width="11.6640625" style="9" customWidth="1"/>
    <col min="8" max="8" width="8.33203125" style="9" customWidth="1"/>
    <col min="9" max="16384" width="9.109375" style="9"/>
  </cols>
  <sheetData>
    <row r="1" spans="1:8" ht="85.2" customHeight="1">
      <c r="A1" s="813"/>
      <c r="F1" s="2942" t="s">
        <v>1329</v>
      </c>
      <c r="G1" s="2942"/>
    </row>
    <row r="2" spans="1:8" ht="45.75" customHeight="1">
      <c r="A2" s="3077" t="s">
        <v>1336</v>
      </c>
      <c r="B2" s="3077"/>
      <c r="C2" s="3077"/>
      <c r="D2" s="3077"/>
      <c r="E2" s="3077"/>
      <c r="F2" s="3077"/>
      <c r="G2" s="3077"/>
    </row>
    <row r="3" spans="1:8" ht="14.4" thickBot="1">
      <c r="G3" s="9" t="s">
        <v>792</v>
      </c>
    </row>
    <row r="4" spans="1:8" ht="30" customHeight="1" thickBot="1">
      <c r="A4" s="2918" t="s">
        <v>7</v>
      </c>
      <c r="B4" s="2918" t="s">
        <v>534</v>
      </c>
      <c r="C4" s="2918" t="s">
        <v>1266</v>
      </c>
      <c r="D4" s="2921" t="s">
        <v>1267</v>
      </c>
      <c r="E4" s="2922"/>
      <c r="F4" s="2922"/>
      <c r="G4" s="2923"/>
      <c r="H4" s="86"/>
    </row>
    <row r="5" spans="1:8" ht="48.6" customHeight="1" thickBot="1">
      <c r="A5" s="2919"/>
      <c r="B5" s="2920"/>
      <c r="C5" s="2920"/>
      <c r="D5" s="680" t="s">
        <v>1268</v>
      </c>
      <c r="E5" s="680" t="s">
        <v>1269</v>
      </c>
      <c r="F5" s="680" t="s">
        <v>1270</v>
      </c>
      <c r="G5" s="680" t="s">
        <v>1341</v>
      </c>
    </row>
    <row r="6" spans="1:8" ht="14.4" thickBot="1">
      <c r="A6" s="681">
        <v>1</v>
      </c>
      <c r="B6" s="782">
        <v>2</v>
      </c>
      <c r="C6" s="678">
        <v>3</v>
      </c>
      <c r="D6" s="681">
        <v>4</v>
      </c>
      <c r="E6" s="678">
        <v>5</v>
      </c>
      <c r="F6" s="682">
        <v>6</v>
      </c>
      <c r="G6" s="679">
        <v>7</v>
      </c>
    </row>
    <row r="7" spans="1:8" ht="44.4" customHeight="1" thickBot="1">
      <c r="A7" s="708" t="s">
        <v>1273</v>
      </c>
      <c r="B7" s="783" t="s">
        <v>1533</v>
      </c>
      <c r="C7" s="704" t="e">
        <f>#REF!</f>
        <v>#REF!</v>
      </c>
      <c r="D7" s="704" t="e">
        <f>#REF!</f>
        <v>#REF!</v>
      </c>
      <c r="E7" s="704" t="e">
        <f>#REF!</f>
        <v>#REF!</v>
      </c>
      <c r="F7" s="704" t="e">
        <f>#REF!</f>
        <v>#REF!</v>
      </c>
      <c r="G7" s="704" t="e">
        <f>#REF!</f>
        <v>#REF!</v>
      </c>
    </row>
    <row r="8" spans="1:8" ht="34.5" customHeight="1" thickBot="1">
      <c r="A8" s="693" t="s">
        <v>1278</v>
      </c>
      <c r="B8" s="2909" t="s">
        <v>1337</v>
      </c>
      <c r="C8" s="2910"/>
      <c r="D8" s="2910"/>
      <c r="E8" s="2910"/>
      <c r="F8" s="2910"/>
      <c r="G8" s="2911"/>
    </row>
    <row r="9" spans="1:8" s="14" customFormat="1">
      <c r="A9" s="694" t="s">
        <v>804</v>
      </c>
      <c r="B9" s="695" t="s">
        <v>1279</v>
      </c>
      <c r="C9" s="688" t="e">
        <f>C10+C15+C16+C20</f>
        <v>#REF!</v>
      </c>
      <c r="D9" s="688" t="e">
        <f>D10+D15+D16+D20</f>
        <v>#REF!</v>
      </c>
      <c r="E9" s="688" t="e">
        <f>E10+E15+E16+E20</f>
        <v>#REF!</v>
      </c>
      <c r="F9" s="688" t="e">
        <f>F10+F15+F16+F20</f>
        <v>#REF!</v>
      </c>
      <c r="G9" s="688" t="e">
        <f>G10+G15+G16+G20</f>
        <v>#REF!</v>
      </c>
    </row>
    <row r="10" spans="1:8">
      <c r="A10" s="696" t="s">
        <v>806</v>
      </c>
      <c r="B10" s="773" t="s">
        <v>1332</v>
      </c>
      <c r="C10" s="697" t="e">
        <f>SUM(C11:C14)</f>
        <v>#REF!</v>
      </c>
      <c r="D10" s="697" t="e">
        <f>SUM(D11:D14)</f>
        <v>#REF!</v>
      </c>
      <c r="E10" s="697" t="e">
        <f>SUM(E11:E14)</f>
        <v>#REF!</v>
      </c>
      <c r="F10" s="697" t="e">
        <f>SUM(F11:F14)</f>
        <v>#REF!</v>
      </c>
      <c r="G10" s="697" t="e">
        <f>SUM(G11:G14)</f>
        <v>#REF!</v>
      </c>
    </row>
    <row r="11" spans="1:8" ht="27.6">
      <c r="A11" s="696" t="s">
        <v>1281</v>
      </c>
      <c r="B11" s="773" t="s">
        <v>1284</v>
      </c>
      <c r="C11" s="697" t="e">
        <f>#REF!</f>
        <v>#REF!</v>
      </c>
      <c r="D11" s="697" t="e">
        <f>#REF!</f>
        <v>#REF!</v>
      </c>
      <c r="E11" s="697" t="e">
        <f>#REF!</f>
        <v>#REF!</v>
      </c>
      <c r="F11" s="697" t="e">
        <f>#REF!</f>
        <v>#REF!</v>
      </c>
      <c r="G11" s="697" t="e">
        <f>#REF!</f>
        <v>#REF!</v>
      </c>
    </row>
    <row r="12" spans="1:8" ht="27.6">
      <c r="A12" s="696" t="s">
        <v>1283</v>
      </c>
      <c r="B12" s="773" t="s">
        <v>1286</v>
      </c>
      <c r="C12" s="697" t="e">
        <f>#REF!</f>
        <v>#REF!</v>
      </c>
      <c r="D12" s="697" t="e">
        <f>#REF!</f>
        <v>#REF!</v>
      </c>
      <c r="E12" s="697" t="e">
        <f>#REF!</f>
        <v>#REF!</v>
      </c>
      <c r="F12" s="697" t="e">
        <f>#REF!</f>
        <v>#REF!</v>
      </c>
      <c r="G12" s="697" t="e">
        <f>#REF!</f>
        <v>#REF!</v>
      </c>
    </row>
    <row r="13" spans="1:8">
      <c r="A13" s="696" t="s">
        <v>1285</v>
      </c>
      <c r="B13" s="10" t="s">
        <v>533</v>
      </c>
      <c r="C13" s="697" t="e">
        <f>#REF!-#REF!</f>
        <v>#REF!</v>
      </c>
      <c r="D13" s="697" t="e">
        <f>#REF!-#REF!</f>
        <v>#REF!</v>
      </c>
      <c r="E13" s="697" t="e">
        <f>#REF!-#REF!</f>
        <v>#REF!</v>
      </c>
      <c r="F13" s="697" t="e">
        <f>#REF!-#REF!</f>
        <v>#REF!</v>
      </c>
      <c r="G13" s="697" t="e">
        <f>#REF!-#REF!</f>
        <v>#REF!</v>
      </c>
    </row>
    <row r="14" spans="1:8" ht="27.6">
      <c r="A14" s="696" t="s">
        <v>1287</v>
      </c>
      <c r="B14" s="10" t="s">
        <v>1202</v>
      </c>
      <c r="C14" s="697" t="e">
        <f>#REF!</f>
        <v>#REF!</v>
      </c>
      <c r="D14" s="697" t="e">
        <f>#REF!</f>
        <v>#REF!</v>
      </c>
      <c r="E14" s="697" t="e">
        <f>#REF!</f>
        <v>#REF!</v>
      </c>
      <c r="F14" s="697" t="e">
        <f>#REF!</f>
        <v>#REF!</v>
      </c>
      <c r="G14" s="697" t="e">
        <f>#REF!</f>
        <v>#REF!</v>
      </c>
    </row>
    <row r="15" spans="1:8">
      <c r="A15" s="696" t="s">
        <v>808</v>
      </c>
      <c r="B15" s="773" t="s">
        <v>1288</v>
      </c>
      <c r="C15" s="697" t="e">
        <f>#REF!</f>
        <v>#REF!</v>
      </c>
      <c r="D15" s="697" t="e">
        <f>#REF!</f>
        <v>#REF!</v>
      </c>
      <c r="E15" s="697" t="e">
        <f>#REF!</f>
        <v>#REF!</v>
      </c>
      <c r="F15" s="697" t="e">
        <f>#REF!</f>
        <v>#REF!</v>
      </c>
      <c r="G15" s="697" t="e">
        <f>#REF!</f>
        <v>#REF!</v>
      </c>
    </row>
    <row r="16" spans="1:8" ht="14.4" customHeight="1">
      <c r="A16" s="696" t="s">
        <v>810</v>
      </c>
      <c r="B16" s="773" t="s">
        <v>1289</v>
      </c>
      <c r="C16" s="697" t="e">
        <f>#REF!</f>
        <v>#REF!</v>
      </c>
      <c r="D16" s="697" t="e">
        <f>#REF!</f>
        <v>#REF!</v>
      </c>
      <c r="E16" s="697" t="e">
        <f>#REF!</f>
        <v>#REF!</v>
      </c>
      <c r="F16" s="697" t="e">
        <f>#REF!</f>
        <v>#REF!</v>
      </c>
      <c r="G16" s="697" t="e">
        <f>#REF!</f>
        <v>#REF!</v>
      </c>
    </row>
    <row r="17" spans="1:9">
      <c r="A17" s="696" t="s">
        <v>1290</v>
      </c>
      <c r="B17" s="773" t="s">
        <v>1304</v>
      </c>
      <c r="C17" s="697" t="e">
        <f>#REF!</f>
        <v>#REF!</v>
      </c>
      <c r="D17" s="697" t="e">
        <f>#REF!</f>
        <v>#REF!</v>
      </c>
      <c r="E17" s="697" t="e">
        <f>#REF!</f>
        <v>#REF!</v>
      </c>
      <c r="F17" s="697" t="e">
        <f>#REF!</f>
        <v>#REF!</v>
      </c>
      <c r="G17" s="697" t="e">
        <f>#REF!</f>
        <v>#REF!</v>
      </c>
    </row>
    <row r="18" spans="1:9">
      <c r="A18" s="696" t="s">
        <v>1292</v>
      </c>
      <c r="B18" s="773" t="s">
        <v>1293</v>
      </c>
      <c r="C18" s="697" t="e">
        <f>#REF!</f>
        <v>#REF!</v>
      </c>
      <c r="D18" s="697" t="e">
        <f>#REF!</f>
        <v>#REF!</v>
      </c>
      <c r="E18" s="697" t="e">
        <f>#REF!</f>
        <v>#REF!</v>
      </c>
      <c r="F18" s="697" t="e">
        <f>#REF!</f>
        <v>#REF!</v>
      </c>
      <c r="G18" s="697" t="e">
        <f>#REF!</f>
        <v>#REF!</v>
      </c>
    </row>
    <row r="19" spans="1:9" ht="15.6" customHeight="1">
      <c r="A19" s="696" t="s">
        <v>1294</v>
      </c>
      <c r="B19" s="773" t="s">
        <v>77</v>
      </c>
      <c r="C19" s="697" t="e">
        <f>#REF!</f>
        <v>#REF!</v>
      </c>
      <c r="D19" s="697" t="e">
        <f>#REF!</f>
        <v>#REF!</v>
      </c>
      <c r="E19" s="697" t="e">
        <f>#REF!</f>
        <v>#REF!</v>
      </c>
      <c r="F19" s="697" t="e">
        <f>#REF!</f>
        <v>#REF!</v>
      </c>
      <c r="G19" s="697" t="e">
        <f>#REF!</f>
        <v>#REF!</v>
      </c>
    </row>
    <row r="20" spans="1:9" s="14" customFormat="1">
      <c r="A20" s="698" t="s">
        <v>812</v>
      </c>
      <c r="B20" s="695" t="s">
        <v>1295</v>
      </c>
      <c r="C20" s="688" t="e">
        <f>SUM(C21:C24)</f>
        <v>#REF!</v>
      </c>
      <c r="D20" s="688" t="e">
        <f>#REF!</f>
        <v>#REF!</v>
      </c>
      <c r="E20" s="688" t="e">
        <f>#REF!</f>
        <v>#REF!</v>
      </c>
      <c r="F20" s="688" t="e">
        <f>#REF!</f>
        <v>#REF!</v>
      </c>
      <c r="G20" s="688" t="e">
        <f>#REF!</f>
        <v>#REF!</v>
      </c>
    </row>
    <row r="21" spans="1:9">
      <c r="A21" s="699" t="s">
        <v>1296</v>
      </c>
      <c r="B21" s="773" t="s">
        <v>1297</v>
      </c>
      <c r="C21" s="697" t="e">
        <f>#REF!</f>
        <v>#REF!</v>
      </c>
      <c r="D21" s="697" t="e">
        <f>#REF!</f>
        <v>#REF!</v>
      </c>
      <c r="E21" s="697" t="e">
        <f>#REF!</f>
        <v>#REF!</v>
      </c>
      <c r="F21" s="697" t="e">
        <f>#REF!</f>
        <v>#REF!</v>
      </c>
      <c r="G21" s="697" t="e">
        <f>#REF!</f>
        <v>#REF!</v>
      </c>
    </row>
    <row r="22" spans="1:9">
      <c r="A22" s="699" t="s">
        <v>1298</v>
      </c>
      <c r="B22" s="773" t="s">
        <v>1172</v>
      </c>
      <c r="C22" s="697" t="e">
        <f>#REF!</f>
        <v>#REF!</v>
      </c>
      <c r="D22" s="697" t="e">
        <f>#REF!</f>
        <v>#REF!</v>
      </c>
      <c r="E22" s="697" t="e">
        <f>#REF!</f>
        <v>#REF!</v>
      </c>
      <c r="F22" s="697" t="e">
        <f>#REF!</f>
        <v>#REF!</v>
      </c>
      <c r="G22" s="697" t="e">
        <f>#REF!</f>
        <v>#REF!</v>
      </c>
    </row>
    <row r="23" spans="1:9">
      <c r="A23" s="699" t="s">
        <v>1299</v>
      </c>
      <c r="B23" s="773" t="s">
        <v>1293</v>
      </c>
      <c r="C23" s="697" t="e">
        <f>#REF!</f>
        <v>#REF!</v>
      </c>
      <c r="D23" s="697" t="e">
        <f>#REF!</f>
        <v>#REF!</v>
      </c>
      <c r="E23" s="697" t="e">
        <f>#REF!</f>
        <v>#REF!</v>
      </c>
      <c r="F23" s="697" t="e">
        <f>#REF!</f>
        <v>#REF!</v>
      </c>
      <c r="G23" s="697" t="e">
        <f>#REF!</f>
        <v>#REF!</v>
      </c>
    </row>
    <row r="24" spans="1:9">
      <c r="A24" s="699" t="s">
        <v>1300</v>
      </c>
      <c r="B24" s="773" t="s">
        <v>54</v>
      </c>
      <c r="C24" s="697" t="e">
        <f>#REF!-C23</f>
        <v>#REF!</v>
      </c>
      <c r="D24" s="697" t="e">
        <f>#REF!-D23</f>
        <v>#REF!</v>
      </c>
      <c r="E24" s="697" t="e">
        <f>#REF!-E23</f>
        <v>#REF!</v>
      </c>
      <c r="F24" s="697" t="e">
        <f>#REF!-F23</f>
        <v>#REF!</v>
      </c>
      <c r="G24" s="697" t="e">
        <f>#REF!-G23</f>
        <v>#REF!</v>
      </c>
    </row>
    <row r="25" spans="1:9" s="14" customFormat="1">
      <c r="A25" s="694" t="s">
        <v>821</v>
      </c>
      <c r="B25" s="695" t="s">
        <v>1301</v>
      </c>
      <c r="C25" s="688" t="e">
        <f>C26+C27+C29</f>
        <v>#REF!</v>
      </c>
      <c r="D25" s="688" t="e">
        <f>#REF!</f>
        <v>#REF!</v>
      </c>
      <c r="E25" s="688" t="e">
        <f>#REF!</f>
        <v>#REF!</v>
      </c>
      <c r="F25" s="688" t="e">
        <f>#REF!</f>
        <v>#REF!</v>
      </c>
      <c r="G25" s="688" t="e">
        <f>#REF!</f>
        <v>#REF!</v>
      </c>
      <c r="I25" s="1137"/>
    </row>
    <row r="26" spans="1:9">
      <c r="A26" s="699" t="s">
        <v>1302</v>
      </c>
      <c r="B26" s="773" t="s">
        <v>51</v>
      </c>
      <c r="C26" s="697" t="e">
        <f>#REF!</f>
        <v>#REF!</v>
      </c>
      <c r="D26" s="697" t="e">
        <f>#REF!</f>
        <v>#REF!</v>
      </c>
      <c r="E26" s="697" t="e">
        <f>#REF!</f>
        <v>#REF!</v>
      </c>
      <c r="F26" s="697" t="e">
        <f>#REF!</f>
        <v>#REF!</v>
      </c>
      <c r="G26" s="697" t="e">
        <f>#REF!</f>
        <v>#REF!</v>
      </c>
    </row>
    <row r="27" spans="1:9">
      <c r="A27" s="699" t="s">
        <v>1303</v>
      </c>
      <c r="B27" s="773" t="s">
        <v>1304</v>
      </c>
      <c r="C27" s="697" t="e">
        <f>#REF!</f>
        <v>#REF!</v>
      </c>
      <c r="D27" s="697" t="e">
        <f>#REF!</f>
        <v>#REF!</v>
      </c>
      <c r="E27" s="697" t="e">
        <f>#REF!</f>
        <v>#REF!</v>
      </c>
      <c r="F27" s="697" t="e">
        <f>#REF!</f>
        <v>#REF!</v>
      </c>
      <c r="G27" s="697" t="e">
        <f>#REF!</f>
        <v>#REF!</v>
      </c>
    </row>
    <row r="28" spans="1:9">
      <c r="A28" s="699" t="s">
        <v>1305</v>
      </c>
      <c r="B28" s="773" t="s">
        <v>1293</v>
      </c>
      <c r="C28" s="697" t="e">
        <f>#REF!</f>
        <v>#REF!</v>
      </c>
      <c r="D28" s="697" t="e">
        <f>#REF!</f>
        <v>#REF!</v>
      </c>
      <c r="E28" s="697" t="e">
        <f>#REF!</f>
        <v>#REF!</v>
      </c>
      <c r="F28" s="697" t="e">
        <f>#REF!</f>
        <v>#REF!</v>
      </c>
      <c r="G28" s="697" t="e">
        <f>#REF!</f>
        <v>#REF!</v>
      </c>
    </row>
    <row r="29" spans="1:9">
      <c r="A29" s="699" t="s">
        <v>1306</v>
      </c>
      <c r="B29" s="773" t="s">
        <v>1307</v>
      </c>
      <c r="C29" s="697" t="e">
        <f>#REF!</f>
        <v>#REF!</v>
      </c>
      <c r="D29" s="697" t="e">
        <f>#REF!</f>
        <v>#REF!</v>
      </c>
      <c r="E29" s="697" t="e">
        <f>#REF!</f>
        <v>#REF!</v>
      </c>
      <c r="F29" s="697" t="e">
        <f>#REF!</f>
        <v>#REF!</v>
      </c>
      <c r="G29" s="697" t="e">
        <f>#REF!</f>
        <v>#REF!</v>
      </c>
    </row>
    <row r="30" spans="1:9" s="14" customFormat="1">
      <c r="A30" s="694" t="s">
        <v>823</v>
      </c>
      <c r="B30" s="695" t="s">
        <v>1308</v>
      </c>
      <c r="C30" s="688">
        <v>0</v>
      </c>
      <c r="D30" s="688" t="e">
        <f>#REF!</f>
        <v>#REF!</v>
      </c>
      <c r="E30" s="688" t="e">
        <f>#REF!</f>
        <v>#REF!</v>
      </c>
      <c r="F30" s="688" t="e">
        <f>#REF!</f>
        <v>#REF!</v>
      </c>
      <c r="G30" s="688" t="e">
        <f>#REF!</f>
        <v>#REF!</v>
      </c>
    </row>
    <row r="31" spans="1:9" s="14" customFormat="1">
      <c r="A31" s="694" t="s">
        <v>826</v>
      </c>
      <c r="B31" s="695" t="s">
        <v>1310</v>
      </c>
      <c r="C31" s="688">
        <v>0</v>
      </c>
      <c r="D31" s="688">
        <v>0</v>
      </c>
      <c r="E31" s="688">
        <v>0</v>
      </c>
      <c r="F31" s="688">
        <v>0</v>
      </c>
      <c r="G31" s="688">
        <v>0</v>
      </c>
      <c r="I31" s="661"/>
    </row>
    <row r="32" spans="1:9" s="14" customFormat="1">
      <c r="A32" s="694">
        <v>5</v>
      </c>
      <c r="B32" s="695" t="s">
        <v>1221</v>
      </c>
      <c r="C32" s="688" t="e">
        <f>C9+C25+C30</f>
        <v>#REF!</v>
      </c>
      <c r="D32" s="688" t="e">
        <f>D9+D25+D30</f>
        <v>#REF!</v>
      </c>
      <c r="E32" s="688" t="e">
        <f>E9+E25+E30</f>
        <v>#REF!</v>
      </c>
      <c r="F32" s="688" t="e">
        <f>F9+F25+F30</f>
        <v>#REF!</v>
      </c>
      <c r="G32" s="688" t="e">
        <f>G9+G25+G30</f>
        <v>#REF!</v>
      </c>
    </row>
    <row r="33" spans="1:9" s="14" customFormat="1">
      <c r="A33" s="694">
        <v>6</v>
      </c>
      <c r="B33" s="695" t="s">
        <v>1311</v>
      </c>
      <c r="C33" s="688">
        <v>0</v>
      </c>
      <c r="D33" s="688">
        <v>0</v>
      </c>
      <c r="E33" s="688">
        <v>0</v>
      </c>
      <c r="F33" s="688">
        <v>0</v>
      </c>
      <c r="G33" s="688">
        <v>0</v>
      </c>
    </row>
    <row r="34" spans="1:9" s="14" customFormat="1">
      <c r="A34" s="694">
        <v>7</v>
      </c>
      <c r="B34" s="695" t="s">
        <v>1312</v>
      </c>
      <c r="C34" s="688" t="e">
        <f>#REF!</f>
        <v>#REF!</v>
      </c>
      <c r="D34" s="688" t="e">
        <f>#REF!</f>
        <v>#REF!</v>
      </c>
      <c r="E34" s="688" t="e">
        <f>#REF!</f>
        <v>#REF!</v>
      </c>
      <c r="F34" s="688" t="e">
        <f>#REF!</f>
        <v>#REF!</v>
      </c>
      <c r="G34" s="688" t="e">
        <f>#REF!</f>
        <v>#REF!</v>
      </c>
    </row>
    <row r="35" spans="1:9" s="14" customFormat="1">
      <c r="A35" s="694">
        <v>8</v>
      </c>
      <c r="B35" s="695" t="s">
        <v>1313</v>
      </c>
      <c r="C35" s="688" t="e">
        <f>SUM(C36:C39)</f>
        <v>#REF!</v>
      </c>
      <c r="D35" s="688" t="e">
        <f>#REF!</f>
        <v>#REF!</v>
      </c>
      <c r="E35" s="688" t="e">
        <f>#REF!</f>
        <v>#REF!</v>
      </c>
      <c r="F35" s="688" t="e">
        <f>#REF!</f>
        <v>#REF!</v>
      </c>
      <c r="G35" s="688" t="e">
        <f>#REF!</f>
        <v>#REF!</v>
      </c>
      <c r="I35" s="1137"/>
    </row>
    <row r="36" spans="1:9">
      <c r="A36" s="699" t="s">
        <v>734</v>
      </c>
      <c r="B36" s="773" t="s">
        <v>61</v>
      </c>
      <c r="C36" s="697" t="e">
        <f>#REF!</f>
        <v>#REF!</v>
      </c>
      <c r="D36" s="697" t="e">
        <f>#REF!</f>
        <v>#REF!</v>
      </c>
      <c r="E36" s="697" t="e">
        <f>#REF!</f>
        <v>#REF!</v>
      </c>
      <c r="F36" s="697" t="e">
        <f>#REF!</f>
        <v>#REF!</v>
      </c>
      <c r="G36" s="697" t="e">
        <f>#REF!</f>
        <v>#REF!</v>
      </c>
    </row>
    <row r="37" spans="1:9">
      <c r="A37" s="699" t="s">
        <v>1314</v>
      </c>
      <c r="B37" s="773" t="s">
        <v>80</v>
      </c>
      <c r="C37" s="697" t="e">
        <f>#REF!</f>
        <v>#REF!</v>
      </c>
      <c r="D37" s="697" t="e">
        <f>#REF!</f>
        <v>#REF!</v>
      </c>
      <c r="E37" s="697" t="e">
        <f>#REF!</f>
        <v>#REF!</v>
      </c>
      <c r="F37" s="697" t="e">
        <f>#REF!</f>
        <v>#REF!</v>
      </c>
      <c r="G37" s="697" t="e">
        <f>#REF!</f>
        <v>#REF!</v>
      </c>
    </row>
    <row r="38" spans="1:9">
      <c r="A38" s="699" t="s">
        <v>1315</v>
      </c>
      <c r="B38" s="773" t="s">
        <v>67</v>
      </c>
      <c r="C38" s="697" t="e">
        <f>#REF!</f>
        <v>#REF!</v>
      </c>
      <c r="D38" s="697" t="e">
        <f>#REF!</f>
        <v>#REF!</v>
      </c>
      <c r="E38" s="697" t="e">
        <f>#REF!</f>
        <v>#REF!</v>
      </c>
      <c r="F38" s="697" t="e">
        <f>#REF!</f>
        <v>#REF!</v>
      </c>
      <c r="G38" s="697" t="e">
        <f>#REF!</f>
        <v>#REF!</v>
      </c>
    </row>
    <row r="39" spans="1:9">
      <c r="A39" s="699" t="s">
        <v>1316</v>
      </c>
      <c r="B39" s="773" t="s">
        <v>1222</v>
      </c>
      <c r="C39" s="697" t="e">
        <f>#REF!</f>
        <v>#REF!</v>
      </c>
      <c r="D39" s="697" t="e">
        <f>#REF!</f>
        <v>#REF!</v>
      </c>
      <c r="E39" s="697" t="e">
        <f>#REF!</f>
        <v>#REF!</v>
      </c>
      <c r="F39" s="697" t="e">
        <f>#REF!</f>
        <v>#REF!</v>
      </c>
      <c r="G39" s="697" t="e">
        <f>#REF!</f>
        <v>#REF!</v>
      </c>
    </row>
    <row r="40" spans="1:9" s="14" customFormat="1" ht="28.2" thickBot="1">
      <c r="A40" s="714" t="s">
        <v>907</v>
      </c>
      <c r="B40" s="716" t="s">
        <v>1334</v>
      </c>
      <c r="C40" s="715" t="e">
        <f>#REF!/1000</f>
        <v>#REF!</v>
      </c>
      <c r="D40" s="691" t="e">
        <f>#REF!/1000</f>
        <v>#REF!</v>
      </c>
      <c r="E40" s="691" t="e">
        <f>#REF!</f>
        <v>#REF!</v>
      </c>
      <c r="F40" s="691" t="e">
        <f>#REF!/1000</f>
        <v>#REF!</v>
      </c>
      <c r="G40" s="691" t="e">
        <f>#REF!/1000</f>
        <v>#REF!</v>
      </c>
    </row>
    <row r="42" spans="1:9">
      <c r="C42" s="793"/>
      <c r="D42" s="705"/>
      <c r="E42" s="705"/>
      <c r="F42" s="705"/>
      <c r="G42" s="705"/>
    </row>
    <row r="43" spans="1:9">
      <c r="B43" s="86" t="s">
        <v>1352</v>
      </c>
      <c r="C43" s="793">
        <f>'ТЕ_2ст_тариф_з ІТП'!E121</f>
        <v>0</v>
      </c>
      <c r="D43" s="707"/>
      <c r="E43" s="705"/>
      <c r="F43" s="2912" t="s">
        <v>1353</v>
      </c>
      <c r="G43" s="2912"/>
    </row>
    <row r="45" spans="1:9">
      <c r="C45" s="568" t="e">
        <f>C7-C32-C33-C34-C35</f>
        <v>#REF!</v>
      </c>
      <c r="D45" s="568" t="e">
        <f>D7-D32-D33-D34-D35</f>
        <v>#REF!</v>
      </c>
      <c r="E45" s="568" t="e">
        <f>E7-E32-E33-E34-E35</f>
        <v>#REF!</v>
      </c>
      <c r="F45" s="568" t="e">
        <f>F7-F32-F33-F34-F35</f>
        <v>#REF!</v>
      </c>
      <c r="G45" s="568" t="e">
        <f>G7-G32-G33-G34-G35</f>
        <v>#REF!</v>
      </c>
    </row>
    <row r="46" spans="1:9">
      <c r="D46" s="9"/>
    </row>
  </sheetData>
  <mergeCells count="8">
    <mergeCell ref="F43:G43"/>
    <mergeCell ref="B8:G8"/>
    <mergeCell ref="F1:G1"/>
    <mergeCell ref="A4:A5"/>
    <mergeCell ref="B4:B5"/>
    <mergeCell ref="C4:C5"/>
    <mergeCell ref="D4:G4"/>
    <mergeCell ref="A2:G2"/>
  </mergeCells>
  <pageMargins left="0.70866141732283472" right="0.33" top="0.3" bottom="0.32" header="0.31496062992125984" footer="0.31496062992125984"/>
  <pageSetup paperSize="9" scale="81" fitToHeight="2" orientation="portrait" horizontalDpi="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Лист108">
    <tabColor rgb="FFEC20C5"/>
    <pageSetUpPr fitToPage="1"/>
  </sheetPr>
  <dimension ref="A1:J47"/>
  <sheetViews>
    <sheetView topLeftCell="A19" workbookViewId="0">
      <selection activeCell="A14" sqref="A14:XFD14"/>
    </sheetView>
  </sheetViews>
  <sheetFormatPr defaultColWidth="9.109375" defaultRowHeight="13.8"/>
  <cols>
    <col min="1" max="1" width="6.33203125" style="614" customWidth="1"/>
    <col min="2" max="2" width="47.88671875" style="9" customWidth="1"/>
    <col min="3" max="3" width="12.6640625" style="9" customWidth="1"/>
    <col min="4" max="4" width="12.6640625" style="614" customWidth="1"/>
    <col min="5" max="7" width="12.6640625" style="9" customWidth="1"/>
    <col min="8" max="8" width="17.5546875" style="9" customWidth="1"/>
    <col min="9" max="16384" width="9.109375" style="9"/>
  </cols>
  <sheetData>
    <row r="1" spans="1:10" ht="96.75" customHeight="1">
      <c r="A1" s="813"/>
      <c r="F1" s="2942" t="s">
        <v>1335</v>
      </c>
      <c r="G1" s="2942"/>
    </row>
    <row r="2" spans="1:10" ht="45.75" customHeight="1">
      <c r="A2" s="9"/>
      <c r="B2" s="3077" t="s">
        <v>1330</v>
      </c>
      <c r="C2" s="3077"/>
      <c r="D2" s="3077"/>
      <c r="E2" s="3077"/>
      <c r="F2" s="3077"/>
      <c r="G2" s="620"/>
    </row>
    <row r="3" spans="1:10" ht="14.4" thickBot="1">
      <c r="G3" s="9" t="s">
        <v>792</v>
      </c>
    </row>
    <row r="4" spans="1:10" ht="30" customHeight="1" thickBot="1">
      <c r="A4" s="2918" t="s">
        <v>7</v>
      </c>
      <c r="B4" s="2918" t="s">
        <v>534</v>
      </c>
      <c r="C4" s="2918" t="s">
        <v>1266</v>
      </c>
      <c r="D4" s="2921" t="s">
        <v>1267</v>
      </c>
      <c r="E4" s="2922"/>
      <c r="F4" s="2922"/>
      <c r="G4" s="2923"/>
      <c r="H4" s="86"/>
      <c r="I4" s="86"/>
      <c r="J4" s="86"/>
    </row>
    <row r="5" spans="1:10" ht="75" customHeight="1" thickBot="1">
      <c r="A5" s="2919"/>
      <c r="B5" s="2920"/>
      <c r="C5" s="2920"/>
      <c r="D5" s="680" t="s">
        <v>1268</v>
      </c>
      <c r="E5" s="680" t="s">
        <v>1269</v>
      </c>
      <c r="F5" s="680" t="s">
        <v>1270</v>
      </c>
      <c r="G5" s="680" t="s">
        <v>1271</v>
      </c>
      <c r="I5" s="86"/>
      <c r="J5" s="86"/>
    </row>
    <row r="6" spans="1:10" ht="14.4" thickBot="1">
      <c r="A6" s="681">
        <v>1</v>
      </c>
      <c r="B6" s="682">
        <v>2</v>
      </c>
      <c r="C6" s="678">
        <v>3</v>
      </c>
      <c r="D6" s="681">
        <v>4</v>
      </c>
      <c r="E6" s="678">
        <v>5</v>
      </c>
      <c r="F6" s="682">
        <v>6</v>
      </c>
      <c r="G6" s="679">
        <v>7</v>
      </c>
    </row>
    <row r="7" spans="1:10" ht="58.2" customHeight="1" thickBot="1">
      <c r="A7" s="708" t="s">
        <v>1273</v>
      </c>
      <c r="B7" s="709" t="s">
        <v>1331</v>
      </c>
      <c r="C7" s="704" t="e">
        <f>(C30+C31+C32+C33+C34+C35)</f>
        <v>#REF!</v>
      </c>
      <c r="D7" s="704" t="e">
        <f>(D30+D31+D32+D33+D34+D35)</f>
        <v>#REF!</v>
      </c>
      <c r="E7" s="704" t="e">
        <f>(E30+E31+E32+E33+E34+E35)</f>
        <v>#REF!</v>
      </c>
      <c r="F7" s="704" t="e">
        <f>(F30+F31+F32+F33+F34+F35)</f>
        <v>#REF!</v>
      </c>
      <c r="G7" s="704" t="e">
        <f>(G30+G31+G32+G33+G34+G35)</f>
        <v>#REF!</v>
      </c>
      <c r="H7" s="310"/>
    </row>
    <row r="8" spans="1:10" ht="29.4" customHeight="1" thickBot="1">
      <c r="A8" s="693" t="s">
        <v>1278</v>
      </c>
      <c r="B8" s="2909" t="s">
        <v>1417</v>
      </c>
      <c r="C8" s="2910"/>
      <c r="D8" s="2910"/>
      <c r="E8" s="2910"/>
      <c r="F8" s="2910"/>
      <c r="G8" s="2911"/>
    </row>
    <row r="9" spans="1:10" s="14" customFormat="1">
      <c r="A9" s="694" t="s">
        <v>804</v>
      </c>
      <c r="B9" s="155" t="s">
        <v>1279</v>
      </c>
      <c r="C9" s="688" t="e">
        <f>C10+C14+C15+C19</f>
        <v>#REF!</v>
      </c>
      <c r="D9" s="157" t="e">
        <f>D10+D14+D15+D19</f>
        <v>#REF!</v>
      </c>
      <c r="E9" s="157" t="e">
        <f>E10+E14+E15+E19</f>
        <v>#REF!</v>
      </c>
      <c r="F9" s="157" t="e">
        <f>F10+F14+F15+F19</f>
        <v>#REF!</v>
      </c>
      <c r="G9" s="157" t="e">
        <f>G10+G14+G15+G19</f>
        <v>#REF!</v>
      </c>
      <c r="J9" s="661"/>
    </row>
    <row r="10" spans="1:10">
      <c r="A10" s="696" t="s">
        <v>806</v>
      </c>
      <c r="B10" s="68" t="s">
        <v>1332</v>
      </c>
      <c r="C10" s="697" t="e">
        <f>SUM(C11:C13)</f>
        <v>#REF!</v>
      </c>
      <c r="D10" s="697" t="e">
        <f>SUM(D11:D13)</f>
        <v>#REF!</v>
      </c>
      <c r="E10" s="697" t="e">
        <f>SUM(E11:E13)</f>
        <v>#REF!</v>
      </c>
      <c r="F10" s="697" t="e">
        <f>SUM(F11:F13)</f>
        <v>#REF!</v>
      </c>
      <c r="G10" s="697" t="e">
        <f>SUM(G11:G13)</f>
        <v>#REF!</v>
      </c>
    </row>
    <row r="11" spans="1:10">
      <c r="A11" s="696" t="s">
        <v>1281</v>
      </c>
      <c r="B11" s="68" t="s">
        <v>1284</v>
      </c>
      <c r="C11" s="697" t="e">
        <f>#REF!</f>
        <v>#REF!</v>
      </c>
      <c r="D11" s="697" t="e">
        <f>C11/$C$40</f>
        <v>#REF!</v>
      </c>
      <c r="E11" s="697" t="e">
        <f>C11/$C$40</f>
        <v>#REF!</v>
      </c>
      <c r="F11" s="697" t="e">
        <f>C11/$C$40</f>
        <v>#REF!</v>
      </c>
      <c r="G11" s="697" t="e">
        <f>C11/$C$40</f>
        <v>#REF!</v>
      </c>
    </row>
    <row r="12" spans="1:10">
      <c r="A12" s="696" t="s">
        <v>1283</v>
      </c>
      <c r="B12" s="68" t="s">
        <v>1286</v>
      </c>
      <c r="C12" s="697" t="e">
        <f>#REF!</f>
        <v>#REF!</v>
      </c>
      <c r="D12" s="697" t="e">
        <f t="shared" ref="D12:D23" si="0">C12/$C$40</f>
        <v>#REF!</v>
      </c>
      <c r="E12" s="697" t="e">
        <f t="shared" ref="E12:E18" si="1">C12/$C$40</f>
        <v>#REF!</v>
      </c>
      <c r="F12" s="697" t="e">
        <f t="shared" ref="F12:F18" si="2">C12/$C$40</f>
        <v>#REF!</v>
      </c>
      <c r="G12" s="697" t="e">
        <f t="shared" ref="G12:G18" si="3">C12/$C$40</f>
        <v>#REF!</v>
      </c>
    </row>
    <row r="13" spans="1:10">
      <c r="A13" s="696" t="s">
        <v>1285</v>
      </c>
      <c r="B13" s="68" t="s">
        <v>1171</v>
      </c>
      <c r="C13" s="697" t="e">
        <f>#REF!-#REF!</f>
        <v>#REF!</v>
      </c>
      <c r="D13" s="697" t="e">
        <f t="shared" si="0"/>
        <v>#REF!</v>
      </c>
      <c r="E13" s="697" t="e">
        <f t="shared" si="1"/>
        <v>#REF!</v>
      </c>
      <c r="F13" s="697" t="e">
        <f t="shared" si="2"/>
        <v>#REF!</v>
      </c>
      <c r="G13" s="697" t="e">
        <f t="shared" si="3"/>
        <v>#REF!</v>
      </c>
    </row>
    <row r="14" spans="1:10">
      <c r="A14" s="696" t="s">
        <v>808</v>
      </c>
      <c r="B14" s="68" t="s">
        <v>1288</v>
      </c>
      <c r="C14" s="697" t="e">
        <f>#REF!</f>
        <v>#REF!</v>
      </c>
      <c r="D14" s="697" t="e">
        <f t="shared" si="0"/>
        <v>#REF!</v>
      </c>
      <c r="E14" s="697" t="e">
        <f t="shared" si="1"/>
        <v>#REF!</v>
      </c>
      <c r="F14" s="697" t="e">
        <f t="shared" si="2"/>
        <v>#REF!</v>
      </c>
      <c r="G14" s="697" t="e">
        <f t="shared" si="3"/>
        <v>#REF!</v>
      </c>
    </row>
    <row r="15" spans="1:10">
      <c r="A15" s="696" t="s">
        <v>810</v>
      </c>
      <c r="B15" s="68" t="s">
        <v>1289</v>
      </c>
      <c r="C15" s="697" t="e">
        <f>#REF!</f>
        <v>#REF!</v>
      </c>
      <c r="D15" s="697" t="e">
        <f t="shared" si="0"/>
        <v>#REF!</v>
      </c>
      <c r="E15" s="697" t="e">
        <f t="shared" si="1"/>
        <v>#REF!</v>
      </c>
      <c r="F15" s="697" t="e">
        <f t="shared" si="2"/>
        <v>#REF!</v>
      </c>
      <c r="G15" s="697" t="e">
        <f t="shared" si="3"/>
        <v>#REF!</v>
      </c>
    </row>
    <row r="16" spans="1:10">
      <c r="A16" s="696" t="s">
        <v>1290</v>
      </c>
      <c r="B16" s="68" t="s">
        <v>1291</v>
      </c>
      <c r="C16" s="697" t="e">
        <f>#REF!</f>
        <v>#REF!</v>
      </c>
      <c r="D16" s="697" t="e">
        <f t="shared" si="0"/>
        <v>#REF!</v>
      </c>
      <c r="E16" s="697" t="e">
        <f t="shared" si="1"/>
        <v>#REF!</v>
      </c>
      <c r="F16" s="697" t="e">
        <f t="shared" si="2"/>
        <v>#REF!</v>
      </c>
      <c r="G16" s="697" t="e">
        <f t="shared" si="3"/>
        <v>#REF!</v>
      </c>
    </row>
    <row r="17" spans="1:9">
      <c r="A17" s="696" t="s">
        <v>1292</v>
      </c>
      <c r="B17" s="68" t="s">
        <v>1293</v>
      </c>
      <c r="C17" s="697" t="e">
        <f>#REF!</f>
        <v>#REF!</v>
      </c>
      <c r="D17" s="697" t="e">
        <f t="shared" si="0"/>
        <v>#REF!</v>
      </c>
      <c r="E17" s="697" t="e">
        <f t="shared" si="1"/>
        <v>#REF!</v>
      </c>
      <c r="F17" s="697" t="e">
        <f t="shared" si="2"/>
        <v>#REF!</v>
      </c>
      <c r="G17" s="697" t="e">
        <f t="shared" si="3"/>
        <v>#REF!</v>
      </c>
    </row>
    <row r="18" spans="1:9">
      <c r="A18" s="696" t="s">
        <v>1294</v>
      </c>
      <c r="B18" s="68" t="s">
        <v>77</v>
      </c>
      <c r="C18" s="697" t="e">
        <f>#REF!</f>
        <v>#REF!</v>
      </c>
      <c r="D18" s="697" t="e">
        <f t="shared" si="0"/>
        <v>#REF!</v>
      </c>
      <c r="E18" s="697" t="e">
        <f t="shared" si="1"/>
        <v>#REF!</v>
      </c>
      <c r="F18" s="697" t="e">
        <f t="shared" si="2"/>
        <v>#REF!</v>
      </c>
      <c r="G18" s="697" t="e">
        <f t="shared" si="3"/>
        <v>#REF!</v>
      </c>
    </row>
    <row r="19" spans="1:9" s="14" customFormat="1">
      <c r="A19" s="698" t="s">
        <v>812</v>
      </c>
      <c r="B19" s="155" t="s">
        <v>1295</v>
      </c>
      <c r="C19" s="688" t="e">
        <f>C20+C21+C22+C23</f>
        <v>#REF!</v>
      </c>
      <c r="D19" s="157" t="e">
        <f>D20+D21+D22+D23</f>
        <v>#REF!</v>
      </c>
      <c r="E19" s="157" t="e">
        <f>E20+E21+E22+E23</f>
        <v>#REF!</v>
      </c>
      <c r="F19" s="157" t="e">
        <f>F20+F21+F22+F23</f>
        <v>#REF!</v>
      </c>
      <c r="G19" s="157" t="e">
        <f>G20+G21+G22+G23</f>
        <v>#REF!</v>
      </c>
    </row>
    <row r="20" spans="1:9">
      <c r="A20" s="699" t="s">
        <v>1296</v>
      </c>
      <c r="B20" s="68" t="s">
        <v>1297</v>
      </c>
      <c r="C20" s="697" t="e">
        <f>#REF!</f>
        <v>#REF!</v>
      </c>
      <c r="D20" s="697" t="e">
        <f t="shared" si="0"/>
        <v>#REF!</v>
      </c>
      <c r="E20" s="697" t="e">
        <f>C20/$C$40</f>
        <v>#REF!</v>
      </c>
      <c r="F20" s="697" t="e">
        <f>C20/$C$40</f>
        <v>#REF!</v>
      </c>
      <c r="G20" s="697" t="e">
        <f>C20/$C$40</f>
        <v>#REF!</v>
      </c>
    </row>
    <row r="21" spans="1:9">
      <c r="A21" s="699" t="s">
        <v>1298</v>
      </c>
      <c r="B21" s="68" t="s">
        <v>1172</v>
      </c>
      <c r="C21" s="697" t="e">
        <f>#REF!</f>
        <v>#REF!</v>
      </c>
      <c r="D21" s="697" t="e">
        <f t="shared" si="0"/>
        <v>#REF!</v>
      </c>
      <c r="E21" s="697" t="e">
        <f>C21/$C$40</f>
        <v>#REF!</v>
      </c>
      <c r="F21" s="697" t="e">
        <f>C21/$C$40</f>
        <v>#REF!</v>
      </c>
      <c r="G21" s="697" t="e">
        <f>C21/$C$40</f>
        <v>#REF!</v>
      </c>
    </row>
    <row r="22" spans="1:9">
      <c r="A22" s="699" t="s">
        <v>1299</v>
      </c>
      <c r="B22" s="68" t="s">
        <v>1293</v>
      </c>
      <c r="C22" s="697" t="e">
        <f>#REF!+#REF!</f>
        <v>#REF!</v>
      </c>
      <c r="D22" s="697" t="e">
        <f t="shared" si="0"/>
        <v>#REF!</v>
      </c>
      <c r="E22" s="697" t="e">
        <f>C22/$C$40</f>
        <v>#REF!</v>
      </c>
      <c r="F22" s="697" t="e">
        <f>C22/$C$40</f>
        <v>#REF!</v>
      </c>
      <c r="G22" s="697" t="e">
        <f>C22/$C$40</f>
        <v>#REF!</v>
      </c>
    </row>
    <row r="23" spans="1:9">
      <c r="A23" s="699" t="s">
        <v>1300</v>
      </c>
      <c r="B23" s="68" t="s">
        <v>54</v>
      </c>
      <c r="C23" s="697" t="e">
        <f>#REF!-C22</f>
        <v>#REF!</v>
      </c>
      <c r="D23" s="697" t="e">
        <f t="shared" si="0"/>
        <v>#REF!</v>
      </c>
      <c r="E23" s="697" t="e">
        <f>C23/$C$40</f>
        <v>#REF!</v>
      </c>
      <c r="F23" s="697" t="e">
        <f>C23/$C$40</f>
        <v>#REF!</v>
      </c>
      <c r="G23" s="697" t="e">
        <f>C23/$C$40</f>
        <v>#REF!</v>
      </c>
    </row>
    <row r="24" spans="1:9" s="14" customFormat="1">
      <c r="A24" s="694" t="s">
        <v>821</v>
      </c>
      <c r="B24" s="155" t="s">
        <v>1301</v>
      </c>
      <c r="C24" s="688" t="e">
        <f>C25+C26+C27+C28</f>
        <v>#REF!</v>
      </c>
      <c r="D24" s="157" t="e">
        <f>D25+D26+D27+D28</f>
        <v>#REF!</v>
      </c>
      <c r="E24" s="157" t="e">
        <f>E25+E26+E27+E28</f>
        <v>#REF!</v>
      </c>
      <c r="F24" s="157" t="e">
        <f>F25+F26+F27+F28</f>
        <v>#REF!</v>
      </c>
      <c r="G24" s="157" t="e">
        <f>G25+G26+G27+G28</f>
        <v>#REF!</v>
      </c>
    </row>
    <row r="25" spans="1:9">
      <c r="A25" s="699" t="s">
        <v>1302</v>
      </c>
      <c r="B25" s="68" t="s">
        <v>51</v>
      </c>
      <c r="C25" s="697" t="e">
        <f>#REF!</f>
        <v>#REF!</v>
      </c>
      <c r="D25" s="697" t="e">
        <f t="shared" ref="D25:D34" si="4">C25/$C$40</f>
        <v>#REF!</v>
      </c>
      <c r="E25" s="697" t="e">
        <f>C25/$C$40</f>
        <v>#REF!</v>
      </c>
      <c r="F25" s="697" t="e">
        <f>C25/$C$40</f>
        <v>#REF!</v>
      </c>
      <c r="G25" s="697" t="e">
        <f>C25/$C$40</f>
        <v>#REF!</v>
      </c>
    </row>
    <row r="26" spans="1:9">
      <c r="A26" s="699" t="s">
        <v>1303</v>
      </c>
      <c r="B26" s="68" t="s">
        <v>1304</v>
      </c>
      <c r="C26" s="697" t="e">
        <f>#REF!</f>
        <v>#REF!</v>
      </c>
      <c r="D26" s="697" t="e">
        <f t="shared" si="4"/>
        <v>#REF!</v>
      </c>
      <c r="E26" s="697" t="e">
        <f>C26/$C$40</f>
        <v>#REF!</v>
      </c>
      <c r="F26" s="697" t="e">
        <f>C26/$C$40</f>
        <v>#REF!</v>
      </c>
      <c r="G26" s="697" t="e">
        <f>C26/$C$40</f>
        <v>#REF!</v>
      </c>
    </row>
    <row r="27" spans="1:9">
      <c r="A27" s="699" t="s">
        <v>1305</v>
      </c>
      <c r="B27" s="68" t="s">
        <v>1293</v>
      </c>
      <c r="C27" s="697" t="e">
        <f>#REF!+#REF!</f>
        <v>#REF!</v>
      </c>
      <c r="D27" s="697" t="e">
        <f t="shared" si="4"/>
        <v>#REF!</v>
      </c>
      <c r="E27" s="697" t="e">
        <f>C27/$C$40</f>
        <v>#REF!</v>
      </c>
      <c r="F27" s="697" t="e">
        <f>C27/$C$40</f>
        <v>#REF!</v>
      </c>
      <c r="G27" s="697" t="e">
        <f>C27/$C$40</f>
        <v>#REF!</v>
      </c>
    </row>
    <row r="28" spans="1:9">
      <c r="A28" s="699" t="s">
        <v>1306</v>
      </c>
      <c r="B28" s="68" t="s">
        <v>1307</v>
      </c>
      <c r="C28" s="697" t="e">
        <f>#REF!-C27</f>
        <v>#REF!</v>
      </c>
      <c r="D28" s="697" t="e">
        <f t="shared" si="4"/>
        <v>#REF!</v>
      </c>
      <c r="E28" s="697" t="e">
        <f>C28/$C$40</f>
        <v>#REF!</v>
      </c>
      <c r="F28" s="697" t="e">
        <f>C28/$C$40</f>
        <v>#REF!</v>
      </c>
      <c r="G28" s="697" t="e">
        <f>C28/$C$40</f>
        <v>#REF!</v>
      </c>
    </row>
    <row r="29" spans="1:9" s="14" customFormat="1">
      <c r="A29" s="694" t="s">
        <v>823</v>
      </c>
      <c r="B29" s="155" t="s">
        <v>1308</v>
      </c>
      <c r="C29" s="688">
        <v>0</v>
      </c>
      <c r="D29" s="688">
        <v>0</v>
      </c>
      <c r="E29" s="688">
        <v>0</v>
      </c>
      <c r="F29" s="688">
        <v>0</v>
      </c>
      <c r="G29" s="688">
        <v>0</v>
      </c>
    </row>
    <row r="30" spans="1:9" s="14" customFormat="1" ht="27.6">
      <c r="A30" s="694" t="s">
        <v>826</v>
      </c>
      <c r="B30" s="695" t="s">
        <v>1333</v>
      </c>
      <c r="C30" s="688" t="e">
        <f>C9+C24+C29</f>
        <v>#REF!</v>
      </c>
      <c r="D30" s="688" t="e">
        <f>D9+D24+D29</f>
        <v>#REF!</v>
      </c>
      <c r="E30" s="688" t="e">
        <f>E9+E24+E29</f>
        <v>#REF!</v>
      </c>
      <c r="F30" s="688" t="e">
        <f>F9+F24+F29</f>
        <v>#REF!</v>
      </c>
      <c r="G30" s="688" t="e">
        <f>G9+G24+G29</f>
        <v>#REF!</v>
      </c>
    </row>
    <row r="31" spans="1:9" s="14" customFormat="1" ht="44.4" customHeight="1">
      <c r="A31" s="694">
        <v>5</v>
      </c>
      <c r="B31" s="831" t="s">
        <v>1309</v>
      </c>
      <c r="C31" s="688" t="e">
        <f>#REF!</f>
        <v>#REF!</v>
      </c>
      <c r="D31" s="688" t="e">
        <f>#REF!/D40</f>
        <v>#REF!</v>
      </c>
      <c r="E31" s="688" t="e">
        <f>#REF!/E40</f>
        <v>#REF!</v>
      </c>
      <c r="F31" s="688" t="e">
        <f>#REF!/F40</f>
        <v>#REF!</v>
      </c>
      <c r="G31" s="688" t="e">
        <f>#REF!/G40</f>
        <v>#REF!</v>
      </c>
      <c r="I31" s="14" t="e">
        <f>G31*G40+F31*F40+E31*E40+D31*D40</f>
        <v>#REF!</v>
      </c>
    </row>
    <row r="32" spans="1:9" s="14" customFormat="1">
      <c r="A32" s="694">
        <v>6</v>
      </c>
      <c r="B32" s="155" t="s">
        <v>1310</v>
      </c>
      <c r="C32" s="688">
        <v>0</v>
      </c>
      <c r="D32" s="688" t="e">
        <f t="shared" si="4"/>
        <v>#REF!</v>
      </c>
      <c r="E32" s="688" t="e">
        <f>C32/$C$40</f>
        <v>#REF!</v>
      </c>
      <c r="F32" s="688" t="e">
        <f>C32/$C$40</f>
        <v>#REF!</v>
      </c>
      <c r="G32" s="688" t="e">
        <f>C32/$C$40</f>
        <v>#REF!</v>
      </c>
    </row>
    <row r="33" spans="1:9" s="14" customFormat="1">
      <c r="A33" s="694">
        <v>7</v>
      </c>
      <c r="B33" s="155" t="s">
        <v>1311</v>
      </c>
      <c r="C33" s="688">
        <v>0</v>
      </c>
      <c r="D33" s="688" t="e">
        <f t="shared" si="4"/>
        <v>#REF!</v>
      </c>
      <c r="E33" s="688" t="e">
        <f>C33/$C$40</f>
        <v>#REF!</v>
      </c>
      <c r="F33" s="688" t="e">
        <f>C33/$C$40</f>
        <v>#REF!</v>
      </c>
      <c r="G33" s="688" t="e">
        <f>C33/$C$40</f>
        <v>#REF!</v>
      </c>
    </row>
    <row r="34" spans="1:9" s="14" customFormat="1">
      <c r="A34" s="694">
        <v>8</v>
      </c>
      <c r="B34" s="155" t="s">
        <v>1312</v>
      </c>
      <c r="C34" s="688">
        <v>0</v>
      </c>
      <c r="D34" s="688" t="e">
        <f t="shared" si="4"/>
        <v>#REF!</v>
      </c>
      <c r="E34" s="688" t="e">
        <f>C34/$C$40</f>
        <v>#REF!</v>
      </c>
      <c r="F34" s="688" t="e">
        <f>C34/$C$40</f>
        <v>#REF!</v>
      </c>
      <c r="G34" s="688" t="e">
        <f>C34/$C$40</f>
        <v>#REF!</v>
      </c>
    </row>
    <row r="35" spans="1:9" s="14" customFormat="1">
      <c r="A35" s="694">
        <v>9</v>
      </c>
      <c r="B35" s="155" t="s">
        <v>1313</v>
      </c>
      <c r="C35" s="688" t="e">
        <f>SUM(C36:C39)</f>
        <v>#REF!</v>
      </c>
      <c r="D35" s="726" t="e">
        <f>SUM(D36:D39)</f>
        <v>#REF!</v>
      </c>
      <c r="E35" s="726" t="e">
        <f>SUM(E36:E39)</f>
        <v>#REF!</v>
      </c>
      <c r="F35" s="726" t="e">
        <f>SUM(F36:F39)</f>
        <v>#REF!</v>
      </c>
      <c r="G35" s="726" t="e">
        <f>SUM(G36:G39)</f>
        <v>#REF!</v>
      </c>
      <c r="I35" s="14" t="e">
        <f>(C30+C31)*0.04</f>
        <v>#REF!</v>
      </c>
    </row>
    <row r="36" spans="1:9">
      <c r="A36" s="699" t="s">
        <v>735</v>
      </c>
      <c r="B36" s="68" t="s">
        <v>61</v>
      </c>
      <c r="C36" s="697" t="e">
        <f>#REF!</f>
        <v>#REF!</v>
      </c>
      <c r="D36" s="1257" t="e">
        <f>#REF!/'Додаток 5 до рішення'!D$40</f>
        <v>#REF!</v>
      </c>
      <c r="E36" s="1257" t="e">
        <f>#REF!/'Додаток 5 до рішення'!E$40</f>
        <v>#REF!</v>
      </c>
      <c r="F36" s="1257" t="e">
        <f>#REF!/'Додаток 5 до рішення'!F$40</f>
        <v>#REF!</v>
      </c>
      <c r="G36" s="1257" t="e">
        <f>#REF!/'Додаток 5 до рішення'!G$40</f>
        <v>#REF!</v>
      </c>
    </row>
    <row r="37" spans="1:9">
      <c r="A37" s="699" t="s">
        <v>736</v>
      </c>
      <c r="B37" s="68" t="s">
        <v>80</v>
      </c>
      <c r="C37" s="697" t="e">
        <f>#REF!</f>
        <v>#REF!</v>
      </c>
      <c r="D37" s="1257" t="e">
        <f>#REF!/'Додаток 5 до рішення'!D$40</f>
        <v>#REF!</v>
      </c>
      <c r="E37" s="1257" t="e">
        <f>#REF!/'Додаток 5 до рішення'!E$40</f>
        <v>#REF!</v>
      </c>
      <c r="F37" s="1257" t="e">
        <f>#REF!/'Додаток 5 до рішення'!F$40</f>
        <v>#REF!</v>
      </c>
      <c r="G37" s="1257" t="e">
        <f>#REF!/'Додаток 5 до рішення'!G$40</f>
        <v>#REF!</v>
      </c>
    </row>
    <row r="38" spans="1:9">
      <c r="A38" s="699" t="s">
        <v>737</v>
      </c>
      <c r="B38" s="68" t="s">
        <v>67</v>
      </c>
      <c r="C38" s="697" t="e">
        <f>#REF!</f>
        <v>#REF!</v>
      </c>
      <c r="D38" s="1257" t="e">
        <f>#REF!/'Додаток 5 до рішення'!D$40</f>
        <v>#REF!</v>
      </c>
      <c r="E38" s="1257" t="e">
        <f>#REF!/'Додаток 5 до рішення'!E$40</f>
        <v>#REF!</v>
      </c>
      <c r="F38" s="1257" t="e">
        <f>#REF!/'Додаток 5 до рішення'!F$40</f>
        <v>#REF!</v>
      </c>
      <c r="G38" s="1257" t="e">
        <f>#REF!/'Додаток 5 до рішення'!G$40</f>
        <v>#REF!</v>
      </c>
    </row>
    <row r="39" spans="1:9">
      <c r="A39" s="699" t="s">
        <v>966</v>
      </c>
      <c r="B39" s="68" t="s">
        <v>1222</v>
      </c>
      <c r="C39" s="697" t="e">
        <f>#REF!</f>
        <v>#REF!</v>
      </c>
      <c r="D39" s="1257" t="e">
        <f>#REF!/'Додаток 5 до рішення'!D$40</f>
        <v>#REF!</v>
      </c>
      <c r="E39" s="1257" t="e">
        <f>#REF!/'Додаток 5 до рішення'!E$40</f>
        <v>#REF!</v>
      </c>
      <c r="F39" s="1257" t="e">
        <f>#REF!/'Додаток 5 до рішення'!F$40</f>
        <v>#REF!</v>
      </c>
      <c r="G39" s="1257" t="e">
        <f>#REF!/'Додаток 5 до рішення'!G$40</f>
        <v>#REF!</v>
      </c>
    </row>
    <row r="40" spans="1:9" s="14" customFormat="1" ht="28.2" thickBot="1">
      <c r="A40" s="714" t="s">
        <v>911</v>
      </c>
      <c r="B40" s="716" t="s">
        <v>1334</v>
      </c>
      <c r="C40" s="715" t="e">
        <f>#REF!/1000</f>
        <v>#REF!</v>
      </c>
      <c r="D40" s="691" t="e">
        <f>#REF!/1000</f>
        <v>#REF!</v>
      </c>
      <c r="E40" s="691" t="e">
        <f>#REF!/1000</f>
        <v>#REF!</v>
      </c>
      <c r="F40" s="691" t="e">
        <f>#REF!/1000</f>
        <v>#REF!</v>
      </c>
      <c r="G40" s="691" t="e">
        <f>#REF!/1000</f>
        <v>#REF!</v>
      </c>
    </row>
    <row r="42" spans="1:9">
      <c r="C42" s="793" t="e">
        <f>C9+C24+C31+C35</f>
        <v>#REF!</v>
      </c>
      <c r="D42" s="705"/>
      <c r="E42" s="705"/>
      <c r="F42" s="705"/>
      <c r="G42" s="705"/>
    </row>
    <row r="43" spans="1:9">
      <c r="B43" s="9" t="s">
        <v>1352</v>
      </c>
      <c r="C43" s="793" t="e">
        <f>#REF!</f>
        <v>#REF!</v>
      </c>
      <c r="D43" s="707"/>
      <c r="E43" s="705"/>
      <c r="F43" s="794" t="s">
        <v>1353</v>
      </c>
      <c r="G43" s="705"/>
    </row>
    <row r="47" spans="1:9">
      <c r="C47" s="9">
        <v>90789.558318280222</v>
      </c>
      <c r="D47" s="614">
        <v>73480.442469241578</v>
      </c>
      <c r="E47" s="9">
        <v>14.297162430506665</v>
      </c>
      <c r="F47" s="9">
        <v>9354.8548418015489</v>
      </c>
      <c r="G47" s="9">
        <v>7939.9638448065843</v>
      </c>
    </row>
  </sheetData>
  <mergeCells count="7">
    <mergeCell ref="B8:G8"/>
    <mergeCell ref="F1:G1"/>
    <mergeCell ref="B2:F2"/>
    <mergeCell ref="A4:A5"/>
    <mergeCell ref="B4:B5"/>
    <mergeCell ref="C4:C5"/>
    <mergeCell ref="D4:G4"/>
  </mergeCells>
  <pageMargins left="0.70866141732283472" right="0.19685039370078741" top="0.27559055118110237" bottom="0.31496062992125984" header="0.31496062992125984" footer="0.31496062992125984"/>
  <pageSetup paperSize="9" scale="79" fitToHeight="2"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Лист109">
    <tabColor rgb="FFEC20C5"/>
    <pageSetUpPr fitToPage="1"/>
  </sheetPr>
  <dimension ref="A1:R38"/>
  <sheetViews>
    <sheetView topLeftCell="D1" workbookViewId="0">
      <selection activeCell="O7" sqref="O7"/>
    </sheetView>
  </sheetViews>
  <sheetFormatPr defaultColWidth="9.109375" defaultRowHeight="13.8"/>
  <cols>
    <col min="1" max="1" width="7.88671875" style="614" customWidth="1"/>
    <col min="2" max="2" width="40.44140625" style="9" customWidth="1"/>
    <col min="3" max="3" width="12.6640625" style="9" customWidth="1"/>
    <col min="4" max="4" width="11.6640625" style="614" customWidth="1"/>
    <col min="5" max="7" width="11.6640625" style="9" customWidth="1"/>
    <col min="8" max="8" width="13.33203125" style="538" customWidth="1"/>
    <col min="9" max="13" width="12" style="9" customWidth="1"/>
    <col min="14" max="14" width="11.6640625" style="9" customWidth="1"/>
    <col min="15" max="18" width="12" style="9" customWidth="1"/>
    <col min="19" max="16384" width="9.109375" style="9"/>
  </cols>
  <sheetData>
    <row r="1" spans="1:18" ht="85.2" customHeight="1">
      <c r="A1" s="813"/>
      <c r="E1" s="2942" t="s">
        <v>1436</v>
      </c>
      <c r="F1" s="2942"/>
      <c r="G1" s="2942"/>
    </row>
    <row r="2" spans="1:18" ht="35.25" customHeight="1">
      <c r="A2" s="9"/>
      <c r="B2" s="3077" t="s">
        <v>1338</v>
      </c>
      <c r="C2" s="3077"/>
      <c r="D2" s="3077"/>
      <c r="E2" s="3077"/>
      <c r="F2" s="3077"/>
      <c r="G2" s="620"/>
    </row>
    <row r="3" spans="1:18" ht="14.4" thickBot="1">
      <c r="G3" s="9" t="s">
        <v>792</v>
      </c>
      <c r="I3" s="298" t="s">
        <v>1195</v>
      </c>
      <c r="J3" s="298"/>
      <c r="K3" s="298"/>
      <c r="L3" s="298"/>
      <c r="M3" s="298"/>
      <c r="N3" s="298" t="s">
        <v>1196</v>
      </c>
      <c r="O3" s="298"/>
      <c r="P3" s="298"/>
      <c r="Q3" s="298"/>
      <c r="R3" s="298"/>
    </row>
    <row r="4" spans="1:18" ht="30" customHeight="1" thickBot="1">
      <c r="A4" s="2918" t="s">
        <v>7</v>
      </c>
      <c r="B4" s="2918" t="s">
        <v>534</v>
      </c>
      <c r="C4" s="2918" t="s">
        <v>1437</v>
      </c>
      <c r="D4" s="2921" t="s">
        <v>1267</v>
      </c>
      <c r="E4" s="2922"/>
      <c r="F4" s="2922"/>
      <c r="G4" s="2923"/>
      <c r="H4" s="539"/>
      <c r="I4" s="2918" t="s">
        <v>1266</v>
      </c>
      <c r="J4" s="718"/>
      <c r="K4" s="718"/>
      <c r="L4" s="718"/>
      <c r="M4" s="718"/>
      <c r="N4" s="2918" t="s">
        <v>1266</v>
      </c>
      <c r="O4" s="718"/>
      <c r="P4" s="718"/>
      <c r="Q4" s="718"/>
      <c r="R4" s="718"/>
    </row>
    <row r="5" spans="1:18" ht="47.4" customHeight="1" thickBot="1">
      <c r="A5" s="2919"/>
      <c r="B5" s="2920"/>
      <c r="C5" s="2920"/>
      <c r="D5" s="680" t="s">
        <v>1268</v>
      </c>
      <c r="E5" s="680" t="s">
        <v>1269</v>
      </c>
      <c r="F5" s="680" t="s">
        <v>1270</v>
      </c>
      <c r="G5" s="680" t="s">
        <v>1341</v>
      </c>
      <c r="I5" s="2920"/>
      <c r="J5" s="680" t="s">
        <v>1268</v>
      </c>
      <c r="K5" s="680" t="s">
        <v>1269</v>
      </c>
      <c r="L5" s="680" t="s">
        <v>1270</v>
      </c>
      <c r="M5" s="680" t="s">
        <v>1341</v>
      </c>
      <c r="N5" s="2920"/>
      <c r="O5" s="680" t="s">
        <v>1268</v>
      </c>
      <c r="P5" s="680" t="s">
        <v>1269</v>
      </c>
      <c r="Q5" s="680" t="s">
        <v>1270</v>
      </c>
      <c r="R5" s="680" t="s">
        <v>1341</v>
      </c>
    </row>
    <row r="6" spans="1:18" ht="14.4" thickBot="1">
      <c r="A6" s="681">
        <v>1</v>
      </c>
      <c r="B6" s="682">
        <v>2</v>
      </c>
      <c r="C6" s="678">
        <v>3</v>
      </c>
      <c r="D6" s="681">
        <v>4</v>
      </c>
      <c r="E6" s="678">
        <v>5</v>
      </c>
      <c r="F6" s="682">
        <v>6</v>
      </c>
      <c r="G6" s="679">
        <v>7</v>
      </c>
    </row>
    <row r="7" spans="1:18" ht="31.95" customHeight="1" thickBot="1">
      <c r="A7" s="708" t="s">
        <v>1273</v>
      </c>
      <c r="B7" s="709" t="s">
        <v>1339</v>
      </c>
      <c r="C7" s="704" t="e">
        <f>(C9+C21+C30)</f>
        <v>#REF!</v>
      </c>
      <c r="D7" s="704" t="e">
        <f>(D9+D21+D30)</f>
        <v>#REF!</v>
      </c>
      <c r="E7" s="704" t="e">
        <f>(E9+E21+E30)</f>
        <v>#REF!</v>
      </c>
      <c r="F7" s="704" t="e">
        <f>(F9+F21+F30)</f>
        <v>#REF!</v>
      </c>
      <c r="G7" s="704" t="e">
        <f>(G9+G21+G30)</f>
        <v>#REF!</v>
      </c>
      <c r="H7" s="568" t="e">
        <f>I7+N7</f>
        <v>#REF!</v>
      </c>
      <c r="I7" s="719" t="e">
        <f>'Додаток 4 до рішення'!C40</f>
        <v>#REF!</v>
      </c>
      <c r="J7" s="719" t="e">
        <f>'Додаток 4 до рішення'!D40</f>
        <v>#REF!</v>
      </c>
      <c r="K7" s="719" t="e">
        <f>'Додаток 4 до рішення'!E40</f>
        <v>#REF!</v>
      </c>
      <c r="L7" s="719" t="e">
        <f>'Додаток 4 до рішення'!F40</f>
        <v>#REF!</v>
      </c>
      <c r="M7" s="719" t="e">
        <f>'Додаток 4 до рішення'!G40</f>
        <v>#REF!</v>
      </c>
      <c r="N7" s="719" t="e">
        <f>'Додаток 5 до рішення'!C40</f>
        <v>#REF!</v>
      </c>
      <c r="O7" s="719" t="e">
        <f>'Додаток 5 до рішення'!D40</f>
        <v>#REF!</v>
      </c>
      <c r="P7" s="719" t="e">
        <f>'Додаток 5 до рішення'!E40</f>
        <v>#REF!</v>
      </c>
      <c r="Q7" s="719" t="e">
        <f>'Додаток 5 до рішення'!F40</f>
        <v>#REF!</v>
      </c>
      <c r="R7" s="719" t="e">
        <f>'Додаток 5 до рішення'!G40</f>
        <v>#REF!</v>
      </c>
    </row>
    <row r="8" spans="1:18" ht="18.75" customHeight="1" thickBot="1">
      <c r="A8" s="693" t="s">
        <v>1278</v>
      </c>
      <c r="B8" s="2913" t="s">
        <v>1340</v>
      </c>
      <c r="C8" s="2914"/>
      <c r="D8" s="2914"/>
      <c r="E8" s="2914"/>
      <c r="F8" s="2914"/>
      <c r="G8" s="2915"/>
    </row>
    <row r="9" spans="1:18" s="14" customFormat="1">
      <c r="A9" s="694" t="s">
        <v>804</v>
      </c>
      <c r="B9" s="155" t="s">
        <v>1279</v>
      </c>
      <c r="C9" s="688" t="e">
        <f>C10+C11+C12+C16</f>
        <v>#REF!</v>
      </c>
      <c r="D9" s="157" t="e">
        <f>D10+D11+D12+D16</f>
        <v>#REF!</v>
      </c>
      <c r="E9" s="157" t="e">
        <f>E10+E11+E12+E16</f>
        <v>#REF!</v>
      </c>
      <c r="F9" s="157" t="e">
        <f>F10+F11+F12+F16</f>
        <v>#REF!</v>
      </c>
      <c r="G9" s="157" t="e">
        <f>G10+G11+G12+G16</f>
        <v>#REF!</v>
      </c>
      <c r="H9" s="721" t="e">
        <f>I9+N9-C9</f>
        <v>#REF!</v>
      </c>
      <c r="I9" s="157" t="e">
        <f t="shared" ref="I9:R9" si="0">I10+I11+I12+I16</f>
        <v>#REF!</v>
      </c>
      <c r="J9" s="157" t="e">
        <f t="shared" si="0"/>
        <v>#REF!</v>
      </c>
      <c r="K9" s="157" t="e">
        <f t="shared" si="0"/>
        <v>#REF!</v>
      </c>
      <c r="L9" s="157" t="e">
        <f t="shared" si="0"/>
        <v>#REF!</v>
      </c>
      <c r="M9" s="157" t="e">
        <f t="shared" si="0"/>
        <v>#REF!</v>
      </c>
      <c r="N9" s="157" t="e">
        <f t="shared" si="0"/>
        <v>#REF!</v>
      </c>
      <c r="O9" s="157" t="e">
        <f t="shared" si="0"/>
        <v>#REF!</v>
      </c>
      <c r="P9" s="157" t="e">
        <f t="shared" si="0"/>
        <v>#REF!</v>
      </c>
      <c r="Q9" s="157" t="e">
        <f t="shared" si="0"/>
        <v>#REF!</v>
      </c>
      <c r="R9" s="157" t="e">
        <f t="shared" si="0"/>
        <v>#REF!</v>
      </c>
    </row>
    <row r="10" spans="1:18">
      <c r="A10" s="696" t="s">
        <v>806</v>
      </c>
      <c r="B10" s="68" t="s">
        <v>1332</v>
      </c>
      <c r="C10" s="697">
        <f>Постачання_1ст!F10</f>
        <v>0</v>
      </c>
      <c r="D10" s="697">
        <f t="shared" ref="D10:D15" si="1">C10/$C$35</f>
        <v>0</v>
      </c>
      <c r="E10" s="697">
        <f t="shared" ref="E10:E15" si="2">C10/$C$35</f>
        <v>0</v>
      </c>
      <c r="F10" s="697">
        <f t="shared" ref="F10:F15" si="3">C10/$C$35</f>
        <v>0</v>
      </c>
      <c r="G10" s="697">
        <f t="shared" ref="G10:G15" si="4">C10/$C$35</f>
        <v>0</v>
      </c>
      <c r="H10" s="721" t="e">
        <f t="shared" ref="H10:H34" si="5">I10+N10-C10</f>
        <v>#REF!</v>
      </c>
      <c r="I10" s="722" t="e">
        <f>SUM(J10:M10)</f>
        <v>#REF!</v>
      </c>
      <c r="J10" s="67" t="e">
        <f>J$7*D10</f>
        <v>#REF!</v>
      </c>
      <c r="K10" s="67" t="e">
        <f>K$7*E10</f>
        <v>#REF!</v>
      </c>
      <c r="L10" s="67" t="e">
        <f>L$7*F10</f>
        <v>#REF!</v>
      </c>
      <c r="M10" s="67" t="e">
        <f>M$7*G10</f>
        <v>#REF!</v>
      </c>
      <c r="N10" s="722" t="e">
        <f>SUM(O10:R10)</f>
        <v>#REF!</v>
      </c>
      <c r="O10" s="67" t="e">
        <f>O$7*D10</f>
        <v>#REF!</v>
      </c>
      <c r="P10" s="67" t="e">
        <f>P$7*E10</f>
        <v>#REF!</v>
      </c>
      <c r="Q10" s="67" t="e">
        <f>Q$7*F10</f>
        <v>#REF!</v>
      </c>
      <c r="R10" s="67" t="e">
        <f>R$7*G10</f>
        <v>#REF!</v>
      </c>
    </row>
    <row r="11" spans="1:18">
      <c r="A11" s="696" t="s">
        <v>808</v>
      </c>
      <c r="B11" s="68" t="s">
        <v>1288</v>
      </c>
      <c r="C11" s="697">
        <f>Постачання_1ст!F21</f>
        <v>144.13114754098359</v>
      </c>
      <c r="D11" s="697">
        <f t="shared" si="1"/>
        <v>16.885528167288019</v>
      </c>
      <c r="E11" s="697">
        <f t="shared" si="2"/>
        <v>16.885528167288019</v>
      </c>
      <c r="F11" s="697">
        <f t="shared" si="3"/>
        <v>16.885528167288019</v>
      </c>
      <c r="G11" s="697">
        <f t="shared" si="4"/>
        <v>16.885528167288019</v>
      </c>
      <c r="H11" s="721" t="e">
        <f t="shared" si="5"/>
        <v>#REF!</v>
      </c>
      <c r="I11" s="722" t="e">
        <f>SUM(J11:M11)</f>
        <v>#REF!</v>
      </c>
      <c r="J11" s="67" t="e">
        <f>J$7*D11</f>
        <v>#REF!</v>
      </c>
      <c r="K11" s="67" t="e">
        <f t="shared" ref="K11:M26" si="6">K$7*E11</f>
        <v>#REF!</v>
      </c>
      <c r="L11" s="67" t="e">
        <f t="shared" si="6"/>
        <v>#REF!</v>
      </c>
      <c r="M11" s="67" t="e">
        <f t="shared" si="6"/>
        <v>#REF!</v>
      </c>
      <c r="N11" s="722" t="e">
        <f>SUM(O11:R11)</f>
        <v>#REF!</v>
      </c>
      <c r="O11" s="67" t="e">
        <f>O$7*D11</f>
        <v>#REF!</v>
      </c>
      <c r="P11" s="67" t="e">
        <f t="shared" ref="P11:R26" si="7">P$7*E11</f>
        <v>#REF!</v>
      </c>
      <c r="Q11" s="67" t="e">
        <f t="shared" si="7"/>
        <v>#REF!</v>
      </c>
      <c r="R11" s="67" t="e">
        <f t="shared" si="7"/>
        <v>#REF!</v>
      </c>
    </row>
    <row r="12" spans="1:18">
      <c r="A12" s="696" t="s">
        <v>810</v>
      </c>
      <c r="B12" s="68" t="s">
        <v>1289</v>
      </c>
      <c r="C12" s="697">
        <f>C13+C14+C15</f>
        <v>6.9759475409836069</v>
      </c>
      <c r="D12" s="697">
        <f t="shared" si="1"/>
        <v>0.81725956329674032</v>
      </c>
      <c r="E12" s="697">
        <f t="shared" si="2"/>
        <v>0.81725956329674032</v>
      </c>
      <c r="F12" s="697">
        <f t="shared" si="3"/>
        <v>0.81725956329674032</v>
      </c>
      <c r="G12" s="697">
        <f t="shared" si="4"/>
        <v>0.81725956329674032</v>
      </c>
      <c r="H12" s="721" t="e">
        <f t="shared" si="5"/>
        <v>#REF!</v>
      </c>
      <c r="I12" s="722" t="e">
        <f t="shared" ref="I12:I34" si="8">SUM(J12:M12)</f>
        <v>#REF!</v>
      </c>
      <c r="J12" s="67" t="e">
        <f t="shared" ref="J12:M34" si="9">J$7*D12</f>
        <v>#REF!</v>
      </c>
      <c r="K12" s="67" t="e">
        <f t="shared" si="6"/>
        <v>#REF!</v>
      </c>
      <c r="L12" s="67" t="e">
        <f t="shared" si="6"/>
        <v>#REF!</v>
      </c>
      <c r="M12" s="67" t="e">
        <f t="shared" si="6"/>
        <v>#REF!</v>
      </c>
      <c r="N12" s="722" t="e">
        <f t="shared" ref="N12:N34" si="10">SUM(O12:R12)</f>
        <v>#REF!</v>
      </c>
      <c r="O12" s="67" t="e">
        <f t="shared" ref="O12:R34" si="11">O$7*D12</f>
        <v>#REF!</v>
      </c>
      <c r="P12" s="67" t="e">
        <f t="shared" si="7"/>
        <v>#REF!</v>
      </c>
      <c r="Q12" s="67" t="e">
        <f t="shared" si="7"/>
        <v>#REF!</v>
      </c>
      <c r="R12" s="67" t="e">
        <f t="shared" si="7"/>
        <v>#REF!</v>
      </c>
    </row>
    <row r="13" spans="1:18">
      <c r="A13" s="696" t="s">
        <v>1290</v>
      </c>
      <c r="B13" s="68" t="s">
        <v>1291</v>
      </c>
      <c r="C13" s="697">
        <f>Постачання_1ст!F24</f>
        <v>6.9759475409836069</v>
      </c>
      <c r="D13" s="697">
        <f t="shared" si="1"/>
        <v>0.81725956329674032</v>
      </c>
      <c r="E13" s="697">
        <f t="shared" si="2"/>
        <v>0.81725956329674032</v>
      </c>
      <c r="F13" s="697">
        <f t="shared" si="3"/>
        <v>0.81725956329674032</v>
      </c>
      <c r="G13" s="697">
        <f t="shared" si="4"/>
        <v>0.81725956329674032</v>
      </c>
      <c r="H13" s="721" t="e">
        <f t="shared" si="5"/>
        <v>#REF!</v>
      </c>
      <c r="I13" s="722" t="e">
        <f t="shared" si="8"/>
        <v>#REF!</v>
      </c>
      <c r="J13" s="67" t="e">
        <f t="shared" si="9"/>
        <v>#REF!</v>
      </c>
      <c r="K13" s="67" t="e">
        <f t="shared" si="6"/>
        <v>#REF!</v>
      </c>
      <c r="L13" s="67" t="e">
        <f t="shared" si="6"/>
        <v>#REF!</v>
      </c>
      <c r="M13" s="67" t="e">
        <f t="shared" si="6"/>
        <v>#REF!</v>
      </c>
      <c r="N13" s="722" t="e">
        <f t="shared" si="10"/>
        <v>#REF!</v>
      </c>
      <c r="O13" s="67" t="e">
        <f t="shared" si="11"/>
        <v>#REF!</v>
      </c>
      <c r="P13" s="67" t="e">
        <f t="shared" si="7"/>
        <v>#REF!</v>
      </c>
      <c r="Q13" s="67" t="e">
        <f t="shared" si="7"/>
        <v>#REF!</v>
      </c>
      <c r="R13" s="67" t="e">
        <f t="shared" si="7"/>
        <v>#REF!</v>
      </c>
    </row>
    <row r="14" spans="1:18">
      <c r="A14" s="696" t="s">
        <v>1292</v>
      </c>
      <c r="B14" s="68" t="s">
        <v>1293</v>
      </c>
      <c r="C14" s="697">
        <f>Постачання_1ст!F26+Постачання_1ст!F25</f>
        <v>0</v>
      </c>
      <c r="D14" s="697">
        <f t="shared" si="1"/>
        <v>0</v>
      </c>
      <c r="E14" s="697">
        <f t="shared" si="2"/>
        <v>0</v>
      </c>
      <c r="F14" s="697">
        <f t="shared" si="3"/>
        <v>0</v>
      </c>
      <c r="G14" s="697">
        <f t="shared" si="4"/>
        <v>0</v>
      </c>
      <c r="H14" s="721" t="e">
        <f t="shared" si="5"/>
        <v>#REF!</v>
      </c>
      <c r="I14" s="722" t="e">
        <f t="shared" si="8"/>
        <v>#REF!</v>
      </c>
      <c r="J14" s="67" t="e">
        <f t="shared" si="9"/>
        <v>#REF!</v>
      </c>
      <c r="K14" s="67" t="e">
        <f t="shared" si="6"/>
        <v>#REF!</v>
      </c>
      <c r="L14" s="67" t="e">
        <f t="shared" si="6"/>
        <v>#REF!</v>
      </c>
      <c r="M14" s="67" t="e">
        <f t="shared" si="6"/>
        <v>#REF!</v>
      </c>
      <c r="N14" s="722" t="e">
        <f t="shared" si="10"/>
        <v>#REF!</v>
      </c>
      <c r="O14" s="67" t="e">
        <f t="shared" si="11"/>
        <v>#REF!</v>
      </c>
      <c r="P14" s="67" t="e">
        <f t="shared" si="7"/>
        <v>#REF!</v>
      </c>
      <c r="Q14" s="67" t="e">
        <f t="shared" si="7"/>
        <v>#REF!</v>
      </c>
      <c r="R14" s="67" t="e">
        <f t="shared" si="7"/>
        <v>#REF!</v>
      </c>
    </row>
    <row r="15" spans="1:18">
      <c r="A15" s="696" t="s">
        <v>1294</v>
      </c>
      <c r="B15" s="68" t="s">
        <v>77</v>
      </c>
      <c r="C15" s="697">
        <f>Постачання_1ст!F23-Постачання_1ст!F24-Постачання_1ст!F25-Постачання_1ст!F26</f>
        <v>0</v>
      </c>
      <c r="D15" s="697">
        <f t="shared" si="1"/>
        <v>0</v>
      </c>
      <c r="E15" s="697">
        <f t="shared" si="2"/>
        <v>0</v>
      </c>
      <c r="F15" s="697">
        <f t="shared" si="3"/>
        <v>0</v>
      </c>
      <c r="G15" s="697">
        <f t="shared" si="4"/>
        <v>0</v>
      </c>
      <c r="H15" s="721" t="e">
        <f t="shared" si="5"/>
        <v>#REF!</v>
      </c>
      <c r="I15" s="722" t="e">
        <f t="shared" si="8"/>
        <v>#REF!</v>
      </c>
      <c r="J15" s="67" t="e">
        <f t="shared" si="9"/>
        <v>#REF!</v>
      </c>
      <c r="K15" s="67" t="e">
        <f t="shared" si="6"/>
        <v>#REF!</v>
      </c>
      <c r="L15" s="67" t="e">
        <f t="shared" si="6"/>
        <v>#REF!</v>
      </c>
      <c r="M15" s="67" t="e">
        <f t="shared" si="6"/>
        <v>#REF!</v>
      </c>
      <c r="N15" s="722" t="e">
        <f t="shared" si="10"/>
        <v>#REF!</v>
      </c>
      <c r="O15" s="67" t="e">
        <f t="shared" si="11"/>
        <v>#REF!</v>
      </c>
      <c r="P15" s="67" t="e">
        <f t="shared" si="7"/>
        <v>#REF!</v>
      </c>
      <c r="Q15" s="67" t="e">
        <f t="shared" si="7"/>
        <v>#REF!</v>
      </c>
      <c r="R15" s="67" t="e">
        <f t="shared" si="7"/>
        <v>#REF!</v>
      </c>
    </row>
    <row r="16" spans="1:18" s="14" customFormat="1">
      <c r="A16" s="698" t="s">
        <v>812</v>
      </c>
      <c r="B16" s="155" t="s">
        <v>1295</v>
      </c>
      <c r="C16" s="688" t="e">
        <f>C17+C18+C19+C20</f>
        <v>#REF!</v>
      </c>
      <c r="D16" s="157" t="e">
        <f>D17+D18+D19+D20</f>
        <v>#REF!</v>
      </c>
      <c r="E16" s="157" t="e">
        <f>E17+E18+E19+E20</f>
        <v>#REF!</v>
      </c>
      <c r="F16" s="157" t="e">
        <f>F17+F18+F19+F20</f>
        <v>#REF!</v>
      </c>
      <c r="G16" s="157" t="e">
        <f>G17+G18+G19+G20</f>
        <v>#REF!</v>
      </c>
      <c r="H16" s="721" t="e">
        <f t="shared" si="5"/>
        <v>#REF!</v>
      </c>
      <c r="I16" s="722" t="e">
        <f t="shared" si="8"/>
        <v>#REF!</v>
      </c>
      <c r="J16" s="67" t="e">
        <f t="shared" si="9"/>
        <v>#REF!</v>
      </c>
      <c r="K16" s="67" t="e">
        <f t="shared" si="6"/>
        <v>#REF!</v>
      </c>
      <c r="L16" s="67" t="e">
        <f t="shared" si="6"/>
        <v>#REF!</v>
      </c>
      <c r="M16" s="67" t="e">
        <f t="shared" si="6"/>
        <v>#REF!</v>
      </c>
      <c r="N16" s="722" t="e">
        <f t="shared" si="10"/>
        <v>#REF!</v>
      </c>
      <c r="O16" s="67" t="e">
        <f t="shared" si="11"/>
        <v>#REF!</v>
      </c>
      <c r="P16" s="67" t="e">
        <f t="shared" si="7"/>
        <v>#REF!</v>
      </c>
      <c r="Q16" s="67" t="e">
        <f t="shared" si="7"/>
        <v>#REF!</v>
      </c>
      <c r="R16" s="67" t="e">
        <f t="shared" si="7"/>
        <v>#REF!</v>
      </c>
    </row>
    <row r="17" spans="1:18">
      <c r="A17" s="699" t="s">
        <v>1296</v>
      </c>
      <c r="B17" s="68" t="s">
        <v>1297</v>
      </c>
      <c r="C17" s="697" t="e">
        <f>#REF!</f>
        <v>#REF!</v>
      </c>
      <c r="D17" s="697" t="e">
        <f>C17/$C$35</f>
        <v>#REF!</v>
      </c>
      <c r="E17" s="697" t="e">
        <f>C17/$C$35</f>
        <v>#REF!</v>
      </c>
      <c r="F17" s="697" t="e">
        <f>C17/$C$35</f>
        <v>#REF!</v>
      </c>
      <c r="G17" s="697" t="e">
        <f>C17/$C$35</f>
        <v>#REF!</v>
      </c>
      <c r="H17" s="721" t="e">
        <f t="shared" si="5"/>
        <v>#REF!</v>
      </c>
      <c r="I17" s="722" t="e">
        <f t="shared" si="8"/>
        <v>#REF!</v>
      </c>
      <c r="J17" s="67" t="e">
        <f t="shared" si="9"/>
        <v>#REF!</v>
      </c>
      <c r="K17" s="67" t="e">
        <f t="shared" si="6"/>
        <v>#REF!</v>
      </c>
      <c r="L17" s="67" t="e">
        <f t="shared" si="6"/>
        <v>#REF!</v>
      </c>
      <c r="M17" s="67" t="e">
        <f t="shared" si="6"/>
        <v>#REF!</v>
      </c>
      <c r="N17" s="722" t="e">
        <f t="shared" si="10"/>
        <v>#REF!</v>
      </c>
      <c r="O17" s="67" t="e">
        <f t="shared" si="11"/>
        <v>#REF!</v>
      </c>
      <c r="P17" s="67" t="e">
        <f t="shared" si="7"/>
        <v>#REF!</v>
      </c>
      <c r="Q17" s="67" t="e">
        <f t="shared" si="7"/>
        <v>#REF!</v>
      </c>
      <c r="R17" s="67" t="e">
        <f t="shared" si="7"/>
        <v>#REF!</v>
      </c>
    </row>
    <row r="18" spans="1:18">
      <c r="A18" s="699" t="s">
        <v>1298</v>
      </c>
      <c r="B18" s="68" t="s">
        <v>1172</v>
      </c>
      <c r="C18" s="697" t="e">
        <f>#REF!</f>
        <v>#REF!</v>
      </c>
      <c r="D18" s="697" t="e">
        <f>C18/$C$35</f>
        <v>#REF!</v>
      </c>
      <c r="E18" s="697" t="e">
        <f>C18/$C$35</f>
        <v>#REF!</v>
      </c>
      <c r="F18" s="697" t="e">
        <f>C18/$C$35</f>
        <v>#REF!</v>
      </c>
      <c r="G18" s="697" t="e">
        <f>C18/$C$35</f>
        <v>#REF!</v>
      </c>
      <c r="H18" s="721" t="e">
        <f t="shared" si="5"/>
        <v>#REF!</v>
      </c>
      <c r="I18" s="722" t="e">
        <f t="shared" si="8"/>
        <v>#REF!</v>
      </c>
      <c r="J18" s="67" t="e">
        <f t="shared" si="9"/>
        <v>#REF!</v>
      </c>
      <c r="K18" s="67" t="e">
        <f t="shared" si="6"/>
        <v>#REF!</v>
      </c>
      <c r="L18" s="67" t="e">
        <f t="shared" si="6"/>
        <v>#REF!</v>
      </c>
      <c r="M18" s="67" t="e">
        <f t="shared" si="6"/>
        <v>#REF!</v>
      </c>
      <c r="N18" s="722" t="e">
        <f t="shared" si="10"/>
        <v>#REF!</v>
      </c>
      <c r="O18" s="67" t="e">
        <f t="shared" si="11"/>
        <v>#REF!</v>
      </c>
      <c r="P18" s="67" t="e">
        <f t="shared" si="7"/>
        <v>#REF!</v>
      </c>
      <c r="Q18" s="67" t="e">
        <f t="shared" si="7"/>
        <v>#REF!</v>
      </c>
      <c r="R18" s="67" t="e">
        <f t="shared" si="7"/>
        <v>#REF!</v>
      </c>
    </row>
    <row r="19" spans="1:18">
      <c r="A19" s="699" t="s">
        <v>1299</v>
      </c>
      <c r="B19" s="68" t="s">
        <v>1293</v>
      </c>
      <c r="C19" s="697" t="e">
        <f>#REF!+#REF!</f>
        <v>#REF!</v>
      </c>
      <c r="D19" s="697" t="e">
        <f>C19/$C$35</f>
        <v>#REF!</v>
      </c>
      <c r="E19" s="697" t="e">
        <f>C19/$C$35</f>
        <v>#REF!</v>
      </c>
      <c r="F19" s="697" t="e">
        <f>C19/$C$35</f>
        <v>#REF!</v>
      </c>
      <c r="G19" s="697" t="e">
        <f>C19/$C$35</f>
        <v>#REF!</v>
      </c>
      <c r="H19" s="721" t="e">
        <f t="shared" si="5"/>
        <v>#REF!</v>
      </c>
      <c r="I19" s="722" t="e">
        <f t="shared" si="8"/>
        <v>#REF!</v>
      </c>
      <c r="J19" s="67" t="e">
        <f t="shared" si="9"/>
        <v>#REF!</v>
      </c>
      <c r="K19" s="67" t="e">
        <f t="shared" si="6"/>
        <v>#REF!</v>
      </c>
      <c r="L19" s="67" t="e">
        <f t="shared" si="6"/>
        <v>#REF!</v>
      </c>
      <c r="M19" s="67" t="e">
        <f t="shared" si="6"/>
        <v>#REF!</v>
      </c>
      <c r="N19" s="722" t="e">
        <f t="shared" si="10"/>
        <v>#REF!</v>
      </c>
      <c r="O19" s="67" t="e">
        <f t="shared" si="11"/>
        <v>#REF!</v>
      </c>
      <c r="P19" s="67" t="e">
        <f t="shared" si="7"/>
        <v>#REF!</v>
      </c>
      <c r="Q19" s="67" t="e">
        <f t="shared" si="7"/>
        <v>#REF!</v>
      </c>
      <c r="R19" s="67" t="e">
        <f t="shared" si="7"/>
        <v>#REF!</v>
      </c>
    </row>
    <row r="20" spans="1:18">
      <c r="A20" s="699" t="s">
        <v>1300</v>
      </c>
      <c r="B20" s="68" t="s">
        <v>54</v>
      </c>
      <c r="C20" s="697" t="e">
        <f>#REF!+#REF!+#REF!</f>
        <v>#REF!</v>
      </c>
      <c r="D20" s="697" t="e">
        <f>C20/$C$35</f>
        <v>#REF!</v>
      </c>
      <c r="E20" s="697" t="e">
        <f>C20/$C$35</f>
        <v>#REF!</v>
      </c>
      <c r="F20" s="697" t="e">
        <f>C20/$C$35</f>
        <v>#REF!</v>
      </c>
      <c r="G20" s="697" t="e">
        <f>C20/$C$35</f>
        <v>#REF!</v>
      </c>
      <c r="H20" s="721" t="e">
        <f t="shared" si="5"/>
        <v>#REF!</v>
      </c>
      <c r="I20" s="722" t="e">
        <f t="shared" si="8"/>
        <v>#REF!</v>
      </c>
      <c r="J20" s="67" t="e">
        <f t="shared" si="9"/>
        <v>#REF!</v>
      </c>
      <c r="K20" s="67" t="e">
        <f t="shared" si="6"/>
        <v>#REF!</v>
      </c>
      <c r="L20" s="67" t="e">
        <f t="shared" si="6"/>
        <v>#REF!</v>
      </c>
      <c r="M20" s="67" t="e">
        <f t="shared" si="6"/>
        <v>#REF!</v>
      </c>
      <c r="N20" s="722" t="e">
        <f t="shared" si="10"/>
        <v>#REF!</v>
      </c>
      <c r="O20" s="67" t="e">
        <f t="shared" si="11"/>
        <v>#REF!</v>
      </c>
      <c r="P20" s="67" t="e">
        <f t="shared" si="7"/>
        <v>#REF!</v>
      </c>
      <c r="Q20" s="67" t="e">
        <f t="shared" si="7"/>
        <v>#REF!</v>
      </c>
      <c r="R20" s="67" t="e">
        <f t="shared" si="7"/>
        <v>#REF!</v>
      </c>
    </row>
    <row r="21" spans="1:18" s="14" customFormat="1">
      <c r="A21" s="694" t="s">
        <v>821</v>
      </c>
      <c r="B21" s="155" t="s">
        <v>1301</v>
      </c>
      <c r="C21" s="688" t="e">
        <f>C22+C23+C24+C25</f>
        <v>#REF!</v>
      </c>
      <c r="D21" s="157" t="e">
        <f>D22+D23+D24+D25</f>
        <v>#REF!</v>
      </c>
      <c r="E21" s="157" t="e">
        <f>E22+E23+E24+E25</f>
        <v>#REF!</v>
      </c>
      <c r="F21" s="157" t="e">
        <f>F22+F23+F24+F25</f>
        <v>#REF!</v>
      </c>
      <c r="G21" s="157" t="e">
        <f>G22+G23+G24+G25</f>
        <v>#REF!</v>
      </c>
      <c r="H21" s="721" t="e">
        <f t="shared" si="5"/>
        <v>#REF!</v>
      </c>
      <c r="I21" s="722" t="e">
        <f t="shared" si="8"/>
        <v>#REF!</v>
      </c>
      <c r="J21" s="67" t="e">
        <f t="shared" si="9"/>
        <v>#REF!</v>
      </c>
      <c r="K21" s="67" t="e">
        <f t="shared" si="6"/>
        <v>#REF!</v>
      </c>
      <c r="L21" s="67" t="e">
        <f t="shared" si="6"/>
        <v>#REF!</v>
      </c>
      <c r="M21" s="67" t="e">
        <f t="shared" si="6"/>
        <v>#REF!</v>
      </c>
      <c r="N21" s="722" t="e">
        <f t="shared" si="10"/>
        <v>#REF!</v>
      </c>
      <c r="O21" s="67" t="e">
        <f t="shared" si="11"/>
        <v>#REF!</v>
      </c>
      <c r="P21" s="67" t="e">
        <f t="shared" si="7"/>
        <v>#REF!</v>
      </c>
      <c r="Q21" s="67" t="e">
        <f t="shared" si="7"/>
        <v>#REF!</v>
      </c>
      <c r="R21" s="67" t="e">
        <f t="shared" si="7"/>
        <v>#REF!</v>
      </c>
    </row>
    <row r="22" spans="1:18">
      <c r="A22" s="699" t="s">
        <v>1302</v>
      </c>
      <c r="B22" s="68" t="s">
        <v>51</v>
      </c>
      <c r="C22" s="697" t="e">
        <f>#REF!</f>
        <v>#REF!</v>
      </c>
      <c r="D22" s="697" t="e">
        <f>C22/$C$35</f>
        <v>#REF!</v>
      </c>
      <c r="E22" s="697" t="e">
        <f>C22/$C$35</f>
        <v>#REF!</v>
      </c>
      <c r="F22" s="697" t="e">
        <f>C22/$C$35</f>
        <v>#REF!</v>
      </c>
      <c r="G22" s="697" t="e">
        <f>C22/$C$35</f>
        <v>#REF!</v>
      </c>
      <c r="H22" s="721" t="e">
        <f t="shared" si="5"/>
        <v>#REF!</v>
      </c>
      <c r="I22" s="722" t="e">
        <f t="shared" si="8"/>
        <v>#REF!</v>
      </c>
      <c r="J22" s="67" t="e">
        <f t="shared" si="9"/>
        <v>#REF!</v>
      </c>
      <c r="K22" s="67" t="e">
        <f t="shared" si="6"/>
        <v>#REF!</v>
      </c>
      <c r="L22" s="67" t="e">
        <f t="shared" si="6"/>
        <v>#REF!</v>
      </c>
      <c r="M22" s="67" t="e">
        <f t="shared" si="6"/>
        <v>#REF!</v>
      </c>
      <c r="N22" s="722" t="e">
        <f t="shared" si="10"/>
        <v>#REF!</v>
      </c>
      <c r="O22" s="67" t="e">
        <f t="shared" si="11"/>
        <v>#REF!</v>
      </c>
      <c r="P22" s="67" t="e">
        <f t="shared" si="7"/>
        <v>#REF!</v>
      </c>
      <c r="Q22" s="67" t="e">
        <f t="shared" si="7"/>
        <v>#REF!</v>
      </c>
      <c r="R22" s="67" t="e">
        <f t="shared" si="7"/>
        <v>#REF!</v>
      </c>
    </row>
    <row r="23" spans="1:18">
      <c r="A23" s="699" t="s">
        <v>1303</v>
      </c>
      <c r="B23" s="68" t="s">
        <v>1304</v>
      </c>
      <c r="C23" s="697" t="e">
        <f>#REF!</f>
        <v>#REF!</v>
      </c>
      <c r="D23" s="697" t="e">
        <f>C23/$C$35</f>
        <v>#REF!</v>
      </c>
      <c r="E23" s="697" t="e">
        <f>C23/$C$35</f>
        <v>#REF!</v>
      </c>
      <c r="F23" s="697" t="e">
        <f>C23/$C$35</f>
        <v>#REF!</v>
      </c>
      <c r="G23" s="697" t="e">
        <f>C23/$C$35</f>
        <v>#REF!</v>
      </c>
      <c r="H23" s="721" t="e">
        <f t="shared" si="5"/>
        <v>#REF!</v>
      </c>
      <c r="I23" s="722" t="e">
        <f t="shared" si="8"/>
        <v>#REF!</v>
      </c>
      <c r="J23" s="67" t="e">
        <f t="shared" si="9"/>
        <v>#REF!</v>
      </c>
      <c r="K23" s="67" t="e">
        <f t="shared" si="6"/>
        <v>#REF!</v>
      </c>
      <c r="L23" s="67" t="e">
        <f t="shared" si="6"/>
        <v>#REF!</v>
      </c>
      <c r="M23" s="67" t="e">
        <f t="shared" si="6"/>
        <v>#REF!</v>
      </c>
      <c r="N23" s="722" t="e">
        <f t="shared" si="10"/>
        <v>#REF!</v>
      </c>
      <c r="O23" s="67" t="e">
        <f t="shared" si="11"/>
        <v>#REF!</v>
      </c>
      <c r="P23" s="67" t="e">
        <f t="shared" si="7"/>
        <v>#REF!</v>
      </c>
      <c r="Q23" s="67" t="e">
        <f t="shared" si="7"/>
        <v>#REF!</v>
      </c>
      <c r="R23" s="67" t="e">
        <f t="shared" si="7"/>
        <v>#REF!</v>
      </c>
    </row>
    <row r="24" spans="1:18">
      <c r="A24" s="699" t="s">
        <v>1305</v>
      </c>
      <c r="B24" s="68" t="s">
        <v>1293</v>
      </c>
      <c r="C24" s="697" t="e">
        <f>#REF!+#REF!</f>
        <v>#REF!</v>
      </c>
      <c r="D24" s="697" t="e">
        <f>C24/$C$35</f>
        <v>#REF!</v>
      </c>
      <c r="E24" s="697" t="e">
        <f>C24/$C$35</f>
        <v>#REF!</v>
      </c>
      <c r="F24" s="697" t="e">
        <f>C24/$C$35</f>
        <v>#REF!</v>
      </c>
      <c r="G24" s="697" t="e">
        <f>C24/$C$35</f>
        <v>#REF!</v>
      </c>
      <c r="H24" s="721" t="e">
        <f t="shared" si="5"/>
        <v>#REF!</v>
      </c>
      <c r="I24" s="722" t="e">
        <f t="shared" si="8"/>
        <v>#REF!</v>
      </c>
      <c r="J24" s="67" t="e">
        <f t="shared" si="9"/>
        <v>#REF!</v>
      </c>
      <c r="K24" s="67" t="e">
        <f t="shared" si="6"/>
        <v>#REF!</v>
      </c>
      <c r="L24" s="67" t="e">
        <f t="shared" si="6"/>
        <v>#REF!</v>
      </c>
      <c r="M24" s="67" t="e">
        <f t="shared" si="6"/>
        <v>#REF!</v>
      </c>
      <c r="N24" s="722" t="e">
        <f t="shared" si="10"/>
        <v>#REF!</v>
      </c>
      <c r="O24" s="67" t="e">
        <f t="shared" si="11"/>
        <v>#REF!</v>
      </c>
      <c r="P24" s="67" t="e">
        <f t="shared" si="7"/>
        <v>#REF!</v>
      </c>
      <c r="Q24" s="67" t="e">
        <f t="shared" si="7"/>
        <v>#REF!</v>
      </c>
      <c r="R24" s="67" t="e">
        <f t="shared" si="7"/>
        <v>#REF!</v>
      </c>
    </row>
    <row r="25" spans="1:18">
      <c r="A25" s="699" t="s">
        <v>1306</v>
      </c>
      <c r="B25" s="68" t="s">
        <v>1307</v>
      </c>
      <c r="C25" s="697" t="e">
        <f>#REF!+#REF!+#REF!</f>
        <v>#REF!</v>
      </c>
      <c r="D25" s="697" t="e">
        <f>C25/$C$35</f>
        <v>#REF!</v>
      </c>
      <c r="E25" s="697" t="e">
        <f>C25/$C$35</f>
        <v>#REF!</v>
      </c>
      <c r="F25" s="697" t="e">
        <f>C25/$C$35</f>
        <v>#REF!</v>
      </c>
      <c r="G25" s="697" t="e">
        <f>C25/$C$35</f>
        <v>#REF!</v>
      </c>
      <c r="H25" s="721" t="e">
        <f t="shared" si="5"/>
        <v>#REF!</v>
      </c>
      <c r="I25" s="722" t="e">
        <f t="shared" si="8"/>
        <v>#REF!</v>
      </c>
      <c r="J25" s="67" t="e">
        <f t="shared" si="9"/>
        <v>#REF!</v>
      </c>
      <c r="K25" s="67" t="e">
        <f t="shared" si="6"/>
        <v>#REF!</v>
      </c>
      <c r="L25" s="67" t="e">
        <f t="shared" si="6"/>
        <v>#REF!</v>
      </c>
      <c r="M25" s="67" t="e">
        <f t="shared" si="6"/>
        <v>#REF!</v>
      </c>
      <c r="N25" s="722" t="e">
        <f t="shared" si="10"/>
        <v>#REF!</v>
      </c>
      <c r="O25" s="67" t="e">
        <f t="shared" si="11"/>
        <v>#REF!</v>
      </c>
      <c r="P25" s="67" t="e">
        <f t="shared" si="7"/>
        <v>#REF!</v>
      </c>
      <c r="Q25" s="67" t="e">
        <f t="shared" si="7"/>
        <v>#REF!</v>
      </c>
      <c r="R25" s="67" t="e">
        <f t="shared" si="7"/>
        <v>#REF!</v>
      </c>
    </row>
    <row r="26" spans="1:18" s="14" customFormat="1">
      <c r="A26" s="694" t="s">
        <v>823</v>
      </c>
      <c r="B26" s="155" t="s">
        <v>1308</v>
      </c>
      <c r="C26" s="688">
        <v>0</v>
      </c>
      <c r="D26" s="688">
        <v>0</v>
      </c>
      <c r="E26" s="688">
        <v>0</v>
      </c>
      <c r="F26" s="688">
        <v>0</v>
      </c>
      <c r="G26" s="688">
        <v>0</v>
      </c>
      <c r="H26" s="721" t="e">
        <f t="shared" si="5"/>
        <v>#REF!</v>
      </c>
      <c r="I26" s="722" t="e">
        <f t="shared" si="8"/>
        <v>#REF!</v>
      </c>
      <c r="J26" s="67" t="e">
        <f t="shared" si="9"/>
        <v>#REF!</v>
      </c>
      <c r="K26" s="67" t="e">
        <f t="shared" si="6"/>
        <v>#REF!</v>
      </c>
      <c r="L26" s="67" t="e">
        <f t="shared" si="6"/>
        <v>#REF!</v>
      </c>
      <c r="M26" s="67" t="e">
        <f t="shared" si="6"/>
        <v>#REF!</v>
      </c>
      <c r="N26" s="722" t="e">
        <f t="shared" si="10"/>
        <v>#REF!</v>
      </c>
      <c r="O26" s="67" t="e">
        <f t="shared" si="11"/>
        <v>#REF!</v>
      </c>
      <c r="P26" s="67" t="e">
        <f t="shared" si="7"/>
        <v>#REF!</v>
      </c>
      <c r="Q26" s="67" t="e">
        <f t="shared" si="7"/>
        <v>#REF!</v>
      </c>
      <c r="R26" s="67" t="e">
        <f t="shared" si="7"/>
        <v>#REF!</v>
      </c>
    </row>
    <row r="27" spans="1:18" s="14" customFormat="1">
      <c r="A27" s="694" t="s">
        <v>826</v>
      </c>
      <c r="B27" s="155" t="s">
        <v>1310</v>
      </c>
      <c r="C27" s="688">
        <v>0</v>
      </c>
      <c r="D27" s="688">
        <v>0</v>
      </c>
      <c r="E27" s="688">
        <v>0</v>
      </c>
      <c r="F27" s="688">
        <v>0</v>
      </c>
      <c r="G27" s="688">
        <v>0</v>
      </c>
      <c r="H27" s="721" t="e">
        <f t="shared" si="5"/>
        <v>#REF!</v>
      </c>
      <c r="I27" s="722" t="e">
        <f t="shared" si="8"/>
        <v>#REF!</v>
      </c>
      <c r="J27" s="67" t="e">
        <f t="shared" si="9"/>
        <v>#REF!</v>
      </c>
      <c r="K27" s="67" t="e">
        <f t="shared" si="9"/>
        <v>#REF!</v>
      </c>
      <c r="L27" s="67" t="e">
        <f t="shared" si="9"/>
        <v>#REF!</v>
      </c>
      <c r="M27" s="67" t="e">
        <f t="shared" si="9"/>
        <v>#REF!</v>
      </c>
      <c r="N27" s="722" t="e">
        <f t="shared" si="10"/>
        <v>#REF!</v>
      </c>
      <c r="O27" s="67" t="e">
        <f t="shared" si="11"/>
        <v>#REF!</v>
      </c>
      <c r="P27" s="67" t="e">
        <f t="shared" si="11"/>
        <v>#REF!</v>
      </c>
      <c r="Q27" s="67" t="e">
        <f t="shared" si="11"/>
        <v>#REF!</v>
      </c>
      <c r="R27" s="67" t="e">
        <f t="shared" si="11"/>
        <v>#REF!</v>
      </c>
    </row>
    <row r="28" spans="1:18" s="14" customFormat="1">
      <c r="A28" s="694" t="s">
        <v>891</v>
      </c>
      <c r="B28" s="155" t="s">
        <v>1311</v>
      </c>
      <c r="C28" s="688">
        <v>0</v>
      </c>
      <c r="D28" s="688">
        <v>0</v>
      </c>
      <c r="E28" s="688">
        <v>0</v>
      </c>
      <c r="F28" s="688">
        <v>0</v>
      </c>
      <c r="G28" s="688">
        <v>0</v>
      </c>
      <c r="H28" s="721" t="e">
        <f t="shared" si="5"/>
        <v>#REF!</v>
      </c>
      <c r="I28" s="722" t="e">
        <f t="shared" si="8"/>
        <v>#REF!</v>
      </c>
      <c r="J28" s="67" t="e">
        <f t="shared" si="9"/>
        <v>#REF!</v>
      </c>
      <c r="K28" s="67" t="e">
        <f t="shared" si="9"/>
        <v>#REF!</v>
      </c>
      <c r="L28" s="67" t="e">
        <f t="shared" si="9"/>
        <v>#REF!</v>
      </c>
      <c r="M28" s="67" t="e">
        <f t="shared" si="9"/>
        <v>#REF!</v>
      </c>
      <c r="N28" s="722" t="e">
        <f t="shared" si="10"/>
        <v>#REF!</v>
      </c>
      <c r="O28" s="67" t="e">
        <f t="shared" si="11"/>
        <v>#REF!</v>
      </c>
      <c r="P28" s="67" t="e">
        <f t="shared" si="11"/>
        <v>#REF!</v>
      </c>
      <c r="Q28" s="67" t="e">
        <f t="shared" si="11"/>
        <v>#REF!</v>
      </c>
      <c r="R28" s="67" t="e">
        <f t="shared" si="11"/>
        <v>#REF!</v>
      </c>
    </row>
    <row r="29" spans="1:18" s="14" customFormat="1">
      <c r="A29" s="694" t="s">
        <v>897</v>
      </c>
      <c r="B29" s="155" t="s">
        <v>1312</v>
      </c>
      <c r="C29" s="688">
        <v>0</v>
      </c>
      <c r="D29" s="688">
        <v>0</v>
      </c>
      <c r="E29" s="688">
        <v>0</v>
      </c>
      <c r="F29" s="688">
        <v>0</v>
      </c>
      <c r="G29" s="688">
        <v>0</v>
      </c>
      <c r="H29" s="721" t="e">
        <f t="shared" si="5"/>
        <v>#REF!</v>
      </c>
      <c r="I29" s="722" t="e">
        <f t="shared" si="8"/>
        <v>#REF!</v>
      </c>
      <c r="J29" s="67" t="e">
        <f t="shared" si="9"/>
        <v>#REF!</v>
      </c>
      <c r="K29" s="67" t="e">
        <f t="shared" si="9"/>
        <v>#REF!</v>
      </c>
      <c r="L29" s="67" t="e">
        <f t="shared" si="9"/>
        <v>#REF!</v>
      </c>
      <c r="M29" s="67" t="e">
        <f t="shared" si="9"/>
        <v>#REF!</v>
      </c>
      <c r="N29" s="722" t="e">
        <f t="shared" si="10"/>
        <v>#REF!</v>
      </c>
      <c r="O29" s="67" t="e">
        <f t="shared" si="11"/>
        <v>#REF!</v>
      </c>
      <c r="P29" s="67" t="e">
        <f t="shared" si="11"/>
        <v>#REF!</v>
      </c>
      <c r="Q29" s="67" t="e">
        <f t="shared" si="11"/>
        <v>#REF!</v>
      </c>
      <c r="R29" s="67" t="e">
        <f t="shared" si="11"/>
        <v>#REF!</v>
      </c>
    </row>
    <row r="30" spans="1:18" s="14" customFormat="1">
      <c r="A30" s="694" t="s">
        <v>903</v>
      </c>
      <c r="B30" s="155" t="s">
        <v>1313</v>
      </c>
      <c r="C30" s="688">
        <f>SUM(C31:C34)</f>
        <v>7.9105949243124574</v>
      </c>
      <c r="D30" s="688">
        <f>SUM(D31:D34)</f>
        <v>0.9267571631350664</v>
      </c>
      <c r="E30" s="688">
        <f>SUM(E31:E34)</f>
        <v>0.9267571631350664</v>
      </c>
      <c r="F30" s="688">
        <f>SUM(F31:F34)</f>
        <v>0.9267571631350664</v>
      </c>
      <c r="G30" s="688">
        <f>SUM(G31:G34)</f>
        <v>0.9267571631350664</v>
      </c>
      <c r="H30" s="721" t="e">
        <f t="shared" si="5"/>
        <v>#REF!</v>
      </c>
      <c r="I30" s="722" t="e">
        <f t="shared" si="8"/>
        <v>#REF!</v>
      </c>
      <c r="J30" s="67" t="e">
        <f t="shared" si="9"/>
        <v>#REF!</v>
      </c>
      <c r="K30" s="67" t="e">
        <f t="shared" si="9"/>
        <v>#REF!</v>
      </c>
      <c r="L30" s="67" t="e">
        <f t="shared" si="9"/>
        <v>#REF!</v>
      </c>
      <c r="M30" s="67" t="e">
        <f t="shared" si="9"/>
        <v>#REF!</v>
      </c>
      <c r="N30" s="722" t="e">
        <f t="shared" si="10"/>
        <v>#REF!</v>
      </c>
      <c r="O30" s="67" t="e">
        <f t="shared" si="11"/>
        <v>#REF!</v>
      </c>
      <c r="P30" s="67" t="e">
        <f t="shared" si="11"/>
        <v>#REF!</v>
      </c>
      <c r="Q30" s="67" t="e">
        <f t="shared" si="11"/>
        <v>#REF!</v>
      </c>
      <c r="R30" s="67" t="e">
        <f t="shared" si="11"/>
        <v>#REF!</v>
      </c>
    </row>
    <row r="31" spans="1:18">
      <c r="A31" s="699" t="s">
        <v>733</v>
      </c>
      <c r="B31" s="68" t="s">
        <v>61</v>
      </c>
      <c r="C31" s="697">
        <f>'ТЕ_2ст_тариф_з ІТП'!E155</f>
        <v>1.423907086376242</v>
      </c>
      <c r="D31" s="697">
        <f>C31/$C$35</f>
        <v>0.16681628936431189</v>
      </c>
      <c r="E31" s="697">
        <f>C31/$C$35</f>
        <v>0.16681628936431189</v>
      </c>
      <c r="F31" s="697">
        <f>C31/$C$35</f>
        <v>0.16681628936431189</v>
      </c>
      <c r="G31" s="697">
        <f>C31/$C$35</f>
        <v>0.16681628936431189</v>
      </c>
      <c r="H31" s="721" t="e">
        <f t="shared" si="5"/>
        <v>#REF!</v>
      </c>
      <c r="I31" s="722" t="e">
        <f t="shared" si="8"/>
        <v>#REF!</v>
      </c>
      <c r="J31" s="67" t="e">
        <f t="shared" si="9"/>
        <v>#REF!</v>
      </c>
      <c r="K31" s="67" t="e">
        <f t="shared" si="9"/>
        <v>#REF!</v>
      </c>
      <c r="L31" s="67" t="e">
        <f t="shared" si="9"/>
        <v>#REF!</v>
      </c>
      <c r="M31" s="67" t="e">
        <f t="shared" si="9"/>
        <v>#REF!</v>
      </c>
      <c r="N31" s="722" t="e">
        <f t="shared" si="10"/>
        <v>#REF!</v>
      </c>
      <c r="O31" s="67" t="e">
        <f t="shared" si="11"/>
        <v>#REF!</v>
      </c>
      <c r="P31" s="67" t="e">
        <f t="shared" si="11"/>
        <v>#REF!</v>
      </c>
      <c r="Q31" s="67" t="e">
        <f t="shared" si="11"/>
        <v>#REF!</v>
      </c>
      <c r="R31" s="67" t="e">
        <f t="shared" si="11"/>
        <v>#REF!</v>
      </c>
    </row>
    <row r="32" spans="1:18">
      <c r="A32" s="699" t="s">
        <v>1324</v>
      </c>
      <c r="B32" s="68" t="s">
        <v>80</v>
      </c>
      <c r="C32" s="697">
        <f>'ТЕ_2ст_тариф_з ІТП'!E156</f>
        <v>0</v>
      </c>
      <c r="D32" s="697">
        <f>C32/$C$35</f>
        <v>0</v>
      </c>
      <c r="E32" s="697">
        <f>C32/$C$35</f>
        <v>0</v>
      </c>
      <c r="F32" s="697">
        <f>C32/$C$35</f>
        <v>0</v>
      </c>
      <c r="G32" s="697">
        <f>C32/$C$35</f>
        <v>0</v>
      </c>
      <c r="H32" s="721" t="e">
        <f t="shared" si="5"/>
        <v>#REF!</v>
      </c>
      <c r="I32" s="722" t="e">
        <f t="shared" si="8"/>
        <v>#REF!</v>
      </c>
      <c r="J32" s="67" t="e">
        <f t="shared" si="9"/>
        <v>#REF!</v>
      </c>
      <c r="K32" s="67" t="e">
        <f t="shared" si="9"/>
        <v>#REF!</v>
      </c>
      <c r="L32" s="67" t="e">
        <f t="shared" si="9"/>
        <v>#REF!</v>
      </c>
      <c r="M32" s="67" t="e">
        <f t="shared" si="9"/>
        <v>#REF!</v>
      </c>
      <c r="N32" s="722" t="e">
        <f t="shared" si="10"/>
        <v>#REF!</v>
      </c>
      <c r="O32" s="67" t="e">
        <f t="shared" si="11"/>
        <v>#REF!</v>
      </c>
      <c r="P32" s="67" t="e">
        <f t="shared" si="11"/>
        <v>#REF!</v>
      </c>
      <c r="Q32" s="67" t="e">
        <f t="shared" si="11"/>
        <v>#REF!</v>
      </c>
      <c r="R32" s="67" t="e">
        <f t="shared" si="11"/>
        <v>#REF!</v>
      </c>
    </row>
    <row r="33" spans="1:18">
      <c r="A33" s="699" t="s">
        <v>1325</v>
      </c>
      <c r="B33" s="68" t="s">
        <v>67</v>
      </c>
      <c r="C33" s="697">
        <f>'ТЕ_2ст_тариф_з ІТП'!E158</f>
        <v>0</v>
      </c>
      <c r="D33" s="697">
        <f>C33/$C$35</f>
        <v>0</v>
      </c>
      <c r="E33" s="697">
        <f>C33/$C$35</f>
        <v>0</v>
      </c>
      <c r="F33" s="697">
        <f>C33/$C$35</f>
        <v>0</v>
      </c>
      <c r="G33" s="697">
        <f>C33/$C$35</f>
        <v>0</v>
      </c>
      <c r="H33" s="721" t="e">
        <f t="shared" si="5"/>
        <v>#REF!</v>
      </c>
      <c r="I33" s="722" t="e">
        <f t="shared" si="8"/>
        <v>#REF!</v>
      </c>
      <c r="J33" s="67" t="e">
        <f t="shared" si="9"/>
        <v>#REF!</v>
      </c>
      <c r="K33" s="67" t="e">
        <f t="shared" si="9"/>
        <v>#REF!</v>
      </c>
      <c r="L33" s="67" t="e">
        <f t="shared" si="9"/>
        <v>#REF!</v>
      </c>
      <c r="M33" s="67" t="e">
        <f t="shared" si="9"/>
        <v>#REF!</v>
      </c>
      <c r="N33" s="722" t="e">
        <f t="shared" si="10"/>
        <v>#REF!</v>
      </c>
      <c r="O33" s="67" t="e">
        <f t="shared" si="11"/>
        <v>#REF!</v>
      </c>
      <c r="P33" s="67" t="e">
        <f t="shared" si="11"/>
        <v>#REF!</v>
      </c>
      <c r="Q33" s="67" t="e">
        <f t="shared" si="11"/>
        <v>#REF!</v>
      </c>
      <c r="R33" s="67" t="e">
        <f t="shared" si="11"/>
        <v>#REF!</v>
      </c>
    </row>
    <row r="34" spans="1:18">
      <c r="A34" s="699" t="s">
        <v>1326</v>
      </c>
      <c r="B34" s="68" t="s">
        <v>1222</v>
      </c>
      <c r="C34" s="697">
        <f>'ТЕ_2ст_тариф_з ІТП'!E159</f>
        <v>6.4866878379362154</v>
      </c>
      <c r="D34" s="697">
        <f>C34/$C$35</f>
        <v>0.75994087377075448</v>
      </c>
      <c r="E34" s="697">
        <f>C34/$C$35</f>
        <v>0.75994087377075448</v>
      </c>
      <c r="F34" s="697">
        <f>C34/$C$35</f>
        <v>0.75994087377075448</v>
      </c>
      <c r="G34" s="697">
        <f>C34/$C$35</f>
        <v>0.75994087377075448</v>
      </c>
      <c r="H34" s="721" t="e">
        <f t="shared" si="5"/>
        <v>#REF!</v>
      </c>
      <c r="I34" s="722" t="e">
        <f t="shared" si="8"/>
        <v>#REF!</v>
      </c>
      <c r="J34" s="67" t="e">
        <f t="shared" si="9"/>
        <v>#REF!</v>
      </c>
      <c r="K34" s="67" t="e">
        <f t="shared" si="9"/>
        <v>#REF!</v>
      </c>
      <c r="L34" s="67" t="e">
        <f t="shared" si="9"/>
        <v>#REF!</v>
      </c>
      <c r="M34" s="67" t="e">
        <f t="shared" si="9"/>
        <v>#REF!</v>
      </c>
      <c r="N34" s="722" t="e">
        <f t="shared" si="10"/>
        <v>#REF!</v>
      </c>
      <c r="O34" s="67" t="e">
        <f t="shared" si="11"/>
        <v>#REF!</v>
      </c>
      <c r="P34" s="67" t="e">
        <f t="shared" si="11"/>
        <v>#REF!</v>
      </c>
      <c r="Q34" s="67" t="e">
        <f t="shared" si="11"/>
        <v>#REF!</v>
      </c>
      <c r="R34" s="67" t="e">
        <f t="shared" si="11"/>
        <v>#REF!</v>
      </c>
    </row>
    <row r="35" spans="1:18" s="14" customFormat="1" ht="28.2" thickBot="1">
      <c r="A35" s="714" t="s">
        <v>905</v>
      </c>
      <c r="B35" s="716" t="s">
        <v>1334</v>
      </c>
      <c r="C35" s="715">
        <f>'ТЕ_2ст_тариф_з ІТП'!E15</f>
        <v>8.5357796399999994</v>
      </c>
      <c r="D35" s="691">
        <f>'ТЕ_2ст_тариф_з ІТП'!H15</f>
        <v>6.4600562400000001</v>
      </c>
      <c r="E35" s="691">
        <f>'ТЕ_2ст_тариф_з ІТП'!K15</f>
        <v>0.48096030000000001</v>
      </c>
      <c r="F35" s="691">
        <f>'ТЕ_2ст_тариф_з ІТП'!N15</f>
        <v>0.79822534000000001</v>
      </c>
      <c r="G35" s="691">
        <f>'ТЕ_2ст_тариф_з ІТП'!T15</f>
        <v>0.40501920000000002</v>
      </c>
      <c r="H35" s="721"/>
      <c r="I35" s="722"/>
      <c r="J35" s="67"/>
      <c r="K35" s="67"/>
      <c r="L35" s="67"/>
      <c r="M35" s="67"/>
      <c r="N35" s="722"/>
      <c r="O35" s="67"/>
      <c r="P35" s="67"/>
      <c r="Q35" s="67"/>
      <c r="R35" s="67"/>
    </row>
    <row r="37" spans="1:18">
      <c r="C37" s="792" t="e">
        <f>C9+C21+C30</f>
        <v>#REF!</v>
      </c>
      <c r="D37" s="705"/>
      <c r="E37" s="705"/>
      <c r="F37" s="705"/>
      <c r="G37" s="705"/>
      <c r="H37" s="723" t="e">
        <f>C37-I37-N37</f>
        <v>#REF!</v>
      </c>
      <c r="I37" s="310" t="e">
        <f>I9+I21+I30</f>
        <v>#REF!</v>
      </c>
      <c r="N37" s="310" t="e">
        <f>N9+N21+N30</f>
        <v>#REF!</v>
      </c>
    </row>
    <row r="38" spans="1:18">
      <c r="B38" s="9" t="s">
        <v>1352</v>
      </c>
      <c r="C38" s="792">
        <f>'ТЕ_2ст_тариф_з ІТП'!E160</f>
        <v>174.23592410216412</v>
      </c>
      <c r="D38" s="717"/>
      <c r="E38" s="705"/>
      <c r="F38" s="2912" t="s">
        <v>1353</v>
      </c>
      <c r="G38" s="2912"/>
    </row>
  </sheetData>
  <mergeCells count="10">
    <mergeCell ref="F38:G38"/>
    <mergeCell ref="B8:G8"/>
    <mergeCell ref="I4:I5"/>
    <mergeCell ref="N4:N5"/>
    <mergeCell ref="B2:F2"/>
    <mergeCell ref="E1:G1"/>
    <mergeCell ref="A4:A5"/>
    <mergeCell ref="B4:B5"/>
    <mergeCell ref="C4:C5"/>
    <mergeCell ref="D4:G4"/>
  </mergeCells>
  <pageMargins left="0.70866141732283472" right="0.34" top="0.74803149606299213" bottom="0.74803149606299213" header="0.31496062992125984" footer="0.31496062992125984"/>
  <pageSetup paperSize="9" scale="85"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Лист110">
    <tabColor rgb="FFEC20C5"/>
    <pageSetUpPr fitToPage="1"/>
  </sheetPr>
  <dimension ref="A1:N141"/>
  <sheetViews>
    <sheetView workbookViewId="0">
      <selection sqref="A1:XFD1048576"/>
    </sheetView>
  </sheetViews>
  <sheetFormatPr defaultColWidth="8.88671875" defaultRowHeight="13.8"/>
  <cols>
    <col min="1" max="1" width="5.33203125" style="757" customWidth="1"/>
    <col min="2" max="2" width="42.88671875" style="768" customWidth="1"/>
    <col min="3" max="3" width="9.109375" style="768" customWidth="1"/>
    <col min="4" max="4" width="13.33203125" style="9" customWidth="1"/>
    <col min="5" max="5" width="12.33203125" style="9" hidden="1" customWidth="1"/>
    <col min="6" max="6" width="11.88671875" style="9" customWidth="1"/>
    <col min="7" max="7" width="12" style="9" customWidth="1"/>
    <col min="8" max="8" width="8.88671875" style="9"/>
    <col min="9" max="9" width="12" style="538" customWidth="1"/>
    <col min="10" max="12" width="12" style="9" customWidth="1"/>
    <col min="13" max="16384" width="8.88671875" style="9"/>
  </cols>
  <sheetData>
    <row r="1" spans="1:14" s="44" customFormat="1" ht="15.6">
      <c r="A1" s="820"/>
      <c r="B1" s="736"/>
      <c r="C1" s="736"/>
      <c r="D1" s="2924" t="s">
        <v>1423</v>
      </c>
      <c r="E1" s="2924"/>
      <c r="F1" s="2924"/>
      <c r="G1" s="2924"/>
      <c r="I1" s="621"/>
      <c r="L1" s="2924"/>
      <c r="M1" s="2924"/>
      <c r="N1" s="2924"/>
    </row>
    <row r="2" spans="1:14" s="44" customFormat="1" ht="12.6" customHeight="1">
      <c r="A2" s="756"/>
      <c r="B2" s="736"/>
      <c r="C2" s="736"/>
      <c r="D2" s="3083" t="s">
        <v>1343</v>
      </c>
      <c r="E2" s="3083"/>
      <c r="F2" s="3083"/>
      <c r="G2" s="3083"/>
      <c r="I2" s="621"/>
      <c r="L2" s="3083"/>
      <c r="M2" s="3083"/>
      <c r="N2" s="3083"/>
    </row>
    <row r="3" spans="1:14" s="44" customFormat="1" ht="27" customHeight="1">
      <c r="A3" s="756"/>
      <c r="B3" s="736"/>
      <c r="C3" s="736"/>
      <c r="D3" s="3084" t="s">
        <v>1358</v>
      </c>
      <c r="E3" s="3084"/>
      <c r="F3" s="3084"/>
      <c r="G3" s="3084"/>
      <c r="I3" s="621"/>
      <c r="L3" s="3084"/>
      <c r="M3" s="3084"/>
      <c r="N3" s="3084"/>
    </row>
    <row r="4" spans="1:14" s="44" customFormat="1" ht="15.6">
      <c r="A4" s="756"/>
      <c r="B4" s="736"/>
      <c r="C4" s="736"/>
      <c r="D4" s="3083" t="s">
        <v>1354</v>
      </c>
      <c r="E4" s="3083"/>
      <c r="F4" s="3083"/>
      <c r="G4" s="3083"/>
      <c r="I4" s="621"/>
      <c r="L4" s="3083"/>
      <c r="M4" s="3083"/>
      <c r="N4" s="3083"/>
    </row>
    <row r="5" spans="1:14" s="44" customFormat="1" ht="6" customHeight="1">
      <c r="A5" s="757"/>
      <c r="B5" s="735"/>
      <c r="C5" s="735"/>
      <c r="I5" s="621"/>
    </row>
    <row r="6" spans="1:14" s="44" customFormat="1" ht="15.6">
      <c r="A6" s="2925" t="s">
        <v>1410</v>
      </c>
      <c r="B6" s="2925"/>
      <c r="C6" s="2925"/>
      <c r="D6" s="2925"/>
      <c r="E6" s="2925"/>
      <c r="F6" s="2925"/>
      <c r="G6" s="2925"/>
      <c r="I6" s="621"/>
    </row>
    <row r="7" spans="1:14" s="44" customFormat="1" ht="63.6" customHeight="1">
      <c r="A7" s="2926" t="s">
        <v>1385</v>
      </c>
      <c r="B7" s="2926"/>
      <c r="C7" s="2926"/>
      <c r="D7" s="2926"/>
      <c r="E7" s="2926"/>
      <c r="F7" s="2926"/>
      <c r="G7" s="2926"/>
      <c r="I7" s="621"/>
    </row>
    <row r="8" spans="1:14" s="44" customFormat="1" ht="14.4" customHeight="1">
      <c r="A8" s="758"/>
      <c r="B8" s="752"/>
      <c r="C8" s="752"/>
      <c r="D8" s="771"/>
      <c r="E8" s="771"/>
      <c r="F8" s="771"/>
      <c r="G8" s="753" t="s">
        <v>792</v>
      </c>
      <c r="I8" s="621"/>
    </row>
    <row r="9" spans="1:14" s="39" customFormat="1" ht="15.6">
      <c r="A9" s="2927" t="s">
        <v>1362</v>
      </c>
      <c r="B9" s="2929" t="s">
        <v>104</v>
      </c>
      <c r="C9" s="2929" t="s">
        <v>1170</v>
      </c>
      <c r="D9" s="2931" t="s">
        <v>1363</v>
      </c>
      <c r="E9" s="2932"/>
      <c r="F9" s="2932"/>
      <c r="G9" s="2933"/>
      <c r="I9" s="746"/>
    </row>
    <row r="10" spans="1:14" s="39" customFormat="1" ht="39.6">
      <c r="A10" s="2928"/>
      <c r="B10" s="2930"/>
      <c r="C10" s="2930"/>
      <c r="D10" s="772" t="s">
        <v>1268</v>
      </c>
      <c r="E10" s="772" t="s">
        <v>1269</v>
      </c>
      <c r="F10" s="772" t="s">
        <v>1364</v>
      </c>
      <c r="G10" s="772" t="s">
        <v>1341</v>
      </c>
      <c r="I10" s="746"/>
    </row>
    <row r="11" spans="1:14" s="39" customFormat="1" ht="15.6">
      <c r="A11" s="738" t="s">
        <v>1259</v>
      </c>
      <c r="B11" s="751">
        <v>1</v>
      </c>
      <c r="C11" s="751">
        <v>2</v>
      </c>
      <c r="D11" s="647">
        <v>3</v>
      </c>
      <c r="E11" s="647">
        <v>4</v>
      </c>
      <c r="F11" s="647">
        <v>4</v>
      </c>
      <c r="G11" s="647">
        <v>5</v>
      </c>
      <c r="I11" s="746"/>
    </row>
    <row r="12" spans="1:14" s="44" customFormat="1" ht="15.6">
      <c r="A12" s="2935" t="s">
        <v>1365</v>
      </c>
      <c r="B12" s="2935"/>
      <c r="C12" s="2935"/>
      <c r="D12" s="2935"/>
      <c r="E12" s="2935"/>
      <c r="F12" s="2935"/>
      <c r="G12" s="2935"/>
      <c r="I12" s="621"/>
    </row>
    <row r="13" spans="1:14" s="44" customFormat="1" ht="39.6">
      <c r="A13" s="738">
        <v>1</v>
      </c>
      <c r="B13" s="740" t="s">
        <v>1366</v>
      </c>
      <c r="C13" s="778" t="s">
        <v>1173</v>
      </c>
      <c r="D13" s="744">
        <f>'ТЕ_2ст_тариф_з ІТП'!I215</f>
        <v>1068.5536224484338</v>
      </c>
      <c r="E13" s="744">
        <f>'ТЕ_2ст_тариф_з ІТП'!L215</f>
        <v>1048.897811587306</v>
      </c>
      <c r="F13" s="744">
        <f>'ТЕ_2ст_тариф_з ІТП'!O215</f>
        <v>1048.8976454059243</v>
      </c>
      <c r="G13" s="744">
        <f>'ТЕ_2ст_тариф_з ІТП'!U215</f>
        <v>1068.5520171362859</v>
      </c>
      <c r="I13" s="819">
        <f t="shared" ref="I13:L14" si="0">D13*1.2</f>
        <v>1282.2643469381205</v>
      </c>
      <c r="J13" s="819">
        <f t="shared" si="0"/>
        <v>1258.6773739047671</v>
      </c>
      <c r="K13" s="819">
        <f t="shared" si="0"/>
        <v>1258.6771744871091</v>
      </c>
      <c r="L13" s="819">
        <f t="shared" si="0"/>
        <v>1282.2624205635432</v>
      </c>
    </row>
    <row r="14" spans="1:14" s="44" customFormat="1" ht="42" customHeight="1">
      <c r="A14" s="738">
        <v>2</v>
      </c>
      <c r="B14" s="740" t="s">
        <v>1367</v>
      </c>
      <c r="C14" s="778" t="s">
        <v>1420</v>
      </c>
      <c r="D14" s="744">
        <f>'ТЕ_2ст_тариф_з ІТП'!J225/12</f>
        <v>3750.9711772180858</v>
      </c>
      <c r="E14" s="744">
        <f>'ТЕ_2ст_тариф_з ІТП'!M225/12</f>
        <v>4323.7289754337944</v>
      </c>
      <c r="F14" s="744">
        <f>'ТЕ_2ст_тариф_з ІТП'!P225/12</f>
        <v>4104.212736709761</v>
      </c>
      <c r="G14" s="744">
        <f>'ТЕ_2ст_тариф_з ІТП'!V225/12</f>
        <v>3829.0422130158026</v>
      </c>
      <c r="I14" s="819">
        <f t="shared" si="0"/>
        <v>4501.1654126617032</v>
      </c>
      <c r="J14" s="819">
        <f t="shared" si="0"/>
        <v>5188.4747705205527</v>
      </c>
      <c r="K14" s="819">
        <f t="shared" si="0"/>
        <v>4925.055284051713</v>
      </c>
      <c r="L14" s="819">
        <f t="shared" si="0"/>
        <v>4594.8506556189632</v>
      </c>
    </row>
    <row r="15" spans="1:14" s="44" customFormat="1" ht="15.6">
      <c r="A15" s="2936" t="s">
        <v>1368</v>
      </c>
      <c r="B15" s="2937"/>
      <c r="C15" s="2937"/>
      <c r="D15" s="2937"/>
      <c r="E15" s="2937"/>
      <c r="F15" s="2937"/>
      <c r="G15" s="2938"/>
      <c r="I15" s="621"/>
    </row>
    <row r="16" spans="1:14" s="44" customFormat="1" ht="27" customHeight="1">
      <c r="A16" s="738">
        <v>3</v>
      </c>
      <c r="B16" s="740" t="s">
        <v>1369</v>
      </c>
      <c r="C16" s="772" t="s">
        <v>1098</v>
      </c>
      <c r="D16" s="745">
        <f>'ТЕ_2ст_тариф_з ІТП'!I31</f>
        <v>6.4600562400000001</v>
      </c>
      <c r="E16" s="745">
        <f>'ТЕ_2ст_тариф_з ІТП'!L31</f>
        <v>0.48096030000000001</v>
      </c>
      <c r="F16" s="745">
        <f>'ТЕ_2ст_тариф_з ІТП'!O31</f>
        <v>0.79822534000000001</v>
      </c>
      <c r="G16" s="745">
        <f>'ТЕ_2ст_тариф_з ІТП'!U31</f>
        <v>0.40501920000000002</v>
      </c>
      <c r="I16" s="747" t="e">
        <f>'ТЕ_2ст_тариф_з ІТП'!E31-#REF!-#REF!-#REF!-#REF!</f>
        <v>#REF!</v>
      </c>
    </row>
    <row r="17" spans="1:9" s="44" customFormat="1" ht="26.4">
      <c r="A17" s="739" t="s">
        <v>1370</v>
      </c>
      <c r="B17" s="742" t="s">
        <v>1373</v>
      </c>
      <c r="C17" s="420" t="s">
        <v>1098</v>
      </c>
      <c r="D17" s="745">
        <f>'ТЕ_2ст_тариф_з ІТП'!I15</f>
        <v>6.4600562400000001</v>
      </c>
      <c r="E17" s="745">
        <f>'ТЕ_2ст_тариф_з ІТП'!L15</f>
        <v>0.48096030000000001</v>
      </c>
      <c r="F17" s="745">
        <f>'ТЕ_2ст_тариф_з ІТП'!O15</f>
        <v>0.79822534000000001</v>
      </c>
      <c r="G17" s="745">
        <f>'ТЕ_2ст_тариф_з ІТП'!U15</f>
        <v>0.40501920000000002</v>
      </c>
      <c r="I17" s="621"/>
    </row>
    <row r="18" spans="1:9" s="44" customFormat="1" ht="15.6">
      <c r="A18" s="738" t="s">
        <v>1371</v>
      </c>
      <c r="B18" s="742" t="s">
        <v>536</v>
      </c>
      <c r="C18" s="420" t="s">
        <v>1098</v>
      </c>
      <c r="D18" s="745">
        <f>'ТЕ_2ст_тариф_з ІТП'!I16</f>
        <v>6.4600562400000001</v>
      </c>
      <c r="E18" s="745">
        <f>'ТЕ_2ст_тариф_з ІТП'!L16</f>
        <v>0.48096030000000001</v>
      </c>
      <c r="F18" s="745">
        <f>'ТЕ_2ст_тариф_з ІТП'!O16</f>
        <v>0.79822534000000001</v>
      </c>
      <c r="G18" s="745">
        <f>'ТЕ_2ст_тариф_з ІТП'!U16</f>
        <v>0.40501920000000002</v>
      </c>
      <c r="I18" s="621"/>
    </row>
    <row r="19" spans="1:9" s="44" customFormat="1" ht="15.6">
      <c r="A19" s="738" t="s">
        <v>1372</v>
      </c>
      <c r="B19" s="742" t="s">
        <v>535</v>
      </c>
      <c r="C19" s="420" t="s">
        <v>1098</v>
      </c>
      <c r="D19" s="745">
        <f>'ТЕ_2ст_тариф_з ІТП'!I17</f>
        <v>0</v>
      </c>
      <c r="E19" s="745">
        <f>'ТЕ_2ст_тариф_з ІТП'!L17</f>
        <v>0</v>
      </c>
      <c r="F19" s="745">
        <f>'ТЕ_2ст_тариф_з ІТП'!O17</f>
        <v>0</v>
      </c>
      <c r="G19" s="745">
        <f>'ТЕ_2ст_тариф_з ІТП'!U17</f>
        <v>0</v>
      </c>
      <c r="I19" s="621"/>
    </row>
    <row r="20" spans="1:9" s="44" customFormat="1" ht="15.6">
      <c r="A20" s="738">
        <v>4</v>
      </c>
      <c r="B20" s="742" t="s">
        <v>1125</v>
      </c>
      <c r="C20" s="778" t="s">
        <v>30</v>
      </c>
      <c r="D20" s="745">
        <f>'ТЕ_2ст_тариф_з ІТП'!J18</f>
        <v>3.8280000000000003</v>
      </c>
      <c r="E20" s="745">
        <f>'ТЕ_2ст_тариф_з ІТП'!M18</f>
        <v>0.28499999999999998</v>
      </c>
      <c r="F20" s="745">
        <f>'ТЕ_2ст_тариф_з ІТП'!P18</f>
        <v>0.47299999999999998</v>
      </c>
      <c r="G20" s="745">
        <f>'ТЕ_2ст_тариф_з ІТП'!V18</f>
        <v>0.24</v>
      </c>
      <c r="I20" s="621"/>
    </row>
    <row r="21" spans="1:9" s="44" customFormat="1" ht="15.6">
      <c r="A21" s="738" t="s">
        <v>828</v>
      </c>
      <c r="B21" s="742" t="s">
        <v>536</v>
      </c>
      <c r="C21" s="778" t="s">
        <v>30</v>
      </c>
      <c r="D21" s="745">
        <f>'ТЕ_2ст_тариф_з ІТП'!J19</f>
        <v>3.8280000000000003</v>
      </c>
      <c r="E21" s="745">
        <f>'ТЕ_2ст_тариф_з ІТП'!M19</f>
        <v>0.28499999999999998</v>
      </c>
      <c r="F21" s="745">
        <f>'ТЕ_2ст_тариф_з ІТП'!P19</f>
        <v>0.47299999999999998</v>
      </c>
      <c r="G21" s="745">
        <f>'ТЕ_2ст_тариф_з ІТП'!V19</f>
        <v>0.24</v>
      </c>
      <c r="I21" s="621"/>
    </row>
    <row r="22" spans="1:9" s="44" customFormat="1" ht="15.6">
      <c r="A22" s="738" t="s">
        <v>831</v>
      </c>
      <c r="B22" s="742" t="s">
        <v>535</v>
      </c>
      <c r="C22" s="778" t="s">
        <v>30</v>
      </c>
      <c r="D22" s="745">
        <f>'ТЕ_2ст_тариф_з ІТП'!J20</f>
        <v>0</v>
      </c>
      <c r="E22" s="745">
        <f>'ТЕ_2ст_тариф_з ІТП'!M20</f>
        <v>0</v>
      </c>
      <c r="F22" s="745">
        <f>'ТЕ_2ст_тариф_з ІТП'!P20</f>
        <v>0</v>
      </c>
      <c r="G22" s="745">
        <f>'ТЕ_2ст_тариф_з ІТП'!V20</f>
        <v>0</v>
      </c>
      <c r="I22" s="621"/>
    </row>
    <row r="23" spans="1:9" s="44" customFormat="1" ht="15.6">
      <c r="A23" s="2939" t="s">
        <v>1431</v>
      </c>
      <c r="B23" s="2939"/>
      <c r="C23" s="2939"/>
      <c r="D23" s="2939"/>
      <c r="E23" s="2939"/>
      <c r="F23" s="2939"/>
      <c r="G23" s="2939"/>
      <c r="I23" s="621"/>
    </row>
    <row r="24" spans="1:9" s="44" customFormat="1" ht="15.6">
      <c r="A24" s="738">
        <v>5</v>
      </c>
      <c r="B24" s="171" t="s">
        <v>1406</v>
      </c>
      <c r="C24" s="778" t="s">
        <v>1173</v>
      </c>
      <c r="D24" s="743">
        <f>'ТЕ_2ст_тариф_з ІТП'!I38/D$16</f>
        <v>1068.5536224484338</v>
      </c>
      <c r="E24" s="743">
        <f>'ТЕ_2ст_тариф_з ІТП'!L38/E$16</f>
        <v>1048.897811587306</v>
      </c>
      <c r="F24" s="743">
        <f>'ТЕ_2ст_тариф_з ІТП'!O38/F$16</f>
        <v>1048.8976454059243</v>
      </c>
      <c r="G24" s="743">
        <f>'ТЕ_2ст_тариф_з ІТП'!U38/G$16</f>
        <v>1068.5520171362859</v>
      </c>
      <c r="I24" s="621"/>
    </row>
    <row r="25" spans="1:9" s="44" customFormat="1" ht="15.6">
      <c r="A25" s="738" t="s">
        <v>893</v>
      </c>
      <c r="B25" s="171" t="s">
        <v>202</v>
      </c>
      <c r="C25" s="778" t="s">
        <v>1173</v>
      </c>
      <c r="D25" s="743">
        <f>'ТЕ_2ст_тариф_з ІТП'!I39/D$16</f>
        <v>1068.5536224484338</v>
      </c>
      <c r="E25" s="743">
        <f>'ТЕ_2ст_тариф_з ІТП'!L39/E$16</f>
        <v>1048.897811587306</v>
      </c>
      <c r="F25" s="743">
        <f>'ТЕ_2ст_тариф_з ІТП'!O39/F$16</f>
        <v>1048.8976454059243</v>
      </c>
      <c r="G25" s="743">
        <f>'ТЕ_2ст_тариф_з ІТП'!U39/G$16</f>
        <v>1068.5520171362859</v>
      </c>
      <c r="I25" s="621"/>
    </row>
    <row r="26" spans="1:9" s="44" customFormat="1" ht="15.6">
      <c r="A26" s="754" t="s">
        <v>1375</v>
      </c>
      <c r="B26" s="140" t="s">
        <v>435</v>
      </c>
      <c r="C26" s="778" t="s">
        <v>1173</v>
      </c>
      <c r="D26" s="743">
        <f>'ТЕ_2ст_тариф_з ІТП'!I40/D$16</f>
        <v>904.15621531371062</v>
      </c>
      <c r="E26" s="743">
        <f>'ТЕ_2ст_тариф_з ІТП'!L40/E$16</f>
        <v>884.50040445258287</v>
      </c>
      <c r="F26" s="743">
        <f>'ТЕ_2ст_тариф_з ІТП'!O40/F$16</f>
        <v>884.50023827120106</v>
      </c>
      <c r="G26" s="743">
        <f>'ТЕ_2ст_тариф_з ІТП'!U40/G$16</f>
        <v>904.15461000156267</v>
      </c>
      <c r="I26" s="621"/>
    </row>
    <row r="27" spans="1:9" s="44" customFormat="1" ht="15.6">
      <c r="A27" s="738"/>
      <c r="B27" s="737" t="s">
        <v>422</v>
      </c>
      <c r="C27" s="778" t="s">
        <v>1173</v>
      </c>
      <c r="D27" s="743">
        <f>'ТЕ_2ст_тариф_з ІТП'!I41/D$16</f>
        <v>884.6169944356335</v>
      </c>
      <c r="E27" s="743">
        <f>'ТЕ_2ст_тариф_з ІТП'!L41/E$16</f>
        <v>865.38595445308658</v>
      </c>
      <c r="F27" s="743">
        <f>'ТЕ_2ст_тариф_з ІТП'!O41/F$16</f>
        <v>865.38579186295908</v>
      </c>
      <c r="G27" s="743">
        <f>'ТЕ_2ст_тариф_з ІТП'!U41/G$16</f>
        <v>884.6154238150001</v>
      </c>
      <c r="I27" s="621"/>
    </row>
    <row r="28" spans="1:9" s="44" customFormat="1" ht="15.6">
      <c r="A28" s="738"/>
      <c r="B28" s="737" t="s">
        <v>930</v>
      </c>
      <c r="C28" s="778" t="s">
        <v>1173</v>
      </c>
      <c r="D28" s="743">
        <f>'ТЕ_2ст_тариф_з ІТП'!I42/D$16</f>
        <v>19.539220878077192</v>
      </c>
      <c r="E28" s="743">
        <f>'ТЕ_2ст_тариф_з ІТП'!L42/E$16</f>
        <v>19.114449999496188</v>
      </c>
      <c r="F28" s="743">
        <f>'ТЕ_2ст_тариф_з ІТП'!O42/F$16</f>
        <v>19.114446408242078</v>
      </c>
      <c r="G28" s="743">
        <f>'ТЕ_2ст_тариф_з ІТП'!U42/G$16</f>
        <v>19.539186186562493</v>
      </c>
      <c r="I28" s="621"/>
    </row>
    <row r="29" spans="1:9" s="44" customFormat="1" ht="15.6">
      <c r="A29" s="738" t="s">
        <v>895</v>
      </c>
      <c r="B29" s="140" t="s">
        <v>39</v>
      </c>
      <c r="C29" s="778" t="s">
        <v>1173</v>
      </c>
      <c r="D29" s="743">
        <f>'ТЕ_2ст_тариф_з ІТП'!I44/D$16</f>
        <v>164.39740713472318</v>
      </c>
      <c r="E29" s="743">
        <f>'ТЕ_2ст_тариф_з ІТП'!L44/E$16</f>
        <v>164.39740713472321</v>
      </c>
      <c r="F29" s="743">
        <f>'ТЕ_2ст_тариф_з ІТП'!O44/F$16</f>
        <v>164.39740713472318</v>
      </c>
      <c r="G29" s="743">
        <f>'ТЕ_2ст_тариф_з ІТП'!U44/G$16</f>
        <v>164.39740713472321</v>
      </c>
      <c r="I29" s="621"/>
    </row>
    <row r="30" spans="1:9" s="44" customFormat="1" ht="15.6">
      <c r="A30" s="2939" t="s">
        <v>1430</v>
      </c>
      <c r="B30" s="2939"/>
      <c r="C30" s="2939"/>
      <c r="D30" s="2939"/>
      <c r="E30" s="2939"/>
      <c r="F30" s="2939"/>
      <c r="G30" s="2939"/>
      <c r="I30" s="621"/>
    </row>
    <row r="31" spans="1:9" s="44" customFormat="1" ht="26.4">
      <c r="A31" s="738">
        <v>6</v>
      </c>
      <c r="B31" s="140" t="s">
        <v>1407</v>
      </c>
      <c r="C31" s="778" t="s">
        <v>1420</v>
      </c>
      <c r="D31" s="748" t="e">
        <f>#REF!/D$20*1000/12</f>
        <v>#REF!</v>
      </c>
      <c r="E31" s="748" t="e">
        <f>#REF!/E$20*1000/12</f>
        <v>#REF!</v>
      </c>
      <c r="F31" s="748" t="e">
        <f>#REF!/F$20*1000/12</f>
        <v>#REF!</v>
      </c>
      <c r="G31" s="748" t="e">
        <f>#REF!/G$20*1000/12</f>
        <v>#REF!</v>
      </c>
      <c r="I31" s="621"/>
    </row>
    <row r="32" spans="1:9" s="44" customFormat="1" ht="15.6">
      <c r="A32" s="738">
        <v>7</v>
      </c>
      <c r="B32" s="171" t="s">
        <v>201</v>
      </c>
      <c r="C32" s="777" t="s">
        <v>1422</v>
      </c>
      <c r="D32" s="748" t="e">
        <f>#REF!/D$20*1000/12</f>
        <v>#REF!</v>
      </c>
      <c r="E32" s="748" t="e">
        <f>#REF!/E$20*1000/12</f>
        <v>#REF!</v>
      </c>
      <c r="F32" s="748" t="e">
        <f>#REF!/F$20*1000/12</f>
        <v>#REF!</v>
      </c>
      <c r="G32" s="748" t="e">
        <f>#REF!/G$20*1000/12</f>
        <v>#REF!</v>
      </c>
      <c r="I32" s="621"/>
    </row>
    <row r="33" spans="1:9" s="44" customFormat="1" ht="15.6">
      <c r="A33" s="738" t="s">
        <v>733</v>
      </c>
      <c r="B33" s="171" t="s">
        <v>202</v>
      </c>
      <c r="C33" s="777" t="s">
        <v>1422</v>
      </c>
      <c r="D33" s="748" t="e">
        <f>#REF!/D$20*1000/12</f>
        <v>#REF!</v>
      </c>
      <c r="E33" s="748" t="e">
        <f>#REF!/E$20*1000/12</f>
        <v>#REF!</v>
      </c>
      <c r="F33" s="748" t="e">
        <f>#REF!/F$20*1000/12</f>
        <v>#REF!</v>
      </c>
      <c r="G33" s="748" t="e">
        <f>#REF!/G$20*1000/12</f>
        <v>#REF!</v>
      </c>
      <c r="I33" s="621"/>
    </row>
    <row r="34" spans="1:9" s="44" customFormat="1" ht="15.6">
      <c r="A34" s="738" t="s">
        <v>1444</v>
      </c>
      <c r="B34" s="140" t="s">
        <v>435</v>
      </c>
      <c r="C34" s="777" t="s">
        <v>1422</v>
      </c>
      <c r="D34" s="748" t="e">
        <f>#REF!/D$20*1000/12</f>
        <v>#REF!</v>
      </c>
      <c r="E34" s="748" t="e">
        <f>#REF!/E$20*1000/12</f>
        <v>#REF!</v>
      </c>
      <c r="F34" s="748" t="e">
        <f>#REF!/F$20*1000/12</f>
        <v>#REF!</v>
      </c>
      <c r="G34" s="748" t="e">
        <f>#REF!/G$20*1000/12</f>
        <v>#REF!</v>
      </c>
      <c r="I34" s="621"/>
    </row>
    <row r="35" spans="1:9" s="44" customFormat="1" ht="15.6">
      <c r="A35" s="738" t="s">
        <v>1492</v>
      </c>
      <c r="B35" s="140" t="s">
        <v>931</v>
      </c>
      <c r="C35" s="777" t="s">
        <v>1422</v>
      </c>
      <c r="D35" s="748" t="e">
        <f>#REF!/D$20*1000/12</f>
        <v>#REF!</v>
      </c>
      <c r="E35" s="748" t="e">
        <f>#REF!/E$20*1000/12</f>
        <v>#REF!</v>
      </c>
      <c r="F35" s="748" t="e">
        <f>#REF!/F$20*1000/12</f>
        <v>#REF!</v>
      </c>
      <c r="G35" s="748" t="e">
        <f>#REF!/G$20*1000/12</f>
        <v>#REF!</v>
      </c>
      <c r="I35" s="621"/>
    </row>
    <row r="36" spans="1:9" s="44" customFormat="1" ht="26.4">
      <c r="A36" s="738" t="s">
        <v>1445</v>
      </c>
      <c r="B36" s="171" t="s">
        <v>784</v>
      </c>
      <c r="C36" s="777" t="s">
        <v>1422</v>
      </c>
      <c r="D36" s="748" t="e">
        <f>#REF!/D$20*1000/12</f>
        <v>#REF!</v>
      </c>
      <c r="E36" s="748" t="e">
        <f>#REF!/E$20*1000/12</f>
        <v>#REF!</v>
      </c>
      <c r="F36" s="748" t="e">
        <f>#REF!/F$20*1000/12</f>
        <v>#REF!</v>
      </c>
      <c r="G36" s="748" t="e">
        <f>#REF!/G$20*1000/12</f>
        <v>#REF!</v>
      </c>
      <c r="I36" s="621"/>
    </row>
    <row r="37" spans="1:9" s="44" customFormat="1" ht="15.6">
      <c r="A37" s="738" t="s">
        <v>1446</v>
      </c>
      <c r="B37" s="171" t="s">
        <v>533</v>
      </c>
      <c r="C37" s="777" t="s">
        <v>1422</v>
      </c>
      <c r="D37" s="748" t="e">
        <f>#REF!/D$20*1000/12</f>
        <v>#REF!</v>
      </c>
      <c r="E37" s="748" t="e">
        <f>#REF!/E$20*1000/12</f>
        <v>#REF!</v>
      </c>
      <c r="F37" s="748" t="e">
        <f>#REF!/F$20*1000/12</f>
        <v>#REF!</v>
      </c>
      <c r="G37" s="748" t="e">
        <f>#REF!/G$20*1000/12</f>
        <v>#REF!</v>
      </c>
      <c r="I37" s="621"/>
    </row>
    <row r="38" spans="1:9" s="44" customFormat="1" ht="15.6">
      <c r="A38" s="738" t="s">
        <v>1324</v>
      </c>
      <c r="B38" s="171" t="s">
        <v>43</v>
      </c>
      <c r="C38" s="777" t="s">
        <v>1422</v>
      </c>
      <c r="D38" s="748" t="e">
        <f>#REF!/D$20*1000/12</f>
        <v>#REF!</v>
      </c>
      <c r="E38" s="748" t="e">
        <f>#REF!/E$20*1000/12</f>
        <v>#REF!</v>
      </c>
      <c r="F38" s="748" t="e">
        <f>#REF!/F$20*1000/12</f>
        <v>#REF!</v>
      </c>
      <c r="G38" s="748" t="e">
        <f>#REF!/G$20*1000/12</f>
        <v>#REF!</v>
      </c>
      <c r="I38" s="621"/>
    </row>
    <row r="39" spans="1:9" s="44" customFormat="1" ht="15.6">
      <c r="A39" s="738" t="s">
        <v>1325</v>
      </c>
      <c r="B39" s="171" t="s">
        <v>203</v>
      </c>
      <c r="C39" s="777" t="s">
        <v>1422</v>
      </c>
      <c r="D39" s="748" t="e">
        <f>#REF!/D$20*1000/12</f>
        <v>#REF!</v>
      </c>
      <c r="E39" s="748" t="e">
        <f>#REF!/E$20*1000/12</f>
        <v>#REF!</v>
      </c>
      <c r="F39" s="748" t="e">
        <f>#REF!/F$20*1000/12</f>
        <v>#REF!</v>
      </c>
      <c r="G39" s="748" t="e">
        <f>#REF!/G$20*1000/12</f>
        <v>#REF!</v>
      </c>
      <c r="I39" s="621"/>
    </row>
    <row r="40" spans="1:9" s="44" customFormat="1" ht="26.4">
      <c r="A40" s="738" t="s">
        <v>1447</v>
      </c>
      <c r="B40" s="140" t="s">
        <v>433</v>
      </c>
      <c r="C40" s="777" t="s">
        <v>1422</v>
      </c>
      <c r="D40" s="748" t="e">
        <f>#REF!/D$20*1000/12</f>
        <v>#REF!</v>
      </c>
      <c r="E40" s="748" t="e">
        <f>#REF!/E$20*1000/12</f>
        <v>#REF!</v>
      </c>
      <c r="F40" s="748" t="e">
        <f>#REF!/F$20*1000/12</f>
        <v>#REF!</v>
      </c>
      <c r="G40" s="748" t="e">
        <f>#REF!/G$20*1000/12</f>
        <v>#REF!</v>
      </c>
      <c r="I40" s="621"/>
    </row>
    <row r="41" spans="1:9" s="44" customFormat="1" ht="15.6">
      <c r="A41" s="738" t="s">
        <v>1448</v>
      </c>
      <c r="B41" s="140" t="s">
        <v>434</v>
      </c>
      <c r="C41" s="777" t="s">
        <v>1422</v>
      </c>
      <c r="D41" s="748" t="e">
        <f>#REF!/D$20*1000/12</f>
        <v>#REF!</v>
      </c>
      <c r="E41" s="748" t="e">
        <f>#REF!/E$20*1000/12</f>
        <v>#REF!</v>
      </c>
      <c r="F41" s="748" t="e">
        <f>#REF!/F$20*1000/12</f>
        <v>#REF!</v>
      </c>
      <c r="G41" s="748" t="e">
        <f>#REF!/G$20*1000/12</f>
        <v>#REF!</v>
      </c>
      <c r="I41" s="621"/>
    </row>
    <row r="42" spans="1:9" s="44" customFormat="1" ht="15.6">
      <c r="A42" s="738" t="s">
        <v>1449</v>
      </c>
      <c r="B42" s="140" t="s">
        <v>48</v>
      </c>
      <c r="C42" s="777" t="s">
        <v>1422</v>
      </c>
      <c r="D42" s="748" t="e">
        <f>#REF!/D$20*1000/12</f>
        <v>#REF!</v>
      </c>
      <c r="E42" s="748" t="e">
        <f>#REF!/E$20*1000/12</f>
        <v>#REF!</v>
      </c>
      <c r="F42" s="748" t="e">
        <f>#REF!/F$20*1000/12</f>
        <v>#REF!</v>
      </c>
      <c r="G42" s="748" t="e">
        <f>#REF!/G$20*1000/12</f>
        <v>#REF!</v>
      </c>
      <c r="I42" s="621"/>
    </row>
    <row r="43" spans="1:9" s="44" customFormat="1" ht="15.6">
      <c r="A43" s="738" t="s">
        <v>1326</v>
      </c>
      <c r="B43" s="140" t="s">
        <v>204</v>
      </c>
      <c r="C43" s="777" t="s">
        <v>1422</v>
      </c>
      <c r="D43" s="748" t="e">
        <f>#REF!/D$20*1000/12</f>
        <v>#REF!</v>
      </c>
      <c r="E43" s="748" t="e">
        <f>#REF!/E$20*1000/12</f>
        <v>#REF!</v>
      </c>
      <c r="F43" s="748" t="e">
        <f>#REF!/F$20*1000/12</f>
        <v>#REF!</v>
      </c>
      <c r="G43" s="748" t="e">
        <f>#REF!/G$20*1000/12</f>
        <v>#REF!</v>
      </c>
      <c r="I43" s="621"/>
    </row>
    <row r="44" spans="1:9" s="44" customFormat="1" ht="15.6">
      <c r="A44" s="738" t="s">
        <v>1450</v>
      </c>
      <c r="B44" s="140" t="s">
        <v>51</v>
      </c>
      <c r="C44" s="777" t="s">
        <v>1422</v>
      </c>
      <c r="D44" s="748" t="e">
        <f>#REF!/D$20*1000/12</f>
        <v>#REF!</v>
      </c>
      <c r="E44" s="748" t="e">
        <f>#REF!/E$20*1000/12</f>
        <v>#REF!</v>
      </c>
      <c r="F44" s="748" t="e">
        <f>#REF!/F$20*1000/12</f>
        <v>#REF!</v>
      </c>
      <c r="G44" s="748" t="e">
        <f>#REF!/G$20*1000/12</f>
        <v>#REF!</v>
      </c>
      <c r="I44" s="621"/>
    </row>
    <row r="45" spans="1:9" s="44" customFormat="1" ht="26.4">
      <c r="A45" s="738" t="s">
        <v>1451</v>
      </c>
      <c r="B45" s="140" t="s">
        <v>433</v>
      </c>
      <c r="C45" s="777" t="s">
        <v>1422</v>
      </c>
      <c r="D45" s="748" t="e">
        <f>#REF!/D$20*1000/12</f>
        <v>#REF!</v>
      </c>
      <c r="E45" s="748" t="e">
        <f>#REF!/E$20*1000/12</f>
        <v>#REF!</v>
      </c>
      <c r="F45" s="748" t="e">
        <f>#REF!/F$20*1000/12</f>
        <v>#REF!</v>
      </c>
      <c r="G45" s="748" t="e">
        <f>#REF!/G$20*1000/12</f>
        <v>#REF!</v>
      </c>
      <c r="I45" s="621"/>
    </row>
    <row r="46" spans="1:9" s="44" customFormat="1" ht="15.6">
      <c r="A46" s="738" t="s">
        <v>1452</v>
      </c>
      <c r="B46" s="140" t="s">
        <v>54</v>
      </c>
      <c r="C46" s="777" t="s">
        <v>1422</v>
      </c>
      <c r="D46" s="748" t="e">
        <f>#REF!/D$20*1000/12</f>
        <v>#REF!</v>
      </c>
      <c r="E46" s="748" t="e">
        <f>#REF!/E$20*1000/12</f>
        <v>#REF!</v>
      </c>
      <c r="F46" s="748" t="e">
        <f>#REF!/F$20*1000/12</f>
        <v>#REF!</v>
      </c>
      <c r="G46" s="748" t="e">
        <f>#REF!/G$20*1000/12</f>
        <v>#REF!</v>
      </c>
      <c r="I46" s="621"/>
    </row>
    <row r="47" spans="1:9" s="44" customFormat="1" ht="15.6">
      <c r="A47" s="738">
        <v>8</v>
      </c>
      <c r="B47" s="140" t="s">
        <v>205</v>
      </c>
      <c r="C47" s="777" t="s">
        <v>1422</v>
      </c>
      <c r="D47" s="748" t="e">
        <f>#REF!/D$20*1000/12</f>
        <v>#REF!</v>
      </c>
      <c r="E47" s="748" t="e">
        <f>#REF!/E$20*1000/12</f>
        <v>#REF!</v>
      </c>
      <c r="F47" s="748" t="e">
        <f>#REF!/F$20*1000/12</f>
        <v>#REF!</v>
      </c>
      <c r="G47" s="748" t="e">
        <f>#REF!/G$20*1000/12</f>
        <v>#REF!</v>
      </c>
      <c r="I47" s="621"/>
    </row>
    <row r="48" spans="1:9" s="44" customFormat="1" ht="15.6">
      <c r="A48" s="738" t="s">
        <v>734</v>
      </c>
      <c r="B48" s="140" t="s">
        <v>51</v>
      </c>
      <c r="C48" s="777" t="s">
        <v>1422</v>
      </c>
      <c r="D48" s="748" t="e">
        <f>#REF!/D$20*1000/12</f>
        <v>#REF!</v>
      </c>
      <c r="E48" s="748" t="e">
        <f>#REF!/E$20*1000/12</f>
        <v>#REF!</v>
      </c>
      <c r="F48" s="748" t="e">
        <f>#REF!/F$20*1000/12</f>
        <v>#REF!</v>
      </c>
      <c r="G48" s="748" t="e">
        <f>#REF!/G$20*1000/12</f>
        <v>#REF!</v>
      </c>
      <c r="I48" s="621"/>
    </row>
    <row r="49" spans="1:9" s="44" customFormat="1" ht="26.4">
      <c r="A49" s="738" t="s">
        <v>1314</v>
      </c>
      <c r="B49" s="140" t="s">
        <v>433</v>
      </c>
      <c r="C49" s="777" t="s">
        <v>1422</v>
      </c>
      <c r="D49" s="748" t="e">
        <f>#REF!/D$20*1000/12</f>
        <v>#REF!</v>
      </c>
      <c r="E49" s="748" t="e">
        <f>#REF!/E$20*1000/12</f>
        <v>#REF!</v>
      </c>
      <c r="F49" s="748" t="e">
        <f>#REF!/F$20*1000/12</f>
        <v>#REF!</v>
      </c>
      <c r="G49" s="748" t="e">
        <f>#REF!/G$20*1000/12</f>
        <v>#REF!</v>
      </c>
      <c r="I49" s="621"/>
    </row>
    <row r="50" spans="1:9" s="44" customFormat="1" ht="15.6">
      <c r="A50" s="738" t="s">
        <v>1315</v>
      </c>
      <c r="B50" s="140" t="s">
        <v>54</v>
      </c>
      <c r="C50" s="777" t="s">
        <v>1422</v>
      </c>
      <c r="D50" s="748" t="e">
        <f>#REF!/D$20*1000/12</f>
        <v>#REF!</v>
      </c>
      <c r="E50" s="748" t="e">
        <f>#REF!/E$20*1000/12</f>
        <v>#REF!</v>
      </c>
      <c r="F50" s="748" t="e">
        <f>#REF!/F$20*1000/12</f>
        <v>#REF!</v>
      </c>
      <c r="G50" s="748" t="e">
        <f>#REF!/G$20*1000/12</f>
        <v>#REF!</v>
      </c>
      <c r="I50" s="621"/>
    </row>
    <row r="51" spans="1:9" s="44" customFormat="1" ht="15.6">
      <c r="A51" s="738">
        <v>9</v>
      </c>
      <c r="B51" s="140" t="s">
        <v>5</v>
      </c>
      <c r="C51" s="777" t="s">
        <v>1422</v>
      </c>
      <c r="D51" s="748" t="e">
        <f>#REF!/D$20*1000/12</f>
        <v>#REF!</v>
      </c>
      <c r="E51" s="748" t="e">
        <f>#REF!/E$20*1000/12</f>
        <v>#REF!</v>
      </c>
      <c r="F51" s="748" t="e">
        <f>#REF!/F$20*1000/12</f>
        <v>#REF!</v>
      </c>
      <c r="G51" s="748" t="e">
        <f>#REF!/G$20*1000/12</f>
        <v>#REF!</v>
      </c>
      <c r="I51" s="621"/>
    </row>
    <row r="52" spans="1:9" s="44" customFormat="1" ht="15.6">
      <c r="A52" s="738">
        <v>10</v>
      </c>
      <c r="B52" s="140" t="s">
        <v>169</v>
      </c>
      <c r="C52" s="777" t="s">
        <v>1422</v>
      </c>
      <c r="D52" s="748" t="e">
        <f>#REF!/D$20*1000/12</f>
        <v>#REF!</v>
      </c>
      <c r="E52" s="748" t="e">
        <f>#REF!/E$20*1000/12</f>
        <v>#REF!</v>
      </c>
      <c r="F52" s="748" t="e">
        <f>#REF!/F$20*1000/12</f>
        <v>#REF!</v>
      </c>
      <c r="G52" s="748" t="e">
        <f>#REF!/G$20*1000/12</f>
        <v>#REF!</v>
      </c>
      <c r="I52" s="621"/>
    </row>
    <row r="53" spans="1:9" s="44" customFormat="1" ht="15.6">
      <c r="A53" s="738">
        <v>11</v>
      </c>
      <c r="B53" s="140" t="s">
        <v>207</v>
      </c>
      <c r="C53" s="777" t="s">
        <v>1422</v>
      </c>
      <c r="D53" s="748">
        <v>0</v>
      </c>
      <c r="E53" s="748">
        <v>0</v>
      </c>
      <c r="F53" s="748">
        <v>0</v>
      </c>
      <c r="G53" s="748">
        <v>0</v>
      </c>
      <c r="I53" s="621"/>
    </row>
    <row r="54" spans="1:9" s="44" customFormat="1" ht="15.6">
      <c r="A54" s="738">
        <v>12</v>
      </c>
      <c r="B54" s="140" t="s">
        <v>1374</v>
      </c>
      <c r="C54" s="777" t="s">
        <v>1422</v>
      </c>
      <c r="D54" s="748" t="e">
        <f>#REF!/D$20*1000/12</f>
        <v>#REF!</v>
      </c>
      <c r="E54" s="748" t="e">
        <f>#REF!/E$20*1000/12</f>
        <v>#REF!</v>
      </c>
      <c r="F54" s="748" t="e">
        <f>#REF!/F$20*1000/12</f>
        <v>#REF!</v>
      </c>
      <c r="G54" s="748" t="e">
        <f>#REF!/G$20*1000/12</f>
        <v>#REF!</v>
      </c>
      <c r="I54" s="621"/>
    </row>
    <row r="55" spans="1:9" s="44" customFormat="1" ht="15.6">
      <c r="A55" s="738">
        <v>13</v>
      </c>
      <c r="B55" s="749" t="s">
        <v>208</v>
      </c>
      <c r="C55" s="777" t="s">
        <v>1422</v>
      </c>
      <c r="D55" s="748" t="e">
        <f>#REF!/D$20*1000/12</f>
        <v>#REF!</v>
      </c>
      <c r="E55" s="748" t="e">
        <f>#REF!/E$20*1000/12</f>
        <v>#REF!</v>
      </c>
      <c r="F55" s="748" t="e">
        <f>#REF!/F$20*1000/12</f>
        <v>#REF!</v>
      </c>
      <c r="G55" s="748" t="e">
        <f>#REF!/G$20*1000/12</f>
        <v>#REF!</v>
      </c>
      <c r="I55" s="621"/>
    </row>
    <row r="56" spans="1:9" s="44" customFormat="1" ht="15.6">
      <c r="A56" s="738" t="s">
        <v>1381</v>
      </c>
      <c r="B56" s="140" t="s">
        <v>1378</v>
      </c>
      <c r="C56" s="777" t="s">
        <v>1422</v>
      </c>
      <c r="D56" s="748" t="e">
        <f>#REF!/D$20*1000/12</f>
        <v>#REF!</v>
      </c>
      <c r="E56" s="748" t="e">
        <f>#REF!/E$20*1000/12</f>
        <v>#REF!</v>
      </c>
      <c r="F56" s="748" t="e">
        <f>#REF!/F$20*1000/12</f>
        <v>#REF!</v>
      </c>
      <c r="G56" s="748" t="e">
        <f>#REF!/G$20*1000/12</f>
        <v>#REF!</v>
      </c>
      <c r="I56" s="621"/>
    </row>
    <row r="57" spans="1:9" s="44" customFormat="1" ht="15.6">
      <c r="A57" s="738" t="s">
        <v>1453</v>
      </c>
      <c r="B57" s="140" t="s">
        <v>63</v>
      </c>
      <c r="C57" s="777" t="s">
        <v>1422</v>
      </c>
      <c r="D57" s="748" t="e">
        <f>#REF!/D$20*1000/12</f>
        <v>#REF!</v>
      </c>
      <c r="E57" s="748" t="e">
        <f>#REF!/E$20*1000/12</f>
        <v>#REF!</v>
      </c>
      <c r="F57" s="748" t="e">
        <f>#REF!/F$20*1000/12</f>
        <v>#REF!</v>
      </c>
      <c r="G57" s="748" t="e">
        <f>#REF!/G$20*1000/12</f>
        <v>#REF!</v>
      </c>
      <c r="I57" s="621"/>
    </row>
    <row r="58" spans="1:9" s="44" customFormat="1" ht="15.6">
      <c r="A58" s="738" t="s">
        <v>1454</v>
      </c>
      <c r="B58" s="140" t="s">
        <v>65</v>
      </c>
      <c r="C58" s="777" t="s">
        <v>1422</v>
      </c>
      <c r="D58" s="748" t="e">
        <f>#REF!/D$20*1000/12</f>
        <v>#REF!</v>
      </c>
      <c r="E58" s="748" t="e">
        <f>#REF!/E$20*1000/12</f>
        <v>#REF!</v>
      </c>
      <c r="F58" s="748" t="e">
        <f>#REF!/F$20*1000/12</f>
        <v>#REF!</v>
      </c>
      <c r="G58" s="748" t="e">
        <f>#REF!/G$20*1000/12</f>
        <v>#REF!</v>
      </c>
      <c r="I58" s="621"/>
    </row>
    <row r="59" spans="1:9" s="44" customFormat="1" ht="15.6">
      <c r="A59" s="738" t="s">
        <v>1455</v>
      </c>
      <c r="B59" s="140" t="s">
        <v>1379</v>
      </c>
      <c r="C59" s="777" t="s">
        <v>1422</v>
      </c>
      <c r="D59" s="748" t="e">
        <f>#REF!/D$20*1000/12</f>
        <v>#REF!</v>
      </c>
      <c r="E59" s="748" t="e">
        <f>#REF!/E$20*1000/12</f>
        <v>#REF!</v>
      </c>
      <c r="F59" s="748" t="e">
        <f>#REF!/F$20*1000/12</f>
        <v>#REF!</v>
      </c>
      <c r="G59" s="748" t="e">
        <f>#REF!/G$20*1000/12</f>
        <v>#REF!</v>
      </c>
      <c r="I59" s="621"/>
    </row>
    <row r="60" spans="1:9" s="44" customFormat="1" ht="15.6">
      <c r="A60" s="738" t="s">
        <v>1456</v>
      </c>
      <c r="B60" s="140" t="s">
        <v>1380</v>
      </c>
      <c r="C60" s="777" t="s">
        <v>1422</v>
      </c>
      <c r="D60" s="748" t="e">
        <f>#REF!/D$20*1000/12</f>
        <v>#REF!</v>
      </c>
      <c r="E60" s="748" t="e">
        <f>#REF!/E$20*1000/12</f>
        <v>#REF!</v>
      </c>
      <c r="F60" s="748" t="e">
        <f>#REF!/F$20*1000/12</f>
        <v>#REF!</v>
      </c>
      <c r="G60" s="748" t="e">
        <f>#REF!/G$20*1000/12</f>
        <v>#REF!</v>
      </c>
      <c r="I60" s="621"/>
    </row>
    <row r="61" spans="1:9" s="44" customFormat="1" ht="15.6">
      <c r="A61" s="3082" t="s">
        <v>1429</v>
      </c>
      <c r="B61" s="3082"/>
      <c r="C61" s="3082"/>
      <c r="D61" s="3082"/>
      <c r="E61" s="3082"/>
      <c r="F61" s="3082"/>
      <c r="G61" s="3082"/>
      <c r="I61" s="621"/>
    </row>
    <row r="62" spans="1:9" s="44" customFormat="1" ht="15.6">
      <c r="A62" s="738" t="s">
        <v>919</v>
      </c>
      <c r="B62" s="171" t="s">
        <v>1406</v>
      </c>
      <c r="C62" s="778" t="s">
        <v>1173</v>
      </c>
      <c r="D62" s="743">
        <f>'ТЕ_2ст_тариф_з ІТП'!I87/D$18</f>
        <v>0</v>
      </c>
      <c r="E62" s="743">
        <f>'ТЕ_2ст_тариф_з ІТП'!L87/E$18</f>
        <v>0</v>
      </c>
      <c r="F62" s="743">
        <f>'ТЕ_2ст_тариф_з ІТП'!O87/F$18</f>
        <v>0</v>
      </c>
      <c r="G62" s="743">
        <f>'ТЕ_2ст_тариф_з ІТП'!U87/G$18</f>
        <v>0</v>
      </c>
      <c r="I62" s="621"/>
    </row>
    <row r="63" spans="1:9" s="44" customFormat="1" ht="15.6">
      <c r="A63" s="738" t="s">
        <v>1457</v>
      </c>
      <c r="B63" s="171" t="s">
        <v>202</v>
      </c>
      <c r="C63" s="778" t="s">
        <v>1173</v>
      </c>
      <c r="D63" s="743">
        <f>'ТЕ_2ст_тариф_з ІТП'!I88/D$18</f>
        <v>0</v>
      </c>
      <c r="E63" s="743">
        <f>'ТЕ_2ст_тариф_з ІТП'!L88/E$18</f>
        <v>0</v>
      </c>
      <c r="F63" s="743">
        <f>'ТЕ_2ст_тариф_з ІТП'!O88/F$18</f>
        <v>0</v>
      </c>
      <c r="G63" s="743">
        <f>'ТЕ_2ст_тариф_з ІТП'!U88/G$18</f>
        <v>0</v>
      </c>
      <c r="I63" s="621"/>
    </row>
    <row r="64" spans="1:9" s="44" customFormat="1" ht="15.6">
      <c r="A64" s="738" t="s">
        <v>1458</v>
      </c>
      <c r="B64" s="171" t="s">
        <v>39</v>
      </c>
      <c r="C64" s="778" t="s">
        <v>1173</v>
      </c>
      <c r="D64" s="743">
        <f>'ТЕ_2ст_тариф_з ІТП'!I89/D$18</f>
        <v>0</v>
      </c>
      <c r="E64" s="743">
        <f>'ТЕ_2ст_тариф_з ІТП'!L89/E$18</f>
        <v>0</v>
      </c>
      <c r="F64" s="743">
        <f>'ТЕ_2ст_тариф_з ІТП'!O89/F$18</f>
        <v>0</v>
      </c>
      <c r="G64" s="743">
        <f>'ТЕ_2ст_тариф_з ІТП'!U89/G$18</f>
        <v>0</v>
      </c>
      <c r="I64" s="621"/>
    </row>
    <row r="65" spans="1:9" s="44" customFormat="1" ht="15.6">
      <c r="A65" s="2939" t="s">
        <v>1428</v>
      </c>
      <c r="B65" s="2939"/>
      <c r="C65" s="2939"/>
      <c r="D65" s="2939"/>
      <c r="E65" s="2939"/>
      <c r="F65" s="2939"/>
      <c r="G65" s="2939"/>
      <c r="I65" s="621"/>
    </row>
    <row r="66" spans="1:9" s="44" customFormat="1" ht="26.4">
      <c r="A66" s="738">
        <v>15</v>
      </c>
      <c r="B66" s="140" t="s">
        <v>1408</v>
      </c>
      <c r="C66" s="778" t="s">
        <v>1420</v>
      </c>
      <c r="D66" s="748">
        <f>'ТЕ_2ст_тариф_з ІТП'!J121/D$21*1000/12</f>
        <v>0</v>
      </c>
      <c r="E66" s="748">
        <f>'ТЕ_2ст_тариф_з ІТП'!M121/E$21*1000/12</f>
        <v>0</v>
      </c>
      <c r="F66" s="748">
        <f>'ТЕ_2ст_тариф_з ІТП'!P121/F$21*1000/12</f>
        <v>0</v>
      </c>
      <c r="G66" s="748">
        <f>'ТЕ_2ст_тариф_з ІТП'!V121/G$21*1000/12</f>
        <v>0</v>
      </c>
      <c r="I66" s="621"/>
    </row>
    <row r="67" spans="1:9" s="44" customFormat="1" ht="15.6">
      <c r="A67" s="759" t="s">
        <v>547</v>
      </c>
      <c r="B67" s="171" t="s">
        <v>201</v>
      </c>
      <c r="C67" s="777" t="s">
        <v>1422</v>
      </c>
      <c r="D67" s="748">
        <f>'ТЕ_2ст_тариф_з ІТП'!J87/D$21*1000/12</f>
        <v>0</v>
      </c>
      <c r="E67" s="748">
        <f>'ТЕ_2ст_тариф_з ІТП'!M87/E$21*1000/12</f>
        <v>0</v>
      </c>
      <c r="F67" s="748">
        <f>'ТЕ_2ст_тариф_з ІТП'!P87/F$21*1000/12</f>
        <v>0</v>
      </c>
      <c r="G67" s="748">
        <f>'ТЕ_2ст_тариф_з ІТП'!V87/G$21*1000/12</f>
        <v>0</v>
      </c>
      <c r="I67" s="621"/>
    </row>
    <row r="68" spans="1:9" s="44" customFormat="1" ht="15.6">
      <c r="A68" s="759" t="s">
        <v>187</v>
      </c>
      <c r="B68" s="171" t="s">
        <v>202</v>
      </c>
      <c r="C68" s="777" t="s">
        <v>1422</v>
      </c>
      <c r="D68" s="748">
        <f>'ТЕ_2ст_тариф_з ІТП'!J88/D$21*1000/12</f>
        <v>0</v>
      </c>
      <c r="E68" s="748">
        <f>'ТЕ_2ст_тариф_з ІТП'!M88/E$21*1000/12</f>
        <v>0</v>
      </c>
      <c r="F68" s="748">
        <f>'ТЕ_2ст_тариф_з ІТП'!P88/F$21*1000/12</f>
        <v>0</v>
      </c>
      <c r="G68" s="748">
        <f>'ТЕ_2ст_тариф_з ІТП'!V88/G$21*1000/12</f>
        <v>0</v>
      </c>
      <c r="I68" s="621"/>
    </row>
    <row r="69" spans="1:9" s="44" customFormat="1" ht="15.6">
      <c r="A69" s="759" t="s">
        <v>1459</v>
      </c>
      <c r="B69" s="171" t="s">
        <v>39</v>
      </c>
      <c r="C69" s="777" t="s">
        <v>1422</v>
      </c>
      <c r="D69" s="748">
        <f>'ТЕ_2ст_тариф_з ІТП'!J89/D$21*1000/12</f>
        <v>0</v>
      </c>
      <c r="E69" s="748">
        <f>'ТЕ_2ст_тариф_з ІТП'!M89/E$21*1000/12</f>
        <v>0</v>
      </c>
      <c r="F69" s="748">
        <f>'ТЕ_2ст_тариф_з ІТП'!P89/F$21*1000/12</f>
        <v>0</v>
      </c>
      <c r="G69" s="748">
        <f>'ТЕ_2ст_тариф_з ІТП'!V89/G$21*1000/12</f>
        <v>0</v>
      </c>
      <c r="I69" s="621"/>
    </row>
    <row r="70" spans="1:9" s="44" customFormat="1" ht="26.4">
      <c r="A70" s="762" t="s">
        <v>1460</v>
      </c>
      <c r="B70" s="171" t="s">
        <v>531</v>
      </c>
      <c r="C70" s="777" t="s">
        <v>1422</v>
      </c>
      <c r="D70" s="748">
        <f>'ТЕ_2ст_тариф_з ІТП'!J90/D$21*1000/12</f>
        <v>0</v>
      </c>
      <c r="E70" s="748">
        <f>'ТЕ_2ст_тариф_з ІТП'!M90/E$21*1000/12</f>
        <v>0</v>
      </c>
      <c r="F70" s="748">
        <f>'ТЕ_2ст_тариф_з ІТП'!P90/F$21*1000/12</f>
        <v>0</v>
      </c>
      <c r="G70" s="748">
        <f>'ТЕ_2ст_тариф_з ІТП'!V90/G$21*1000/12</f>
        <v>0</v>
      </c>
      <c r="I70" s="621"/>
    </row>
    <row r="71" spans="1:9" s="44" customFormat="1" ht="26.4">
      <c r="A71" s="762" t="s">
        <v>1461</v>
      </c>
      <c r="B71" s="171" t="s">
        <v>532</v>
      </c>
      <c r="C71" s="777" t="s">
        <v>1422</v>
      </c>
      <c r="D71" s="748">
        <f>'ТЕ_2ст_тариф_з ІТП'!J91/D$21*1000/12</f>
        <v>0</v>
      </c>
      <c r="E71" s="748">
        <f>'ТЕ_2ст_тариф_з ІТП'!M91/E$21*1000/12</f>
        <v>0</v>
      </c>
      <c r="F71" s="748">
        <f>'ТЕ_2ст_тариф_з ІТП'!P91/F$21*1000/12</f>
        <v>0</v>
      </c>
      <c r="G71" s="748">
        <f>'ТЕ_2ст_тариф_з ІТП'!V91/G$21*1000/12</f>
        <v>0</v>
      </c>
      <c r="I71" s="621"/>
    </row>
    <row r="72" spans="1:9" s="44" customFormat="1" ht="15.6">
      <c r="A72" s="762" t="s">
        <v>1462</v>
      </c>
      <c r="B72" s="171" t="s">
        <v>533</v>
      </c>
      <c r="C72" s="777" t="s">
        <v>1422</v>
      </c>
      <c r="D72" s="748">
        <f>'ТЕ_2ст_тариф_з ІТП'!J92/D$21*1000/12</f>
        <v>0</v>
      </c>
      <c r="E72" s="748">
        <f>'ТЕ_2ст_тариф_з ІТП'!M92/E$21*1000/12</f>
        <v>0</v>
      </c>
      <c r="F72" s="748">
        <f>'ТЕ_2ст_тариф_з ІТП'!P92/F$21*1000/12</f>
        <v>0</v>
      </c>
      <c r="G72" s="748">
        <f>'ТЕ_2ст_тариф_з ІТП'!V92/G$21*1000/12</f>
        <v>0</v>
      </c>
      <c r="I72" s="621"/>
    </row>
    <row r="73" spans="1:9" ht="26.4">
      <c r="A73" s="762" t="s">
        <v>1463</v>
      </c>
      <c r="B73" s="171" t="s">
        <v>1263</v>
      </c>
      <c r="C73" s="777" t="s">
        <v>1422</v>
      </c>
      <c r="D73" s="748">
        <f>'ТЕ_2ст_тариф_з ІТП'!J93/D$21*1000/12</f>
        <v>0</v>
      </c>
      <c r="E73" s="748">
        <f>'ТЕ_2ст_тариф_з ІТП'!M93/E$21*1000/12</f>
        <v>0</v>
      </c>
      <c r="F73" s="748">
        <f>'ТЕ_2ст_тариф_з ІТП'!P93/F$21*1000/12</f>
        <v>0</v>
      </c>
      <c r="G73" s="748">
        <f>'ТЕ_2ст_тариф_з ІТП'!V93/G$21*1000/12</f>
        <v>0</v>
      </c>
    </row>
    <row r="74" spans="1:9">
      <c r="A74" s="762" t="s">
        <v>188</v>
      </c>
      <c r="B74" s="140" t="s">
        <v>43</v>
      </c>
      <c r="C74" s="777" t="s">
        <v>1422</v>
      </c>
      <c r="D74" s="748">
        <f>'ТЕ_2ст_тариф_з ІТП'!J94/D$21*1000/12</f>
        <v>0</v>
      </c>
      <c r="E74" s="748">
        <f>'ТЕ_2ст_тариф_з ІТП'!M94/E$21*1000/12</f>
        <v>0</v>
      </c>
      <c r="F74" s="748">
        <f>'ТЕ_2ст_тариф_з ІТП'!P94/F$21*1000/12</f>
        <v>0</v>
      </c>
      <c r="G74" s="748">
        <f>'ТЕ_2ст_тариф_з ІТП'!V94/G$21*1000/12</f>
        <v>0</v>
      </c>
    </row>
    <row r="75" spans="1:9">
      <c r="A75" s="762" t="s">
        <v>1387</v>
      </c>
      <c r="B75" s="171" t="s">
        <v>203</v>
      </c>
      <c r="C75" s="777" t="s">
        <v>1422</v>
      </c>
      <c r="D75" s="748">
        <f>'ТЕ_2ст_тариф_з ІТП'!J95/D$21*1000/12</f>
        <v>0</v>
      </c>
      <c r="E75" s="748">
        <f>'ТЕ_2ст_тариф_з ІТП'!M95/E$21*1000/12</f>
        <v>0</v>
      </c>
      <c r="F75" s="748">
        <f>'ТЕ_2ст_тариф_з ІТП'!P95/F$21*1000/12</f>
        <v>0</v>
      </c>
      <c r="G75" s="748">
        <f>'ТЕ_2ст_тариф_з ІТП'!V95/G$21*1000/12</f>
        <v>0</v>
      </c>
    </row>
    <row r="76" spans="1:9" ht="26.4">
      <c r="A76" s="762" t="s">
        <v>1464</v>
      </c>
      <c r="B76" s="171" t="s">
        <v>433</v>
      </c>
      <c r="C76" s="777" t="s">
        <v>1422</v>
      </c>
      <c r="D76" s="748">
        <f>'ТЕ_2ст_тариф_з ІТП'!J96/D$21*1000/12</f>
        <v>0</v>
      </c>
      <c r="E76" s="748">
        <f>'ТЕ_2ст_тариф_з ІТП'!M96/E$21*1000/12</f>
        <v>0</v>
      </c>
      <c r="F76" s="748">
        <f>'ТЕ_2ст_тариф_з ІТП'!P96/F$21*1000/12</f>
        <v>0</v>
      </c>
      <c r="G76" s="748">
        <f>'ТЕ_2ст_тариф_з ІТП'!V96/G$21*1000/12</f>
        <v>0</v>
      </c>
    </row>
    <row r="77" spans="1:9">
      <c r="A77" s="762" t="s">
        <v>1465</v>
      </c>
      <c r="B77" s="171" t="s">
        <v>441</v>
      </c>
      <c r="C77" s="777" t="s">
        <v>1422</v>
      </c>
      <c r="D77" s="748">
        <f>'ТЕ_2ст_тариф_з ІТП'!J97/D$21*1000/12</f>
        <v>0</v>
      </c>
      <c r="E77" s="748">
        <f>'ТЕ_2ст_тариф_з ІТП'!M97/E$21*1000/12</f>
        <v>0</v>
      </c>
      <c r="F77" s="748">
        <f>'ТЕ_2ст_тариф_з ІТП'!P97/F$21*1000/12</f>
        <v>0</v>
      </c>
      <c r="G77" s="748">
        <f>'ТЕ_2ст_тариф_з ІТП'!V97/G$21*1000/12</f>
        <v>0</v>
      </c>
    </row>
    <row r="78" spans="1:9">
      <c r="A78" s="762" t="s">
        <v>1466</v>
      </c>
      <c r="B78" s="171" t="s">
        <v>77</v>
      </c>
      <c r="C78" s="777" t="s">
        <v>1422</v>
      </c>
      <c r="D78" s="748">
        <f>'ТЕ_2ст_тариф_з ІТП'!J98/D$21*1000/12</f>
        <v>0</v>
      </c>
      <c r="E78" s="748">
        <f>'ТЕ_2ст_тариф_з ІТП'!M98/E$21*1000/12</f>
        <v>0</v>
      </c>
      <c r="F78" s="748">
        <f>'ТЕ_2ст_тариф_з ІТП'!P98/F$21*1000/12</f>
        <v>0</v>
      </c>
      <c r="G78" s="748">
        <f>'ТЕ_2ст_тариф_з ІТП'!V98/G$21*1000/12</f>
        <v>0</v>
      </c>
    </row>
    <row r="79" spans="1:9">
      <c r="A79" s="762" t="s">
        <v>1467</v>
      </c>
      <c r="B79" s="171" t="s">
        <v>204</v>
      </c>
      <c r="C79" s="777" t="s">
        <v>1422</v>
      </c>
      <c r="D79" s="748">
        <f>'ТЕ_2ст_тариф_з ІТП'!J99/D$21*1000/12</f>
        <v>0</v>
      </c>
      <c r="E79" s="748">
        <f>'ТЕ_2ст_тариф_з ІТП'!M99/E$21*1000/12</f>
        <v>0</v>
      </c>
      <c r="F79" s="748">
        <f>'ТЕ_2ст_тариф_з ІТП'!P99/F$21*1000/12</f>
        <v>0</v>
      </c>
      <c r="G79" s="748">
        <f>'ТЕ_2ст_тариф_з ІТП'!V99/G$21*1000/12</f>
        <v>0</v>
      </c>
    </row>
    <row r="80" spans="1:9">
      <c r="A80" s="762" t="s">
        <v>1468</v>
      </c>
      <c r="B80" s="171" t="s">
        <v>51</v>
      </c>
      <c r="C80" s="777" t="s">
        <v>1422</v>
      </c>
      <c r="D80" s="748">
        <f>'ТЕ_2ст_тариф_з ІТП'!J100/D$21*1000/12</f>
        <v>0</v>
      </c>
      <c r="E80" s="748">
        <f>'ТЕ_2ст_тариф_з ІТП'!M100/E$21*1000/12</f>
        <v>0</v>
      </c>
      <c r="F80" s="748">
        <f>'ТЕ_2ст_тариф_з ІТП'!P100/F$21*1000/12</f>
        <v>0</v>
      </c>
      <c r="G80" s="748">
        <f>'ТЕ_2ст_тариф_з ІТП'!V100/G$21*1000/12</f>
        <v>0</v>
      </c>
    </row>
    <row r="81" spans="1:7" ht="26.4">
      <c r="A81" s="762" t="s">
        <v>1469</v>
      </c>
      <c r="B81" s="171" t="s">
        <v>433</v>
      </c>
      <c r="C81" s="777" t="s">
        <v>1422</v>
      </c>
      <c r="D81" s="748">
        <f>'ТЕ_2ст_тариф_з ІТП'!J101/D$21*1000/12</f>
        <v>0</v>
      </c>
      <c r="E81" s="748">
        <f>'ТЕ_2ст_тариф_з ІТП'!M101/E$21*1000/12</f>
        <v>0</v>
      </c>
      <c r="F81" s="748">
        <f>'ТЕ_2ст_тариф_з ІТП'!P101/F$21*1000/12</f>
        <v>0</v>
      </c>
      <c r="G81" s="748">
        <f>'ТЕ_2ст_тариф_з ІТП'!V101/G$21*1000/12</f>
        <v>0</v>
      </c>
    </row>
    <row r="82" spans="1:7">
      <c r="A82" s="762" t="s">
        <v>1470</v>
      </c>
      <c r="B82" s="171" t="s">
        <v>54</v>
      </c>
      <c r="C82" s="777" t="s">
        <v>1422</v>
      </c>
      <c r="D82" s="748">
        <f>'ТЕ_2ст_тариф_з ІТП'!J102/D$21*1000/12</f>
        <v>0</v>
      </c>
      <c r="E82" s="748">
        <f>'ТЕ_2ст_тариф_з ІТП'!M102/E$21*1000/12</f>
        <v>0</v>
      </c>
      <c r="F82" s="748">
        <f>'ТЕ_2ст_тариф_з ІТП'!P102/F$21*1000/12</f>
        <v>0</v>
      </c>
      <c r="G82" s="748">
        <f>'ТЕ_2ст_тариф_з ІТП'!V102/G$21*1000/12</f>
        <v>0</v>
      </c>
    </row>
    <row r="83" spans="1:7">
      <c r="A83" s="762" t="s">
        <v>548</v>
      </c>
      <c r="B83" s="140" t="s">
        <v>205</v>
      </c>
      <c r="C83" s="777" t="s">
        <v>1422</v>
      </c>
      <c r="D83" s="748">
        <f>'ТЕ_2ст_тариф_з ІТП'!J103/D$21*1000/12</f>
        <v>0</v>
      </c>
      <c r="E83" s="748">
        <f>'ТЕ_2ст_тариф_з ІТП'!M103/E$21*1000/12</f>
        <v>0</v>
      </c>
      <c r="F83" s="748">
        <f>'ТЕ_2ст_тариф_з ІТП'!P103/F$21*1000/12</f>
        <v>0</v>
      </c>
      <c r="G83" s="748">
        <f>'ТЕ_2ст_тариф_з ІТП'!V103/G$21*1000/12</f>
        <v>0</v>
      </c>
    </row>
    <row r="84" spans="1:7">
      <c r="A84" s="762" t="s">
        <v>1159</v>
      </c>
      <c r="B84" s="140" t="s">
        <v>51</v>
      </c>
      <c r="C84" s="777" t="s">
        <v>1422</v>
      </c>
      <c r="D84" s="748">
        <f>'ТЕ_2ст_тариф_з ІТП'!J104/D$21*1000/12</f>
        <v>0</v>
      </c>
      <c r="E84" s="748">
        <f>'ТЕ_2ст_тариф_з ІТП'!M104/E$21*1000/12</f>
        <v>0</v>
      </c>
      <c r="F84" s="748">
        <f>'ТЕ_2ст_тариф_з ІТП'!P104/F$21*1000/12</f>
        <v>0</v>
      </c>
      <c r="G84" s="748">
        <f>'ТЕ_2ст_тариф_з ІТП'!V104/G$21*1000/12</f>
        <v>0</v>
      </c>
    </row>
    <row r="85" spans="1:7" ht="26.4">
      <c r="A85" s="762" t="s">
        <v>1160</v>
      </c>
      <c r="B85" s="140" t="s">
        <v>433</v>
      </c>
      <c r="C85" s="777" t="s">
        <v>1422</v>
      </c>
      <c r="D85" s="748">
        <f>'ТЕ_2ст_тариф_з ІТП'!J105/D$21*1000/12</f>
        <v>0</v>
      </c>
      <c r="E85" s="748">
        <f>'ТЕ_2ст_тариф_з ІТП'!M105/E$21*1000/12</f>
        <v>0</v>
      </c>
      <c r="F85" s="748">
        <f>'ТЕ_2ст_тариф_з ІТП'!P105/F$21*1000/12</f>
        <v>0</v>
      </c>
      <c r="G85" s="748">
        <f>'ТЕ_2ст_тариф_з ІТП'!V105/G$21*1000/12</f>
        <v>0</v>
      </c>
    </row>
    <row r="86" spans="1:7">
      <c r="A86" s="762" t="s">
        <v>1388</v>
      </c>
      <c r="B86" s="140" t="s">
        <v>54</v>
      </c>
      <c r="C86" s="777" t="s">
        <v>1422</v>
      </c>
      <c r="D86" s="748">
        <f>'ТЕ_2ст_тариф_з ІТП'!J106/D$21*1000/12</f>
        <v>0</v>
      </c>
      <c r="E86" s="748">
        <f>'ТЕ_2ст_тариф_з ІТП'!M106/E$21*1000/12</f>
        <v>0</v>
      </c>
      <c r="F86" s="748">
        <f>'ТЕ_2ст_тариф_з ІТП'!P106/F$21*1000/12</f>
        <v>0</v>
      </c>
      <c r="G86" s="748">
        <f>'ТЕ_2ст_тариф_з ІТП'!V106/G$21*1000/12</f>
        <v>0</v>
      </c>
    </row>
    <row r="87" spans="1:7">
      <c r="A87" s="762" t="s">
        <v>549</v>
      </c>
      <c r="B87" s="171" t="s">
        <v>206</v>
      </c>
      <c r="C87" s="777" t="s">
        <v>1422</v>
      </c>
      <c r="D87" s="748">
        <f>'ТЕ_2ст_тариф_з ІТП'!J107/D$21*1000/12</f>
        <v>0</v>
      </c>
      <c r="E87" s="748">
        <f>'ТЕ_2ст_тариф_з ІТП'!M107/E$21*1000/12</f>
        <v>0</v>
      </c>
      <c r="F87" s="748">
        <f>'ТЕ_2ст_тариф_з ІТП'!P107/F$21*1000/12</f>
        <v>0</v>
      </c>
      <c r="G87" s="748">
        <f>'ТЕ_2ст_тариф_з ІТП'!V107/G$21*1000/12</f>
        <v>0</v>
      </c>
    </row>
    <row r="88" spans="1:7">
      <c r="A88" s="762" t="s">
        <v>1471</v>
      </c>
      <c r="B88" s="171" t="s">
        <v>51</v>
      </c>
      <c r="C88" s="777" t="s">
        <v>1422</v>
      </c>
      <c r="D88" s="748">
        <f>'ТЕ_2ст_тариф_з ІТП'!J108/D$21*1000/12</f>
        <v>0</v>
      </c>
      <c r="E88" s="748">
        <f>'ТЕ_2ст_тариф_з ІТП'!M108/E$21*1000/12</f>
        <v>0</v>
      </c>
      <c r="F88" s="748">
        <f>'ТЕ_2ст_тариф_з ІТП'!P108/F$21*1000/12</f>
        <v>0</v>
      </c>
      <c r="G88" s="748">
        <f>'ТЕ_2ст_тариф_з ІТП'!V108/G$21*1000/12</f>
        <v>0</v>
      </c>
    </row>
    <row r="89" spans="1:7" ht="26.4">
      <c r="A89" s="762" t="s">
        <v>1472</v>
      </c>
      <c r="B89" s="140" t="s">
        <v>433</v>
      </c>
      <c r="C89" s="777" t="s">
        <v>1422</v>
      </c>
      <c r="D89" s="748">
        <f>'ТЕ_2ст_тариф_з ІТП'!J109/D$21*1000/12</f>
        <v>0</v>
      </c>
      <c r="E89" s="748">
        <f>'ТЕ_2ст_тариф_з ІТП'!M109/E$21*1000/12</f>
        <v>0</v>
      </c>
      <c r="F89" s="748">
        <f>'ТЕ_2ст_тариф_з ІТП'!P109/F$21*1000/12</f>
        <v>0</v>
      </c>
      <c r="G89" s="748">
        <f>'ТЕ_2ст_тариф_з ІТП'!V109/G$21*1000/12</f>
        <v>0</v>
      </c>
    </row>
    <row r="90" spans="1:7">
      <c r="A90" s="762" t="s">
        <v>1473</v>
      </c>
      <c r="B90" s="755" t="s">
        <v>219</v>
      </c>
      <c r="C90" s="777" t="s">
        <v>1422</v>
      </c>
      <c r="D90" s="748">
        <f>'ТЕ_2ст_тариф_з ІТП'!J110/D$21*1000/12</f>
        <v>0</v>
      </c>
      <c r="E90" s="748">
        <f>'ТЕ_2ст_тариф_з ІТП'!M110/E$21*1000/12</f>
        <v>0</v>
      </c>
      <c r="F90" s="748">
        <f>'ТЕ_2ст_тариф_з ІТП'!P110/F$21*1000/12</f>
        <v>0</v>
      </c>
      <c r="G90" s="748">
        <f>'ТЕ_2ст_тариф_з ІТП'!V110/G$21*1000/12</f>
        <v>0</v>
      </c>
    </row>
    <row r="91" spans="1:7">
      <c r="A91" s="762" t="s">
        <v>1389</v>
      </c>
      <c r="B91" s="140" t="s">
        <v>78</v>
      </c>
      <c r="C91" s="777" t="s">
        <v>1422</v>
      </c>
      <c r="D91" s="748">
        <f>'ТЕ_2ст_тариф_з ІТП'!J111/D$21*1000/12</f>
        <v>0</v>
      </c>
      <c r="E91" s="748">
        <f>'ТЕ_2ст_тариф_з ІТП'!M111/E$21*1000/12</f>
        <v>0</v>
      </c>
      <c r="F91" s="748">
        <f>'ТЕ_2ст_тариф_з ІТП'!P111/F$21*1000/12</f>
        <v>0</v>
      </c>
      <c r="G91" s="748">
        <f>'ТЕ_2ст_тариф_з ІТП'!V111/G$21*1000/12</f>
        <v>0</v>
      </c>
    </row>
    <row r="92" spans="1:7">
      <c r="A92" s="762" t="s">
        <v>1390</v>
      </c>
      <c r="B92" s="140" t="s">
        <v>5</v>
      </c>
      <c r="C92" s="777" t="s">
        <v>1422</v>
      </c>
      <c r="D92" s="748">
        <f>'ТЕ_2ст_тариф_з ІТП'!J112/D$21*1000/12</f>
        <v>0</v>
      </c>
      <c r="E92" s="748">
        <f>'ТЕ_2ст_тариф_з ІТП'!M112/E$21*1000/12</f>
        <v>0</v>
      </c>
      <c r="F92" s="748">
        <f>'ТЕ_2ст_тариф_з ІТП'!P112/F$21*1000/12</f>
        <v>0</v>
      </c>
      <c r="G92" s="748">
        <f>'ТЕ_2ст_тариф_з ІТП'!V112/G$21*1000/12</f>
        <v>0</v>
      </c>
    </row>
    <row r="93" spans="1:7">
      <c r="A93" s="762" t="s">
        <v>1391</v>
      </c>
      <c r="B93" s="140" t="s">
        <v>59</v>
      </c>
      <c r="C93" s="777" t="s">
        <v>1422</v>
      </c>
      <c r="D93" s="748">
        <f>'ТЕ_2ст_тариф_з ІТП'!J113/D$21*1000/12</f>
        <v>0</v>
      </c>
      <c r="E93" s="748">
        <f>'ТЕ_2ст_тариф_з ІТП'!M113/E$21*1000/12</f>
        <v>0</v>
      </c>
      <c r="F93" s="748">
        <f>'ТЕ_2ст_тариф_з ІТП'!P113/F$21*1000/12</f>
        <v>0</v>
      </c>
      <c r="G93" s="748">
        <f>'ТЕ_2ст_тариф_з ІТП'!V113/G$21*1000/12</f>
        <v>0</v>
      </c>
    </row>
    <row r="94" spans="1:7">
      <c r="A94" s="762" t="s">
        <v>1392</v>
      </c>
      <c r="B94" s="140" t="s">
        <v>220</v>
      </c>
      <c r="C94" s="777" t="s">
        <v>1422</v>
      </c>
      <c r="D94" s="748">
        <f>'ТЕ_2ст_тариф_з ІТП'!J114/D$21*1000/12</f>
        <v>0</v>
      </c>
      <c r="E94" s="748">
        <f>'ТЕ_2ст_тариф_з ІТП'!M114/E$21*1000/12</f>
        <v>0</v>
      </c>
      <c r="F94" s="748">
        <f>'ТЕ_2ст_тариф_з ІТП'!P114/F$21*1000/12</f>
        <v>0</v>
      </c>
      <c r="G94" s="748">
        <f>'ТЕ_2ст_тариф_з ІТП'!V114/G$21*1000/12</f>
        <v>0</v>
      </c>
    </row>
    <row r="95" spans="1:7">
      <c r="A95" s="762" t="s">
        <v>1393</v>
      </c>
      <c r="B95" s="140" t="s">
        <v>221</v>
      </c>
      <c r="C95" s="777" t="s">
        <v>1422</v>
      </c>
      <c r="D95" s="748">
        <f>'ТЕ_2ст_тариф_з ІТП'!J115/D$21*1000/12</f>
        <v>0</v>
      </c>
      <c r="E95" s="748">
        <f>'ТЕ_2ст_тариф_з ІТП'!M115/E$21*1000/12</f>
        <v>0</v>
      </c>
      <c r="F95" s="748">
        <f>'ТЕ_2ст_тариф_з ІТП'!P115/F$21*1000/12</f>
        <v>0</v>
      </c>
      <c r="G95" s="748">
        <f>'ТЕ_2ст_тариф_з ІТП'!V115/G$21*1000/12</f>
        <v>0</v>
      </c>
    </row>
    <row r="96" spans="1:7">
      <c r="A96" s="762" t="s">
        <v>1036</v>
      </c>
      <c r="B96" s="140" t="s">
        <v>61</v>
      </c>
      <c r="C96" s="777" t="s">
        <v>1422</v>
      </c>
      <c r="D96" s="748">
        <f>'ТЕ_2ст_тариф_з ІТП'!J116/D$21*1000/12</f>
        <v>0</v>
      </c>
      <c r="E96" s="748">
        <f>'ТЕ_2ст_тариф_з ІТП'!M116/E$21*1000/12</f>
        <v>0</v>
      </c>
      <c r="F96" s="748">
        <f>'ТЕ_2ст_тариф_з ІТП'!P116/F$21*1000/12</f>
        <v>0</v>
      </c>
      <c r="G96" s="748">
        <f>'ТЕ_2ст_тариф_з ІТП'!V116/G$21*1000/12</f>
        <v>0</v>
      </c>
    </row>
    <row r="97" spans="1:9">
      <c r="A97" s="762" t="s">
        <v>1039</v>
      </c>
      <c r="B97" s="140" t="s">
        <v>80</v>
      </c>
      <c r="C97" s="777" t="s">
        <v>1422</v>
      </c>
      <c r="D97" s="748">
        <f>'ТЕ_2ст_тариф_з ІТП'!J117/D$21*1000/12</f>
        <v>0</v>
      </c>
      <c r="E97" s="748">
        <f>'ТЕ_2ст_тариф_з ІТП'!M117/E$21*1000/12</f>
        <v>0</v>
      </c>
      <c r="F97" s="748">
        <f>'ТЕ_2ст_тариф_з ІТП'!P117/F$21*1000/12</f>
        <v>0</v>
      </c>
      <c r="G97" s="748">
        <f>'ТЕ_2ст_тариф_з ІТП'!V117/G$21*1000/12</f>
        <v>0</v>
      </c>
    </row>
    <row r="98" spans="1:9">
      <c r="A98" s="762" t="s">
        <v>1041</v>
      </c>
      <c r="B98" s="140" t="s">
        <v>81</v>
      </c>
      <c r="C98" s="777" t="s">
        <v>1422</v>
      </c>
      <c r="D98" s="748">
        <f>'ТЕ_2ст_тариф_з ІТП'!J118/D$21*1000/12</f>
        <v>0</v>
      </c>
      <c r="E98" s="748">
        <f>'ТЕ_2ст_тариф_з ІТП'!M118/E$21*1000/12</f>
        <v>0</v>
      </c>
      <c r="F98" s="748">
        <f>'ТЕ_2ст_тариф_з ІТП'!P118/F$21*1000/12</f>
        <v>0</v>
      </c>
      <c r="G98" s="748">
        <f>'ТЕ_2ст_тариф_з ІТП'!V118/G$21*1000/12</f>
        <v>0</v>
      </c>
    </row>
    <row r="99" spans="1:9">
      <c r="A99" s="762" t="s">
        <v>1474</v>
      </c>
      <c r="B99" s="140" t="s">
        <v>67</v>
      </c>
      <c r="C99" s="777" t="s">
        <v>1422</v>
      </c>
      <c r="D99" s="748">
        <f>'ТЕ_2ст_тариф_з ІТП'!J119/D$21*1000/12</f>
        <v>0</v>
      </c>
      <c r="E99" s="748">
        <f>'ТЕ_2ст_тариф_з ІТП'!M119/E$21*1000/12</f>
        <v>0</v>
      </c>
      <c r="F99" s="748">
        <f>'ТЕ_2ст_тариф_з ІТП'!P119/F$21*1000/12</f>
        <v>0</v>
      </c>
      <c r="G99" s="748">
        <f>'ТЕ_2ст_тариф_з ІТП'!V119/G$21*1000/12</f>
        <v>0</v>
      </c>
    </row>
    <row r="100" spans="1:9">
      <c r="A100" s="762" t="s">
        <v>1475</v>
      </c>
      <c r="B100" s="140" t="s">
        <v>82</v>
      </c>
      <c r="C100" s="777" t="s">
        <v>1422</v>
      </c>
      <c r="D100" s="748">
        <f>'ТЕ_2ст_тариф_з ІТП'!J120/D$21*1000/12</f>
        <v>0</v>
      </c>
      <c r="E100" s="748">
        <f>'ТЕ_2ст_тариф_з ІТП'!M120/E$21*1000/12</f>
        <v>0</v>
      </c>
      <c r="F100" s="748">
        <f>'ТЕ_2ст_тариф_з ІТП'!P120/F$21*1000/12</f>
        <v>0</v>
      </c>
      <c r="G100" s="748">
        <f>'ТЕ_2ст_тариф_з ІТП'!V120/G$21*1000/12</f>
        <v>0</v>
      </c>
    </row>
    <row r="101" spans="1:9">
      <c r="A101" s="2934" t="s">
        <v>1427</v>
      </c>
      <c r="B101" s="2934"/>
      <c r="C101" s="2934"/>
      <c r="D101" s="2934"/>
      <c r="E101" s="2934"/>
      <c r="F101" s="2934"/>
      <c r="G101" s="2934"/>
    </row>
    <row r="102" spans="1:9" ht="26.4">
      <c r="A102" s="759" t="s">
        <v>1394</v>
      </c>
      <c r="B102" s="140" t="s">
        <v>1409</v>
      </c>
      <c r="C102" s="775" t="s">
        <v>1420</v>
      </c>
      <c r="D102" s="748">
        <f>'ТЕ_2ст_тариф_з ІТП'!J160/D$20*1000/12</f>
        <v>2870.6327287162926</v>
      </c>
      <c r="E102" s="748">
        <f>'ТЕ_2ст_тариф_з ІТП'!M160/E$20*1000/12</f>
        <v>2870.6327287162931</v>
      </c>
      <c r="F102" s="748">
        <f>'ТЕ_2ст_тариф_з ІТП'!P160/F$20*1000/12</f>
        <v>2870.6327287162926</v>
      </c>
      <c r="G102" s="748">
        <f>'ТЕ_2ст_тариф_з ІТП'!V160/G$20*1000/12</f>
        <v>2870.6327287162931</v>
      </c>
      <c r="I102" s="568"/>
    </row>
    <row r="103" spans="1:9">
      <c r="A103" s="760" t="s">
        <v>1395</v>
      </c>
      <c r="B103" s="140" t="s">
        <v>201</v>
      </c>
      <c r="C103" s="777" t="s">
        <v>1422</v>
      </c>
      <c r="D103" s="748">
        <f>'ТЕ_2ст_тариф_з ІТП'!J131/D$20*1000/12</f>
        <v>2516.0384806955876</v>
      </c>
      <c r="E103" s="748">
        <f>'ТЕ_2ст_тариф_з ІТП'!M131/E$20*1000/12</f>
        <v>2516.0384806955881</v>
      </c>
      <c r="F103" s="748">
        <f>'ТЕ_2ст_тариф_з ІТП'!P131/F$20*1000/12</f>
        <v>2516.0384806955876</v>
      </c>
      <c r="G103" s="748">
        <f>'ТЕ_2ст_тариф_з ІТП'!V131/G$20*1000/12</f>
        <v>2516.0384806955881</v>
      </c>
    </row>
    <row r="104" spans="1:9">
      <c r="A104" s="760" t="s">
        <v>1396</v>
      </c>
      <c r="B104" s="140" t="s">
        <v>97</v>
      </c>
      <c r="C104" s="777" t="s">
        <v>1422</v>
      </c>
      <c r="D104" s="748">
        <f>'ТЕ_2ст_тариф_з ІТП'!J132/D$20*1000/12</f>
        <v>0</v>
      </c>
      <c r="E104" s="748">
        <f>'ТЕ_2ст_тариф_з ІТП'!M132/E$20*1000/12</f>
        <v>0</v>
      </c>
      <c r="F104" s="748">
        <f>'ТЕ_2ст_тариф_з ІТП'!P132/F$20*1000/12</f>
        <v>0</v>
      </c>
      <c r="G104" s="748">
        <f>'ТЕ_2ст_тариф_з ІТП'!V132/G$20*1000/12</f>
        <v>0</v>
      </c>
    </row>
    <row r="105" spans="1:9">
      <c r="A105" s="760" t="s">
        <v>1397</v>
      </c>
      <c r="B105" s="140" t="s">
        <v>43</v>
      </c>
      <c r="C105" s="777" t="s">
        <v>1422</v>
      </c>
      <c r="D105" s="748">
        <f>'ТЕ_2ст_тариф_з ІТП'!J133/D$20*1000/12</f>
        <v>2374.6399687126591</v>
      </c>
      <c r="E105" s="748">
        <f>'ТЕ_2ст_тариф_з ІТП'!M133/E$20*1000/12</f>
        <v>2374.63996871266</v>
      </c>
      <c r="F105" s="748">
        <f>'ТЕ_2ст_тариф_з ІТП'!P133/F$20*1000/12</f>
        <v>2374.6399687126595</v>
      </c>
      <c r="G105" s="748">
        <f>'ТЕ_2ст_тариф_з ІТП'!V133/G$20*1000/12</f>
        <v>2374.63996871266</v>
      </c>
    </row>
    <row r="106" spans="1:9">
      <c r="A106" s="760" t="s">
        <v>1398</v>
      </c>
      <c r="B106" s="140" t="s">
        <v>203</v>
      </c>
      <c r="C106" s="777" t="s">
        <v>1422</v>
      </c>
      <c r="D106" s="748">
        <f>'ТЕ_2ст_тариф_з ІТП'!J134/D$20*1000/12</f>
        <v>114.93257448569273</v>
      </c>
      <c r="E106" s="748">
        <f>'ТЕ_2ст_тариф_з ІТП'!M134/E$20*1000/12</f>
        <v>114.93257448569277</v>
      </c>
      <c r="F106" s="748">
        <f>'ТЕ_2ст_тариф_з ІТП'!P134/F$20*1000/12</f>
        <v>114.93257448569274</v>
      </c>
      <c r="G106" s="748">
        <f>'ТЕ_2ст_тариф_з ІТП'!V134/G$20*1000/12</f>
        <v>114.93257448569277</v>
      </c>
    </row>
    <row r="107" spans="1:9" ht="26.4">
      <c r="A107" s="760" t="s">
        <v>1476</v>
      </c>
      <c r="B107" s="140" t="s">
        <v>433</v>
      </c>
      <c r="C107" s="777" t="s">
        <v>1422</v>
      </c>
      <c r="D107" s="748">
        <f>'ТЕ_2ст_тариф_з ІТП'!J135/D$20*1000/12</f>
        <v>114.93257448569273</v>
      </c>
      <c r="E107" s="748">
        <f>'ТЕ_2ст_тариф_з ІТП'!M135/E$20*1000/12</f>
        <v>114.93257448569277</v>
      </c>
      <c r="F107" s="748">
        <f>'ТЕ_2ст_тариф_з ІТП'!P135/F$20*1000/12</f>
        <v>114.93257448569274</v>
      </c>
      <c r="G107" s="748">
        <f>'ТЕ_2ст_тариф_з ІТП'!V135/G$20*1000/12</f>
        <v>114.93257448569277</v>
      </c>
    </row>
    <row r="108" spans="1:9">
      <c r="A108" s="760" t="s">
        <v>1477</v>
      </c>
      <c r="B108" s="140" t="s">
        <v>441</v>
      </c>
      <c r="C108" s="777" t="s">
        <v>1422</v>
      </c>
      <c r="D108" s="748">
        <f>'ТЕ_2ст_тариф_з ІТП'!J136/D$20*1000/12</f>
        <v>0</v>
      </c>
      <c r="E108" s="748">
        <f>'ТЕ_2ст_тариф_з ІТП'!M136/E$20*1000/12</f>
        <v>0</v>
      </c>
      <c r="F108" s="748">
        <f>'ТЕ_2ст_тариф_з ІТП'!P136/F$20*1000/12</f>
        <v>0</v>
      </c>
      <c r="G108" s="748">
        <f>'ТЕ_2ст_тариф_з ІТП'!V136/G$20*1000/12</f>
        <v>0</v>
      </c>
    </row>
    <row r="109" spans="1:9">
      <c r="A109" s="760" t="s">
        <v>1478</v>
      </c>
      <c r="B109" s="140" t="s">
        <v>48</v>
      </c>
      <c r="C109" s="777" t="s">
        <v>1422</v>
      </c>
      <c r="D109" s="748">
        <f>'ТЕ_2ст_тариф_з ІТП'!J137/D$20*1000/12</f>
        <v>0</v>
      </c>
      <c r="E109" s="748">
        <f>'ТЕ_2ст_тариф_з ІТП'!M137/E$20*1000/12</f>
        <v>0</v>
      </c>
      <c r="F109" s="748">
        <f>'ТЕ_2ст_тариф_з ІТП'!P137/F$20*1000/12</f>
        <v>0</v>
      </c>
      <c r="G109" s="748">
        <f>'ТЕ_2ст_тариф_з ІТП'!V137/G$20*1000/12</f>
        <v>0</v>
      </c>
    </row>
    <row r="110" spans="1:9">
      <c r="A110" s="760" t="s">
        <v>1479</v>
      </c>
      <c r="B110" s="140" t="s">
        <v>204</v>
      </c>
      <c r="C110" s="777" t="s">
        <v>1422</v>
      </c>
      <c r="D110" s="748">
        <f>'ТЕ_2ст_тариф_з ІТП'!J138/D$20*1000/12</f>
        <v>26.465937497235487</v>
      </c>
      <c r="E110" s="748">
        <f>'ТЕ_2ст_тариф_з ІТП'!M138/E$20*1000/12</f>
        <v>26.46593749723549</v>
      </c>
      <c r="F110" s="748">
        <f>'ТЕ_2ст_тариф_з ІТП'!P138/F$20*1000/12</f>
        <v>26.465937497235487</v>
      </c>
      <c r="G110" s="748">
        <f>'ТЕ_2ст_тариф_з ІТП'!V138/G$20*1000/12</f>
        <v>26.465937497235497</v>
      </c>
    </row>
    <row r="111" spans="1:9">
      <c r="A111" s="760" t="s">
        <v>1480</v>
      </c>
      <c r="B111" s="140" t="s">
        <v>51</v>
      </c>
      <c r="C111" s="777" t="s">
        <v>1422</v>
      </c>
      <c r="D111" s="748">
        <f>'ТЕ_2ст_тариф_з ІТП'!J139/D$20*1000/12</f>
        <v>25.080641394006232</v>
      </c>
      <c r="E111" s="748">
        <f>'ТЕ_2ст_тариф_з ІТП'!M139/E$20*1000/12</f>
        <v>25.080641394006236</v>
      </c>
      <c r="F111" s="748">
        <f>'ТЕ_2ст_тариф_з ІТП'!P139/F$20*1000/12</f>
        <v>25.080641394006236</v>
      </c>
      <c r="G111" s="748">
        <f>'ТЕ_2ст_тариф_з ІТП'!V139/G$20*1000/12</f>
        <v>25.080641394006236</v>
      </c>
    </row>
    <row r="112" spans="1:9" ht="26.4">
      <c r="A112" s="760" t="s">
        <v>1481</v>
      </c>
      <c r="B112" s="140" t="s">
        <v>433</v>
      </c>
      <c r="C112" s="777" t="s">
        <v>1422</v>
      </c>
      <c r="D112" s="748">
        <f>'ТЕ_2ст_тариф_з ІТП'!J140/D$20*1000/12</f>
        <v>1.2139030434699014</v>
      </c>
      <c r="E112" s="748">
        <f>'ТЕ_2ст_тариф_з ІТП'!M140/E$20*1000/12</f>
        <v>1.2139030434699019</v>
      </c>
      <c r="F112" s="748">
        <f>'ТЕ_2ст_тариф_з ІТП'!P140/F$20*1000/12</f>
        <v>1.2139030434699016</v>
      </c>
      <c r="G112" s="748">
        <f>'ТЕ_2ст_тариф_з ІТП'!V140/G$20*1000/12</f>
        <v>1.2139030434699019</v>
      </c>
    </row>
    <row r="113" spans="1:7">
      <c r="A113" s="760" t="s">
        <v>1482</v>
      </c>
      <c r="B113" s="140" t="s">
        <v>54</v>
      </c>
      <c r="C113" s="777" t="s">
        <v>1422</v>
      </c>
      <c r="D113" s="748">
        <f>'ТЕ_2ст_тариф_з ІТП'!J141/D$20*1000/12</f>
        <v>0.17139305975935407</v>
      </c>
      <c r="E113" s="748">
        <f>'ТЕ_2ст_тариф_з ІТП'!M141/E$20*1000/12</f>
        <v>0.17139305975935415</v>
      </c>
      <c r="F113" s="748">
        <f>'ТЕ_2ст_тариф_з ІТП'!P141/F$20*1000/12</f>
        <v>0.17139305975935412</v>
      </c>
      <c r="G113" s="748">
        <f>'ТЕ_2ст_тариф_з ІТП'!V141/G$20*1000/12</f>
        <v>0.17139305975935412</v>
      </c>
    </row>
    <row r="114" spans="1:7">
      <c r="A114" s="760" t="s">
        <v>1399</v>
      </c>
      <c r="B114" s="140" t="s">
        <v>205</v>
      </c>
      <c r="C114" s="777" t="s">
        <v>1422</v>
      </c>
      <c r="D114" s="748">
        <f>'ТЕ_2ст_тариф_з ІТП'!J142/D$20*1000/12</f>
        <v>224.26284357374882</v>
      </c>
      <c r="E114" s="748">
        <f>'ТЕ_2ст_тариф_з ІТП'!M142/E$20*1000/12</f>
        <v>224.26284357374888</v>
      </c>
      <c r="F114" s="748">
        <f>'ТЕ_2ст_тариф_з ІТП'!P142/F$20*1000/12</f>
        <v>224.26284357374882</v>
      </c>
      <c r="G114" s="748">
        <f>'ТЕ_2ст_тариф_з ІТП'!V142/G$20*1000/12</f>
        <v>224.26284357374882</v>
      </c>
    </row>
    <row r="115" spans="1:7">
      <c r="A115" s="760" t="s">
        <v>1052</v>
      </c>
      <c r="B115" s="140" t="s">
        <v>51</v>
      </c>
      <c r="C115" s="777" t="s">
        <v>1422</v>
      </c>
      <c r="D115" s="748">
        <f>'ТЕ_2ст_тариф_з ІТП'!J143/D$20*1000/12</f>
        <v>192.61528882913396</v>
      </c>
      <c r="E115" s="748">
        <f>'ТЕ_2ст_тариф_з ІТП'!M143/E$20*1000/12</f>
        <v>192.61528882913399</v>
      </c>
      <c r="F115" s="748">
        <f>'ТЕ_2ст_тариф_з ІТП'!P143/F$20*1000/12</f>
        <v>192.61528882913396</v>
      </c>
      <c r="G115" s="748">
        <f>'ТЕ_2ст_тариф_з ІТП'!V143/G$20*1000/12</f>
        <v>192.61528882913399</v>
      </c>
    </row>
    <row r="116" spans="1:7" ht="26.4">
      <c r="A116" s="760" t="s">
        <v>1054</v>
      </c>
      <c r="B116" s="140" t="s">
        <v>433</v>
      </c>
      <c r="C116" s="777" t="s">
        <v>1422</v>
      </c>
      <c r="D116" s="748">
        <f>'ТЕ_2ст_тариф_з ІТП'!J144/D$20*1000/12</f>
        <v>9.3225799793300812</v>
      </c>
      <c r="E116" s="748">
        <f>'ТЕ_2ст_тариф_з ІТП'!M144/E$20*1000/12</f>
        <v>9.3225799793300848</v>
      </c>
      <c r="F116" s="748">
        <f>'ТЕ_2ст_тариф_з ІТП'!P144/F$20*1000/12</f>
        <v>9.322579979330083</v>
      </c>
      <c r="G116" s="748">
        <f>'ТЕ_2ст_тариф_з ІТП'!V144/G$20*1000/12</f>
        <v>9.3225799793300848</v>
      </c>
    </row>
    <row r="117" spans="1:7">
      <c r="A117" s="760" t="s">
        <v>1400</v>
      </c>
      <c r="B117" s="140" t="s">
        <v>54</v>
      </c>
      <c r="C117" s="777" t="s">
        <v>1422</v>
      </c>
      <c r="D117" s="748">
        <f>'ТЕ_2ст_тариф_з ІТП'!J145/D$20*1000/12</f>
        <v>22.324974765284768</v>
      </c>
      <c r="E117" s="748">
        <f>'ТЕ_2ст_тариф_з ІТП'!M145/E$20*1000/12</f>
        <v>22.324974765284775</v>
      </c>
      <c r="F117" s="748">
        <f>'ТЕ_2ст_тариф_з ІТП'!P145/F$20*1000/12</f>
        <v>22.324974765284768</v>
      </c>
      <c r="G117" s="748">
        <f>'ТЕ_2ст_тариф_з ІТП'!V145/G$20*1000/12</f>
        <v>22.324974765284775</v>
      </c>
    </row>
    <row r="118" spans="1:7">
      <c r="A118" s="760" t="s">
        <v>1401</v>
      </c>
      <c r="B118" s="171" t="s">
        <v>206</v>
      </c>
      <c r="C118" s="777" t="s">
        <v>1422</v>
      </c>
      <c r="D118" s="748">
        <f>'ТЕ_2ст_тариф_з ІТП'!J146/D$20*1000/12</f>
        <v>0</v>
      </c>
      <c r="E118" s="748">
        <f>'ТЕ_2ст_тариф_з ІТП'!M146/E$20*1000/12</f>
        <v>0</v>
      </c>
      <c r="F118" s="748">
        <f>'ТЕ_2ст_тариф_з ІТП'!P146/F$20*1000/12</f>
        <v>0</v>
      </c>
      <c r="G118" s="748">
        <f>'ТЕ_2ст_тариф_з ІТП'!V146/G$20*1000/12</f>
        <v>0</v>
      </c>
    </row>
    <row r="119" spans="1:7">
      <c r="A119" s="760" t="s">
        <v>1483</v>
      </c>
      <c r="B119" s="171" t="s">
        <v>51</v>
      </c>
      <c r="C119" s="777" t="s">
        <v>1422</v>
      </c>
      <c r="D119" s="748">
        <f>'ТЕ_2ст_тариф_з ІТП'!J147/D$20*1000/12</f>
        <v>0</v>
      </c>
      <c r="E119" s="748">
        <f>'ТЕ_2ст_тариф_з ІТП'!M147/E$20*1000/12</f>
        <v>0</v>
      </c>
      <c r="F119" s="748">
        <f>'ТЕ_2ст_тариф_з ІТП'!P147/F$20*1000/12</f>
        <v>0</v>
      </c>
      <c r="G119" s="748">
        <f>'ТЕ_2ст_тариф_з ІТП'!V147/G$20*1000/12</f>
        <v>0</v>
      </c>
    </row>
    <row r="120" spans="1:7" ht="26.4">
      <c r="A120" s="760" t="s">
        <v>1484</v>
      </c>
      <c r="B120" s="171" t="s">
        <v>433</v>
      </c>
      <c r="C120" s="777" t="s">
        <v>1422</v>
      </c>
      <c r="D120" s="748">
        <f>'ТЕ_2ст_тариф_з ІТП'!J148/D$20*1000/12</f>
        <v>0</v>
      </c>
      <c r="E120" s="748">
        <f>'ТЕ_2ст_тариф_з ІТП'!M148/E$20*1000/12</f>
        <v>0</v>
      </c>
      <c r="F120" s="748">
        <f>'ТЕ_2ст_тариф_з ІТП'!P148/F$20*1000/12</f>
        <v>0</v>
      </c>
      <c r="G120" s="748">
        <f>'ТЕ_2ст_тариф_з ІТП'!V148/G$20*1000/12</f>
        <v>0</v>
      </c>
    </row>
    <row r="121" spans="1:7">
      <c r="A121" s="760" t="s">
        <v>1485</v>
      </c>
      <c r="B121" s="755" t="s">
        <v>219</v>
      </c>
      <c r="C121" s="777" t="s">
        <v>1422</v>
      </c>
      <c r="D121" s="748">
        <f>'ТЕ_2ст_тариф_з ІТП'!J149/D$20*1000/12</f>
        <v>0</v>
      </c>
      <c r="E121" s="748">
        <f>'ТЕ_2ст_тариф_з ІТП'!M149/E$20*1000/12</f>
        <v>0</v>
      </c>
      <c r="F121" s="748">
        <f>'ТЕ_2ст_тариф_з ІТП'!P149/F$20*1000/12</f>
        <v>0</v>
      </c>
      <c r="G121" s="748">
        <f>'ТЕ_2ст_тариф_з ІТП'!V149/G$20*1000/12</f>
        <v>0</v>
      </c>
    </row>
    <row r="122" spans="1:7">
      <c r="A122" s="760" t="s">
        <v>1402</v>
      </c>
      <c r="B122" s="140" t="s">
        <v>100</v>
      </c>
      <c r="C122" s="777" t="s">
        <v>1422</v>
      </c>
      <c r="D122" s="748">
        <f>'ТЕ_2ст_тариф_з ІТП'!J150/D$20*1000/12</f>
        <v>0</v>
      </c>
      <c r="E122" s="748">
        <f>'ТЕ_2ст_тариф_з ІТП'!M150/E$20*1000/12</f>
        <v>0</v>
      </c>
      <c r="F122" s="748">
        <f>'ТЕ_2ст_тариф_з ІТП'!P150/F$20*1000/12</f>
        <v>0</v>
      </c>
      <c r="G122" s="748">
        <f>'ТЕ_2ст_тариф_з ІТП'!V150/G$20*1000/12</f>
        <v>0</v>
      </c>
    </row>
    <row r="123" spans="1:7">
      <c r="A123" s="760" t="s">
        <v>1403</v>
      </c>
      <c r="B123" s="140" t="s">
        <v>5</v>
      </c>
      <c r="C123" s="777" t="s">
        <v>1422</v>
      </c>
      <c r="D123" s="748">
        <f>'ТЕ_2ст_тариф_з ІТП'!J151/D$20*1000/12</f>
        <v>0</v>
      </c>
      <c r="E123" s="748">
        <f>'ТЕ_2ст_тариф_з ІТП'!M151/E$20*1000/12</f>
        <v>0</v>
      </c>
      <c r="F123" s="748">
        <f>'ТЕ_2ст_тариф_з ІТП'!P151/F$20*1000/12</f>
        <v>0</v>
      </c>
      <c r="G123" s="748">
        <f>'ТЕ_2ст_тариф_з ІТП'!V151/G$20*1000/12</f>
        <v>0</v>
      </c>
    </row>
    <row r="124" spans="1:7">
      <c r="A124" s="760" t="s">
        <v>1404</v>
      </c>
      <c r="B124" s="140" t="s">
        <v>59</v>
      </c>
      <c r="C124" s="777" t="s">
        <v>1422</v>
      </c>
      <c r="D124" s="748">
        <f>'ТЕ_2ст_тариф_з ІТП'!J152/D$20*1000/12</f>
        <v>2740.301324269336</v>
      </c>
      <c r="E124" s="748">
        <f>'ТЕ_2ст_тариф_з ІТП'!M152/E$20*1000/12</f>
        <v>2740.3013242693373</v>
      </c>
      <c r="F124" s="748">
        <f>'ТЕ_2ст_тариф_з ІТП'!P152/F$20*1000/12</f>
        <v>2740.3013242693364</v>
      </c>
      <c r="G124" s="748">
        <f>'ТЕ_2ст_тариф_з ІТП'!V152/G$20*1000/12</f>
        <v>2740.3013242693373</v>
      </c>
    </row>
    <row r="125" spans="1:7">
      <c r="A125" s="760" t="s">
        <v>1405</v>
      </c>
      <c r="B125" s="140" t="s">
        <v>207</v>
      </c>
      <c r="C125" s="777" t="s">
        <v>1422</v>
      </c>
      <c r="D125" s="748">
        <f>'ТЕ_2ст_тариф_з ІТП'!J153/D$20*1000/12</f>
        <v>0</v>
      </c>
      <c r="E125" s="748">
        <f>'ТЕ_2ст_тариф_з ІТП'!M153/E$20*1000/12</f>
        <v>0</v>
      </c>
      <c r="F125" s="748">
        <f>'ТЕ_2ст_тариф_з ІТП'!P153/F$20*1000/12</f>
        <v>0</v>
      </c>
      <c r="G125" s="748">
        <f>'ТЕ_2ст_тариф_з ІТП'!V153/G$20*1000/12</f>
        <v>0</v>
      </c>
    </row>
    <row r="126" spans="1:7">
      <c r="A126" s="760" t="s">
        <v>1486</v>
      </c>
      <c r="B126" s="140" t="s">
        <v>226</v>
      </c>
      <c r="C126" s="777" t="s">
        <v>1422</v>
      </c>
      <c r="D126" s="748">
        <f>'ТЕ_2ст_тариф_з ІТП'!J154/D$20*1000/12</f>
        <v>130.33140444695621</v>
      </c>
      <c r="E126" s="748">
        <f>'ТЕ_2ст_тариф_з ІТП'!M154/E$20*1000/12</f>
        <v>130.33140444695627</v>
      </c>
      <c r="F126" s="748">
        <f>'ТЕ_2ст_тариф_з ІТП'!P154/F$20*1000/12</f>
        <v>130.33140444695627</v>
      </c>
      <c r="G126" s="748">
        <f>'ТЕ_2ст_тариф_з ІТП'!V154/G$20*1000/12</f>
        <v>130.33140444695627</v>
      </c>
    </row>
    <row r="127" spans="1:7">
      <c r="A127" s="760" t="s">
        <v>1487</v>
      </c>
      <c r="B127" s="140" t="s">
        <v>61</v>
      </c>
      <c r="C127" s="777" t="s">
        <v>1422</v>
      </c>
      <c r="D127" s="748">
        <f>'ТЕ_2ст_тариф_з ІТП'!J155/D$20*1000/12</f>
        <v>23.459652800452115</v>
      </c>
      <c r="E127" s="748">
        <f>'ТЕ_2ст_тариф_з ІТП'!M155/E$20*1000/12</f>
        <v>23.459652800452123</v>
      </c>
      <c r="F127" s="748">
        <f>'ТЕ_2ст_тариф_з ІТП'!P155/F$20*1000/12</f>
        <v>23.459652800452123</v>
      </c>
      <c r="G127" s="748">
        <f>'ТЕ_2ст_тариф_з ІТП'!V155/G$20*1000/12</f>
        <v>23.459652800452119</v>
      </c>
    </row>
    <row r="128" spans="1:7">
      <c r="A128" s="760" t="s">
        <v>1488</v>
      </c>
      <c r="B128" s="140" t="s">
        <v>80</v>
      </c>
      <c r="C128" s="777" t="s">
        <v>1422</v>
      </c>
      <c r="D128" s="748">
        <f>'ТЕ_2ст_тариф_з ІТП'!J156/D$20*1000/12</f>
        <v>0</v>
      </c>
      <c r="E128" s="748">
        <f>'ТЕ_2ст_тариф_з ІТП'!M156/E$20*1000/12</f>
        <v>0</v>
      </c>
      <c r="F128" s="748">
        <f>'ТЕ_2ст_тариф_з ІТП'!P156/F$20*1000/12</f>
        <v>0</v>
      </c>
      <c r="G128" s="748">
        <f>'ТЕ_2ст_тариф_з ІТП'!V156/G$20*1000/12</f>
        <v>0</v>
      </c>
    </row>
    <row r="129" spans="1:7">
      <c r="A129" s="760" t="s">
        <v>1489</v>
      </c>
      <c r="B129" s="140" t="s">
        <v>81</v>
      </c>
      <c r="C129" s="777" t="s">
        <v>1422</v>
      </c>
      <c r="D129" s="748">
        <f>'ТЕ_2ст_тариф_з ІТП'!J157/D$20*1000/12</f>
        <v>0</v>
      </c>
      <c r="E129" s="748">
        <f>'ТЕ_2ст_тариф_з ІТП'!M157/E$20*1000/12</f>
        <v>0</v>
      </c>
      <c r="F129" s="748">
        <f>'ТЕ_2ст_тариф_з ІТП'!P157/F$20*1000/12</f>
        <v>0</v>
      </c>
      <c r="G129" s="748">
        <f>'ТЕ_2ст_тариф_з ІТП'!V157/G$20*1000/12</f>
        <v>0</v>
      </c>
    </row>
    <row r="130" spans="1:7">
      <c r="A130" s="760" t="s">
        <v>1490</v>
      </c>
      <c r="B130" s="140" t="s">
        <v>67</v>
      </c>
      <c r="C130" s="777" t="s">
        <v>1422</v>
      </c>
      <c r="D130" s="748">
        <f>'ТЕ_2ст_тариф_з ІТП'!J158/D$20*1000/12</f>
        <v>0</v>
      </c>
      <c r="E130" s="748">
        <f>'ТЕ_2ст_тариф_з ІТП'!M158/E$20*1000/12</f>
        <v>0</v>
      </c>
      <c r="F130" s="748">
        <f>'ТЕ_2ст_тариф_з ІТП'!P158/F$20*1000/12</f>
        <v>0</v>
      </c>
      <c r="G130" s="748">
        <f>'ТЕ_2ст_тариф_з ІТП'!V158/G$20*1000/12</f>
        <v>0</v>
      </c>
    </row>
    <row r="131" spans="1:7">
      <c r="A131" s="760" t="s">
        <v>1491</v>
      </c>
      <c r="B131" s="140" t="s">
        <v>82</v>
      </c>
      <c r="C131" s="777" t="s">
        <v>1422</v>
      </c>
      <c r="D131" s="748">
        <f>'ТЕ_2ст_тариф_з ІТП'!J159/D$20*1000/12</f>
        <v>106.87175164650411</v>
      </c>
      <c r="E131" s="748">
        <f>'ТЕ_2ст_тариф_з ІТП'!M159/E$20*1000/12</f>
        <v>106.87175164650415</v>
      </c>
      <c r="F131" s="748">
        <f>'ТЕ_2ст_тариф_з ІТП'!P159/F$20*1000/12</f>
        <v>106.87175164650414</v>
      </c>
      <c r="G131" s="748">
        <f>'ТЕ_2ст_тариф_з ІТП'!V159/G$20*1000/12</f>
        <v>106.87175164650415</v>
      </c>
    </row>
    <row r="135" spans="1:7" ht="15.6">
      <c r="B135" s="640" t="s">
        <v>1352</v>
      </c>
      <c r="C135" s="640"/>
      <c r="D135" s="3081" t="s">
        <v>1353</v>
      </c>
      <c r="E135" s="3081"/>
      <c r="F135" s="3081"/>
      <c r="G135" s="3081"/>
    </row>
    <row r="141" spans="1:7">
      <c r="D141" s="769"/>
    </row>
  </sheetData>
  <mergeCells count="22">
    <mergeCell ref="D1:G1"/>
    <mergeCell ref="L1:N1"/>
    <mergeCell ref="D2:G2"/>
    <mergeCell ref="L2:N2"/>
    <mergeCell ref="D3:G3"/>
    <mergeCell ref="L3:N3"/>
    <mergeCell ref="D4:G4"/>
    <mergeCell ref="L4:N4"/>
    <mergeCell ref="A6:G6"/>
    <mergeCell ref="A7:G7"/>
    <mergeCell ref="A9:A10"/>
    <mergeCell ref="B9:B10"/>
    <mergeCell ref="C9:C10"/>
    <mergeCell ref="D9:G9"/>
    <mergeCell ref="A101:G101"/>
    <mergeCell ref="D135:G135"/>
    <mergeCell ref="A12:G12"/>
    <mergeCell ref="A15:G15"/>
    <mergeCell ref="A23:G23"/>
    <mergeCell ref="A30:G30"/>
    <mergeCell ref="A61:G61"/>
    <mergeCell ref="A65:G65"/>
  </mergeCells>
  <pageMargins left="0.70866141732283472" right="0.31496062992125984" top="0.43307086614173229" bottom="0.35433070866141736" header="0.31496062992125984" footer="0.31496062992125984"/>
  <pageSetup paperSize="9" scale="96" fitToHeight="3"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Лист111">
    <tabColor rgb="FFEC20C5"/>
    <pageSetUpPr fitToPage="1"/>
  </sheetPr>
  <dimension ref="A1:L143"/>
  <sheetViews>
    <sheetView topLeftCell="A31" workbookViewId="0">
      <selection activeCell="A31" sqref="A1:XFD1048576"/>
    </sheetView>
  </sheetViews>
  <sheetFormatPr defaultColWidth="8.88671875" defaultRowHeight="13.8"/>
  <cols>
    <col min="1" max="1" width="5.33203125" style="614" customWidth="1"/>
    <col min="2" max="2" width="40.88671875" style="768" customWidth="1"/>
    <col min="3" max="3" width="8" style="768" customWidth="1"/>
    <col min="4" max="4" width="13.33203125" style="9" customWidth="1"/>
    <col min="5" max="5" width="12.33203125" style="9" customWidth="1"/>
    <col min="6" max="6" width="11.88671875" style="9" customWidth="1"/>
    <col min="7" max="7" width="12" style="9" customWidth="1"/>
    <col min="8" max="8" width="8.88671875" style="9"/>
    <col min="9" max="9" width="11.33203125" style="538" customWidth="1"/>
    <col min="10" max="12" width="11.33203125" style="9" customWidth="1"/>
    <col min="13" max="16384" width="8.88671875" style="9"/>
  </cols>
  <sheetData>
    <row r="1" spans="1:12" s="44" customFormat="1" ht="15.6">
      <c r="A1" s="821"/>
      <c r="B1" s="736"/>
      <c r="C1" s="736"/>
      <c r="D1" s="2924" t="s">
        <v>1426</v>
      </c>
      <c r="E1" s="2924"/>
      <c r="F1" s="2924"/>
      <c r="I1" s="621"/>
    </row>
    <row r="2" spans="1:12" s="44" customFormat="1" ht="15.6">
      <c r="A2" s="734"/>
      <c r="B2" s="736"/>
      <c r="C2" s="736"/>
      <c r="D2" s="3083" t="s">
        <v>1343</v>
      </c>
      <c r="E2" s="3083"/>
      <c r="F2" s="3083"/>
      <c r="I2" s="621"/>
    </row>
    <row r="3" spans="1:12" s="44" customFormat="1" ht="27.6" customHeight="1">
      <c r="A3" s="734"/>
      <c r="B3" s="736"/>
      <c r="C3" s="736"/>
      <c r="D3" s="3084" t="s">
        <v>1358</v>
      </c>
      <c r="E3" s="3084"/>
      <c r="F3" s="3084"/>
      <c r="I3" s="621"/>
    </row>
    <row r="4" spans="1:12" s="44" customFormat="1" ht="15.6">
      <c r="A4" s="734"/>
      <c r="B4" s="736"/>
      <c r="C4" s="736"/>
      <c r="D4" s="3083" t="s">
        <v>1354</v>
      </c>
      <c r="E4" s="3083"/>
      <c r="F4" s="3083"/>
      <c r="I4" s="621"/>
    </row>
    <row r="5" spans="1:12" s="44" customFormat="1" ht="15.6">
      <c r="A5" s="614"/>
      <c r="B5" s="735"/>
      <c r="C5" s="735"/>
      <c r="I5" s="621"/>
    </row>
    <row r="6" spans="1:12" s="44" customFormat="1" ht="15.6">
      <c r="A6" s="2925" t="s">
        <v>1410</v>
      </c>
      <c r="B6" s="2925"/>
      <c r="C6" s="2925"/>
      <c r="D6" s="2925"/>
      <c r="E6" s="2925"/>
      <c r="F6" s="2925"/>
      <c r="G6" s="2925"/>
      <c r="I6" s="621"/>
    </row>
    <row r="7" spans="1:12" s="44" customFormat="1" ht="67.2" customHeight="1">
      <c r="A7" s="2926" t="s">
        <v>1495</v>
      </c>
      <c r="B7" s="2926"/>
      <c r="C7" s="2926"/>
      <c r="D7" s="2926"/>
      <c r="E7" s="2926"/>
      <c r="F7" s="2926"/>
      <c r="G7" s="2926"/>
      <c r="I7" s="621"/>
    </row>
    <row r="8" spans="1:12" s="44" customFormat="1" ht="14.4" customHeight="1">
      <c r="A8" s="752"/>
      <c r="B8" s="752"/>
      <c r="C8" s="752"/>
      <c r="D8" s="771"/>
      <c r="E8" s="771"/>
      <c r="F8" s="771"/>
      <c r="G8" s="753" t="s">
        <v>792</v>
      </c>
      <c r="I8" s="621"/>
    </row>
    <row r="9" spans="1:12" s="39" customFormat="1" ht="15.6">
      <c r="A9" s="3088" t="s">
        <v>1362</v>
      </c>
      <c r="B9" s="2929" t="s">
        <v>104</v>
      </c>
      <c r="C9" s="2929" t="s">
        <v>1170</v>
      </c>
      <c r="D9" s="2931" t="s">
        <v>1363</v>
      </c>
      <c r="E9" s="2932"/>
      <c r="F9" s="2932"/>
      <c r="G9" s="2933"/>
      <c r="I9" s="746"/>
    </row>
    <row r="10" spans="1:12" s="39" customFormat="1" ht="39.6">
      <c r="A10" s="3089"/>
      <c r="B10" s="2930"/>
      <c r="C10" s="2930"/>
      <c r="D10" s="772" t="s">
        <v>1268</v>
      </c>
      <c r="E10" s="772" t="s">
        <v>1269</v>
      </c>
      <c r="F10" s="772" t="s">
        <v>1364</v>
      </c>
      <c r="G10" s="772" t="s">
        <v>1341</v>
      </c>
      <c r="I10" s="746"/>
    </row>
    <row r="11" spans="1:12" s="39" customFormat="1" ht="15.6">
      <c r="A11" s="647" t="s">
        <v>1259</v>
      </c>
      <c r="B11" s="751">
        <v>1</v>
      </c>
      <c r="C11" s="751">
        <v>2</v>
      </c>
      <c r="D11" s="647">
        <v>3</v>
      </c>
      <c r="E11" s="647">
        <v>4</v>
      </c>
      <c r="F11" s="647">
        <v>5</v>
      </c>
      <c r="G11" s="647">
        <v>6</v>
      </c>
      <c r="I11" s="746"/>
    </row>
    <row r="12" spans="1:12" s="44" customFormat="1" ht="15.6">
      <c r="A12" s="2935" t="s">
        <v>1365</v>
      </c>
      <c r="B12" s="2935"/>
      <c r="C12" s="2935"/>
      <c r="D12" s="2935"/>
      <c r="E12" s="2935"/>
      <c r="F12" s="2935"/>
      <c r="G12" s="2935"/>
      <c r="I12" s="621"/>
    </row>
    <row r="13" spans="1:12" s="44" customFormat="1" ht="39.6">
      <c r="A13" s="647">
        <v>1</v>
      </c>
      <c r="B13" s="740" t="s">
        <v>1366</v>
      </c>
      <c r="C13" s="772" t="s">
        <v>1173</v>
      </c>
      <c r="D13" s="744" t="e">
        <f>#REF!</f>
        <v>#REF!</v>
      </c>
      <c r="E13" s="744" t="e">
        <f>#REF!</f>
        <v>#REF!</v>
      </c>
      <c r="F13" s="744" t="e">
        <f>#REF!</f>
        <v>#REF!</v>
      </c>
      <c r="G13" s="744" t="e">
        <f>#REF!</f>
        <v>#REF!</v>
      </c>
      <c r="I13" s="1259" t="e">
        <f>D13*1.2</f>
        <v>#REF!</v>
      </c>
      <c r="J13" s="1259" t="e">
        <f t="shared" ref="J13:L14" si="0">E13*1.2</f>
        <v>#REF!</v>
      </c>
      <c r="K13" s="1259" t="e">
        <f t="shared" si="0"/>
        <v>#REF!</v>
      </c>
      <c r="L13" s="1259" t="e">
        <f>G13*1.2</f>
        <v>#REF!</v>
      </c>
    </row>
    <row r="14" spans="1:12" s="44" customFormat="1" ht="40.200000000000003" customHeight="1">
      <c r="A14" s="647">
        <v>2</v>
      </c>
      <c r="B14" s="740" t="s">
        <v>1367</v>
      </c>
      <c r="C14" s="772" t="s">
        <v>1420</v>
      </c>
      <c r="D14" s="744" t="e">
        <f>#REF!/12</f>
        <v>#REF!</v>
      </c>
      <c r="E14" s="744" t="e">
        <f>#REF!/12</f>
        <v>#REF!</v>
      </c>
      <c r="F14" s="744" t="e">
        <f>#REF!/12</f>
        <v>#REF!</v>
      </c>
      <c r="G14" s="744" t="e">
        <f>#REF!/12</f>
        <v>#REF!</v>
      </c>
      <c r="I14" s="1259" t="e">
        <f>D14*1.2</f>
        <v>#REF!</v>
      </c>
      <c r="J14" s="1259" t="e">
        <f t="shared" si="0"/>
        <v>#REF!</v>
      </c>
      <c r="K14" s="1259" t="e">
        <f t="shared" si="0"/>
        <v>#REF!</v>
      </c>
      <c r="L14" s="1259" t="e">
        <f t="shared" si="0"/>
        <v>#REF!</v>
      </c>
    </row>
    <row r="15" spans="1:12" s="44" customFormat="1" ht="15.6">
      <c r="A15" s="2936" t="s">
        <v>1368</v>
      </c>
      <c r="B15" s="2937"/>
      <c r="C15" s="2937"/>
      <c r="D15" s="2937"/>
      <c r="E15" s="2937"/>
      <c r="F15" s="2937"/>
      <c r="G15" s="2938"/>
      <c r="I15" s="621"/>
    </row>
    <row r="16" spans="1:12" s="44" customFormat="1" ht="26.4">
      <c r="A16" s="647">
        <v>3</v>
      </c>
      <c r="B16" s="740" t="s">
        <v>1421</v>
      </c>
      <c r="C16" s="772" t="s">
        <v>1098</v>
      </c>
      <c r="D16" s="745" t="e">
        <f>#REF!</f>
        <v>#REF!</v>
      </c>
      <c r="E16" s="745" t="e">
        <f>#REF!</f>
        <v>#REF!</v>
      </c>
      <c r="F16" s="745" t="e">
        <f>#REF!</f>
        <v>#REF!</v>
      </c>
      <c r="G16" s="745" t="e">
        <f>#REF!</f>
        <v>#REF!</v>
      </c>
      <c r="I16" s="747" t="e">
        <f>#REF!-#REF!-#REF!-#REF!-#REF!</f>
        <v>#REF!</v>
      </c>
    </row>
    <row r="17" spans="1:9" s="44" customFormat="1" ht="27" customHeight="1">
      <c r="A17" s="741" t="s">
        <v>1370</v>
      </c>
      <c r="B17" s="742" t="s">
        <v>1373</v>
      </c>
      <c r="C17" s="420" t="s">
        <v>1098</v>
      </c>
      <c r="D17" s="745" t="e">
        <f>#REF!</f>
        <v>#REF!</v>
      </c>
      <c r="E17" s="745" t="e">
        <f>#REF!</f>
        <v>#REF!</v>
      </c>
      <c r="F17" s="745" t="e">
        <f>#REF!</f>
        <v>#REF!</v>
      </c>
      <c r="G17" s="745" t="e">
        <f>#REF!</f>
        <v>#REF!</v>
      </c>
      <c r="I17" s="621"/>
    </row>
    <row r="18" spans="1:9" s="44" customFormat="1" ht="14.4" customHeight="1">
      <c r="A18" s="647" t="s">
        <v>1371</v>
      </c>
      <c r="B18" s="781" t="s">
        <v>536</v>
      </c>
      <c r="C18" s="420" t="s">
        <v>1098</v>
      </c>
      <c r="D18" s="745" t="e">
        <f>#REF!</f>
        <v>#REF!</v>
      </c>
      <c r="E18" s="745" t="e">
        <f>#REF!</f>
        <v>#REF!</v>
      </c>
      <c r="F18" s="745" t="e">
        <f>#REF!</f>
        <v>#REF!</v>
      </c>
      <c r="G18" s="745" t="e">
        <f>#REF!</f>
        <v>#REF!</v>
      </c>
      <c r="I18" s="621"/>
    </row>
    <row r="19" spans="1:9" s="44" customFormat="1" ht="15.6" customHeight="1">
      <c r="A19" s="647" t="s">
        <v>1372</v>
      </c>
      <c r="B19" s="781" t="s">
        <v>535</v>
      </c>
      <c r="C19" s="420" t="s">
        <v>1098</v>
      </c>
      <c r="D19" s="745" t="e">
        <f>#REF!</f>
        <v>#REF!</v>
      </c>
      <c r="E19" s="745" t="e">
        <f>#REF!</f>
        <v>#REF!</v>
      </c>
      <c r="F19" s="745" t="e">
        <f>#REF!</f>
        <v>#REF!</v>
      </c>
      <c r="G19" s="745" t="e">
        <f>#REF!</f>
        <v>#REF!</v>
      </c>
      <c r="I19" s="621"/>
    </row>
    <row r="20" spans="1:9" s="44" customFormat="1" ht="15.6">
      <c r="A20" s="647">
        <v>4</v>
      </c>
      <c r="B20" s="781" t="s">
        <v>1125</v>
      </c>
      <c r="C20" s="761" t="s">
        <v>30</v>
      </c>
      <c r="D20" s="745" t="e">
        <f>#REF!</f>
        <v>#REF!</v>
      </c>
      <c r="E20" s="745" t="e">
        <f>#REF!</f>
        <v>#REF!</v>
      </c>
      <c r="F20" s="745" t="e">
        <f>#REF!</f>
        <v>#REF!</v>
      </c>
      <c r="G20" s="745" t="e">
        <f>#REF!</f>
        <v>#REF!</v>
      </c>
      <c r="I20" s="621"/>
    </row>
    <row r="21" spans="1:9" s="44" customFormat="1" ht="15.6">
      <c r="A21" s="647" t="s">
        <v>828</v>
      </c>
      <c r="B21" s="781" t="s">
        <v>536</v>
      </c>
      <c r="C21" s="761" t="s">
        <v>30</v>
      </c>
      <c r="D21" s="745" t="e">
        <f>#REF!</f>
        <v>#REF!</v>
      </c>
      <c r="E21" s="745" t="e">
        <f>#REF!</f>
        <v>#REF!</v>
      </c>
      <c r="F21" s="745" t="e">
        <f>#REF!</f>
        <v>#REF!</v>
      </c>
      <c r="G21" s="745" t="e">
        <f>#REF!</f>
        <v>#REF!</v>
      </c>
      <c r="I21" s="621"/>
    </row>
    <row r="22" spans="1:9" s="44" customFormat="1" ht="15.6">
      <c r="A22" s="647" t="s">
        <v>831</v>
      </c>
      <c r="B22" s="781" t="s">
        <v>535</v>
      </c>
      <c r="C22" s="761" t="s">
        <v>30</v>
      </c>
      <c r="D22" s="745" t="e">
        <f>#REF!</f>
        <v>#REF!</v>
      </c>
      <c r="E22" s="745" t="e">
        <f>#REF!</f>
        <v>#REF!</v>
      </c>
      <c r="F22" s="745" t="e">
        <f>#REF!</f>
        <v>#REF!</v>
      </c>
      <c r="G22" s="745" t="e">
        <f>#REF!</f>
        <v>#REF!</v>
      </c>
      <c r="I22" s="621"/>
    </row>
    <row r="23" spans="1:9" s="44" customFormat="1" ht="15.6">
      <c r="A23" s="2939" t="s">
        <v>1434</v>
      </c>
      <c r="B23" s="2939"/>
      <c r="C23" s="2939"/>
      <c r="D23" s="2939"/>
      <c r="E23" s="2939"/>
      <c r="F23" s="2939"/>
      <c r="G23" s="2939"/>
      <c r="I23" s="621"/>
    </row>
    <row r="24" spans="1:9" s="44" customFormat="1" ht="26.4">
      <c r="A24" s="770">
        <v>5</v>
      </c>
      <c r="B24" s="761" t="s">
        <v>1406</v>
      </c>
      <c r="C24" s="778" t="s">
        <v>1173</v>
      </c>
      <c r="D24" s="743" t="e">
        <f>#REF!/D$16</f>
        <v>#REF!</v>
      </c>
      <c r="E24" s="743" t="e">
        <f>#REF!/E$16</f>
        <v>#REF!</v>
      </c>
      <c r="F24" s="743" t="e">
        <f>#REF!/F$16</f>
        <v>#REF!</v>
      </c>
      <c r="G24" s="743" t="e">
        <f>#REF!/G$16</f>
        <v>#REF!</v>
      </c>
      <c r="I24" s="621"/>
    </row>
    <row r="25" spans="1:9" s="44" customFormat="1" ht="16.2" customHeight="1">
      <c r="A25" s="770" t="s">
        <v>893</v>
      </c>
      <c r="B25" s="171" t="s">
        <v>202</v>
      </c>
      <c r="C25" s="778" t="s">
        <v>1173</v>
      </c>
      <c r="D25" s="743" t="e">
        <f>#REF!/D$16</f>
        <v>#REF!</v>
      </c>
      <c r="E25" s="743" t="e">
        <f>#REF!/E$16</f>
        <v>#REF!</v>
      </c>
      <c r="F25" s="743" t="e">
        <f>#REF!/F$16</f>
        <v>#REF!</v>
      </c>
      <c r="G25" s="743" t="e">
        <f>#REF!/G$16</f>
        <v>#REF!</v>
      </c>
      <c r="I25" s="621"/>
    </row>
    <row r="26" spans="1:9" s="44" customFormat="1" ht="16.95" customHeight="1">
      <c r="A26" s="750" t="s">
        <v>1375</v>
      </c>
      <c r="B26" s="140" t="s">
        <v>435</v>
      </c>
      <c r="C26" s="778" t="s">
        <v>1173</v>
      </c>
      <c r="D26" s="743" t="e">
        <f>#REF!/D$16</f>
        <v>#REF!</v>
      </c>
      <c r="E26" s="743" t="e">
        <f>#REF!/E$16</f>
        <v>#REF!</v>
      </c>
      <c r="F26" s="743" t="e">
        <f>#REF!/F$16</f>
        <v>#REF!</v>
      </c>
      <c r="G26" s="743" t="e">
        <f>#REF!/G$16</f>
        <v>#REF!</v>
      </c>
      <c r="I26" s="621"/>
    </row>
    <row r="27" spans="1:9" s="44" customFormat="1" ht="17.399999999999999" customHeight="1">
      <c r="A27" s="754" t="s">
        <v>1383</v>
      </c>
      <c r="B27" s="737" t="s">
        <v>422</v>
      </c>
      <c r="C27" s="778" t="s">
        <v>1173</v>
      </c>
      <c r="D27" s="743" t="e">
        <f>#REF!/D$16</f>
        <v>#REF!</v>
      </c>
      <c r="E27" s="743" t="e">
        <f>#REF!/E$16</f>
        <v>#REF!</v>
      </c>
      <c r="F27" s="743" t="e">
        <f>#REF!/F$16</f>
        <v>#REF!</v>
      </c>
      <c r="G27" s="743" t="e">
        <f>#REF!/G$16</f>
        <v>#REF!</v>
      </c>
      <c r="I27" s="621"/>
    </row>
    <row r="28" spans="1:9" s="44" customFormat="1" ht="17.399999999999999" customHeight="1">
      <c r="A28" s="754" t="s">
        <v>1384</v>
      </c>
      <c r="B28" s="737" t="s">
        <v>930</v>
      </c>
      <c r="C28" s="778" t="s">
        <v>1173</v>
      </c>
      <c r="D28" s="743" t="e">
        <f>#REF!/D$16</f>
        <v>#REF!</v>
      </c>
      <c r="E28" s="743" t="e">
        <f>#REF!/E$16</f>
        <v>#REF!</v>
      </c>
      <c r="F28" s="743" t="e">
        <f>#REF!/F$16</f>
        <v>#REF!</v>
      </c>
      <c r="G28" s="743" t="e">
        <f>#REF!/G$16</f>
        <v>#REF!</v>
      </c>
      <c r="I28" s="621"/>
    </row>
    <row r="29" spans="1:9" s="44" customFormat="1" ht="17.399999999999999" customHeight="1">
      <c r="A29" s="770" t="s">
        <v>895</v>
      </c>
      <c r="B29" s="140" t="s">
        <v>39</v>
      </c>
      <c r="C29" s="778" t="s">
        <v>1173</v>
      </c>
      <c r="D29" s="743" t="e">
        <f>#REF!/D$16</f>
        <v>#REF!</v>
      </c>
      <c r="E29" s="743" t="e">
        <f>#REF!/E$16</f>
        <v>#REF!</v>
      </c>
      <c r="F29" s="743" t="e">
        <f>#REF!/F$16</f>
        <v>#REF!</v>
      </c>
      <c r="G29" s="743" t="e">
        <f>#REF!/G$16</f>
        <v>#REF!</v>
      </c>
      <c r="I29" s="621"/>
    </row>
    <row r="30" spans="1:9" s="44" customFormat="1" ht="15.6">
      <c r="A30" s="2939" t="s">
        <v>1430</v>
      </c>
      <c r="B30" s="2939"/>
      <c r="C30" s="2939"/>
      <c r="D30" s="2939"/>
      <c r="E30" s="2939"/>
      <c r="F30" s="2939"/>
      <c r="G30" s="2939"/>
      <c r="I30" s="621"/>
    </row>
    <row r="31" spans="1:9" s="44" customFormat="1" ht="26.4">
      <c r="A31" s="738">
        <v>6</v>
      </c>
      <c r="B31" s="761" t="s">
        <v>1407</v>
      </c>
      <c r="C31" s="778" t="s">
        <v>1420</v>
      </c>
      <c r="D31" s="748" t="e">
        <f>#REF!/D$20*1000/12</f>
        <v>#REF!</v>
      </c>
      <c r="E31" s="748" t="e">
        <f>#REF!/E$20*1000/12</f>
        <v>#REF!</v>
      </c>
      <c r="F31" s="748" t="e">
        <f>#REF!/F$20*1000/12</f>
        <v>#REF!</v>
      </c>
      <c r="G31" s="748" t="e">
        <f>#REF!/G$20*1000/12</f>
        <v>#REF!</v>
      </c>
      <c r="I31" s="621"/>
    </row>
    <row r="32" spans="1:9" s="44" customFormat="1" ht="15.6">
      <c r="A32" s="738">
        <v>7</v>
      </c>
      <c r="B32" s="171" t="s">
        <v>201</v>
      </c>
      <c r="C32" s="776" t="s">
        <v>1422</v>
      </c>
      <c r="D32" s="748" t="e">
        <f>#REF!/D$20*1000/12</f>
        <v>#REF!</v>
      </c>
      <c r="E32" s="748" t="e">
        <f>#REF!/E$20*1000/12</f>
        <v>#REF!</v>
      </c>
      <c r="F32" s="748" t="e">
        <f>#REF!/F$20*1000/12</f>
        <v>#REF!</v>
      </c>
      <c r="G32" s="748" t="e">
        <f>#REF!/G$20*1000/12</f>
        <v>#REF!</v>
      </c>
      <c r="I32" s="621"/>
    </row>
    <row r="33" spans="1:9" s="44" customFormat="1" ht="15.6">
      <c r="A33" s="738" t="s">
        <v>733</v>
      </c>
      <c r="B33" s="171" t="s">
        <v>202</v>
      </c>
      <c r="C33" s="776" t="s">
        <v>1422</v>
      </c>
      <c r="D33" s="748" t="e">
        <f>#REF!/D$20*1000/12</f>
        <v>#REF!</v>
      </c>
      <c r="E33" s="748" t="e">
        <f>#REF!/E$20*1000/12</f>
        <v>#REF!</v>
      </c>
      <c r="F33" s="748" t="e">
        <f>#REF!/F$20*1000/12</f>
        <v>#REF!</v>
      </c>
      <c r="G33" s="748" t="e">
        <f>#REF!/G$20*1000/12</f>
        <v>#REF!</v>
      </c>
      <c r="I33" s="621"/>
    </row>
    <row r="34" spans="1:9" s="44" customFormat="1" ht="15.6">
      <c r="A34" s="738" t="s">
        <v>1444</v>
      </c>
      <c r="B34" s="140" t="s">
        <v>435</v>
      </c>
      <c r="C34" s="776" t="s">
        <v>1422</v>
      </c>
      <c r="D34" s="748" t="e">
        <f>#REF!/D$20*1000/12</f>
        <v>#REF!</v>
      </c>
      <c r="E34" s="748" t="e">
        <f>#REF!/E$20*1000/12</f>
        <v>#REF!</v>
      </c>
      <c r="F34" s="748" t="e">
        <f>#REF!/F$20*1000/12</f>
        <v>#REF!</v>
      </c>
      <c r="G34" s="748" t="e">
        <f>#REF!/G$20*1000/12</f>
        <v>#REF!</v>
      </c>
      <c r="I34" s="621"/>
    </row>
    <row r="35" spans="1:9" s="44" customFormat="1" ht="15.6">
      <c r="A35" s="738"/>
      <c r="B35" s="140" t="s">
        <v>931</v>
      </c>
      <c r="C35" s="776" t="s">
        <v>1422</v>
      </c>
      <c r="D35" s="748" t="e">
        <f>#REF!/D$20*1000/12</f>
        <v>#REF!</v>
      </c>
      <c r="E35" s="748" t="e">
        <f>#REF!/E$20*1000/12</f>
        <v>#REF!</v>
      </c>
      <c r="F35" s="748" t="e">
        <f>#REF!/F$20*1000/12</f>
        <v>#REF!</v>
      </c>
      <c r="G35" s="748" t="e">
        <f>#REF!/G$20*1000/12</f>
        <v>#REF!</v>
      </c>
      <c r="I35" s="621"/>
    </row>
    <row r="36" spans="1:9" s="44" customFormat="1" ht="26.4">
      <c r="A36" s="738" t="s">
        <v>1445</v>
      </c>
      <c r="B36" s="171" t="s">
        <v>784</v>
      </c>
      <c r="C36" s="776" t="s">
        <v>1422</v>
      </c>
      <c r="D36" s="748" t="e">
        <f>#REF!/D$20*1000/12</f>
        <v>#REF!</v>
      </c>
      <c r="E36" s="748" t="e">
        <f>#REF!/E$20*1000/12</f>
        <v>#REF!</v>
      </c>
      <c r="F36" s="748" t="e">
        <f>#REF!/F$20*1000/12</f>
        <v>#REF!</v>
      </c>
      <c r="G36" s="748" t="e">
        <f>#REF!/G$20*1000/12</f>
        <v>#REF!</v>
      </c>
      <c r="I36" s="621"/>
    </row>
    <row r="37" spans="1:9" s="44" customFormat="1" ht="15.6">
      <c r="A37" s="738" t="s">
        <v>1446</v>
      </c>
      <c r="B37" s="171" t="s">
        <v>533</v>
      </c>
      <c r="C37" s="776" t="s">
        <v>1422</v>
      </c>
      <c r="D37" s="748" t="e">
        <f>#REF!/D$20*1000/12</f>
        <v>#REF!</v>
      </c>
      <c r="E37" s="748" t="e">
        <f>#REF!/E$20*1000/12</f>
        <v>#REF!</v>
      </c>
      <c r="F37" s="748" t="e">
        <f>#REF!/F$20*1000/12</f>
        <v>#REF!</v>
      </c>
      <c r="G37" s="748" t="e">
        <f>#REF!/G$20*1000/12</f>
        <v>#REF!</v>
      </c>
      <c r="I37" s="621"/>
    </row>
    <row r="38" spans="1:9" s="44" customFormat="1" ht="15.6">
      <c r="A38" s="738" t="s">
        <v>1324</v>
      </c>
      <c r="B38" s="171" t="s">
        <v>43</v>
      </c>
      <c r="C38" s="776" t="s">
        <v>1422</v>
      </c>
      <c r="D38" s="748" t="e">
        <f>#REF!/D$20*1000/12</f>
        <v>#REF!</v>
      </c>
      <c r="E38" s="748" t="e">
        <f>#REF!/E$20*1000/12</f>
        <v>#REF!</v>
      </c>
      <c r="F38" s="748" t="e">
        <f>#REF!/F$20*1000/12</f>
        <v>#REF!</v>
      </c>
      <c r="G38" s="748" t="e">
        <f>#REF!/G$20*1000/12</f>
        <v>#REF!</v>
      </c>
      <c r="I38" s="621"/>
    </row>
    <row r="39" spans="1:9" s="44" customFormat="1" ht="15.6">
      <c r="A39" s="738" t="s">
        <v>1325</v>
      </c>
      <c r="B39" s="171" t="s">
        <v>203</v>
      </c>
      <c r="C39" s="776" t="s">
        <v>1422</v>
      </c>
      <c r="D39" s="748" t="e">
        <f>#REF!/D$20*1000/12</f>
        <v>#REF!</v>
      </c>
      <c r="E39" s="748" t="e">
        <f>#REF!/E$20*1000/12</f>
        <v>#REF!</v>
      </c>
      <c r="F39" s="748" t="e">
        <f>#REF!/F$20*1000/12</f>
        <v>#REF!</v>
      </c>
      <c r="G39" s="748" t="e">
        <f>#REF!/G$20*1000/12</f>
        <v>#REF!</v>
      </c>
      <c r="I39" s="621"/>
    </row>
    <row r="40" spans="1:9" s="44" customFormat="1" ht="27" customHeight="1">
      <c r="A40" s="738" t="s">
        <v>1447</v>
      </c>
      <c r="B40" s="140" t="s">
        <v>433</v>
      </c>
      <c r="C40" s="776" t="s">
        <v>1422</v>
      </c>
      <c r="D40" s="748" t="e">
        <f>#REF!/D$20*1000/12</f>
        <v>#REF!</v>
      </c>
      <c r="E40" s="748" t="e">
        <f>#REF!/E$20*1000/12</f>
        <v>#REF!</v>
      </c>
      <c r="F40" s="748" t="e">
        <f>#REF!/F$20*1000/12</f>
        <v>#REF!</v>
      </c>
      <c r="G40" s="748" t="e">
        <f>#REF!/G$20*1000/12</f>
        <v>#REF!</v>
      </c>
      <c r="I40" s="621"/>
    </row>
    <row r="41" spans="1:9" s="44" customFormat="1" ht="15.6">
      <c r="A41" s="738" t="s">
        <v>1448</v>
      </c>
      <c r="B41" s="140" t="s">
        <v>434</v>
      </c>
      <c r="C41" s="776" t="s">
        <v>1422</v>
      </c>
      <c r="D41" s="748" t="e">
        <f>#REF!/D$20*1000/12</f>
        <v>#REF!</v>
      </c>
      <c r="E41" s="748" t="e">
        <f>#REF!/E$20*1000/12</f>
        <v>#REF!</v>
      </c>
      <c r="F41" s="748" t="e">
        <f>#REF!/F$20*1000/12</f>
        <v>#REF!</v>
      </c>
      <c r="G41" s="748" t="e">
        <f>#REF!/G$20*1000/12</f>
        <v>#REF!</v>
      </c>
      <c r="I41" s="621"/>
    </row>
    <row r="42" spans="1:9" s="44" customFormat="1" ht="15.6">
      <c r="A42" s="738" t="s">
        <v>1449</v>
      </c>
      <c r="B42" s="140" t="s">
        <v>48</v>
      </c>
      <c r="C42" s="776" t="s">
        <v>1422</v>
      </c>
      <c r="D42" s="748" t="e">
        <f>#REF!/D$20*1000/12</f>
        <v>#REF!</v>
      </c>
      <c r="E42" s="748" t="e">
        <f>#REF!/E$20*1000/12</f>
        <v>#REF!</v>
      </c>
      <c r="F42" s="748" t="e">
        <f>#REF!/F$20*1000/12</f>
        <v>#REF!</v>
      </c>
      <c r="G42" s="748" t="e">
        <f>#REF!/G$20*1000/12</f>
        <v>#REF!</v>
      </c>
      <c r="I42" s="621"/>
    </row>
    <row r="43" spans="1:9" s="44" customFormat="1" ht="15.6">
      <c r="A43" s="738" t="s">
        <v>1326</v>
      </c>
      <c r="B43" s="140" t="s">
        <v>204</v>
      </c>
      <c r="C43" s="776" t="s">
        <v>1422</v>
      </c>
      <c r="D43" s="748" t="e">
        <f>#REF!/D$20*1000/12</f>
        <v>#REF!</v>
      </c>
      <c r="E43" s="748" t="e">
        <f>#REF!/E$20*1000/12</f>
        <v>#REF!</v>
      </c>
      <c r="F43" s="748" t="e">
        <f>#REF!/F$20*1000/12</f>
        <v>#REF!</v>
      </c>
      <c r="G43" s="748" t="e">
        <f>#REF!/G$20*1000/12</f>
        <v>#REF!</v>
      </c>
      <c r="I43" s="621"/>
    </row>
    <row r="44" spans="1:9" s="44" customFormat="1" ht="15.6">
      <c r="A44" s="738" t="s">
        <v>1450</v>
      </c>
      <c r="B44" s="140" t="s">
        <v>51</v>
      </c>
      <c r="C44" s="776" t="s">
        <v>1422</v>
      </c>
      <c r="D44" s="748" t="e">
        <f>#REF!/D$20*1000/12</f>
        <v>#REF!</v>
      </c>
      <c r="E44" s="748" t="e">
        <f>#REF!/E$20*1000/12</f>
        <v>#REF!</v>
      </c>
      <c r="F44" s="748" t="e">
        <f>#REF!/F$20*1000/12</f>
        <v>#REF!</v>
      </c>
      <c r="G44" s="748" t="e">
        <f>#REF!/G$20*1000/12</f>
        <v>#REF!</v>
      </c>
      <c r="I44" s="621"/>
    </row>
    <row r="45" spans="1:9" s="44" customFormat="1" ht="29.4" customHeight="1">
      <c r="A45" s="738" t="s">
        <v>1451</v>
      </c>
      <c r="B45" s="140" t="s">
        <v>433</v>
      </c>
      <c r="C45" s="776" t="s">
        <v>1422</v>
      </c>
      <c r="D45" s="748" t="e">
        <f>#REF!/D$20*1000/12</f>
        <v>#REF!</v>
      </c>
      <c r="E45" s="748" t="e">
        <f>#REF!/E$20*1000/12</f>
        <v>#REF!</v>
      </c>
      <c r="F45" s="748" t="e">
        <f>#REF!/F$20*1000/12</f>
        <v>#REF!</v>
      </c>
      <c r="G45" s="748" t="e">
        <f>#REF!/G$20*1000/12</f>
        <v>#REF!</v>
      </c>
      <c r="I45" s="621"/>
    </row>
    <row r="46" spans="1:9" s="44" customFormat="1" ht="15.6">
      <c r="A46" s="738" t="s">
        <v>1452</v>
      </c>
      <c r="B46" s="140" t="s">
        <v>54</v>
      </c>
      <c r="C46" s="776" t="s">
        <v>1422</v>
      </c>
      <c r="D46" s="748" t="e">
        <f>#REF!/D$20*1000/12</f>
        <v>#REF!</v>
      </c>
      <c r="E46" s="748" t="e">
        <f>#REF!/E$20*1000/12</f>
        <v>#REF!</v>
      </c>
      <c r="F46" s="748" t="e">
        <f>#REF!/F$20*1000/12</f>
        <v>#REF!</v>
      </c>
      <c r="G46" s="748" t="e">
        <f>#REF!/G$20*1000/12</f>
        <v>#REF!</v>
      </c>
      <c r="I46" s="621"/>
    </row>
    <row r="47" spans="1:9" s="44" customFormat="1" ht="15.6">
      <c r="A47" s="738">
        <v>8</v>
      </c>
      <c r="B47" s="140" t="s">
        <v>205</v>
      </c>
      <c r="C47" s="776" t="s">
        <v>1422</v>
      </c>
      <c r="D47" s="748" t="e">
        <f>#REF!/D$20*1000/12</f>
        <v>#REF!</v>
      </c>
      <c r="E47" s="748" t="e">
        <f>#REF!/E$20*1000/12</f>
        <v>#REF!</v>
      </c>
      <c r="F47" s="748" t="e">
        <f>#REF!/F$20*1000/12</f>
        <v>#REF!</v>
      </c>
      <c r="G47" s="748" t="e">
        <f>#REF!/G$20*1000/12</f>
        <v>#REF!</v>
      </c>
      <c r="I47" s="621"/>
    </row>
    <row r="48" spans="1:9" s="44" customFormat="1" ht="15.6">
      <c r="A48" s="738" t="s">
        <v>734</v>
      </c>
      <c r="B48" s="140" t="s">
        <v>51</v>
      </c>
      <c r="C48" s="776" t="s">
        <v>1422</v>
      </c>
      <c r="D48" s="748" t="e">
        <f>#REF!/D$20*1000/12</f>
        <v>#REF!</v>
      </c>
      <c r="E48" s="748" t="e">
        <f>#REF!/E$20*1000/12</f>
        <v>#REF!</v>
      </c>
      <c r="F48" s="748" t="e">
        <f>#REF!/F$20*1000/12</f>
        <v>#REF!</v>
      </c>
      <c r="G48" s="748" t="e">
        <f>#REF!/G$20*1000/12</f>
        <v>#REF!</v>
      </c>
      <c r="I48" s="621"/>
    </row>
    <row r="49" spans="1:9" s="44" customFormat="1" ht="27.6" customHeight="1">
      <c r="A49" s="738" t="s">
        <v>1314</v>
      </c>
      <c r="B49" s="140" t="s">
        <v>433</v>
      </c>
      <c r="C49" s="776" t="s">
        <v>1422</v>
      </c>
      <c r="D49" s="748" t="e">
        <f>#REF!/D$20*1000/12</f>
        <v>#REF!</v>
      </c>
      <c r="E49" s="748" t="e">
        <f>#REF!/E$20*1000/12</f>
        <v>#REF!</v>
      </c>
      <c r="F49" s="748" t="e">
        <f>#REF!/F$20*1000/12</f>
        <v>#REF!</v>
      </c>
      <c r="G49" s="748" t="e">
        <f>#REF!/G$20*1000/12</f>
        <v>#REF!</v>
      </c>
      <c r="I49" s="621"/>
    </row>
    <row r="50" spans="1:9" s="44" customFormat="1" ht="15.6">
      <c r="A50" s="738" t="s">
        <v>1315</v>
      </c>
      <c r="B50" s="140" t="s">
        <v>54</v>
      </c>
      <c r="C50" s="776" t="s">
        <v>1422</v>
      </c>
      <c r="D50" s="748" t="e">
        <f>#REF!/D$20*1000/12</f>
        <v>#REF!</v>
      </c>
      <c r="E50" s="748" t="e">
        <f>#REF!/E$20*1000/12</f>
        <v>#REF!</v>
      </c>
      <c r="F50" s="748" t="e">
        <f>#REF!/F$20*1000/12</f>
        <v>#REF!</v>
      </c>
      <c r="G50" s="748" t="e">
        <f>#REF!/G$20*1000/12</f>
        <v>#REF!</v>
      </c>
      <c r="I50" s="621"/>
    </row>
    <row r="51" spans="1:9" s="44" customFormat="1" ht="15.6">
      <c r="A51" s="738">
        <v>9</v>
      </c>
      <c r="B51" s="140" t="s">
        <v>5</v>
      </c>
      <c r="C51" s="776" t="s">
        <v>1422</v>
      </c>
      <c r="D51" s="748" t="e">
        <f>#REF!/D$20*1000/12</f>
        <v>#REF!</v>
      </c>
      <c r="E51" s="748" t="e">
        <f>#REF!/E$20*1000/12</f>
        <v>#REF!</v>
      </c>
      <c r="F51" s="748" t="e">
        <f>#REF!/F$20*1000/12</f>
        <v>#REF!</v>
      </c>
      <c r="G51" s="748" t="e">
        <f>#REF!/G$20*1000/12</f>
        <v>#REF!</v>
      </c>
      <c r="I51" s="621"/>
    </row>
    <row r="52" spans="1:9" s="44" customFormat="1" ht="15.6">
      <c r="A52" s="738">
        <v>10</v>
      </c>
      <c r="B52" s="140" t="s">
        <v>169</v>
      </c>
      <c r="C52" s="776" t="s">
        <v>1422</v>
      </c>
      <c r="D52" s="748" t="e">
        <f>#REF!/D$20*1000/12</f>
        <v>#REF!</v>
      </c>
      <c r="E52" s="748" t="e">
        <f>#REF!/E$20*1000/12</f>
        <v>#REF!</v>
      </c>
      <c r="F52" s="748" t="e">
        <f>#REF!/F$20*1000/12</f>
        <v>#REF!</v>
      </c>
      <c r="G52" s="748" t="e">
        <f>#REF!/G$20*1000/12</f>
        <v>#REF!</v>
      </c>
      <c r="I52" s="621"/>
    </row>
    <row r="53" spans="1:9" s="44" customFormat="1" ht="15.6">
      <c r="A53" s="738">
        <v>11</v>
      </c>
      <c r="B53" s="140" t="s">
        <v>207</v>
      </c>
      <c r="C53" s="776" t="s">
        <v>1422</v>
      </c>
      <c r="D53" s="748">
        <v>0</v>
      </c>
      <c r="E53" s="748">
        <v>0</v>
      </c>
      <c r="F53" s="748">
        <v>0</v>
      </c>
      <c r="G53" s="748">
        <v>0</v>
      </c>
      <c r="I53" s="621"/>
    </row>
    <row r="54" spans="1:9" s="44" customFormat="1" ht="15.6">
      <c r="A54" s="738">
        <v>12</v>
      </c>
      <c r="B54" s="140" t="s">
        <v>1374</v>
      </c>
      <c r="C54" s="776" t="s">
        <v>1422</v>
      </c>
      <c r="D54" s="748" t="e">
        <f>#REF!/D$20*1000/12</f>
        <v>#REF!</v>
      </c>
      <c r="E54" s="748" t="e">
        <f>#REF!/E$20*1000/12</f>
        <v>#REF!</v>
      </c>
      <c r="F54" s="748" t="e">
        <f>#REF!/F$20*1000/12</f>
        <v>#REF!</v>
      </c>
      <c r="G54" s="748" t="e">
        <f>#REF!/G$20*1000/12</f>
        <v>#REF!</v>
      </c>
      <c r="I54" s="621"/>
    </row>
    <row r="55" spans="1:9" s="44" customFormat="1" ht="15.6" customHeight="1">
      <c r="A55" s="738">
        <v>13</v>
      </c>
      <c r="B55" s="749" t="s">
        <v>208</v>
      </c>
      <c r="C55" s="776" t="s">
        <v>1422</v>
      </c>
      <c r="D55" s="748" t="e">
        <f>#REF!/D$20*1000/12</f>
        <v>#REF!</v>
      </c>
      <c r="E55" s="748" t="e">
        <f>#REF!/E$20*1000/12</f>
        <v>#REF!</v>
      </c>
      <c r="F55" s="748" t="e">
        <f>#REF!/F$20*1000/12</f>
        <v>#REF!</v>
      </c>
      <c r="G55" s="748" t="e">
        <f>#REF!/G$20*1000/12</f>
        <v>#REF!</v>
      </c>
      <c r="I55" s="621"/>
    </row>
    <row r="56" spans="1:9" s="44" customFormat="1" ht="15.6">
      <c r="A56" s="738" t="s">
        <v>1381</v>
      </c>
      <c r="B56" s="140" t="s">
        <v>1378</v>
      </c>
      <c r="C56" s="776" t="s">
        <v>1422</v>
      </c>
      <c r="D56" s="748" t="e">
        <f>#REF!/D$20*1000/12</f>
        <v>#REF!</v>
      </c>
      <c r="E56" s="748" t="e">
        <f>#REF!/E$20*1000/12</f>
        <v>#REF!</v>
      </c>
      <c r="F56" s="748" t="e">
        <f>#REF!/F$20*1000/12</f>
        <v>#REF!</v>
      </c>
      <c r="G56" s="748" t="e">
        <f>#REF!/G$20*1000/12</f>
        <v>#REF!</v>
      </c>
      <c r="I56" s="621"/>
    </row>
    <row r="57" spans="1:9" s="44" customFormat="1" ht="15.6">
      <c r="A57" s="738" t="s">
        <v>1453</v>
      </c>
      <c r="B57" s="140" t="s">
        <v>63</v>
      </c>
      <c r="C57" s="776" t="s">
        <v>1422</v>
      </c>
      <c r="D57" s="748" t="e">
        <f>#REF!/D$20*1000/12</f>
        <v>#REF!</v>
      </c>
      <c r="E57" s="748" t="e">
        <f>#REF!/E$20*1000/12</f>
        <v>#REF!</v>
      </c>
      <c r="F57" s="748" t="e">
        <f>#REF!/F$20*1000/12</f>
        <v>#REF!</v>
      </c>
      <c r="G57" s="748" t="e">
        <f>#REF!/G$20*1000/12</f>
        <v>#REF!</v>
      </c>
      <c r="I57" s="621"/>
    </row>
    <row r="58" spans="1:9" s="44" customFormat="1" ht="15.6">
      <c r="A58" s="738" t="s">
        <v>1454</v>
      </c>
      <c r="B58" s="140" t="s">
        <v>65</v>
      </c>
      <c r="C58" s="776" t="s">
        <v>1422</v>
      </c>
      <c r="D58" s="748" t="e">
        <f>#REF!/D$20*1000/12</f>
        <v>#REF!</v>
      </c>
      <c r="E58" s="748" t="e">
        <f>#REF!/E$20*1000/12</f>
        <v>#REF!</v>
      </c>
      <c r="F58" s="748" t="e">
        <f>#REF!/F$20*1000/12</f>
        <v>#REF!</v>
      </c>
      <c r="G58" s="748" t="e">
        <f>#REF!/G$20*1000/12</f>
        <v>#REF!</v>
      </c>
      <c r="I58" s="621"/>
    </row>
    <row r="59" spans="1:9" s="44" customFormat="1" ht="15.6">
      <c r="A59" s="738" t="s">
        <v>1455</v>
      </c>
      <c r="B59" s="140" t="s">
        <v>1379</v>
      </c>
      <c r="C59" s="776" t="s">
        <v>1422</v>
      </c>
      <c r="D59" s="748" t="e">
        <f>#REF!/D$20*1000/12</f>
        <v>#REF!</v>
      </c>
      <c r="E59" s="748" t="e">
        <f>#REF!/E$20*1000/12</f>
        <v>#REF!</v>
      </c>
      <c r="F59" s="748" t="e">
        <f>#REF!/F$20*1000/12</f>
        <v>#REF!</v>
      </c>
      <c r="G59" s="748" t="e">
        <f>#REF!/G$20*1000/12</f>
        <v>#REF!</v>
      </c>
      <c r="I59" s="621"/>
    </row>
    <row r="60" spans="1:9" s="44" customFormat="1" ht="15.6">
      <c r="A60" s="738" t="s">
        <v>1456</v>
      </c>
      <c r="B60" s="140" t="s">
        <v>1380</v>
      </c>
      <c r="C60" s="776" t="s">
        <v>1422</v>
      </c>
      <c r="D60" s="748" t="e">
        <f>#REF!/D$20*1000/12</f>
        <v>#REF!</v>
      </c>
      <c r="E60" s="748" t="e">
        <f>#REF!/E$20*1000/12</f>
        <v>#REF!</v>
      </c>
      <c r="F60" s="748" t="e">
        <f>#REF!/F$20*1000/12</f>
        <v>#REF!</v>
      </c>
      <c r="G60" s="748" t="e">
        <f>#REF!/G$20*1000/12</f>
        <v>#REF!</v>
      </c>
      <c r="I60" s="621"/>
    </row>
    <row r="61" spans="1:9" s="44" customFormat="1" ht="15.6">
      <c r="A61" s="2939" t="s">
        <v>1433</v>
      </c>
      <c r="B61" s="2939"/>
      <c r="C61" s="2939"/>
      <c r="D61" s="2939"/>
      <c r="E61" s="2939"/>
      <c r="F61" s="2939"/>
      <c r="G61" s="2939"/>
      <c r="I61" s="621"/>
    </row>
    <row r="62" spans="1:9" s="44" customFormat="1" ht="22.2" customHeight="1">
      <c r="A62" s="738" t="s">
        <v>919</v>
      </c>
      <c r="B62" s="761" t="s">
        <v>1406</v>
      </c>
      <c r="C62" s="778" t="s">
        <v>1173</v>
      </c>
      <c r="D62" s="743" t="e">
        <f>#REF!/D$19</f>
        <v>#REF!</v>
      </c>
      <c r="E62" s="743" t="e">
        <f>#REF!/E$19</f>
        <v>#REF!</v>
      </c>
      <c r="F62" s="743" t="e">
        <f>#REF!/F$19</f>
        <v>#REF!</v>
      </c>
      <c r="G62" s="743" t="e">
        <f>#REF!/G$19</f>
        <v>#REF!</v>
      </c>
      <c r="I62" s="621"/>
    </row>
    <row r="63" spans="1:9" s="44" customFormat="1" ht="16.95" customHeight="1">
      <c r="A63" s="738" t="s">
        <v>1457</v>
      </c>
      <c r="B63" s="494" t="s">
        <v>202</v>
      </c>
      <c r="C63" s="778" t="s">
        <v>1173</v>
      </c>
      <c r="D63" s="743" t="e">
        <f>#REF!/D$19</f>
        <v>#REF!</v>
      </c>
      <c r="E63" s="743" t="e">
        <f>#REF!/E$19</f>
        <v>#REF!</v>
      </c>
      <c r="F63" s="743" t="e">
        <f>#REF!/F$19</f>
        <v>#REF!</v>
      </c>
      <c r="G63" s="743" t="e">
        <f>#REF!/G$19</f>
        <v>#REF!</v>
      </c>
      <c r="I63" s="621"/>
    </row>
    <row r="64" spans="1:9" s="44" customFormat="1" ht="16.95" customHeight="1">
      <c r="A64" s="738" t="s">
        <v>1458</v>
      </c>
      <c r="B64" s="494" t="s">
        <v>39</v>
      </c>
      <c r="C64" s="778" t="s">
        <v>1173</v>
      </c>
      <c r="D64" s="743" t="e">
        <f>#REF!/D$19</f>
        <v>#REF!</v>
      </c>
      <c r="E64" s="743" t="e">
        <f>#REF!/E$19</f>
        <v>#REF!</v>
      </c>
      <c r="F64" s="743" t="e">
        <f>#REF!/F$19</f>
        <v>#REF!</v>
      </c>
      <c r="G64" s="743" t="e">
        <f>#REF!/G$19</f>
        <v>#REF!</v>
      </c>
      <c r="I64" s="621"/>
    </row>
    <row r="65" spans="1:9" s="44" customFormat="1" ht="15.6">
      <c r="A65" s="2939" t="s">
        <v>1432</v>
      </c>
      <c r="B65" s="2939"/>
      <c r="C65" s="2939"/>
      <c r="D65" s="2939"/>
      <c r="E65" s="2939"/>
      <c r="F65" s="2939"/>
      <c r="G65" s="2939"/>
      <c r="I65" s="621"/>
    </row>
    <row r="66" spans="1:9" s="44" customFormat="1" ht="26.4">
      <c r="A66" s="738">
        <v>15</v>
      </c>
      <c r="B66" s="761" t="s">
        <v>1408</v>
      </c>
      <c r="C66" s="778" t="s">
        <v>1420</v>
      </c>
      <c r="D66" s="748" t="e">
        <f>#REF!/D$22*1000/12</f>
        <v>#REF!</v>
      </c>
      <c r="E66" s="748" t="e">
        <f>#REF!/E$22*1000/12</f>
        <v>#REF!</v>
      </c>
      <c r="F66" s="748" t="e">
        <f>#REF!/F$22*1000/12</f>
        <v>#REF!</v>
      </c>
      <c r="G66" s="748" t="e">
        <f>#REF!/G$22*1000/12</f>
        <v>#REF!</v>
      </c>
      <c r="I66" s="621"/>
    </row>
    <row r="67" spans="1:9" s="44" customFormat="1" ht="15.6">
      <c r="A67" s="759" t="s">
        <v>547</v>
      </c>
      <c r="B67" s="171" t="s">
        <v>201</v>
      </c>
      <c r="C67" s="776" t="s">
        <v>1422</v>
      </c>
      <c r="D67" s="748" t="e">
        <f>#REF!/D$22*1000/12</f>
        <v>#REF!</v>
      </c>
      <c r="E67" s="748" t="e">
        <f>#REF!/E$22*1000/12</f>
        <v>#REF!</v>
      </c>
      <c r="F67" s="748" t="e">
        <f>#REF!/F$22*1000/12</f>
        <v>#REF!</v>
      </c>
      <c r="G67" s="748" t="e">
        <f>#REF!/G$22*1000/12</f>
        <v>#REF!</v>
      </c>
      <c r="I67" s="621"/>
    </row>
    <row r="68" spans="1:9" s="44" customFormat="1" ht="15.6">
      <c r="A68" s="759" t="s">
        <v>187</v>
      </c>
      <c r="B68" s="171" t="s">
        <v>202</v>
      </c>
      <c r="C68" s="776" t="s">
        <v>1422</v>
      </c>
      <c r="D68" s="748" t="e">
        <f>#REF!/D$22*1000/12</f>
        <v>#REF!</v>
      </c>
      <c r="E68" s="748" t="e">
        <f>#REF!/E$22*1000/12</f>
        <v>#REF!</v>
      </c>
      <c r="F68" s="748" t="e">
        <f>#REF!/F$22*1000/12</f>
        <v>#REF!</v>
      </c>
      <c r="G68" s="748" t="e">
        <f>#REF!/G$22*1000/12</f>
        <v>#REF!</v>
      </c>
      <c r="I68" s="621"/>
    </row>
    <row r="69" spans="1:9" s="44" customFormat="1" ht="15.6">
      <c r="A69" s="759" t="s">
        <v>1459</v>
      </c>
      <c r="B69" s="171" t="s">
        <v>39</v>
      </c>
      <c r="C69" s="776" t="s">
        <v>1422</v>
      </c>
      <c r="D69" s="748" t="e">
        <f>#REF!/D$22*1000/12</f>
        <v>#REF!</v>
      </c>
      <c r="E69" s="748" t="e">
        <f>#REF!/E$22*1000/12</f>
        <v>#REF!</v>
      </c>
      <c r="F69" s="748" t="e">
        <f>#REF!/F$22*1000/12</f>
        <v>#REF!</v>
      </c>
      <c r="G69" s="748" t="e">
        <f>#REF!/G$22*1000/12</f>
        <v>#REF!</v>
      </c>
      <c r="I69" s="621"/>
    </row>
    <row r="70" spans="1:9" s="44" customFormat="1" ht="26.4">
      <c r="A70" s="762" t="s">
        <v>1460</v>
      </c>
      <c r="B70" s="171" t="s">
        <v>531</v>
      </c>
      <c r="C70" s="776" t="s">
        <v>1422</v>
      </c>
      <c r="D70" s="748" t="e">
        <f>#REF!/D$22*1000/12</f>
        <v>#REF!</v>
      </c>
      <c r="E70" s="748" t="e">
        <f>#REF!/E$22*1000/12</f>
        <v>#REF!</v>
      </c>
      <c r="F70" s="748" t="e">
        <f>#REF!/F$22*1000/12</f>
        <v>#REF!</v>
      </c>
      <c r="G70" s="748" t="e">
        <f>#REF!/G$22*1000/12</f>
        <v>#REF!</v>
      </c>
      <c r="I70" s="621"/>
    </row>
    <row r="71" spans="1:9" s="44" customFormat="1" ht="26.4">
      <c r="A71" s="762" t="s">
        <v>1461</v>
      </c>
      <c r="B71" s="171" t="s">
        <v>532</v>
      </c>
      <c r="C71" s="776" t="s">
        <v>1422</v>
      </c>
      <c r="D71" s="748" t="e">
        <f>#REF!/D$22*1000/12</f>
        <v>#REF!</v>
      </c>
      <c r="E71" s="748" t="e">
        <f>#REF!/E$22*1000/12</f>
        <v>#REF!</v>
      </c>
      <c r="F71" s="748" t="e">
        <f>#REF!/F$22*1000/12</f>
        <v>#REF!</v>
      </c>
      <c r="G71" s="748" t="e">
        <f>#REF!/G$22*1000/12</f>
        <v>#REF!</v>
      </c>
      <c r="I71" s="621"/>
    </row>
    <row r="72" spans="1:9" s="44" customFormat="1" ht="15.6">
      <c r="A72" s="762" t="s">
        <v>1462</v>
      </c>
      <c r="B72" s="171" t="s">
        <v>533</v>
      </c>
      <c r="C72" s="776" t="s">
        <v>1422</v>
      </c>
      <c r="D72" s="748" t="e">
        <f>#REF!/D$22*1000/12</f>
        <v>#REF!</v>
      </c>
      <c r="E72" s="748" t="e">
        <f>#REF!/E$22*1000/12</f>
        <v>#REF!</v>
      </c>
      <c r="F72" s="748" t="e">
        <f>#REF!/F$22*1000/12</f>
        <v>#REF!</v>
      </c>
      <c r="G72" s="748" t="e">
        <f>#REF!/G$22*1000/12</f>
        <v>#REF!</v>
      </c>
      <c r="I72" s="621"/>
    </row>
    <row r="73" spans="1:9" ht="26.4">
      <c r="A73" s="762" t="s">
        <v>1463</v>
      </c>
      <c r="B73" s="171" t="s">
        <v>1263</v>
      </c>
      <c r="C73" s="776" t="s">
        <v>1422</v>
      </c>
      <c r="D73" s="748" t="e">
        <f>#REF!/D$22*1000/12</f>
        <v>#REF!</v>
      </c>
      <c r="E73" s="748" t="e">
        <f>#REF!/E$22*1000/12</f>
        <v>#REF!</v>
      </c>
      <c r="F73" s="748" t="e">
        <f>#REF!/F$22*1000/12</f>
        <v>#REF!</v>
      </c>
      <c r="G73" s="748" t="e">
        <f>#REF!/G$22*1000/12</f>
        <v>#REF!</v>
      </c>
    </row>
    <row r="74" spans="1:9">
      <c r="A74" s="762" t="s">
        <v>188</v>
      </c>
      <c r="B74" s="140" t="s">
        <v>43</v>
      </c>
      <c r="C74" s="776" t="s">
        <v>1422</v>
      </c>
      <c r="D74" s="748" t="e">
        <f>#REF!/D$22*1000/12</f>
        <v>#REF!</v>
      </c>
      <c r="E74" s="748" t="e">
        <f>#REF!/E$22*1000/12</f>
        <v>#REF!</v>
      </c>
      <c r="F74" s="748" t="e">
        <f>#REF!/F$22*1000/12</f>
        <v>#REF!</v>
      </c>
      <c r="G74" s="748" t="e">
        <f>#REF!/G$22*1000/12</f>
        <v>#REF!</v>
      </c>
    </row>
    <row r="75" spans="1:9">
      <c r="A75" s="762" t="s">
        <v>1387</v>
      </c>
      <c r="B75" s="171" t="s">
        <v>203</v>
      </c>
      <c r="C75" s="776" t="s">
        <v>1422</v>
      </c>
      <c r="D75" s="748" t="e">
        <f>#REF!/D$22*1000/12</f>
        <v>#REF!</v>
      </c>
      <c r="E75" s="748" t="e">
        <f>#REF!/E$22*1000/12</f>
        <v>#REF!</v>
      </c>
      <c r="F75" s="748" t="e">
        <f>#REF!/F$22*1000/12</f>
        <v>#REF!</v>
      </c>
      <c r="G75" s="748" t="e">
        <f>#REF!/G$22*1000/12</f>
        <v>#REF!</v>
      </c>
    </row>
    <row r="76" spans="1:9" ht="27" customHeight="1">
      <c r="A76" s="762" t="s">
        <v>1464</v>
      </c>
      <c r="B76" s="171" t="s">
        <v>433</v>
      </c>
      <c r="C76" s="776" t="s">
        <v>1422</v>
      </c>
      <c r="D76" s="748" t="e">
        <f>#REF!/D$22*1000/12</f>
        <v>#REF!</v>
      </c>
      <c r="E76" s="748" t="e">
        <f>#REF!/E$22*1000/12</f>
        <v>#REF!</v>
      </c>
      <c r="F76" s="748" t="e">
        <f>#REF!/F$22*1000/12</f>
        <v>#REF!</v>
      </c>
      <c r="G76" s="748" t="e">
        <f>#REF!/G$22*1000/12</f>
        <v>#REF!</v>
      </c>
    </row>
    <row r="77" spans="1:9">
      <c r="A77" s="762" t="s">
        <v>1465</v>
      </c>
      <c r="B77" s="171" t="s">
        <v>441</v>
      </c>
      <c r="C77" s="776" t="s">
        <v>1422</v>
      </c>
      <c r="D77" s="748" t="e">
        <f>#REF!/D$22*1000/12</f>
        <v>#REF!</v>
      </c>
      <c r="E77" s="748" t="e">
        <f>#REF!/E$22*1000/12</f>
        <v>#REF!</v>
      </c>
      <c r="F77" s="748" t="e">
        <f>#REF!/F$22*1000/12</f>
        <v>#REF!</v>
      </c>
      <c r="G77" s="748" t="e">
        <f>#REF!/G$22*1000/12</f>
        <v>#REF!</v>
      </c>
    </row>
    <row r="78" spans="1:9">
      <c r="A78" s="762" t="s">
        <v>1466</v>
      </c>
      <c r="B78" s="171" t="s">
        <v>77</v>
      </c>
      <c r="C78" s="776" t="s">
        <v>1422</v>
      </c>
      <c r="D78" s="748" t="e">
        <f>#REF!/D$22*1000/12</f>
        <v>#REF!</v>
      </c>
      <c r="E78" s="748" t="e">
        <f>#REF!/E$22*1000/12</f>
        <v>#REF!</v>
      </c>
      <c r="F78" s="748" t="e">
        <f>#REF!/F$22*1000/12</f>
        <v>#REF!</v>
      </c>
      <c r="G78" s="748" t="e">
        <f>#REF!/G$22*1000/12</f>
        <v>#REF!</v>
      </c>
    </row>
    <row r="79" spans="1:9">
      <c r="A79" s="762" t="s">
        <v>1467</v>
      </c>
      <c r="B79" s="171" t="s">
        <v>204</v>
      </c>
      <c r="C79" s="776" t="s">
        <v>1422</v>
      </c>
      <c r="D79" s="748" t="e">
        <f>#REF!/D$22*1000/12</f>
        <v>#REF!</v>
      </c>
      <c r="E79" s="748" t="e">
        <f>#REF!/E$22*1000/12</f>
        <v>#REF!</v>
      </c>
      <c r="F79" s="748" t="e">
        <f>#REF!/F$22*1000/12</f>
        <v>#REF!</v>
      </c>
      <c r="G79" s="748" t="e">
        <f>#REF!/G$22*1000/12</f>
        <v>#REF!</v>
      </c>
    </row>
    <row r="80" spans="1:9">
      <c r="A80" s="762" t="s">
        <v>1468</v>
      </c>
      <c r="B80" s="171" t="s">
        <v>51</v>
      </c>
      <c r="C80" s="776" t="s">
        <v>1422</v>
      </c>
      <c r="D80" s="748" t="e">
        <f>#REF!/D$22*1000/12</f>
        <v>#REF!</v>
      </c>
      <c r="E80" s="748" t="e">
        <f>#REF!/E$22*1000/12</f>
        <v>#REF!</v>
      </c>
      <c r="F80" s="748" t="e">
        <f>#REF!/F$22*1000/12</f>
        <v>#REF!</v>
      </c>
      <c r="G80" s="748" t="e">
        <f>#REF!/G$22*1000/12</f>
        <v>#REF!</v>
      </c>
    </row>
    <row r="81" spans="1:9" ht="28.2" customHeight="1">
      <c r="A81" s="762" t="s">
        <v>1469</v>
      </c>
      <c r="B81" s="171" t="s">
        <v>433</v>
      </c>
      <c r="C81" s="776" t="s">
        <v>1422</v>
      </c>
      <c r="D81" s="748" t="e">
        <f>#REF!/D$22*1000/12</f>
        <v>#REF!</v>
      </c>
      <c r="E81" s="748" t="e">
        <f>#REF!/E$22*1000/12</f>
        <v>#REF!</v>
      </c>
      <c r="F81" s="748" t="e">
        <f>#REF!/F$22*1000/12</f>
        <v>#REF!</v>
      </c>
      <c r="G81" s="748" t="e">
        <f>#REF!/G$22*1000/12</f>
        <v>#REF!</v>
      </c>
    </row>
    <row r="82" spans="1:9">
      <c r="A82" s="762" t="s">
        <v>1470</v>
      </c>
      <c r="B82" s="171" t="s">
        <v>54</v>
      </c>
      <c r="C82" s="776" t="s">
        <v>1422</v>
      </c>
      <c r="D82" s="748" t="e">
        <f>#REF!/D$22*1000/12</f>
        <v>#REF!</v>
      </c>
      <c r="E82" s="748" t="e">
        <f>#REF!/E$22*1000/12</f>
        <v>#REF!</v>
      </c>
      <c r="F82" s="748" t="e">
        <f>#REF!/F$22*1000/12</f>
        <v>#REF!</v>
      </c>
      <c r="G82" s="748" t="e">
        <f>#REF!/G$22*1000/12</f>
        <v>#REF!</v>
      </c>
    </row>
    <row r="83" spans="1:9">
      <c r="A83" s="762" t="s">
        <v>548</v>
      </c>
      <c r="B83" s="140" t="s">
        <v>205</v>
      </c>
      <c r="C83" s="776" t="s">
        <v>1422</v>
      </c>
      <c r="D83" s="748" t="e">
        <f>#REF!/D$22*1000/12</f>
        <v>#REF!</v>
      </c>
      <c r="E83" s="748" t="e">
        <f>#REF!/E$22*1000/12</f>
        <v>#REF!</v>
      </c>
      <c r="F83" s="748" t="e">
        <f>#REF!/F$22*1000/12</f>
        <v>#REF!</v>
      </c>
      <c r="G83" s="748" t="e">
        <f>#REF!/G$22*1000/12</f>
        <v>#REF!</v>
      </c>
    </row>
    <row r="84" spans="1:9">
      <c r="A84" s="762" t="s">
        <v>1159</v>
      </c>
      <c r="B84" s="140" t="s">
        <v>51</v>
      </c>
      <c r="C84" s="776" t="s">
        <v>1422</v>
      </c>
      <c r="D84" s="748" t="e">
        <f>#REF!/D$22*1000/12</f>
        <v>#REF!</v>
      </c>
      <c r="E84" s="748" t="e">
        <f>#REF!/E$22*1000/12</f>
        <v>#REF!</v>
      </c>
      <c r="F84" s="748" t="e">
        <f>#REF!/F$22*1000/12</f>
        <v>#REF!</v>
      </c>
      <c r="G84" s="748" t="e">
        <f>#REF!/G$22*1000/12</f>
        <v>#REF!</v>
      </c>
    </row>
    <row r="85" spans="1:9" ht="26.4" customHeight="1">
      <c r="A85" s="762" t="s">
        <v>1160</v>
      </c>
      <c r="B85" s="140" t="s">
        <v>433</v>
      </c>
      <c r="C85" s="776" t="s">
        <v>1422</v>
      </c>
      <c r="D85" s="748" t="e">
        <f>#REF!/D$22*1000/12</f>
        <v>#REF!</v>
      </c>
      <c r="E85" s="748" t="e">
        <f>#REF!/E$22*1000/12</f>
        <v>#REF!</v>
      </c>
      <c r="F85" s="748" t="e">
        <f>#REF!/F$22*1000/12</f>
        <v>#REF!</v>
      </c>
      <c r="G85" s="748" t="e">
        <f>#REF!/G$22*1000/12</f>
        <v>#REF!</v>
      </c>
    </row>
    <row r="86" spans="1:9">
      <c r="A86" s="762" t="s">
        <v>1388</v>
      </c>
      <c r="B86" s="140" t="s">
        <v>54</v>
      </c>
      <c r="C86" s="776" t="s">
        <v>1422</v>
      </c>
      <c r="D86" s="748" t="e">
        <f>#REF!/D$22*1000/12</f>
        <v>#REF!</v>
      </c>
      <c r="E86" s="748" t="e">
        <f>#REF!/E$22*1000/12</f>
        <v>#REF!</v>
      </c>
      <c r="F86" s="748" t="e">
        <f>#REF!/F$22*1000/12</f>
        <v>#REF!</v>
      </c>
      <c r="G86" s="748" t="e">
        <f>#REF!/G$22*1000/12</f>
        <v>#REF!</v>
      </c>
    </row>
    <row r="87" spans="1:9">
      <c r="A87" s="762" t="s">
        <v>549</v>
      </c>
      <c r="B87" s="171" t="s">
        <v>206</v>
      </c>
      <c r="C87" s="776" t="s">
        <v>1422</v>
      </c>
      <c r="D87" s="748" t="e">
        <f>#REF!/D$22*1000/12</f>
        <v>#REF!</v>
      </c>
      <c r="E87" s="748" t="e">
        <f>#REF!/E$22*1000/12</f>
        <v>#REF!</v>
      </c>
      <c r="F87" s="748" t="e">
        <f>#REF!/F$22*1000/12</f>
        <v>#REF!</v>
      </c>
      <c r="G87" s="748" t="e">
        <f>#REF!/G$22*1000/12</f>
        <v>#REF!</v>
      </c>
    </row>
    <row r="88" spans="1:9">
      <c r="A88" s="762" t="s">
        <v>1471</v>
      </c>
      <c r="B88" s="171" t="s">
        <v>51</v>
      </c>
      <c r="C88" s="776" t="s">
        <v>1422</v>
      </c>
      <c r="D88" s="748" t="e">
        <f>#REF!/D$22*1000/12</f>
        <v>#REF!</v>
      </c>
      <c r="E88" s="748" t="e">
        <f>#REF!/E$22*1000/12</f>
        <v>#REF!</v>
      </c>
      <c r="F88" s="748" t="e">
        <f>#REF!/F$22*1000/12</f>
        <v>#REF!</v>
      </c>
      <c r="G88" s="748" t="e">
        <f>#REF!/G$22*1000/12</f>
        <v>#REF!</v>
      </c>
    </row>
    <row r="89" spans="1:9" ht="26.4" customHeight="1">
      <c r="A89" s="762" t="s">
        <v>1472</v>
      </c>
      <c r="B89" s="140" t="s">
        <v>433</v>
      </c>
      <c r="C89" s="776" t="s">
        <v>1422</v>
      </c>
      <c r="D89" s="748" t="e">
        <f>#REF!/D$22*1000/12</f>
        <v>#REF!</v>
      </c>
      <c r="E89" s="748" t="e">
        <f>#REF!/E$22*1000/12</f>
        <v>#REF!</v>
      </c>
      <c r="F89" s="748" t="e">
        <f>#REF!/F$22*1000/12</f>
        <v>#REF!</v>
      </c>
      <c r="G89" s="748" t="e">
        <f>#REF!/G$22*1000/12</f>
        <v>#REF!</v>
      </c>
    </row>
    <row r="90" spans="1:9">
      <c r="A90" s="762" t="s">
        <v>1473</v>
      </c>
      <c r="B90" s="755" t="s">
        <v>219</v>
      </c>
      <c r="C90" s="776" t="s">
        <v>1422</v>
      </c>
      <c r="D90" s="748" t="e">
        <f>#REF!/D$22*1000/12</f>
        <v>#REF!</v>
      </c>
      <c r="E90" s="748" t="e">
        <f>#REF!/E$22*1000/12</f>
        <v>#REF!</v>
      </c>
      <c r="F90" s="748" t="e">
        <f>#REF!/F$22*1000/12</f>
        <v>#REF!</v>
      </c>
      <c r="G90" s="748" t="e">
        <f>#REF!/G$22*1000/12</f>
        <v>#REF!</v>
      </c>
    </row>
    <row r="91" spans="1:9">
      <c r="A91" s="762" t="s">
        <v>1389</v>
      </c>
      <c r="B91" s="140" t="s">
        <v>78</v>
      </c>
      <c r="C91" s="776" t="s">
        <v>1422</v>
      </c>
      <c r="D91" s="748" t="e">
        <f>#REF!/D$22*1000/12</f>
        <v>#REF!</v>
      </c>
      <c r="E91" s="748" t="e">
        <f>#REF!/E$22*1000/12</f>
        <v>#REF!</v>
      </c>
      <c r="F91" s="748" t="e">
        <f>#REF!/F$22*1000/12</f>
        <v>#REF!</v>
      </c>
      <c r="G91" s="748" t="e">
        <f>#REF!/G$22*1000/12</f>
        <v>#REF!</v>
      </c>
    </row>
    <row r="92" spans="1:9">
      <c r="A92" s="762" t="s">
        <v>1390</v>
      </c>
      <c r="B92" s="140" t="s">
        <v>5</v>
      </c>
      <c r="C92" s="776" t="s">
        <v>1422</v>
      </c>
      <c r="D92" s="748" t="e">
        <f>#REF!/D$22*1000/12</f>
        <v>#REF!</v>
      </c>
      <c r="E92" s="748" t="e">
        <f>#REF!/E$22*1000/12</f>
        <v>#REF!</v>
      </c>
      <c r="F92" s="748" t="e">
        <f>#REF!/F$22*1000/12</f>
        <v>#REF!</v>
      </c>
      <c r="G92" s="748" t="e">
        <f>#REF!/G$22*1000/12</f>
        <v>#REF!</v>
      </c>
    </row>
    <row r="93" spans="1:9">
      <c r="A93" s="762" t="s">
        <v>1391</v>
      </c>
      <c r="B93" s="140" t="s">
        <v>59</v>
      </c>
      <c r="C93" s="776" t="s">
        <v>1422</v>
      </c>
      <c r="D93" s="748" t="e">
        <f>#REF!/D$22*1000/12</f>
        <v>#REF!</v>
      </c>
      <c r="E93" s="748" t="e">
        <f>#REF!/E$22*1000/12</f>
        <v>#REF!</v>
      </c>
      <c r="F93" s="748" t="e">
        <f>#REF!/F$22*1000/12</f>
        <v>#REF!</v>
      </c>
      <c r="G93" s="748" t="e">
        <f>#REF!/G$22*1000/12</f>
        <v>#REF!</v>
      </c>
    </row>
    <row r="94" spans="1:9">
      <c r="A94" s="762" t="s">
        <v>1392</v>
      </c>
      <c r="B94" s="140" t="s">
        <v>220</v>
      </c>
      <c r="C94" s="776" t="s">
        <v>1422</v>
      </c>
      <c r="D94" s="748" t="e">
        <f>#REF!/D$22*1000/12</f>
        <v>#REF!</v>
      </c>
      <c r="E94" s="748" t="e">
        <f>#REF!/E$22*1000/12</f>
        <v>#REF!</v>
      </c>
      <c r="F94" s="748" t="e">
        <f>#REF!/F$22*1000/12</f>
        <v>#REF!</v>
      </c>
      <c r="G94" s="748" t="e">
        <f>#REF!/G$22*1000/12</f>
        <v>#REF!</v>
      </c>
    </row>
    <row r="95" spans="1:9" ht="16.2" customHeight="1">
      <c r="A95" s="762" t="s">
        <v>1393</v>
      </c>
      <c r="B95" s="140" t="s">
        <v>221</v>
      </c>
      <c r="C95" s="776" t="s">
        <v>1422</v>
      </c>
      <c r="D95" s="748" t="e">
        <f>#REF!/D$22*1000/12</f>
        <v>#REF!</v>
      </c>
      <c r="E95" s="748" t="e">
        <f>#REF!/E$22*1000/12</f>
        <v>#REF!</v>
      </c>
      <c r="F95" s="748" t="e">
        <f>#REF!/F$22*1000/12</f>
        <v>#REF!</v>
      </c>
      <c r="G95" s="748" t="e">
        <f>#REF!/G$22*1000/12</f>
        <v>#REF!</v>
      </c>
      <c r="I95" s="779"/>
    </row>
    <row r="96" spans="1:9">
      <c r="A96" s="762" t="s">
        <v>1036</v>
      </c>
      <c r="B96" s="140" t="s">
        <v>61</v>
      </c>
      <c r="C96" s="776" t="s">
        <v>1422</v>
      </c>
      <c r="D96" s="748" t="e">
        <f>#REF!/D$22*1000/12</f>
        <v>#REF!</v>
      </c>
      <c r="E96" s="748" t="e">
        <f>#REF!/E$22*1000/12</f>
        <v>#REF!</v>
      </c>
      <c r="F96" s="748" t="e">
        <f>#REF!/F$22*1000/12</f>
        <v>#REF!</v>
      </c>
      <c r="G96" s="748" t="e">
        <f>#REF!/G$22*1000/12</f>
        <v>#REF!</v>
      </c>
    </row>
    <row r="97" spans="1:12">
      <c r="A97" s="762" t="s">
        <v>1039</v>
      </c>
      <c r="B97" s="140" t="s">
        <v>80</v>
      </c>
      <c r="C97" s="776" t="s">
        <v>1422</v>
      </c>
      <c r="D97" s="748" t="e">
        <f>#REF!/D$22*1000/12</f>
        <v>#REF!</v>
      </c>
      <c r="E97" s="748" t="e">
        <f>#REF!/E$22*1000/12</f>
        <v>#REF!</v>
      </c>
      <c r="F97" s="748" t="e">
        <f>#REF!/F$22*1000/12</f>
        <v>#REF!</v>
      </c>
      <c r="G97" s="748" t="e">
        <f>#REF!/G$22*1000/12</f>
        <v>#REF!</v>
      </c>
    </row>
    <row r="98" spans="1:12">
      <c r="A98" s="762" t="s">
        <v>1041</v>
      </c>
      <c r="B98" s="140" t="s">
        <v>81</v>
      </c>
      <c r="C98" s="776" t="s">
        <v>1422</v>
      </c>
      <c r="D98" s="748" t="e">
        <f>#REF!/D$22*1000/12</f>
        <v>#REF!</v>
      </c>
      <c r="E98" s="748" t="e">
        <f>#REF!/E$22*1000/12</f>
        <v>#REF!</v>
      </c>
      <c r="F98" s="748" t="e">
        <f>#REF!/F$22*1000/12</f>
        <v>#REF!</v>
      </c>
      <c r="G98" s="748" t="e">
        <f>#REF!/G$22*1000/12</f>
        <v>#REF!</v>
      </c>
    </row>
    <row r="99" spans="1:12">
      <c r="A99" s="762" t="s">
        <v>1474</v>
      </c>
      <c r="B99" s="140" t="s">
        <v>67</v>
      </c>
      <c r="C99" s="776" t="s">
        <v>1422</v>
      </c>
      <c r="D99" s="748" t="e">
        <f>#REF!/D$22*1000/12</f>
        <v>#REF!</v>
      </c>
      <c r="E99" s="748" t="e">
        <f>#REF!/E$22*1000/12</f>
        <v>#REF!</v>
      </c>
      <c r="F99" s="748" t="e">
        <f>#REF!/F$22*1000/12</f>
        <v>#REF!</v>
      </c>
      <c r="G99" s="748" t="e">
        <f>#REF!/G$22*1000/12</f>
        <v>#REF!</v>
      </c>
    </row>
    <row r="100" spans="1:12">
      <c r="A100" s="762" t="s">
        <v>1475</v>
      </c>
      <c r="B100" s="140" t="s">
        <v>82</v>
      </c>
      <c r="C100" s="776" t="s">
        <v>1422</v>
      </c>
      <c r="D100" s="748" t="e">
        <f>#REF!/D$22*1000/12</f>
        <v>#REF!</v>
      </c>
      <c r="E100" s="748" t="e">
        <f>#REF!/E$22*1000/12</f>
        <v>#REF!</v>
      </c>
      <c r="F100" s="748" t="e">
        <f>#REF!/F$22*1000/12</f>
        <v>#REF!</v>
      </c>
      <c r="G100" s="748" t="e">
        <f>#REF!/G$22*1000/12</f>
        <v>#REF!</v>
      </c>
      <c r="I100" s="538" t="e">
        <f>D100/D93</f>
        <v>#REF!</v>
      </c>
      <c r="J100" s="538" t="e">
        <f>E100/E93</f>
        <v>#REF!</v>
      </c>
      <c r="K100" s="538" t="e">
        <f>F100/F93</f>
        <v>#REF!</v>
      </c>
      <c r="L100" s="538" t="e">
        <f>G100/G93</f>
        <v>#REF!</v>
      </c>
    </row>
    <row r="101" spans="1:12">
      <c r="A101" s="3085" t="s">
        <v>1382</v>
      </c>
      <c r="B101" s="3086"/>
      <c r="C101" s="3086"/>
      <c r="D101" s="3086"/>
      <c r="E101" s="3086"/>
      <c r="F101" s="3086"/>
      <c r="G101" s="3087"/>
    </row>
    <row r="102" spans="1:12" ht="26.4">
      <c r="A102" s="759" t="s">
        <v>1394</v>
      </c>
      <c r="B102" s="761" t="s">
        <v>1409</v>
      </c>
      <c r="C102" s="778" t="s">
        <v>1420</v>
      </c>
      <c r="D102" s="748" t="e">
        <f>#REF!/D$20*1000/12</f>
        <v>#REF!</v>
      </c>
      <c r="E102" s="748" t="e">
        <f>#REF!/E$20*1000/12</f>
        <v>#REF!</v>
      </c>
      <c r="F102" s="748" t="e">
        <f>#REF!/F$20*1000/12</f>
        <v>#REF!</v>
      </c>
      <c r="G102" s="748" t="e">
        <f>#REF!/G$20*1000/12</f>
        <v>#REF!</v>
      </c>
    </row>
    <row r="103" spans="1:12">
      <c r="A103" s="760" t="s">
        <v>1395</v>
      </c>
      <c r="B103" s="140" t="s">
        <v>201</v>
      </c>
      <c r="C103" s="777" t="s">
        <v>1422</v>
      </c>
      <c r="D103" s="748" t="e">
        <f>#REF!/D$20*1000/12</f>
        <v>#REF!</v>
      </c>
      <c r="E103" s="748" t="e">
        <f>#REF!/E$20*1000/12</f>
        <v>#REF!</v>
      </c>
      <c r="F103" s="748" t="e">
        <f>#REF!/F$20*1000/12</f>
        <v>#REF!</v>
      </c>
      <c r="G103" s="748" t="e">
        <f>#REF!/G$20*1000/12</f>
        <v>#REF!</v>
      </c>
    </row>
    <row r="104" spans="1:12">
      <c r="A104" s="760" t="s">
        <v>1396</v>
      </c>
      <c r="B104" s="140" t="s">
        <v>97</v>
      </c>
      <c r="C104" s="777" t="s">
        <v>1422</v>
      </c>
      <c r="D104" s="748" t="e">
        <f>#REF!/D$20*1000/12</f>
        <v>#REF!</v>
      </c>
      <c r="E104" s="748" t="e">
        <f>#REF!/E$20*1000/12</f>
        <v>#REF!</v>
      </c>
      <c r="F104" s="748" t="e">
        <f>#REF!/F$20*1000/12</f>
        <v>#REF!</v>
      </c>
      <c r="G104" s="748" t="e">
        <f>#REF!/G$20*1000/12</f>
        <v>#REF!</v>
      </c>
    </row>
    <row r="105" spans="1:12">
      <c r="A105" s="760" t="s">
        <v>1397</v>
      </c>
      <c r="B105" s="140" t="s">
        <v>43</v>
      </c>
      <c r="C105" s="777" t="s">
        <v>1422</v>
      </c>
      <c r="D105" s="748" t="e">
        <f>#REF!/D$20*1000/12</f>
        <v>#REF!</v>
      </c>
      <c r="E105" s="748" t="e">
        <f>#REF!/E$20*1000/12</f>
        <v>#REF!</v>
      </c>
      <c r="F105" s="748" t="e">
        <f>#REF!/F$20*1000/12</f>
        <v>#REF!</v>
      </c>
      <c r="G105" s="748" t="e">
        <f>#REF!/G$20*1000/12</f>
        <v>#REF!</v>
      </c>
    </row>
    <row r="106" spans="1:12">
      <c r="A106" s="760" t="s">
        <v>1398</v>
      </c>
      <c r="B106" s="140" t="s">
        <v>203</v>
      </c>
      <c r="C106" s="777" t="s">
        <v>1422</v>
      </c>
      <c r="D106" s="748" t="e">
        <f>#REF!/D$20*1000/12</f>
        <v>#REF!</v>
      </c>
      <c r="E106" s="748" t="e">
        <f>#REF!/E$20*1000/12</f>
        <v>#REF!</v>
      </c>
      <c r="F106" s="748" t="e">
        <f>#REF!/F$20*1000/12</f>
        <v>#REF!</v>
      </c>
      <c r="G106" s="748" t="e">
        <f>#REF!/G$20*1000/12</f>
        <v>#REF!</v>
      </c>
    </row>
    <row r="107" spans="1:12" ht="28.95" customHeight="1">
      <c r="A107" s="760" t="s">
        <v>1476</v>
      </c>
      <c r="B107" s="140" t="s">
        <v>433</v>
      </c>
      <c r="C107" s="777" t="s">
        <v>1422</v>
      </c>
      <c r="D107" s="748" t="e">
        <f>#REF!/D$20*1000/12</f>
        <v>#REF!</v>
      </c>
      <c r="E107" s="748" t="e">
        <f>#REF!/E$20*1000/12</f>
        <v>#REF!</v>
      </c>
      <c r="F107" s="748" t="e">
        <f>#REF!/F$20*1000/12</f>
        <v>#REF!</v>
      </c>
      <c r="G107" s="748" t="e">
        <f>#REF!/G$20*1000/12</f>
        <v>#REF!</v>
      </c>
    </row>
    <row r="108" spans="1:12">
      <c r="A108" s="760" t="s">
        <v>1477</v>
      </c>
      <c r="B108" s="140" t="s">
        <v>441</v>
      </c>
      <c r="C108" s="777" t="s">
        <v>1422</v>
      </c>
      <c r="D108" s="748" t="e">
        <f>#REF!/D$20*1000/12</f>
        <v>#REF!</v>
      </c>
      <c r="E108" s="748" t="e">
        <f>#REF!/E$20*1000/12</f>
        <v>#REF!</v>
      </c>
      <c r="F108" s="748" t="e">
        <f>#REF!/F$20*1000/12</f>
        <v>#REF!</v>
      </c>
      <c r="G108" s="748" t="e">
        <f>#REF!/G$20*1000/12</f>
        <v>#REF!</v>
      </c>
    </row>
    <row r="109" spans="1:12">
      <c r="A109" s="760" t="s">
        <v>1478</v>
      </c>
      <c r="B109" s="140" t="s">
        <v>48</v>
      </c>
      <c r="C109" s="777" t="s">
        <v>1422</v>
      </c>
      <c r="D109" s="748" t="e">
        <f>#REF!/D$20*1000/12</f>
        <v>#REF!</v>
      </c>
      <c r="E109" s="748" t="e">
        <f>#REF!/E$20*1000/12</f>
        <v>#REF!</v>
      </c>
      <c r="F109" s="748" t="e">
        <f>#REF!/F$20*1000/12</f>
        <v>#REF!</v>
      </c>
      <c r="G109" s="748" t="e">
        <f>#REF!/G$20*1000/12</f>
        <v>#REF!</v>
      </c>
    </row>
    <row r="110" spans="1:12">
      <c r="A110" s="760" t="s">
        <v>1479</v>
      </c>
      <c r="B110" s="140" t="s">
        <v>204</v>
      </c>
      <c r="C110" s="777" t="s">
        <v>1422</v>
      </c>
      <c r="D110" s="748" t="e">
        <f>#REF!/D$20*1000/12</f>
        <v>#REF!</v>
      </c>
      <c r="E110" s="748" t="e">
        <f>#REF!/E$20*1000/12</f>
        <v>#REF!</v>
      </c>
      <c r="F110" s="748" t="e">
        <f>#REF!/F$20*1000/12</f>
        <v>#REF!</v>
      </c>
      <c r="G110" s="748" t="e">
        <f>#REF!/G$20*1000/12</f>
        <v>#REF!</v>
      </c>
    </row>
    <row r="111" spans="1:12">
      <c r="A111" s="760" t="s">
        <v>1480</v>
      </c>
      <c r="B111" s="140" t="s">
        <v>51</v>
      </c>
      <c r="C111" s="777" t="s">
        <v>1422</v>
      </c>
      <c r="D111" s="748" t="e">
        <f>#REF!/D$20*1000/12</f>
        <v>#REF!</v>
      </c>
      <c r="E111" s="748" t="e">
        <f>#REF!/E$20*1000/12</f>
        <v>#REF!</v>
      </c>
      <c r="F111" s="748" t="e">
        <f>#REF!/F$20*1000/12</f>
        <v>#REF!</v>
      </c>
      <c r="G111" s="748" t="e">
        <f>#REF!/G$20*1000/12</f>
        <v>#REF!</v>
      </c>
    </row>
    <row r="112" spans="1:12" ht="27.6" customHeight="1">
      <c r="A112" s="760" t="s">
        <v>1481</v>
      </c>
      <c r="B112" s="140" t="s">
        <v>433</v>
      </c>
      <c r="C112" s="777" t="s">
        <v>1422</v>
      </c>
      <c r="D112" s="748" t="e">
        <f>#REF!/D$20*1000/12</f>
        <v>#REF!</v>
      </c>
      <c r="E112" s="748" t="e">
        <f>#REF!/E$20*1000/12</f>
        <v>#REF!</v>
      </c>
      <c r="F112" s="748" t="e">
        <f>#REF!/F$20*1000/12</f>
        <v>#REF!</v>
      </c>
      <c r="G112" s="748" t="e">
        <f>#REF!/G$20*1000/12</f>
        <v>#REF!</v>
      </c>
    </row>
    <row r="113" spans="1:7">
      <c r="A113" s="760" t="s">
        <v>1482</v>
      </c>
      <c r="B113" s="140" t="s">
        <v>54</v>
      </c>
      <c r="C113" s="777" t="s">
        <v>1422</v>
      </c>
      <c r="D113" s="748" t="e">
        <f>#REF!/D$20*1000/12</f>
        <v>#REF!</v>
      </c>
      <c r="E113" s="748" t="e">
        <f>#REF!/E$20*1000/12</f>
        <v>#REF!</v>
      </c>
      <c r="F113" s="748" t="e">
        <f>#REF!/F$20*1000/12</f>
        <v>#REF!</v>
      </c>
      <c r="G113" s="748" t="e">
        <f>#REF!/G$20*1000/12</f>
        <v>#REF!</v>
      </c>
    </row>
    <row r="114" spans="1:7">
      <c r="A114" s="760" t="s">
        <v>1399</v>
      </c>
      <c r="B114" s="140" t="s">
        <v>205</v>
      </c>
      <c r="C114" s="777" t="s">
        <v>1422</v>
      </c>
      <c r="D114" s="748" t="e">
        <f>#REF!/D$20*1000/12</f>
        <v>#REF!</v>
      </c>
      <c r="E114" s="748" t="e">
        <f>#REF!/E$20*1000/12</f>
        <v>#REF!</v>
      </c>
      <c r="F114" s="748" t="e">
        <f>#REF!/F$20*1000/12</f>
        <v>#REF!</v>
      </c>
      <c r="G114" s="748" t="e">
        <f>#REF!/G$20*1000/12</f>
        <v>#REF!</v>
      </c>
    </row>
    <row r="115" spans="1:7">
      <c r="A115" s="760" t="s">
        <v>1052</v>
      </c>
      <c r="B115" s="140" t="s">
        <v>51</v>
      </c>
      <c r="C115" s="777" t="s">
        <v>1422</v>
      </c>
      <c r="D115" s="748" t="e">
        <f>#REF!/D$20*1000/12</f>
        <v>#REF!</v>
      </c>
      <c r="E115" s="748" t="e">
        <f>#REF!/E$20*1000/12</f>
        <v>#REF!</v>
      </c>
      <c r="F115" s="748" t="e">
        <f>#REF!/F$20*1000/12</f>
        <v>#REF!</v>
      </c>
      <c r="G115" s="748" t="e">
        <f>#REF!/G$20*1000/12</f>
        <v>#REF!</v>
      </c>
    </row>
    <row r="116" spans="1:7" ht="25.95" customHeight="1">
      <c r="A116" s="760" t="s">
        <v>1054</v>
      </c>
      <c r="B116" s="140" t="s">
        <v>433</v>
      </c>
      <c r="C116" s="777" t="s">
        <v>1422</v>
      </c>
      <c r="D116" s="748" t="e">
        <f>#REF!/D$20*1000/12</f>
        <v>#REF!</v>
      </c>
      <c r="E116" s="748" t="e">
        <f>#REF!/E$20*1000/12</f>
        <v>#REF!</v>
      </c>
      <c r="F116" s="748" t="e">
        <f>#REF!/F$20*1000/12</f>
        <v>#REF!</v>
      </c>
      <c r="G116" s="748" t="e">
        <f>#REF!/G$20*1000/12</f>
        <v>#REF!</v>
      </c>
    </row>
    <row r="117" spans="1:7">
      <c r="A117" s="760" t="s">
        <v>1400</v>
      </c>
      <c r="B117" s="140" t="s">
        <v>54</v>
      </c>
      <c r="C117" s="777" t="s">
        <v>1422</v>
      </c>
      <c r="D117" s="748" t="e">
        <f>#REF!/D$20*1000/12</f>
        <v>#REF!</v>
      </c>
      <c r="E117" s="748" t="e">
        <f>#REF!/E$20*1000/12</f>
        <v>#REF!</v>
      </c>
      <c r="F117" s="748" t="e">
        <f>#REF!/F$20*1000/12</f>
        <v>#REF!</v>
      </c>
      <c r="G117" s="748" t="e">
        <f>#REF!/G$20*1000/12</f>
        <v>#REF!</v>
      </c>
    </row>
    <row r="118" spans="1:7">
      <c r="A118" s="760" t="s">
        <v>1401</v>
      </c>
      <c r="B118" s="171" t="s">
        <v>206</v>
      </c>
      <c r="C118" s="777" t="s">
        <v>1422</v>
      </c>
      <c r="D118" s="748" t="e">
        <f>#REF!/D$20*1000/12</f>
        <v>#REF!</v>
      </c>
      <c r="E118" s="748" t="e">
        <f>#REF!/E$20*1000/12</f>
        <v>#REF!</v>
      </c>
      <c r="F118" s="748" t="e">
        <f>#REF!/F$20*1000/12</f>
        <v>#REF!</v>
      </c>
      <c r="G118" s="748" t="e">
        <f>#REF!/G$20*1000/12</f>
        <v>#REF!</v>
      </c>
    </row>
    <row r="119" spans="1:7">
      <c r="A119" s="760" t="s">
        <v>1483</v>
      </c>
      <c r="B119" s="171" t="s">
        <v>51</v>
      </c>
      <c r="C119" s="777" t="s">
        <v>1422</v>
      </c>
      <c r="D119" s="748" t="e">
        <f>#REF!/D$20*1000/12</f>
        <v>#REF!</v>
      </c>
      <c r="E119" s="748" t="e">
        <f>#REF!/E$20*1000/12</f>
        <v>#REF!</v>
      </c>
      <c r="F119" s="748" t="e">
        <f>#REF!/F$20*1000/12</f>
        <v>#REF!</v>
      </c>
      <c r="G119" s="748" t="e">
        <f>#REF!/G$20*1000/12</f>
        <v>#REF!</v>
      </c>
    </row>
    <row r="120" spans="1:7" ht="28.2" customHeight="1">
      <c r="A120" s="760" t="s">
        <v>1484</v>
      </c>
      <c r="B120" s="171" t="s">
        <v>433</v>
      </c>
      <c r="C120" s="777" t="s">
        <v>1422</v>
      </c>
      <c r="D120" s="748" t="e">
        <f>#REF!/D$20*1000/12</f>
        <v>#REF!</v>
      </c>
      <c r="E120" s="748" t="e">
        <f>#REF!/E$20*1000/12</f>
        <v>#REF!</v>
      </c>
      <c r="F120" s="748" t="e">
        <f>#REF!/F$20*1000/12</f>
        <v>#REF!</v>
      </c>
      <c r="G120" s="748" t="e">
        <f>#REF!/G$20*1000/12</f>
        <v>#REF!</v>
      </c>
    </row>
    <row r="121" spans="1:7">
      <c r="A121" s="760" t="s">
        <v>1485</v>
      </c>
      <c r="B121" s="755" t="s">
        <v>219</v>
      </c>
      <c r="C121" s="777" t="s">
        <v>1422</v>
      </c>
      <c r="D121" s="748" t="e">
        <f>#REF!/D$20*1000/12</f>
        <v>#REF!</v>
      </c>
      <c r="E121" s="748" t="e">
        <f>#REF!/E$20*1000/12</f>
        <v>#REF!</v>
      </c>
      <c r="F121" s="748" t="e">
        <f>#REF!/F$20*1000/12</f>
        <v>#REF!</v>
      </c>
      <c r="G121" s="748" t="e">
        <f>#REF!/G$20*1000/12</f>
        <v>#REF!</v>
      </c>
    </row>
    <row r="122" spans="1:7">
      <c r="A122" s="760" t="s">
        <v>1402</v>
      </c>
      <c r="B122" s="140" t="s">
        <v>100</v>
      </c>
      <c r="C122" s="777" t="s">
        <v>1422</v>
      </c>
      <c r="D122" s="748" t="e">
        <f>#REF!/D$20*1000/12</f>
        <v>#REF!</v>
      </c>
      <c r="E122" s="748" t="e">
        <f>#REF!/E$20*1000/12</f>
        <v>#REF!</v>
      </c>
      <c r="F122" s="748" t="e">
        <f>#REF!/F$20*1000/12</f>
        <v>#REF!</v>
      </c>
      <c r="G122" s="748" t="e">
        <f>#REF!/G$20*1000/12</f>
        <v>#REF!</v>
      </c>
    </row>
    <row r="123" spans="1:7">
      <c r="A123" s="760" t="s">
        <v>1403</v>
      </c>
      <c r="B123" s="140" t="s">
        <v>5</v>
      </c>
      <c r="C123" s="777" t="s">
        <v>1422</v>
      </c>
      <c r="D123" s="748" t="e">
        <f>#REF!/D$20*1000/12</f>
        <v>#REF!</v>
      </c>
      <c r="E123" s="748" t="e">
        <f>#REF!/E$20*1000/12</f>
        <v>#REF!</v>
      </c>
      <c r="F123" s="748" t="e">
        <f>#REF!/F$20*1000/12</f>
        <v>#REF!</v>
      </c>
      <c r="G123" s="748" t="e">
        <f>#REF!/G$20*1000/12</f>
        <v>#REF!</v>
      </c>
    </row>
    <row r="124" spans="1:7">
      <c r="A124" s="760" t="s">
        <v>1404</v>
      </c>
      <c r="B124" s="140" t="s">
        <v>59</v>
      </c>
      <c r="C124" s="777" t="s">
        <v>1422</v>
      </c>
      <c r="D124" s="748" t="e">
        <f>#REF!/D$20*1000/12</f>
        <v>#REF!</v>
      </c>
      <c r="E124" s="748" t="e">
        <f>#REF!/E$20*1000/12</f>
        <v>#REF!</v>
      </c>
      <c r="F124" s="748" t="e">
        <f>#REF!/F$20*1000/12</f>
        <v>#REF!</v>
      </c>
      <c r="G124" s="748" t="e">
        <f>#REF!/G$20*1000/12</f>
        <v>#REF!</v>
      </c>
    </row>
    <row r="125" spans="1:7">
      <c r="A125" s="760" t="s">
        <v>1405</v>
      </c>
      <c r="B125" s="140" t="s">
        <v>207</v>
      </c>
      <c r="C125" s="777" t="s">
        <v>1422</v>
      </c>
      <c r="D125" s="748" t="e">
        <f>#REF!/D$20*1000/12</f>
        <v>#REF!</v>
      </c>
      <c r="E125" s="748" t="e">
        <f>#REF!/E$20*1000/12</f>
        <v>#REF!</v>
      </c>
      <c r="F125" s="748" t="e">
        <f>#REF!/F$20*1000/12</f>
        <v>#REF!</v>
      </c>
      <c r="G125" s="748" t="e">
        <f>#REF!/G$20*1000/12</f>
        <v>#REF!</v>
      </c>
    </row>
    <row r="126" spans="1:7">
      <c r="A126" s="760" t="s">
        <v>1486</v>
      </c>
      <c r="B126" s="140" t="s">
        <v>226</v>
      </c>
      <c r="C126" s="777" t="s">
        <v>1422</v>
      </c>
      <c r="D126" s="748" t="e">
        <f>#REF!/D$20*1000/12</f>
        <v>#REF!</v>
      </c>
      <c r="E126" s="748" t="e">
        <f>#REF!/E$20*1000/12</f>
        <v>#REF!</v>
      </c>
      <c r="F126" s="748" t="e">
        <f>#REF!/F$20*1000/12</f>
        <v>#REF!</v>
      </c>
      <c r="G126" s="748" t="e">
        <f>#REF!/G$20*1000/12</f>
        <v>#REF!</v>
      </c>
    </row>
    <row r="127" spans="1:7">
      <c r="A127" s="760" t="s">
        <v>1487</v>
      </c>
      <c r="B127" s="140" t="s">
        <v>61</v>
      </c>
      <c r="C127" s="777" t="s">
        <v>1422</v>
      </c>
      <c r="D127" s="748" t="e">
        <f>#REF!/D$20*1000/12</f>
        <v>#REF!</v>
      </c>
      <c r="E127" s="748" t="e">
        <f>#REF!/E$20*1000/12</f>
        <v>#REF!</v>
      </c>
      <c r="F127" s="748" t="e">
        <f>#REF!/F$20*1000/12</f>
        <v>#REF!</v>
      </c>
      <c r="G127" s="748" t="e">
        <f>#REF!/G$20*1000/12</f>
        <v>#REF!</v>
      </c>
    </row>
    <row r="128" spans="1:7">
      <c r="A128" s="760" t="s">
        <v>1488</v>
      </c>
      <c r="B128" s="140" t="s">
        <v>80</v>
      </c>
      <c r="C128" s="777" t="s">
        <v>1422</v>
      </c>
      <c r="D128" s="748" t="e">
        <f>#REF!/D$20*1000/12</f>
        <v>#REF!</v>
      </c>
      <c r="E128" s="748" t="e">
        <f>#REF!/E$20*1000/12</f>
        <v>#REF!</v>
      </c>
      <c r="F128" s="748" t="e">
        <f>#REF!/F$20*1000/12</f>
        <v>#REF!</v>
      </c>
      <c r="G128" s="748" t="e">
        <f>#REF!/G$20*1000/12</f>
        <v>#REF!</v>
      </c>
    </row>
    <row r="129" spans="1:7">
      <c r="A129" s="760" t="s">
        <v>1489</v>
      </c>
      <c r="B129" s="140" t="s">
        <v>81</v>
      </c>
      <c r="C129" s="777" t="s">
        <v>1422</v>
      </c>
      <c r="D129" s="748" t="e">
        <f>#REF!/D$20*1000/12</f>
        <v>#REF!</v>
      </c>
      <c r="E129" s="748" t="e">
        <f>#REF!/E$20*1000/12</f>
        <v>#REF!</v>
      </c>
      <c r="F129" s="748" t="e">
        <f>#REF!/F$20*1000/12</f>
        <v>#REF!</v>
      </c>
      <c r="G129" s="748" t="e">
        <f>#REF!/G$20*1000/12</f>
        <v>#REF!</v>
      </c>
    </row>
    <row r="130" spans="1:7">
      <c r="A130" s="760" t="s">
        <v>1490</v>
      </c>
      <c r="B130" s="140" t="s">
        <v>67</v>
      </c>
      <c r="C130" s="777" t="s">
        <v>1422</v>
      </c>
      <c r="D130" s="748" t="e">
        <f>#REF!/D$20*1000/12</f>
        <v>#REF!</v>
      </c>
      <c r="E130" s="748" t="e">
        <f>#REF!/E$20*1000/12</f>
        <v>#REF!</v>
      </c>
      <c r="F130" s="748" t="e">
        <f>#REF!/F$20*1000/12</f>
        <v>#REF!</v>
      </c>
      <c r="G130" s="748" t="e">
        <f>#REF!/G$20*1000/12</f>
        <v>#REF!</v>
      </c>
    </row>
    <row r="131" spans="1:7">
      <c r="A131" s="760" t="s">
        <v>1491</v>
      </c>
      <c r="B131" s="505" t="s">
        <v>82</v>
      </c>
      <c r="C131" s="777" t="s">
        <v>1422</v>
      </c>
      <c r="D131" s="748" t="e">
        <f>#REF!/D$20*1000/12</f>
        <v>#REF!</v>
      </c>
      <c r="E131" s="748" t="e">
        <f>#REF!/E$20*1000/12</f>
        <v>#REF!</v>
      </c>
      <c r="F131" s="748" t="e">
        <f>#REF!/F$20*1000/12</f>
        <v>#REF!</v>
      </c>
      <c r="G131" s="748" t="e">
        <f>#REF!/G$20*1000/12</f>
        <v>#REF!</v>
      </c>
    </row>
    <row r="135" spans="1:7" ht="15.6">
      <c r="B135" s="767" t="s">
        <v>1352</v>
      </c>
      <c r="C135" s="767"/>
      <c r="D135" s="44"/>
      <c r="E135" s="767" t="s">
        <v>1353</v>
      </c>
      <c r="F135" s="767"/>
      <c r="G135" s="767"/>
    </row>
    <row r="139" spans="1:7">
      <c r="D139" s="568" t="e">
        <f>D24+D62</f>
        <v>#REF!</v>
      </c>
      <c r="E139" s="568" t="e">
        <f>E24+E62</f>
        <v>#REF!</v>
      </c>
      <c r="F139" s="568" t="e">
        <f>F24+F62</f>
        <v>#REF!</v>
      </c>
      <c r="G139" s="568" t="e">
        <f>G24+G62</f>
        <v>#REF!</v>
      </c>
    </row>
    <row r="140" spans="1:7">
      <c r="D140" s="568" t="e">
        <f>D102+D66+D31</f>
        <v>#REF!</v>
      </c>
      <c r="E140" s="568" t="e">
        <f>E102+E66+E31</f>
        <v>#REF!</v>
      </c>
      <c r="F140" s="568" t="e">
        <f>F102+F66+F31</f>
        <v>#REF!</v>
      </c>
      <c r="G140" s="568" t="e">
        <f>G102+G66+G31</f>
        <v>#REF!</v>
      </c>
    </row>
    <row r="141" spans="1:7">
      <c r="D141" s="538"/>
      <c r="E141" s="538"/>
      <c r="F141" s="538"/>
      <c r="G141" s="538"/>
    </row>
    <row r="142" spans="1:7">
      <c r="D142" s="568" t="e">
        <f t="shared" ref="D142:G143" si="1">D139-D13</f>
        <v>#REF!</v>
      </c>
      <c r="E142" s="568" t="e">
        <f t="shared" si="1"/>
        <v>#REF!</v>
      </c>
      <c r="F142" s="568" t="e">
        <f t="shared" si="1"/>
        <v>#REF!</v>
      </c>
      <c r="G142" s="568" t="e">
        <f t="shared" si="1"/>
        <v>#REF!</v>
      </c>
    </row>
    <row r="143" spans="1:7">
      <c r="D143" s="568" t="e">
        <f t="shared" si="1"/>
        <v>#REF!</v>
      </c>
      <c r="E143" s="568" t="e">
        <f t="shared" si="1"/>
        <v>#REF!</v>
      </c>
      <c r="F143" s="568" t="e">
        <f t="shared" si="1"/>
        <v>#REF!</v>
      </c>
      <c r="G143" s="568" t="e">
        <f t="shared" si="1"/>
        <v>#REF!</v>
      </c>
    </row>
  </sheetData>
  <mergeCells count="17">
    <mergeCell ref="A7:G7"/>
    <mergeCell ref="D1:F1"/>
    <mergeCell ref="D2:F2"/>
    <mergeCell ref="D3:F3"/>
    <mergeCell ref="D4:F4"/>
    <mergeCell ref="A6:G6"/>
    <mergeCell ref="A30:G30"/>
    <mergeCell ref="A61:G61"/>
    <mergeCell ref="A65:G65"/>
    <mergeCell ref="A101:G101"/>
    <mergeCell ref="A9:A10"/>
    <mergeCell ref="B9:B10"/>
    <mergeCell ref="D9:G9"/>
    <mergeCell ref="A12:G12"/>
    <mergeCell ref="A15:G15"/>
    <mergeCell ref="A23:G23"/>
    <mergeCell ref="C9:C10"/>
  </mergeCells>
  <pageMargins left="0.70866141732283472" right="0.39370078740157483" top="0.4" bottom="0.4" header="0.31496062992125984" footer="0.31496062992125984"/>
  <pageSetup paperSize="9" scale="85" fitToHeight="3" orientation="portrait" horizontalDpi="0"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Лист112">
    <tabColor rgb="FFEC20C5"/>
    <pageSetUpPr fitToPage="1"/>
  </sheetPr>
  <dimension ref="A1:K35"/>
  <sheetViews>
    <sheetView workbookViewId="0">
      <selection sqref="A1:XFD1048576"/>
    </sheetView>
  </sheetViews>
  <sheetFormatPr defaultColWidth="8.88671875" defaultRowHeight="15.6"/>
  <cols>
    <col min="1" max="1" width="8.88671875" style="44"/>
    <col min="2" max="2" width="31.6640625" style="44" customWidth="1"/>
    <col min="3" max="3" width="19.88671875" style="44" customWidth="1"/>
    <col min="4" max="4" width="23.33203125" style="44" customWidth="1"/>
    <col min="5" max="5" width="12.5546875" style="44" customWidth="1"/>
    <col min="6" max="6" width="12.88671875" style="44" customWidth="1"/>
    <col min="7" max="9" width="8.88671875" style="44"/>
    <col min="10" max="11" width="11.5546875" style="44" customWidth="1"/>
    <col min="12" max="16384" width="8.88671875" style="44"/>
  </cols>
  <sheetData>
    <row r="1" spans="1:8" ht="80.400000000000006" customHeight="1">
      <c r="A1" s="823"/>
      <c r="B1" s="729"/>
      <c r="C1" s="729"/>
      <c r="D1" s="807"/>
      <c r="E1" s="2916" t="s">
        <v>1438</v>
      </c>
      <c r="F1" s="2916"/>
    </row>
    <row r="3" spans="1:8">
      <c r="B3" s="2925" t="s">
        <v>1153</v>
      </c>
      <c r="C3" s="2925"/>
      <c r="D3" s="2925"/>
      <c r="E3" s="2925"/>
      <c r="F3" s="2925"/>
    </row>
    <row r="4" spans="1:8" ht="66" customHeight="1">
      <c r="B4" s="2946" t="s">
        <v>1386</v>
      </c>
      <c r="C4" s="2946"/>
      <c r="D4" s="2946"/>
      <c r="E4" s="2946"/>
      <c r="F4" s="2946"/>
    </row>
    <row r="5" spans="1:8" ht="7.95" customHeight="1" thickBot="1"/>
    <row r="6" spans="1:8" ht="31.8" thickBot="1">
      <c r="B6" s="805" t="s">
        <v>764</v>
      </c>
      <c r="C6" s="806" t="s">
        <v>242</v>
      </c>
      <c r="D6" s="806" t="s">
        <v>1344</v>
      </c>
      <c r="E6" s="806" t="s">
        <v>1355</v>
      </c>
      <c r="F6" s="824" t="s">
        <v>1356</v>
      </c>
    </row>
    <row r="7" spans="1:8" ht="16.2" thickBot="1">
      <c r="B7" s="3092" t="s">
        <v>1268</v>
      </c>
      <c r="C7" s="3093"/>
      <c r="D7" s="3093"/>
      <c r="E7" s="3093"/>
      <c r="F7" s="3094"/>
    </row>
    <row r="8" spans="1:8">
      <c r="B8" s="2944" t="s">
        <v>1357</v>
      </c>
      <c r="C8" s="799" t="s">
        <v>1345</v>
      </c>
      <c r="D8" s="799" t="s">
        <v>1346</v>
      </c>
      <c r="E8" s="800">
        <f>E10+E12+E14</f>
        <v>1068.5536224484338</v>
      </c>
      <c r="F8" s="825">
        <f>F10+F12+F14</f>
        <v>1282.2643469381205</v>
      </c>
      <c r="H8" s="44">
        <f>E8*1.2-F8</f>
        <v>0</v>
      </c>
    </row>
    <row r="9" spans="1:8" ht="31.8" thickBot="1">
      <c r="B9" s="2945"/>
      <c r="C9" s="801" t="s">
        <v>1347</v>
      </c>
      <c r="D9" s="801" t="s">
        <v>1348</v>
      </c>
      <c r="E9" s="802">
        <f>E11+E13+E15</f>
        <v>3750.9711772180863</v>
      </c>
      <c r="F9" s="826">
        <f>F11+F13+F15</f>
        <v>4501.1654126617032</v>
      </c>
      <c r="H9" s="44">
        <f t="shared" ref="H9:H33" si="0">E9*1.2-F9</f>
        <v>0</v>
      </c>
    </row>
    <row r="10" spans="1:8">
      <c r="B10" s="3090" t="s">
        <v>1349</v>
      </c>
      <c r="C10" s="795" t="s">
        <v>1345</v>
      </c>
      <c r="D10" s="795" t="s">
        <v>1346</v>
      </c>
      <c r="E10" s="796">
        <f>'ТЕ_2ст_тариф_з ІТП'!H81</f>
        <v>1068.5536224484338</v>
      </c>
      <c r="F10" s="827">
        <f>'ТЕ_2ст_тариф_з ІТП'!H84</f>
        <v>1282.2643469381205</v>
      </c>
      <c r="H10" s="44">
        <f t="shared" si="0"/>
        <v>0</v>
      </c>
    </row>
    <row r="11" spans="1:8" ht="18" customHeight="1" thickBot="1">
      <c r="B11" s="3091"/>
      <c r="C11" s="797" t="s">
        <v>1347</v>
      </c>
      <c r="D11" s="797" t="s">
        <v>1348</v>
      </c>
      <c r="E11" s="798">
        <f>'ТЕ_2ст_тариф_з ІТП'!H82/12</f>
        <v>3511.751783158395</v>
      </c>
      <c r="F11" s="828">
        <f>'ТЕ_2ст_тариф_з ІТП'!H85/12</f>
        <v>4214.102139790074</v>
      </c>
      <c r="H11" s="44">
        <f t="shared" si="0"/>
        <v>0</v>
      </c>
    </row>
    <row r="12" spans="1:8">
      <c r="B12" s="3090" t="s">
        <v>1350</v>
      </c>
      <c r="C12" s="795" t="s">
        <v>1345</v>
      </c>
      <c r="D12" s="795" t="s">
        <v>1346</v>
      </c>
      <c r="E12" s="796">
        <f>'ТЕ_2ст_тариф_з ІТП'!H125</f>
        <v>0</v>
      </c>
      <c r="F12" s="827">
        <f>'ТЕ_2ст_тариф_з ІТП'!H128</f>
        <v>0</v>
      </c>
      <c r="H12" s="44">
        <f t="shared" si="0"/>
        <v>0</v>
      </c>
    </row>
    <row r="13" spans="1:8" ht="17.399999999999999" customHeight="1" thickBot="1">
      <c r="B13" s="3091"/>
      <c r="C13" s="797" t="s">
        <v>1347</v>
      </c>
      <c r="D13" s="797" t="s">
        <v>1348</v>
      </c>
      <c r="E13" s="798">
        <f>'ТЕ_2ст_тариф_з ІТП'!H126/12</f>
        <v>0</v>
      </c>
      <c r="F13" s="828">
        <f>'ТЕ_2ст_тариф_з ІТП'!H129/12</f>
        <v>0</v>
      </c>
      <c r="H13" s="44">
        <f t="shared" si="0"/>
        <v>0</v>
      </c>
    </row>
    <row r="14" spans="1:8">
      <c r="B14" s="3090" t="s">
        <v>1351</v>
      </c>
      <c r="C14" s="795" t="s">
        <v>1345</v>
      </c>
      <c r="D14" s="795" t="s">
        <v>1346</v>
      </c>
      <c r="E14" s="796">
        <v>0</v>
      </c>
      <c r="F14" s="827">
        <v>0</v>
      </c>
      <c r="H14" s="44">
        <f t="shared" si="0"/>
        <v>0</v>
      </c>
    </row>
    <row r="15" spans="1:8" ht="18.600000000000001" customHeight="1" thickBot="1">
      <c r="B15" s="3091"/>
      <c r="C15" s="797" t="s">
        <v>1347</v>
      </c>
      <c r="D15" s="797" t="s">
        <v>1348</v>
      </c>
      <c r="E15" s="798">
        <f>'ТЕ_2ст_тариф_з ІТП'!H165/12</f>
        <v>239.21939405969104</v>
      </c>
      <c r="F15" s="828">
        <f>'ТЕ_2ст_тариф_з ІТП'!H168/12</f>
        <v>287.06327287162924</v>
      </c>
      <c r="H15" s="44">
        <f t="shared" si="0"/>
        <v>0</v>
      </c>
    </row>
    <row r="16" spans="1:8" ht="15.6" customHeight="1" thickBot="1">
      <c r="B16" s="3092" t="s">
        <v>1361</v>
      </c>
      <c r="C16" s="3093"/>
      <c r="D16" s="3093"/>
      <c r="E16" s="3093"/>
      <c r="F16" s="3094"/>
      <c r="H16" s="44">
        <f t="shared" si="0"/>
        <v>0</v>
      </c>
    </row>
    <row r="17" spans="2:11" ht="15.6" customHeight="1">
      <c r="B17" s="2944" t="s">
        <v>1357</v>
      </c>
      <c r="C17" s="799" t="s">
        <v>1345</v>
      </c>
      <c r="D17" s="799" t="s">
        <v>1346</v>
      </c>
      <c r="E17" s="800">
        <f>E19+E21+E23</f>
        <v>1048.8976454059243</v>
      </c>
      <c r="F17" s="825">
        <f>F19+F21+F23</f>
        <v>1258.6771744871091</v>
      </c>
      <c r="H17" s="44">
        <f t="shared" si="0"/>
        <v>0</v>
      </c>
    </row>
    <row r="18" spans="2:11" ht="31.8" thickBot="1">
      <c r="B18" s="2945"/>
      <c r="C18" s="801" t="s">
        <v>1347</v>
      </c>
      <c r="D18" s="801" t="s">
        <v>1348</v>
      </c>
      <c r="E18" s="802">
        <f>E20+E22+E24</f>
        <v>4104.212736709761</v>
      </c>
      <c r="F18" s="826">
        <f>F20+F22+F24</f>
        <v>4925.0552840517121</v>
      </c>
      <c r="H18" s="44">
        <f t="shared" si="0"/>
        <v>0</v>
      </c>
    </row>
    <row r="19" spans="2:11">
      <c r="B19" s="3090" t="s">
        <v>1349</v>
      </c>
      <c r="C19" s="795" t="s">
        <v>1345</v>
      </c>
      <c r="D19" s="795" t="s">
        <v>1173</v>
      </c>
      <c r="E19" s="796">
        <f>'ТЕ_2ст_тариф_з ІТП'!N81</f>
        <v>1048.8976454059243</v>
      </c>
      <c r="F19" s="827">
        <f>'ТЕ_2ст_тариф_з ІТП'!N84</f>
        <v>1258.6771744871091</v>
      </c>
      <c r="H19" s="44">
        <f t="shared" si="0"/>
        <v>0</v>
      </c>
    </row>
    <row r="20" spans="2:11" ht="15.6" customHeight="1" thickBot="1">
      <c r="B20" s="3091"/>
      <c r="C20" s="797" t="s">
        <v>1347</v>
      </c>
      <c r="D20" s="797" t="s">
        <v>1348</v>
      </c>
      <c r="E20" s="798">
        <f>'ТЕ_2ст_тариф_з ІТП'!N82/12</f>
        <v>3864.9933426500697</v>
      </c>
      <c r="F20" s="828">
        <f>'ТЕ_2ст_тариф_з ІТП'!N85/12</f>
        <v>4637.992011180083</v>
      </c>
      <c r="H20" s="44">
        <f t="shared" si="0"/>
        <v>0</v>
      </c>
    </row>
    <row r="21" spans="2:11">
      <c r="B21" s="3090" t="s">
        <v>1350</v>
      </c>
      <c r="C21" s="795" t="s">
        <v>1345</v>
      </c>
      <c r="D21" s="795" t="s">
        <v>1173</v>
      </c>
      <c r="E21" s="796">
        <f>'ТЕ_2ст_тариф_з ІТП'!N125</f>
        <v>0</v>
      </c>
      <c r="F21" s="827">
        <f>'ТЕ_2ст_тариф_з ІТП'!N128</f>
        <v>0</v>
      </c>
      <c r="H21" s="44">
        <f t="shared" si="0"/>
        <v>0</v>
      </c>
    </row>
    <row r="22" spans="2:11" ht="18" customHeight="1" thickBot="1">
      <c r="B22" s="3091"/>
      <c r="C22" s="797" t="s">
        <v>1347</v>
      </c>
      <c r="D22" s="797" t="s">
        <v>1348</v>
      </c>
      <c r="E22" s="798">
        <f>'ТЕ_2ст_тариф_з ІТП'!N126/12</f>
        <v>0</v>
      </c>
      <c r="F22" s="828">
        <f>'ТЕ_2ст_тариф_з ІТП'!N129/12</f>
        <v>0</v>
      </c>
      <c r="H22" s="44">
        <f t="shared" si="0"/>
        <v>0</v>
      </c>
    </row>
    <row r="23" spans="2:11">
      <c r="B23" s="3090" t="s">
        <v>1351</v>
      </c>
      <c r="C23" s="795" t="s">
        <v>1345</v>
      </c>
      <c r="D23" s="795" t="s">
        <v>1173</v>
      </c>
      <c r="E23" s="796">
        <v>0</v>
      </c>
      <c r="F23" s="829">
        <v>0</v>
      </c>
      <c r="H23" s="44">
        <f t="shared" si="0"/>
        <v>0</v>
      </c>
    </row>
    <row r="24" spans="2:11" ht="16.95" customHeight="1" thickBot="1">
      <c r="B24" s="3091"/>
      <c r="C24" s="797" t="s">
        <v>1347</v>
      </c>
      <c r="D24" s="797" t="s">
        <v>1348</v>
      </c>
      <c r="E24" s="798">
        <f>'ТЕ_2ст_тариф_з ІТП'!N165/12</f>
        <v>239.21939405969104</v>
      </c>
      <c r="F24" s="828">
        <f>'ТЕ_2ст_тариф_з ІТП'!N168/12</f>
        <v>287.06327287162924</v>
      </c>
      <c r="H24" s="44">
        <f t="shared" si="0"/>
        <v>0</v>
      </c>
    </row>
    <row r="25" spans="2:11" ht="15.6" customHeight="1" thickBot="1">
      <c r="B25" s="3092" t="s">
        <v>1271</v>
      </c>
      <c r="C25" s="3093"/>
      <c r="D25" s="3093"/>
      <c r="E25" s="3093"/>
      <c r="F25" s="3094"/>
      <c r="H25" s="44">
        <f t="shared" si="0"/>
        <v>0</v>
      </c>
    </row>
    <row r="26" spans="2:11" ht="15.6" customHeight="1">
      <c r="B26" s="2944" t="s">
        <v>1357</v>
      </c>
      <c r="C26" s="799" t="s">
        <v>1345</v>
      </c>
      <c r="D26" s="799" t="s">
        <v>1173</v>
      </c>
      <c r="E26" s="800">
        <f>E28+E30+E32</f>
        <v>1068.5520171362859</v>
      </c>
      <c r="F26" s="825">
        <f>F28+F30+F32</f>
        <v>1282.2624205635432</v>
      </c>
      <c r="H26" s="44">
        <f t="shared" si="0"/>
        <v>0</v>
      </c>
      <c r="J26" s="732" t="e">
        <f>#REF!</f>
        <v>#REF!</v>
      </c>
      <c r="K26" s="732" t="e">
        <f>#REF!</f>
        <v>#REF!</v>
      </c>
    </row>
    <row r="27" spans="2:11" ht="31.95" customHeight="1" thickBot="1">
      <c r="B27" s="2945"/>
      <c r="C27" s="801" t="s">
        <v>1347</v>
      </c>
      <c r="D27" s="801" t="s">
        <v>1348</v>
      </c>
      <c r="E27" s="802">
        <f>E29+E31+E33</f>
        <v>3829.0422130158031</v>
      </c>
      <c r="F27" s="826">
        <f>F29+F31+F33</f>
        <v>4594.8506556189632</v>
      </c>
      <c r="H27" s="44">
        <f t="shared" si="0"/>
        <v>0</v>
      </c>
      <c r="J27" s="732" t="e">
        <f>#REF!</f>
        <v>#REF!</v>
      </c>
      <c r="K27" s="732" t="e">
        <f>#REF!</f>
        <v>#REF!</v>
      </c>
    </row>
    <row r="28" spans="2:11">
      <c r="B28" s="3090" t="s">
        <v>1349</v>
      </c>
      <c r="C28" s="795" t="s">
        <v>1345</v>
      </c>
      <c r="D28" s="795" t="s">
        <v>1173</v>
      </c>
      <c r="E28" s="796">
        <f>'ТЕ_2ст_тариф_з ІТП'!T81</f>
        <v>1068.5520171362859</v>
      </c>
      <c r="F28" s="827">
        <f>'ТЕ_2ст_тариф_з ІТП'!T84</f>
        <v>1282.2624205635432</v>
      </c>
      <c r="H28" s="44">
        <f t="shared" si="0"/>
        <v>0</v>
      </c>
    </row>
    <row r="29" spans="2:11" ht="19.95" customHeight="1" thickBot="1">
      <c r="B29" s="3091"/>
      <c r="C29" s="797" t="s">
        <v>1347</v>
      </c>
      <c r="D29" s="797" t="s">
        <v>1348</v>
      </c>
      <c r="E29" s="798">
        <f>'ТЕ_2ст_тариф_з ІТП'!T82/12</f>
        <v>3589.8228189561119</v>
      </c>
      <c r="F29" s="828">
        <f>'ТЕ_2ст_тариф_з ІТП'!T85/12</f>
        <v>4307.787382747334</v>
      </c>
      <c r="H29" s="44">
        <f t="shared" si="0"/>
        <v>0</v>
      </c>
    </row>
    <row r="30" spans="2:11">
      <c r="B30" s="3090" t="s">
        <v>1350</v>
      </c>
      <c r="C30" s="795" t="s">
        <v>1345</v>
      </c>
      <c r="D30" s="795" t="s">
        <v>1173</v>
      </c>
      <c r="E30" s="796">
        <f>'ТЕ_2ст_тариф_з ІТП'!T125</f>
        <v>0</v>
      </c>
      <c r="F30" s="827">
        <f>'ТЕ_2ст_тариф_з ІТП'!T128</f>
        <v>0</v>
      </c>
      <c r="H30" s="44">
        <f t="shared" si="0"/>
        <v>0</v>
      </c>
    </row>
    <row r="31" spans="2:11" ht="19.2" customHeight="1" thickBot="1">
      <c r="B31" s="3091"/>
      <c r="C31" s="797" t="s">
        <v>1347</v>
      </c>
      <c r="D31" s="797" t="s">
        <v>1348</v>
      </c>
      <c r="E31" s="798">
        <f>'ТЕ_2ст_тариф_з ІТП'!T126/12</f>
        <v>0</v>
      </c>
      <c r="F31" s="828">
        <f>'ТЕ_2ст_тариф_з ІТП'!T129/12</f>
        <v>0</v>
      </c>
      <c r="H31" s="44">
        <f t="shared" si="0"/>
        <v>0</v>
      </c>
    </row>
    <row r="32" spans="2:11">
      <c r="B32" s="3090" t="s">
        <v>1351</v>
      </c>
      <c r="C32" s="795" t="s">
        <v>1345</v>
      </c>
      <c r="D32" s="795" t="s">
        <v>1173</v>
      </c>
      <c r="E32" s="796">
        <v>0</v>
      </c>
      <c r="F32" s="829">
        <v>0</v>
      </c>
      <c r="H32" s="44">
        <f t="shared" si="0"/>
        <v>0</v>
      </c>
    </row>
    <row r="33" spans="2:8" ht="18.600000000000001" customHeight="1" thickBot="1">
      <c r="B33" s="3091"/>
      <c r="C33" s="797" t="s">
        <v>1347</v>
      </c>
      <c r="D33" s="797" t="s">
        <v>1348</v>
      </c>
      <c r="E33" s="798">
        <f>'ТЕ_2ст_тариф_з ІТП'!T165/12</f>
        <v>239.2193940596911</v>
      </c>
      <c r="F33" s="828">
        <f>'ТЕ_2ст_тариф_з ІТП'!T168/12</f>
        <v>287.06327287162929</v>
      </c>
      <c r="H33" s="44">
        <f t="shared" si="0"/>
        <v>0</v>
      </c>
    </row>
    <row r="34" spans="2:8">
      <c r="B34" s="767"/>
    </row>
    <row r="35" spans="2:8">
      <c r="B35" s="767" t="s">
        <v>1352</v>
      </c>
      <c r="D35" s="767"/>
      <c r="E35" s="640" t="s">
        <v>1353</v>
      </c>
      <c r="F35" s="767"/>
      <c r="G35" s="767"/>
      <c r="H35" s="767"/>
    </row>
  </sheetData>
  <mergeCells count="18">
    <mergeCell ref="B16:F16"/>
    <mergeCell ref="B3:F3"/>
    <mergeCell ref="B4:F4"/>
    <mergeCell ref="E1:F1"/>
    <mergeCell ref="B7:F7"/>
    <mergeCell ref="B8:B9"/>
    <mergeCell ref="B10:B11"/>
    <mergeCell ref="B12:B13"/>
    <mergeCell ref="B14:B15"/>
    <mergeCell ref="B28:B29"/>
    <mergeCell ref="B30:B31"/>
    <mergeCell ref="B32:B33"/>
    <mergeCell ref="B17:B18"/>
    <mergeCell ref="B19:B20"/>
    <mergeCell ref="B21:B22"/>
    <mergeCell ref="B23:B24"/>
    <mergeCell ref="B25:F25"/>
    <mergeCell ref="B26:B27"/>
  </mergeCells>
  <pageMargins left="0.95" right="0.31496062992125984" top="0.31496062992125984" bottom="0.27559055118110237" header="0.31496062992125984" footer="0.31496062992125984"/>
  <pageSetup paperSize="9" scale="88"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Лист113">
    <tabColor rgb="FFEC20C5"/>
    <pageSetUpPr fitToPage="1"/>
  </sheetPr>
  <dimension ref="A1:H42"/>
  <sheetViews>
    <sheetView workbookViewId="0">
      <selection activeCell="J44" sqref="J44"/>
    </sheetView>
  </sheetViews>
  <sheetFormatPr defaultColWidth="8.88671875" defaultRowHeight="15.6"/>
  <cols>
    <col min="1" max="1" width="8.88671875" style="44"/>
    <col min="2" max="2" width="22.5546875" style="44" customWidth="1"/>
    <col min="3" max="3" width="20.6640625" style="44" customWidth="1"/>
    <col min="4" max="4" width="24.6640625" style="44" customWidth="1"/>
    <col min="5" max="6" width="13.33203125" style="44" customWidth="1"/>
    <col min="7" max="16384" width="8.88671875" style="44"/>
  </cols>
  <sheetData>
    <row r="1" spans="1:8" ht="80.400000000000006" customHeight="1">
      <c r="A1" s="822"/>
      <c r="B1" s="729"/>
      <c r="C1" s="807"/>
      <c r="D1" s="808"/>
      <c r="E1" s="2916" t="s">
        <v>1439</v>
      </c>
      <c r="F1" s="2916"/>
    </row>
    <row r="2" spans="1:8">
      <c r="B2" s="2925" t="s">
        <v>1153</v>
      </c>
      <c r="C2" s="2925"/>
      <c r="D2" s="2925"/>
      <c r="E2" s="2925"/>
      <c r="F2" s="2925"/>
    </row>
    <row r="3" spans="1:8" ht="70.2" customHeight="1">
      <c r="B3" s="2946" t="s">
        <v>1435</v>
      </c>
      <c r="C3" s="2946"/>
      <c r="D3" s="2946"/>
      <c r="E3" s="2946"/>
      <c r="F3" s="2946"/>
    </row>
    <row r="4" spans="1:8" ht="31.2">
      <c r="B4" s="730" t="s">
        <v>764</v>
      </c>
      <c r="C4" s="730" t="s">
        <v>242</v>
      </c>
      <c r="D4" s="730" t="s">
        <v>1344</v>
      </c>
      <c r="E4" s="730" t="s">
        <v>1355</v>
      </c>
      <c r="F4" s="730" t="s">
        <v>1356</v>
      </c>
    </row>
    <row r="5" spans="1:8" ht="16.2" thickBot="1">
      <c r="B5" s="3096" t="s">
        <v>1268</v>
      </c>
      <c r="C5" s="3096"/>
      <c r="D5" s="3096"/>
      <c r="E5" s="3096"/>
      <c r="F5" s="3096"/>
    </row>
    <row r="6" spans="1:8">
      <c r="B6" s="2944" t="s">
        <v>1357</v>
      </c>
      <c r="C6" s="799" t="s">
        <v>1345</v>
      </c>
      <c r="D6" s="799" t="s">
        <v>1346</v>
      </c>
      <c r="E6" s="800" t="e">
        <f>E8+E10+E12</f>
        <v>#REF!</v>
      </c>
      <c r="F6" s="825" t="e">
        <f>F8+F10+F12</f>
        <v>#REF!</v>
      </c>
      <c r="H6" s="44" t="e">
        <f>E6*1.2-F6</f>
        <v>#REF!</v>
      </c>
    </row>
    <row r="7" spans="1:8" ht="16.2" customHeight="1" thickBot="1">
      <c r="B7" s="2945"/>
      <c r="C7" s="801" t="s">
        <v>1347</v>
      </c>
      <c r="D7" s="801" t="s">
        <v>1348</v>
      </c>
      <c r="E7" s="802" t="e">
        <f>E9+E11+E13</f>
        <v>#REF!</v>
      </c>
      <c r="F7" s="826" t="e">
        <f>F9+F11+F13</f>
        <v>#REF!</v>
      </c>
      <c r="H7" s="44" t="e">
        <f t="shared" ref="H7:H40" si="0">E7*1.2-F7</f>
        <v>#REF!</v>
      </c>
    </row>
    <row r="8" spans="1:8">
      <c r="B8" s="3090" t="s">
        <v>1349</v>
      </c>
      <c r="C8" s="795" t="s">
        <v>1345</v>
      </c>
      <c r="D8" s="795" t="s">
        <v>1346</v>
      </c>
      <c r="E8" s="796" t="e">
        <f>#REF!</f>
        <v>#REF!</v>
      </c>
      <c r="F8" s="827" t="e">
        <f>#REF!</f>
        <v>#REF!</v>
      </c>
      <c r="H8" s="44" t="e">
        <f t="shared" si="0"/>
        <v>#REF!</v>
      </c>
    </row>
    <row r="9" spans="1:8" ht="15.6" customHeight="1" thickBot="1">
      <c r="B9" s="3091"/>
      <c r="C9" s="797" t="s">
        <v>1347</v>
      </c>
      <c r="D9" s="797" t="s">
        <v>1348</v>
      </c>
      <c r="E9" s="798" t="e">
        <f>#REF!/12</f>
        <v>#REF!</v>
      </c>
      <c r="F9" s="828" t="e">
        <f>#REF!/12</f>
        <v>#REF!</v>
      </c>
      <c r="H9" s="44" t="e">
        <f t="shared" si="0"/>
        <v>#REF!</v>
      </c>
    </row>
    <row r="10" spans="1:8">
      <c r="B10" s="3090" t="s">
        <v>1350</v>
      </c>
      <c r="C10" s="795" t="s">
        <v>1345</v>
      </c>
      <c r="D10" s="795" t="s">
        <v>1346</v>
      </c>
      <c r="E10" s="796" t="e">
        <f>#REF!</f>
        <v>#REF!</v>
      </c>
      <c r="F10" s="827" t="e">
        <f>#REF!</f>
        <v>#REF!</v>
      </c>
      <c r="H10" s="44" t="e">
        <f t="shared" si="0"/>
        <v>#REF!</v>
      </c>
    </row>
    <row r="11" spans="1:8" ht="16.95" customHeight="1" thickBot="1">
      <c r="B11" s="3091"/>
      <c r="C11" s="797" t="s">
        <v>1347</v>
      </c>
      <c r="D11" s="797" t="s">
        <v>1348</v>
      </c>
      <c r="E11" s="798" t="e">
        <f>#REF!/12</f>
        <v>#REF!</v>
      </c>
      <c r="F11" s="828" t="e">
        <f>#REF!/12</f>
        <v>#REF!</v>
      </c>
      <c r="H11" s="44" t="e">
        <f t="shared" si="0"/>
        <v>#REF!</v>
      </c>
    </row>
    <row r="12" spans="1:8">
      <c r="B12" s="3097" t="s">
        <v>1351</v>
      </c>
      <c r="C12" s="803" t="s">
        <v>1345</v>
      </c>
      <c r="D12" s="803" t="s">
        <v>1346</v>
      </c>
      <c r="E12" s="804">
        <v>0</v>
      </c>
      <c r="F12" s="830">
        <v>0</v>
      </c>
      <c r="H12" s="44">
        <f t="shared" si="0"/>
        <v>0</v>
      </c>
    </row>
    <row r="13" spans="1:8" ht="18" customHeight="1" thickBot="1">
      <c r="B13" s="3091"/>
      <c r="C13" s="797" t="s">
        <v>1347</v>
      </c>
      <c r="D13" s="797" t="s">
        <v>1348</v>
      </c>
      <c r="E13" s="798" t="e">
        <f>#REF!/12</f>
        <v>#REF!</v>
      </c>
      <c r="F13" s="828" t="e">
        <f>#REF!/12</f>
        <v>#REF!</v>
      </c>
      <c r="H13" s="44" t="e">
        <f t="shared" si="0"/>
        <v>#REF!</v>
      </c>
    </row>
    <row r="14" spans="1:8" ht="16.2" thickBot="1">
      <c r="B14" s="3095" t="s">
        <v>1269</v>
      </c>
      <c r="C14" s="3095"/>
      <c r="D14" s="3095"/>
      <c r="E14" s="3095"/>
      <c r="F14" s="3095"/>
      <c r="H14" s="44">
        <f t="shared" si="0"/>
        <v>0</v>
      </c>
    </row>
    <row r="15" spans="1:8">
      <c r="B15" s="2944" t="s">
        <v>1357</v>
      </c>
      <c r="C15" s="799" t="s">
        <v>1345</v>
      </c>
      <c r="D15" s="799" t="s">
        <v>1346</v>
      </c>
      <c r="E15" s="800" t="e">
        <f>E17+E19+E21</f>
        <v>#REF!</v>
      </c>
      <c r="F15" s="825" t="e">
        <f>F17+F19+F21</f>
        <v>#REF!</v>
      </c>
      <c r="H15" s="44" t="e">
        <f t="shared" si="0"/>
        <v>#REF!</v>
      </c>
    </row>
    <row r="16" spans="1:8" ht="16.95" customHeight="1" thickBot="1">
      <c r="B16" s="2945"/>
      <c r="C16" s="801" t="s">
        <v>1347</v>
      </c>
      <c r="D16" s="801" t="s">
        <v>1348</v>
      </c>
      <c r="E16" s="802" t="e">
        <f>E18+E20+E22</f>
        <v>#REF!</v>
      </c>
      <c r="F16" s="826" t="e">
        <f>F18+F20+F22</f>
        <v>#REF!</v>
      </c>
      <c r="H16" s="44" t="e">
        <f t="shared" si="0"/>
        <v>#REF!</v>
      </c>
    </row>
    <row r="17" spans="2:8">
      <c r="B17" s="3090" t="s">
        <v>1349</v>
      </c>
      <c r="C17" s="795" t="s">
        <v>1345</v>
      </c>
      <c r="D17" s="795" t="s">
        <v>1173</v>
      </c>
      <c r="E17" s="796" t="e">
        <f>#REF!</f>
        <v>#REF!</v>
      </c>
      <c r="F17" s="827" t="e">
        <f>#REF!</f>
        <v>#REF!</v>
      </c>
      <c r="H17" s="44" t="e">
        <f t="shared" si="0"/>
        <v>#REF!</v>
      </c>
    </row>
    <row r="18" spans="2:8" ht="16.2" customHeight="1" thickBot="1">
      <c r="B18" s="3091"/>
      <c r="C18" s="797" t="s">
        <v>1347</v>
      </c>
      <c r="D18" s="797" t="s">
        <v>1348</v>
      </c>
      <c r="E18" s="798" t="e">
        <f>#REF!/12</f>
        <v>#REF!</v>
      </c>
      <c r="F18" s="828" t="e">
        <f>#REF!/12</f>
        <v>#REF!</v>
      </c>
      <c r="H18" s="44" t="e">
        <f t="shared" si="0"/>
        <v>#REF!</v>
      </c>
    </row>
    <row r="19" spans="2:8">
      <c r="B19" s="3090" t="s">
        <v>1350</v>
      </c>
      <c r="C19" s="795" t="s">
        <v>1345</v>
      </c>
      <c r="D19" s="795" t="s">
        <v>1173</v>
      </c>
      <c r="E19" s="796" t="e">
        <f>#REF!</f>
        <v>#REF!</v>
      </c>
      <c r="F19" s="827" t="e">
        <f>#REF!</f>
        <v>#REF!</v>
      </c>
      <c r="H19" s="44" t="e">
        <f t="shared" si="0"/>
        <v>#REF!</v>
      </c>
    </row>
    <row r="20" spans="2:8" ht="18" customHeight="1" thickBot="1">
      <c r="B20" s="3091"/>
      <c r="C20" s="797" t="s">
        <v>1347</v>
      </c>
      <c r="D20" s="797" t="s">
        <v>1348</v>
      </c>
      <c r="E20" s="798" t="e">
        <f>#REF!/12</f>
        <v>#REF!</v>
      </c>
      <c r="F20" s="828" t="e">
        <f>#REF!/12</f>
        <v>#REF!</v>
      </c>
      <c r="H20" s="44" t="e">
        <f t="shared" si="0"/>
        <v>#REF!</v>
      </c>
    </row>
    <row r="21" spans="2:8">
      <c r="B21" s="3090" t="s">
        <v>1351</v>
      </c>
      <c r="C21" s="795" t="s">
        <v>1345</v>
      </c>
      <c r="D21" s="795" t="s">
        <v>1173</v>
      </c>
      <c r="E21" s="796">
        <v>0</v>
      </c>
      <c r="F21" s="829">
        <v>0</v>
      </c>
      <c r="H21" s="44">
        <f t="shared" si="0"/>
        <v>0</v>
      </c>
    </row>
    <row r="22" spans="2:8" ht="17.399999999999999" customHeight="1" thickBot="1">
      <c r="B22" s="3091"/>
      <c r="C22" s="797" t="s">
        <v>1347</v>
      </c>
      <c r="D22" s="797" t="s">
        <v>1348</v>
      </c>
      <c r="E22" s="798" t="e">
        <f>#REF!/12</f>
        <v>#REF!</v>
      </c>
      <c r="F22" s="828" t="e">
        <f>#REF!/12</f>
        <v>#REF!</v>
      </c>
      <c r="H22" s="44" t="e">
        <f t="shared" si="0"/>
        <v>#REF!</v>
      </c>
    </row>
    <row r="23" spans="2:8" ht="16.2" thickBot="1">
      <c r="B23" s="3095" t="s">
        <v>1361</v>
      </c>
      <c r="C23" s="3095"/>
      <c r="D23" s="3095"/>
      <c r="E23" s="3095"/>
      <c r="F23" s="3095"/>
      <c r="H23" s="44">
        <f t="shared" si="0"/>
        <v>0</v>
      </c>
    </row>
    <row r="24" spans="2:8">
      <c r="B24" s="2944" t="s">
        <v>1357</v>
      </c>
      <c r="C24" s="799" t="s">
        <v>1345</v>
      </c>
      <c r="D24" s="799" t="s">
        <v>1346</v>
      </c>
      <c r="E24" s="800" t="e">
        <f>E26+E28+E30</f>
        <v>#REF!</v>
      </c>
      <c r="F24" s="825" t="e">
        <f>F26+F28+F30</f>
        <v>#REF!</v>
      </c>
      <c r="H24" s="44" t="e">
        <f t="shared" si="0"/>
        <v>#REF!</v>
      </c>
    </row>
    <row r="25" spans="2:8" ht="18.600000000000001" customHeight="1" thickBot="1">
      <c r="B25" s="2945"/>
      <c r="C25" s="801" t="s">
        <v>1347</v>
      </c>
      <c r="D25" s="801" t="s">
        <v>1348</v>
      </c>
      <c r="E25" s="802" t="e">
        <f>E27+E29+E31</f>
        <v>#REF!</v>
      </c>
      <c r="F25" s="826" t="e">
        <f>F27+F29+F31</f>
        <v>#REF!</v>
      </c>
      <c r="H25" s="44" t="e">
        <f t="shared" si="0"/>
        <v>#REF!</v>
      </c>
    </row>
    <row r="26" spans="2:8">
      <c r="B26" s="3090" t="s">
        <v>1349</v>
      </c>
      <c r="C26" s="795" t="s">
        <v>1345</v>
      </c>
      <c r="D26" s="795" t="s">
        <v>1173</v>
      </c>
      <c r="E26" s="796" t="e">
        <f>#REF!</f>
        <v>#REF!</v>
      </c>
      <c r="F26" s="827" t="e">
        <f>#REF!</f>
        <v>#REF!</v>
      </c>
      <c r="H26" s="44" t="e">
        <f t="shared" si="0"/>
        <v>#REF!</v>
      </c>
    </row>
    <row r="27" spans="2:8" ht="16.95" customHeight="1" thickBot="1">
      <c r="B27" s="3091"/>
      <c r="C27" s="797" t="s">
        <v>1347</v>
      </c>
      <c r="D27" s="797" t="s">
        <v>1348</v>
      </c>
      <c r="E27" s="798" t="e">
        <f>#REF!/12</f>
        <v>#REF!</v>
      </c>
      <c r="F27" s="828" t="e">
        <f>#REF!/12</f>
        <v>#REF!</v>
      </c>
      <c r="H27" s="44" t="e">
        <f t="shared" si="0"/>
        <v>#REF!</v>
      </c>
    </row>
    <row r="28" spans="2:8">
      <c r="B28" s="3090" t="s">
        <v>1350</v>
      </c>
      <c r="C28" s="795" t="s">
        <v>1345</v>
      </c>
      <c r="D28" s="795" t="s">
        <v>1173</v>
      </c>
      <c r="E28" s="796" t="e">
        <f>#REF!</f>
        <v>#REF!</v>
      </c>
      <c r="F28" s="827" t="e">
        <f>#REF!</f>
        <v>#REF!</v>
      </c>
      <c r="H28" s="44" t="e">
        <f t="shared" si="0"/>
        <v>#REF!</v>
      </c>
    </row>
    <row r="29" spans="2:8" ht="16.2" customHeight="1" thickBot="1">
      <c r="B29" s="3091"/>
      <c r="C29" s="797" t="s">
        <v>1347</v>
      </c>
      <c r="D29" s="797" t="s">
        <v>1348</v>
      </c>
      <c r="E29" s="798" t="e">
        <f>#REF!/12</f>
        <v>#REF!</v>
      </c>
      <c r="F29" s="828" t="e">
        <f>#REF!/12</f>
        <v>#REF!</v>
      </c>
      <c r="H29" s="44" t="e">
        <f t="shared" si="0"/>
        <v>#REF!</v>
      </c>
    </row>
    <row r="30" spans="2:8">
      <c r="B30" s="3090" t="s">
        <v>1351</v>
      </c>
      <c r="C30" s="795" t="s">
        <v>1345</v>
      </c>
      <c r="D30" s="795" t="s">
        <v>1173</v>
      </c>
      <c r="E30" s="796">
        <v>0</v>
      </c>
      <c r="F30" s="829">
        <v>0</v>
      </c>
      <c r="H30" s="44">
        <f t="shared" si="0"/>
        <v>0</v>
      </c>
    </row>
    <row r="31" spans="2:8" ht="15" customHeight="1" thickBot="1">
      <c r="B31" s="3091"/>
      <c r="C31" s="797" t="s">
        <v>1347</v>
      </c>
      <c r="D31" s="797" t="s">
        <v>1348</v>
      </c>
      <c r="E31" s="798" t="e">
        <f>#REF!/12</f>
        <v>#REF!</v>
      </c>
      <c r="F31" s="828" t="e">
        <f>#REF!/12</f>
        <v>#REF!</v>
      </c>
      <c r="H31" s="44" t="e">
        <f t="shared" si="0"/>
        <v>#REF!</v>
      </c>
    </row>
    <row r="32" spans="2:8" ht="16.2" thickBot="1">
      <c r="B32" s="3095" t="s">
        <v>1271</v>
      </c>
      <c r="C32" s="3095"/>
      <c r="D32" s="3095"/>
      <c r="E32" s="3095"/>
      <c r="F32" s="3095"/>
      <c r="H32" s="44">
        <f t="shared" si="0"/>
        <v>0</v>
      </c>
    </row>
    <row r="33" spans="2:8">
      <c r="B33" s="2944" t="s">
        <v>1357</v>
      </c>
      <c r="C33" s="799" t="s">
        <v>1345</v>
      </c>
      <c r="D33" s="799" t="s">
        <v>1173</v>
      </c>
      <c r="E33" s="800" t="e">
        <f>E35+E37+E39</f>
        <v>#REF!</v>
      </c>
      <c r="F33" s="825" t="e">
        <f>F35+F37+F39</f>
        <v>#REF!</v>
      </c>
      <c r="H33" s="44" t="e">
        <f t="shared" si="0"/>
        <v>#REF!</v>
      </c>
    </row>
    <row r="34" spans="2:8" ht="18" customHeight="1" thickBot="1">
      <c r="B34" s="2945"/>
      <c r="C34" s="801" t="s">
        <v>1347</v>
      </c>
      <c r="D34" s="801" t="s">
        <v>1348</v>
      </c>
      <c r="E34" s="802" t="e">
        <f>E36+E38+E40</f>
        <v>#REF!</v>
      </c>
      <c r="F34" s="826" t="e">
        <f>F36+F38+F40</f>
        <v>#REF!</v>
      </c>
      <c r="H34" s="44" t="e">
        <f t="shared" si="0"/>
        <v>#REF!</v>
      </c>
    </row>
    <row r="35" spans="2:8">
      <c r="B35" s="3090" t="s">
        <v>1349</v>
      </c>
      <c r="C35" s="795" t="s">
        <v>1345</v>
      </c>
      <c r="D35" s="795" t="s">
        <v>1173</v>
      </c>
      <c r="E35" s="796" t="e">
        <f>#REF!</f>
        <v>#REF!</v>
      </c>
      <c r="F35" s="827" t="e">
        <f>#REF!</f>
        <v>#REF!</v>
      </c>
      <c r="H35" s="44" t="e">
        <f t="shared" si="0"/>
        <v>#REF!</v>
      </c>
    </row>
    <row r="36" spans="2:8" ht="16.95" customHeight="1" thickBot="1">
      <c r="B36" s="3091"/>
      <c r="C36" s="797" t="s">
        <v>1347</v>
      </c>
      <c r="D36" s="797" t="s">
        <v>1348</v>
      </c>
      <c r="E36" s="798" t="e">
        <f>#REF!/12</f>
        <v>#REF!</v>
      </c>
      <c r="F36" s="828" t="e">
        <f>#REF!/12</f>
        <v>#REF!</v>
      </c>
      <c r="H36" s="44" t="e">
        <f t="shared" si="0"/>
        <v>#REF!</v>
      </c>
    </row>
    <row r="37" spans="2:8">
      <c r="B37" s="3090" t="s">
        <v>1350</v>
      </c>
      <c r="C37" s="795" t="s">
        <v>1345</v>
      </c>
      <c r="D37" s="795" t="s">
        <v>1173</v>
      </c>
      <c r="E37" s="796" t="e">
        <f>#REF!</f>
        <v>#REF!</v>
      </c>
      <c r="F37" s="827" t="e">
        <f>#REF!</f>
        <v>#REF!</v>
      </c>
      <c r="H37" s="44" t="e">
        <f t="shared" si="0"/>
        <v>#REF!</v>
      </c>
    </row>
    <row r="38" spans="2:8" ht="16.95" customHeight="1" thickBot="1">
      <c r="B38" s="3091"/>
      <c r="C38" s="797" t="s">
        <v>1347</v>
      </c>
      <c r="D38" s="797" t="s">
        <v>1348</v>
      </c>
      <c r="E38" s="798" t="e">
        <f>#REF!/12</f>
        <v>#REF!</v>
      </c>
      <c r="F38" s="828" t="e">
        <f>#REF!/12</f>
        <v>#REF!</v>
      </c>
      <c r="H38" s="44" t="e">
        <f t="shared" si="0"/>
        <v>#REF!</v>
      </c>
    </row>
    <row r="39" spans="2:8">
      <c r="B39" s="3090" t="s">
        <v>1351</v>
      </c>
      <c r="C39" s="795" t="s">
        <v>1345</v>
      </c>
      <c r="D39" s="795" t="s">
        <v>1173</v>
      </c>
      <c r="E39" s="796">
        <v>0</v>
      </c>
      <c r="F39" s="829">
        <v>0</v>
      </c>
      <c r="H39" s="44">
        <f t="shared" si="0"/>
        <v>0</v>
      </c>
    </row>
    <row r="40" spans="2:8" ht="16.2" customHeight="1" thickBot="1">
      <c r="B40" s="3091"/>
      <c r="C40" s="797" t="s">
        <v>1347</v>
      </c>
      <c r="D40" s="797" t="s">
        <v>1348</v>
      </c>
      <c r="E40" s="798" t="e">
        <f>#REF!/12</f>
        <v>#REF!</v>
      </c>
      <c r="F40" s="828" t="e">
        <f>#REF!/12</f>
        <v>#REF!</v>
      </c>
      <c r="H40" s="44" t="e">
        <f t="shared" si="0"/>
        <v>#REF!</v>
      </c>
    </row>
    <row r="41" spans="2:8">
      <c r="B41" s="767"/>
    </row>
    <row r="42" spans="2:8">
      <c r="B42" s="767" t="s">
        <v>1352</v>
      </c>
      <c r="D42" s="767"/>
      <c r="E42" s="640" t="s">
        <v>1353</v>
      </c>
      <c r="F42" s="767"/>
      <c r="G42" s="767"/>
      <c r="H42" s="767"/>
    </row>
  </sheetData>
  <mergeCells count="23">
    <mergeCell ref="B3:F3"/>
    <mergeCell ref="E1:F1"/>
    <mergeCell ref="B2:F2"/>
    <mergeCell ref="B24:B25"/>
    <mergeCell ref="B5:F5"/>
    <mergeCell ref="B6:B7"/>
    <mergeCell ref="B8:B9"/>
    <mergeCell ref="B10:B11"/>
    <mergeCell ref="B12:B13"/>
    <mergeCell ref="B14:F14"/>
    <mergeCell ref="B15:B16"/>
    <mergeCell ref="B17:B18"/>
    <mergeCell ref="B19:B20"/>
    <mergeCell ref="B21:B22"/>
    <mergeCell ref="B23:F23"/>
    <mergeCell ref="B37:B38"/>
    <mergeCell ref="B39:B40"/>
    <mergeCell ref="B26:B27"/>
    <mergeCell ref="B28:B29"/>
    <mergeCell ref="B30:B31"/>
    <mergeCell ref="B32:F32"/>
    <mergeCell ref="B33:B34"/>
    <mergeCell ref="B35:B36"/>
  </mergeCells>
  <pageMargins left="0.70866141732283472" right="0.46" top="0.47" bottom="0.46" header="0.31496062992125984" footer="0.31496062992125984"/>
  <pageSetup paperSize="9" scale="94"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Лист117"/>
  <dimension ref="A1:E18"/>
  <sheetViews>
    <sheetView workbookViewId="0">
      <selection activeCell="A18" sqref="A18"/>
    </sheetView>
  </sheetViews>
  <sheetFormatPr defaultRowHeight="15.6"/>
  <cols>
    <col min="1" max="1" width="32.109375" style="44" customWidth="1"/>
    <col min="2" max="2" width="18.6640625" style="44" hidden="1" customWidth="1"/>
    <col min="3" max="3" width="20.88671875" style="44" customWidth="1"/>
    <col min="4" max="4" width="12.77734375" style="44" hidden="1" customWidth="1"/>
    <col min="5" max="16384" width="8.88671875" style="44"/>
  </cols>
  <sheetData>
    <row r="1" spans="1:5">
      <c r="A1" s="3100" t="s">
        <v>2036</v>
      </c>
      <c r="B1" s="3100"/>
      <c r="C1" s="3100"/>
    </row>
    <row r="2" spans="1:5">
      <c r="A2" s="3101"/>
      <c r="B2" s="3101"/>
      <c r="C2" s="3101"/>
    </row>
    <row r="3" spans="1:5" s="39" customFormat="1" ht="38.4" customHeight="1">
      <c r="A3" s="3098" t="s">
        <v>1359</v>
      </c>
      <c r="B3" s="1284" t="s">
        <v>1550</v>
      </c>
      <c r="C3" s="613" t="s">
        <v>2037</v>
      </c>
      <c r="D3" s="613" t="e">
        <f>#REF!</f>
        <v>#REF!</v>
      </c>
      <c r="E3" s="2328" t="s">
        <v>4</v>
      </c>
    </row>
    <row r="4" spans="1:5">
      <c r="A4" s="3099"/>
      <c r="B4" s="733" t="e">
        <f>SUM(B5:B13)</f>
        <v>#REF!</v>
      </c>
      <c r="C4" s="613">
        <f>'ТЕ_2ст_тариф_з ІТП'!E203</f>
        <v>11335.931524024452</v>
      </c>
      <c r="D4" s="613" t="e">
        <f>#REF!</f>
        <v>#REF!</v>
      </c>
      <c r="E4" s="2498">
        <v>1</v>
      </c>
    </row>
    <row r="5" spans="1:5">
      <c r="A5" s="365" t="s">
        <v>1176</v>
      </c>
      <c r="B5" s="581" t="e">
        <f>#REF!</f>
        <v>#REF!</v>
      </c>
      <c r="C5" s="613">
        <f>'ТЕ_2ст_тариф_з ІТП'!E172</f>
        <v>8302.6957517161845</v>
      </c>
      <c r="D5" s="613" t="e">
        <f>#REF!</f>
        <v>#REF!</v>
      </c>
      <c r="E5" s="2498">
        <f>C5/C4</f>
        <v>0.73242289212140399</v>
      </c>
    </row>
    <row r="6" spans="1:5">
      <c r="A6" s="365" t="s">
        <v>39</v>
      </c>
      <c r="B6" s="581" t="e">
        <f>#REF!</f>
        <v>#REF!</v>
      </c>
      <c r="C6" s="613">
        <f>'ТЕ_2ст_тариф_з ІТП'!E176</f>
        <v>1403.2600406893609</v>
      </c>
      <c r="D6" s="613" t="e">
        <f>#REF!</f>
        <v>#REF!</v>
      </c>
      <c r="E6" s="2498">
        <f>C6/C4</f>
        <v>0.12378868359564502</v>
      </c>
    </row>
    <row r="7" spans="1:5">
      <c r="A7" s="365" t="s">
        <v>1177</v>
      </c>
      <c r="B7" s="581" t="e">
        <f>#REF!</f>
        <v>#REF!</v>
      </c>
      <c r="C7" s="613">
        <f>'ТЕ_2ст_тариф_з ІТП'!E181</f>
        <v>8.0728645014612006</v>
      </c>
      <c r="D7" s="613" t="e">
        <f>#REF!</f>
        <v>#REF!</v>
      </c>
      <c r="E7" s="2498">
        <f>C7/C4</f>
        <v>7.1214831214816594E-4</v>
      </c>
    </row>
    <row r="8" spans="1:5">
      <c r="A8" s="365" t="s">
        <v>1174</v>
      </c>
      <c r="B8" s="581" t="e">
        <f>#REF!</f>
        <v>#REF!</v>
      </c>
      <c r="C8" s="613">
        <f>'ТЕ_2ст_тариф_з ІТП'!E184+'ТЕ_2ст_тариф_з ІТП'!E190+'ТЕ_2ст_тариф_з ІТП'!E194</f>
        <v>1260.683994124862</v>
      </c>
      <c r="D8" s="613" t="e">
        <f>#REF!</f>
        <v>#REF!</v>
      </c>
      <c r="E8" s="2498">
        <f>C8/C4</f>
        <v>0.1112113275784236</v>
      </c>
    </row>
    <row r="9" spans="1:5">
      <c r="A9" s="365" t="s">
        <v>1360</v>
      </c>
      <c r="B9" s="581" t="e">
        <f>#REF!</f>
        <v>#REF!</v>
      </c>
      <c r="C9" s="613">
        <f>'ТЕ_2ст_тариф_з ІТП'!E186+'ТЕ_2ст_тариф_з ІТП'!E191+'ТЕ_2ст_тариф_з ІТП'!E195</f>
        <v>61.01710531564332</v>
      </c>
      <c r="D9" s="613" t="e">
        <f>#REF!</f>
        <v>#REF!</v>
      </c>
      <c r="E9" s="2498">
        <f>C9/C4</f>
        <v>5.3826282547957023E-3</v>
      </c>
    </row>
    <row r="10" spans="1:5">
      <c r="A10" s="365" t="s">
        <v>441</v>
      </c>
      <c r="B10" s="581" t="e">
        <f>#REF!</f>
        <v>#REF!</v>
      </c>
      <c r="C10" s="613">
        <f>0</f>
        <v>0</v>
      </c>
      <c r="D10" s="613" t="e">
        <f>#REF!</f>
        <v>#REF!</v>
      </c>
      <c r="E10" s="2498">
        <f>C10/C4</f>
        <v>0</v>
      </c>
    </row>
    <row r="11" spans="1:5">
      <c r="A11" s="365" t="s">
        <v>1178</v>
      </c>
      <c r="B11" s="581" t="e">
        <f>#REF!</f>
        <v>#REF!</v>
      </c>
      <c r="C11" s="613">
        <f>Податки!C9</f>
        <v>11.87</v>
      </c>
      <c r="D11" s="613" t="e">
        <f>#REF!</f>
        <v>#REF!</v>
      </c>
      <c r="E11" s="2498">
        <f>C11/C4</f>
        <v>1.0471128883271469E-3</v>
      </c>
    </row>
    <row r="12" spans="1:5">
      <c r="A12" s="365" t="s">
        <v>1179</v>
      </c>
      <c r="B12" s="581" t="e">
        <f>#REF!</f>
        <v>#REF!</v>
      </c>
      <c r="C12" s="613">
        <v>0</v>
      </c>
      <c r="D12" s="613" t="e">
        <f>#REF!</f>
        <v>#REF!</v>
      </c>
      <c r="E12" s="2498">
        <f>C12/C4</f>
        <v>0</v>
      </c>
    </row>
    <row r="13" spans="1:5">
      <c r="A13" s="365" t="s">
        <v>1180</v>
      </c>
      <c r="B13" s="581" t="e">
        <f>#REF!</f>
        <v>#REF!</v>
      </c>
      <c r="C13" s="613">
        <f>C4-C5-C6-C7-C8-C9-C10-C11-C12</f>
        <v>288.33176767694022</v>
      </c>
      <c r="D13" s="613" t="e">
        <f>#REF!</f>
        <v>#REF!</v>
      </c>
      <c r="E13" s="2498">
        <f>C13/C4</f>
        <v>2.5435207249256339E-2</v>
      </c>
    </row>
    <row r="14" spans="1:5" hidden="1">
      <c r="A14" s="44" t="s">
        <v>1262</v>
      </c>
      <c r="C14" s="732">
        <v>6.130912206852063</v>
      </c>
      <c r="D14" s="732">
        <v>7.2935236460428001</v>
      </c>
    </row>
    <row r="15" spans="1:5">
      <c r="C15" s="732"/>
    </row>
    <row r="17" spans="1:1">
      <c r="A17" s="1285"/>
    </row>
    <row r="18" spans="1:1">
      <c r="A18" s="1285"/>
    </row>
  </sheetData>
  <mergeCells count="2">
    <mergeCell ref="A3:A4"/>
    <mergeCell ref="A1:C2"/>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tabColor theme="9"/>
    <pageSetUpPr fitToPage="1"/>
  </sheetPr>
  <dimension ref="A1:S62"/>
  <sheetViews>
    <sheetView topLeftCell="A16" zoomScale="125" zoomScaleNormal="125" zoomScaleSheetLayoutView="100" workbookViewId="0">
      <selection activeCell="B53" sqref="B53"/>
    </sheetView>
  </sheetViews>
  <sheetFormatPr defaultColWidth="9.109375" defaultRowHeight="14.4"/>
  <cols>
    <col min="1" max="1" width="4.33203125" style="95" customWidth="1"/>
    <col min="2" max="2" width="42.88671875" style="95" customWidth="1"/>
    <col min="3" max="3" width="9.5546875" style="2129" customWidth="1"/>
    <col min="4" max="4" width="10.33203125" style="95" customWidth="1"/>
    <col min="5" max="9" width="9.33203125" style="95" customWidth="1"/>
    <col min="10" max="10" width="5.5546875" style="95" customWidth="1"/>
    <col min="11" max="11" width="13.6640625" style="95" customWidth="1"/>
    <col min="12" max="12" width="13" style="95" customWidth="1"/>
    <col min="13" max="13" width="10.44140625" style="95" bestFit="1" customWidth="1"/>
    <col min="14" max="14" width="10.88671875" style="95" customWidth="1"/>
    <col min="15" max="17" width="7.5546875" style="95" bestFit="1" customWidth="1"/>
    <col min="18" max="18" width="9.6640625" style="95" customWidth="1"/>
    <col min="19" max="19" width="12" style="95" bestFit="1" customWidth="1"/>
    <col min="20" max="25" width="3.88671875" style="95" customWidth="1"/>
    <col min="26" max="16384" width="9.109375" style="95"/>
  </cols>
  <sheetData>
    <row r="1" spans="1:12" ht="18.600000000000001" customHeight="1">
      <c r="A1" s="88"/>
      <c r="B1" s="89"/>
      <c r="C1" s="90"/>
      <c r="D1" s="91"/>
      <c r="E1" s="2592" t="s">
        <v>1912</v>
      </c>
      <c r="F1" s="2592"/>
      <c r="G1" s="2592"/>
      <c r="H1" s="2592"/>
      <c r="I1" s="2592"/>
      <c r="J1" s="149"/>
    </row>
    <row r="2" spans="1:12" ht="25.8" customHeight="1">
      <c r="A2" s="88"/>
      <c r="B2" s="89"/>
      <c r="C2" s="90"/>
      <c r="D2" s="91"/>
      <c r="E2" s="2596" t="str">
        <f>'Д 4_Т на П'!H2</f>
        <v>до розрахунку тарифів на теплову енергію  ТОВ ДП " Моноліт- Сервіс "</v>
      </c>
      <c r="F2" s="2596"/>
      <c r="G2" s="2596"/>
      <c r="H2" s="2596"/>
      <c r="I2" s="2596"/>
      <c r="J2" s="149"/>
    </row>
    <row r="3" spans="1:12" ht="15.6" customHeight="1">
      <c r="A3" s="88"/>
      <c r="B3" s="89"/>
      <c r="C3" s="90"/>
      <c r="D3" s="91"/>
      <c r="E3" s="2549" t="str">
        <f>'Вхідні дані'!F1</f>
        <v>станом на 01.09.2023 року</v>
      </c>
      <c r="F3" s="2549"/>
      <c r="G3" s="2549"/>
      <c r="H3" s="2549"/>
      <c r="I3" s="2549"/>
    </row>
    <row r="4" spans="1:12" ht="18.75" customHeight="1">
      <c r="A4" s="88"/>
      <c r="B4" s="2570" t="s">
        <v>432</v>
      </c>
      <c r="C4" s="2570"/>
      <c r="D4" s="2570"/>
      <c r="E4" s="2570"/>
      <c r="F4" s="2570"/>
      <c r="G4" s="2570"/>
      <c r="H4" s="2570"/>
      <c r="I4" s="2570"/>
    </row>
    <row r="5" spans="1:12" ht="16.95" customHeight="1">
      <c r="A5" s="2568" t="s">
        <v>1911</v>
      </c>
      <c r="B5" s="2568"/>
      <c r="C5" s="2568"/>
      <c r="D5" s="2568"/>
      <c r="E5" s="2568"/>
      <c r="F5" s="2568"/>
      <c r="G5" s="2568"/>
      <c r="H5" s="2568"/>
      <c r="I5" s="2568"/>
      <c r="J5" s="149"/>
    </row>
    <row r="6" spans="1:12" s="2132" customFormat="1" ht="7.8" customHeight="1">
      <c r="A6" s="2130"/>
      <c r="B6" s="2131"/>
      <c r="C6" s="2131"/>
      <c r="D6" s="2131"/>
      <c r="E6" s="2131" t="s">
        <v>1913</v>
      </c>
      <c r="F6" s="2131" t="s">
        <v>1914</v>
      </c>
      <c r="G6" s="2131" t="s">
        <v>1915</v>
      </c>
      <c r="H6" s="2131" t="s">
        <v>739</v>
      </c>
      <c r="I6" s="2131" t="s">
        <v>1916</v>
      </c>
    </row>
    <row r="7" spans="1:12">
      <c r="A7" s="2593" t="s">
        <v>197</v>
      </c>
      <c r="B7" s="2594"/>
      <c r="C7" s="2594"/>
      <c r="D7" s="2594"/>
      <c r="E7" s="2594"/>
      <c r="F7" s="2594"/>
      <c r="G7" s="2594"/>
      <c r="H7" s="2594"/>
      <c r="I7" s="2594"/>
    </row>
    <row r="8" spans="1:12" ht="16.8" customHeight="1">
      <c r="A8" s="2582" t="s">
        <v>7</v>
      </c>
      <c r="B8" s="2595" t="s">
        <v>104</v>
      </c>
      <c r="C8" s="2582" t="s">
        <v>34</v>
      </c>
      <c r="D8" s="2582" t="s">
        <v>105</v>
      </c>
      <c r="E8" s="2582" t="s">
        <v>1910</v>
      </c>
      <c r="F8" s="2582"/>
      <c r="G8" s="2582"/>
      <c r="H8" s="2582"/>
      <c r="I8" s="2582"/>
    </row>
    <row r="9" spans="1:12" ht="25.2" customHeight="1">
      <c r="A9" s="2582"/>
      <c r="B9" s="2595"/>
      <c r="C9" s="2582"/>
      <c r="D9" s="2582"/>
      <c r="E9" s="1318" t="str">
        <f>Постачання_1ст!G8</f>
        <v>котельні</v>
      </c>
      <c r="F9" s="1318" t="str">
        <f>Постачання_1ст!H8</f>
        <v>САО Парусна, 1-А</v>
      </c>
      <c r="G9" s="1318" t="str">
        <f>Постачання_1ст!I8</f>
        <v>САО Парусна, 1-Б</v>
      </c>
      <c r="H9" s="1318" t="str">
        <f>Постачання_1ст!J8</f>
        <v>САО Паркова, 50</v>
      </c>
      <c r="I9" s="1318" t="str">
        <f>Постачання_1ст!K8</f>
        <v>САО Паркова, 52</v>
      </c>
      <c r="J9" s="149"/>
    </row>
    <row r="10" spans="1:12" ht="12.75" customHeight="1">
      <c r="A10" s="1318">
        <v>1</v>
      </c>
      <c r="B10" s="1318">
        <v>2</v>
      </c>
      <c r="C10" s="1318">
        <v>3</v>
      </c>
      <c r="D10" s="1318">
        <v>4</v>
      </c>
      <c r="E10" s="1318">
        <v>5</v>
      </c>
      <c r="F10" s="1318">
        <v>6</v>
      </c>
      <c r="G10" s="1318">
        <v>7</v>
      </c>
      <c r="H10" s="1318"/>
      <c r="I10" s="1318">
        <v>8</v>
      </c>
    </row>
    <row r="11" spans="1:12" ht="26.4">
      <c r="A11" s="2005">
        <v>1</v>
      </c>
      <c r="B11" s="487" t="s">
        <v>229</v>
      </c>
      <c r="C11" s="2123" t="s">
        <v>70</v>
      </c>
      <c r="D11" s="2133">
        <f>D12+D13+D14</f>
        <v>1370.7996288725983</v>
      </c>
      <c r="E11" s="2133">
        <f>E12+E13+E14</f>
        <v>1368.2089020646943</v>
      </c>
      <c r="F11" s="2133">
        <f t="shared" ref="F11:I11" si="0">F12+F13+F14</f>
        <v>1397.4261063750321</v>
      </c>
      <c r="G11" s="2133">
        <f t="shared" si="0"/>
        <v>1378.6947758184738</v>
      </c>
      <c r="H11" s="2133">
        <f t="shared" si="0"/>
        <v>1360.5310612803723</v>
      </c>
      <c r="I11" s="2133">
        <f t="shared" si="0"/>
        <v>1374.8690426578494</v>
      </c>
      <c r="K11" s="2022"/>
      <c r="L11" s="2022"/>
    </row>
    <row r="12" spans="1:12" ht="26.4">
      <c r="A12" s="139" t="s">
        <v>22</v>
      </c>
      <c r="B12" s="140" t="s">
        <v>519</v>
      </c>
      <c r="C12" s="141" t="s">
        <v>70</v>
      </c>
      <c r="D12" s="2134">
        <f>'Д 2_Т на В'!H43/'Д 2_Т на В'!H$55*1000</f>
        <v>1308.5630915896747</v>
      </c>
      <c r="E12" s="2134">
        <f>'Д 2_Т на В'!L43/'Д 2_Т на В'!L$55*1000</f>
        <v>1306.0899880012216</v>
      </c>
      <c r="F12" s="2134">
        <f>'Д 2_Т на В'!P43/'Д 2_Т на В'!P$55*1000</f>
        <v>1333.9806836176092</v>
      </c>
      <c r="G12" s="2134">
        <f>'Д 2_Т на В'!T43/'Д 2_Т на В'!T$55*1000</f>
        <v>1316.0997859966803</v>
      </c>
      <c r="H12" s="2134">
        <f>'Д 2_Т на В'!X43/'Д 2_Т на В'!X$55*1000</f>
        <v>1298.7607337018687</v>
      </c>
      <c r="I12" s="2134">
        <f>'Д 2_Т на В'!AB43/'Д 2_Т на В'!AB$55*1000</f>
        <v>1312.4477473567363</v>
      </c>
      <c r="K12" s="569"/>
      <c r="L12" s="569"/>
    </row>
    <row r="13" spans="1:12" ht="17.399999999999999" customHeight="1">
      <c r="A13" s="139" t="s">
        <v>23</v>
      </c>
      <c r="B13" s="140" t="s">
        <v>1251</v>
      </c>
      <c r="C13" s="141" t="s">
        <v>70</v>
      </c>
      <c r="D13" s="2134">
        <f>'Д 2_Т на В'!H44/'Д 2_Т на В'!H$55*1000</f>
        <v>0</v>
      </c>
      <c r="E13" s="2134">
        <f>'Д 2_Т на В'!L44/'Д 2_Т на В'!L$55*1000</f>
        <v>0</v>
      </c>
      <c r="F13" s="2134">
        <f>'Д 2_Т на В'!P44/'Д 2_Т на В'!P$55*1000</f>
        <v>0</v>
      </c>
      <c r="G13" s="2134">
        <f>'Д 2_Т на В'!T44/'Д 2_Т на В'!T$55*1000</f>
        <v>0</v>
      </c>
      <c r="H13" s="2134">
        <f>'Д 2_Т на В'!X44/'Д 2_Т на В'!X$55*1000</f>
        <v>0</v>
      </c>
      <c r="I13" s="2134">
        <f>'Д 2_Т на В'!AB44/'Д 2_Т на В'!AB$55*1000</f>
        <v>0</v>
      </c>
      <c r="J13" s="149"/>
      <c r="K13" s="2022"/>
    </row>
    <row r="14" spans="1:12" ht="18.600000000000001" customHeight="1">
      <c r="A14" s="139" t="s">
        <v>44</v>
      </c>
      <c r="B14" s="140" t="s">
        <v>520</v>
      </c>
      <c r="C14" s="141" t="s">
        <v>70</v>
      </c>
      <c r="D14" s="2134">
        <f>'Д 2_Т на В'!H45/'Д 2_Т на В'!H$55*1000</f>
        <v>62.236537282923543</v>
      </c>
      <c r="E14" s="2134">
        <f>'Д 2_Т на В'!L45/'Д 2_Т на В'!L$55*1000</f>
        <v>62.118914063472729</v>
      </c>
      <c r="F14" s="2134">
        <f>'Д 2_Т на В'!P45/'Д 2_Т на В'!P$55*1000</f>
        <v>63.445422757422875</v>
      </c>
      <c r="G14" s="2134">
        <f>'Д 2_Т на В'!T45/'Д 2_Т на В'!T$55*1000</f>
        <v>62.59498982179332</v>
      </c>
      <c r="H14" s="2134">
        <f>'Д 2_Т на В'!X45/'Д 2_Т на В'!X$55*1000</f>
        <v>61.770327578503512</v>
      </c>
      <c r="I14" s="2134">
        <f>'Д 2_Т на В'!AB45/'Д 2_Т на В'!AB$55*1000</f>
        <v>62.421295301113055</v>
      </c>
      <c r="K14" s="2022"/>
    </row>
    <row r="15" spans="1:12" ht="15" customHeight="1">
      <c r="A15" s="139">
        <v>2</v>
      </c>
      <c r="B15" s="140" t="s">
        <v>521</v>
      </c>
      <c r="C15" s="141" t="s">
        <v>70</v>
      </c>
      <c r="D15" s="2134">
        <f>D16+D17+D18</f>
        <v>0</v>
      </c>
      <c r="E15" s="2134">
        <f>E16+E17+E18</f>
        <v>0</v>
      </c>
      <c r="F15" s="2134">
        <f t="shared" ref="F15:I15" si="1">F16+F17+F18</f>
        <v>0</v>
      </c>
      <c r="G15" s="2134">
        <f t="shared" si="1"/>
        <v>0</v>
      </c>
      <c r="H15" s="2134">
        <f t="shared" si="1"/>
        <v>0</v>
      </c>
      <c r="I15" s="2134">
        <f t="shared" si="1"/>
        <v>0</v>
      </c>
    </row>
    <row r="16" spans="1:12" ht="26.4">
      <c r="A16" s="139" t="s">
        <v>24</v>
      </c>
      <c r="B16" s="140" t="s">
        <v>522</v>
      </c>
      <c r="C16" s="141" t="s">
        <v>70</v>
      </c>
      <c r="D16" s="2134">
        <v>0</v>
      </c>
      <c r="E16" s="2134">
        <v>0</v>
      </c>
      <c r="F16" s="2134">
        <v>0</v>
      </c>
      <c r="G16" s="2134">
        <v>0</v>
      </c>
      <c r="H16" s="2134">
        <v>0</v>
      </c>
      <c r="I16" s="2134">
        <v>0</v>
      </c>
    </row>
    <row r="17" spans="1:19" ht="15.6" customHeight="1">
      <c r="A17" s="139" t="s">
        <v>25</v>
      </c>
      <c r="B17" s="140" t="s">
        <v>1251</v>
      </c>
      <c r="C17" s="141" t="s">
        <v>70</v>
      </c>
      <c r="D17" s="2134">
        <v>0</v>
      </c>
      <c r="E17" s="2134">
        <v>0</v>
      </c>
      <c r="F17" s="2134">
        <v>0</v>
      </c>
      <c r="G17" s="2134">
        <v>0</v>
      </c>
      <c r="H17" s="2134">
        <v>0</v>
      </c>
      <c r="I17" s="2134">
        <v>0</v>
      </c>
      <c r="J17" s="149"/>
    </row>
    <row r="18" spans="1:19" ht="16.2" customHeight="1">
      <c r="A18" s="139" t="s">
        <v>55</v>
      </c>
      <c r="B18" s="140" t="s">
        <v>520</v>
      </c>
      <c r="C18" s="141" t="s">
        <v>70</v>
      </c>
      <c r="D18" s="2134">
        <v>0</v>
      </c>
      <c r="E18" s="2134">
        <v>0</v>
      </c>
      <c r="F18" s="2134">
        <v>0</v>
      </c>
      <c r="G18" s="2134">
        <v>0</v>
      </c>
      <c r="H18" s="2134">
        <v>0</v>
      </c>
      <c r="I18" s="2134">
        <v>0</v>
      </c>
    </row>
    <row r="19" spans="1:19">
      <c r="A19" s="139">
        <v>3</v>
      </c>
      <c r="B19" s="140" t="s">
        <v>230</v>
      </c>
      <c r="C19" s="141" t="s">
        <v>70</v>
      </c>
      <c r="D19" s="2134">
        <f>D20+D21+D22</f>
        <v>20.412420593154405</v>
      </c>
      <c r="E19" s="2134">
        <f t="shared" ref="E19:I19" si="2">E20+E21+E22</f>
        <v>20.412420593154405</v>
      </c>
      <c r="F19" s="2134">
        <f t="shared" si="2"/>
        <v>20.412420593154405</v>
      </c>
      <c r="G19" s="2134">
        <f t="shared" si="2"/>
        <v>20.412420593154405</v>
      </c>
      <c r="H19" s="2134">
        <f t="shared" si="2"/>
        <v>20.412420593154408</v>
      </c>
      <c r="I19" s="2134">
        <f t="shared" si="2"/>
        <v>20.412420593154408</v>
      </c>
    </row>
    <row r="20" spans="1:19" ht="26.4">
      <c r="A20" s="139" t="s">
        <v>56</v>
      </c>
      <c r="B20" s="140" t="s">
        <v>523</v>
      </c>
      <c r="C20" s="141" t="s">
        <v>70</v>
      </c>
      <c r="D20" s="2134">
        <f>'Д 4_Т на П'!G33/'Д 4_Т на П'!G43*1000</f>
        <v>19.48566343001934</v>
      </c>
      <c r="E20" s="2134">
        <f>'Д 4_Т на П'!H33/'Д 4_Т на П'!H43*1000</f>
        <v>19.48566343001934</v>
      </c>
      <c r="F20" s="2134">
        <f>'Д 4_Т на П'!I33/'Д 4_Т на П'!I43*1000</f>
        <v>19.48566343001934</v>
      </c>
      <c r="G20" s="2134">
        <f>'Д 4_Т на П'!J33/'Д 4_Т на П'!J43*1000</f>
        <v>19.48566343001934</v>
      </c>
      <c r="H20" s="2134">
        <f>'Д 4_Т на П'!K33/'Д 4_Т на П'!K43*1000</f>
        <v>19.485663430019343</v>
      </c>
      <c r="I20" s="2134">
        <f>'Д 4_Т на П'!L33/'Д 4_Т на П'!L43*1000</f>
        <v>19.485663430019343</v>
      </c>
      <c r="L20" s="2124"/>
      <c r="M20" s="2124"/>
      <c r="N20" s="2124"/>
      <c r="O20" s="2124"/>
      <c r="P20" s="2124"/>
      <c r="Q20" s="2124"/>
    </row>
    <row r="21" spans="1:19" ht="13.2" customHeight="1">
      <c r="A21" s="139" t="s">
        <v>57</v>
      </c>
      <c r="B21" s="140" t="s">
        <v>1251</v>
      </c>
      <c r="C21" s="141" t="s">
        <v>70</v>
      </c>
      <c r="D21" s="2134">
        <f>'Д 4_Т на П'!G34/'Д 4_Т на П'!G43*1000</f>
        <v>0</v>
      </c>
      <c r="E21" s="2134">
        <f>'Д 4_Т на П'!H34/'Д 4_Т на П'!H43*1000</f>
        <v>0</v>
      </c>
      <c r="F21" s="2134">
        <f>'Д 4_Т на П'!I34/'Д 4_Т на П'!I43*1000</f>
        <v>0</v>
      </c>
      <c r="G21" s="2134">
        <f>'Д 4_Т на П'!J34/'Д 4_Т на П'!J43*1000</f>
        <v>0</v>
      </c>
      <c r="H21" s="2134">
        <f>'Д 4_Т на П'!K34/'Д 4_Т на П'!K43*1000</f>
        <v>0</v>
      </c>
      <c r="I21" s="2134">
        <f>'Д 4_Т на П'!L34/'Д 4_Т на П'!L43*1000</f>
        <v>0</v>
      </c>
      <c r="J21" s="149"/>
      <c r="K21" s="569"/>
      <c r="L21" s="2022"/>
      <c r="M21" s="2022"/>
      <c r="N21" s="2022"/>
      <c r="O21" s="2022"/>
      <c r="P21" s="2022"/>
      <c r="Q21" s="2022"/>
      <c r="R21" s="2125"/>
      <c r="S21" s="2022"/>
    </row>
    <row r="22" spans="1:19" ht="13.95" customHeight="1">
      <c r="A22" s="139" t="s">
        <v>58</v>
      </c>
      <c r="B22" s="140" t="s">
        <v>520</v>
      </c>
      <c r="C22" s="141" t="s">
        <v>70</v>
      </c>
      <c r="D22" s="2134">
        <f>'Д 4_Т на П'!G35/'Д 4_Т на П'!G43*1000</f>
        <v>0.92675716313506618</v>
      </c>
      <c r="E22" s="2134">
        <f>'Д 4_Т на П'!H35/'Д 4_Т на П'!H43*1000</f>
        <v>0.92675716313506618</v>
      </c>
      <c r="F22" s="2134">
        <f>'Д 4_Т на П'!I35/'Д 4_Т на П'!I43*1000</f>
        <v>0.92675716313506618</v>
      </c>
      <c r="G22" s="2134">
        <f>'Д 4_Т на П'!J35/'Д 4_Т на П'!J43*1000</f>
        <v>0.92675716313506618</v>
      </c>
      <c r="H22" s="2134">
        <f>'Д 4_Т на П'!K35/'Д 4_Т на П'!K43*1000</f>
        <v>0.92675716313506618</v>
      </c>
      <c r="I22" s="2134">
        <f>'Д 4_Т на П'!L35/'Д 4_Т на П'!L43*1000</f>
        <v>0.92675716313506618</v>
      </c>
      <c r="K22" s="569"/>
      <c r="L22" s="2022"/>
      <c r="M22" s="2022"/>
      <c r="N22" s="2022"/>
      <c r="O22" s="2022"/>
      <c r="P22" s="2022"/>
      <c r="Q22" s="2022"/>
      <c r="R22" s="2125"/>
      <c r="S22" s="2022"/>
    </row>
    <row r="23" spans="1:19">
      <c r="A23" s="139">
        <v>4</v>
      </c>
      <c r="B23" s="487" t="s">
        <v>231</v>
      </c>
      <c r="C23" s="141" t="s">
        <v>70</v>
      </c>
      <c r="D23" s="2133">
        <f>D24+D25+D26</f>
        <v>1391.2120494657527</v>
      </c>
      <c r="E23" s="2133">
        <f t="shared" ref="E23:I23" si="3">E24+E25+E26</f>
        <v>1388.6213226578486</v>
      </c>
      <c r="F23" s="2133">
        <f t="shared" si="3"/>
        <v>1417.8385269681864</v>
      </c>
      <c r="G23" s="2133">
        <f t="shared" si="3"/>
        <v>1399.1071964116279</v>
      </c>
      <c r="H23" s="2133">
        <f t="shared" si="3"/>
        <v>1380.9434818735265</v>
      </c>
      <c r="I23" s="2133">
        <f t="shared" si="3"/>
        <v>1395.2814632510037</v>
      </c>
      <c r="J23" s="2022"/>
      <c r="K23" s="2022"/>
      <c r="L23" s="2022"/>
      <c r="M23" s="2022"/>
      <c r="N23" s="2022"/>
      <c r="O23" s="2022"/>
      <c r="P23" s="2022"/>
      <c r="Q23" s="2022"/>
      <c r="R23" s="2125"/>
      <c r="S23" s="2022"/>
    </row>
    <row r="24" spans="1:19" ht="16.2" customHeight="1">
      <c r="A24" s="139" t="s">
        <v>26</v>
      </c>
      <c r="B24" s="140" t="s">
        <v>524</v>
      </c>
      <c r="C24" s="141" t="s">
        <v>70</v>
      </c>
      <c r="D24" s="2134">
        <f t="shared" ref="D24:I26" si="4">D12+D16+D20</f>
        <v>1328.048755019694</v>
      </c>
      <c r="E24" s="2134">
        <f t="shared" si="4"/>
        <v>1325.5756514312409</v>
      </c>
      <c r="F24" s="2134">
        <f>F12+F16+F20</f>
        <v>1353.4663470476285</v>
      </c>
      <c r="G24" s="2134">
        <f t="shared" si="4"/>
        <v>1335.5854494266996</v>
      </c>
      <c r="H24" s="2134">
        <f t="shared" si="4"/>
        <v>1318.246397131888</v>
      </c>
      <c r="I24" s="2134">
        <f t="shared" si="4"/>
        <v>1331.9334107867555</v>
      </c>
      <c r="K24" s="2126"/>
      <c r="R24" s="2022"/>
    </row>
    <row r="25" spans="1:19" ht="14.4" customHeight="1">
      <c r="A25" s="139" t="s">
        <v>106</v>
      </c>
      <c r="B25" s="140" t="s">
        <v>1251</v>
      </c>
      <c r="C25" s="141" t="s">
        <v>70</v>
      </c>
      <c r="D25" s="2134">
        <f t="shared" si="4"/>
        <v>0</v>
      </c>
      <c r="E25" s="2134">
        <f t="shared" si="4"/>
        <v>0</v>
      </c>
      <c r="F25" s="2134">
        <f t="shared" si="4"/>
        <v>0</v>
      </c>
      <c r="G25" s="2134">
        <f t="shared" si="4"/>
        <v>0</v>
      </c>
      <c r="H25" s="2134">
        <f t="shared" si="4"/>
        <v>0</v>
      </c>
      <c r="I25" s="2134">
        <f t="shared" si="4"/>
        <v>0</v>
      </c>
      <c r="J25" s="149"/>
      <c r="K25" s="2126"/>
    </row>
    <row r="26" spans="1:19" ht="15.6" customHeight="1">
      <c r="A26" s="139" t="s">
        <v>154</v>
      </c>
      <c r="B26" s="140" t="s">
        <v>520</v>
      </c>
      <c r="C26" s="141" t="s">
        <v>70</v>
      </c>
      <c r="D26" s="2134">
        <f t="shared" si="4"/>
        <v>63.163294446058607</v>
      </c>
      <c r="E26" s="2134">
        <f t="shared" si="4"/>
        <v>63.045671226607794</v>
      </c>
      <c r="F26" s="2134">
        <f t="shared" si="4"/>
        <v>64.37217992055794</v>
      </c>
      <c r="G26" s="2134">
        <f t="shared" si="4"/>
        <v>63.521746984928384</v>
      </c>
      <c r="H26" s="2134">
        <f t="shared" si="4"/>
        <v>62.697084741638577</v>
      </c>
      <c r="I26" s="2134">
        <f t="shared" si="4"/>
        <v>63.34805246424812</v>
      </c>
      <c r="L26" s="2022"/>
    </row>
    <row r="27" spans="1:19" ht="39.6">
      <c r="A27" s="139">
        <v>5</v>
      </c>
      <c r="B27" s="140" t="s">
        <v>527</v>
      </c>
      <c r="C27" s="141" t="s">
        <v>36</v>
      </c>
      <c r="D27" s="2135">
        <f>D28+D29+D30</f>
        <v>11875.079486752444</v>
      </c>
      <c r="E27" s="2135">
        <f t="shared" ref="E27:I27" si="5">E28+E29+E30</f>
        <v>8970.5718404328891</v>
      </c>
      <c r="F27" s="2135">
        <f t="shared" si="5"/>
        <v>681.92404328217708</v>
      </c>
      <c r="G27" s="2135">
        <f t="shared" si="5"/>
        <v>1116.8028175521185</v>
      </c>
      <c r="H27" s="2135">
        <f t="shared" si="5"/>
        <v>540.66500346450925</v>
      </c>
      <c r="I27" s="2135">
        <f t="shared" si="5"/>
        <v>565.11578202075088</v>
      </c>
      <c r="L27" s="2022"/>
    </row>
    <row r="28" spans="1:19" ht="26.4">
      <c r="A28" s="139" t="s">
        <v>27</v>
      </c>
      <c r="B28" s="140" t="s">
        <v>525</v>
      </c>
      <c r="C28" s="141" t="s">
        <v>36</v>
      </c>
      <c r="D28" s="2135">
        <f>'Д 2_Т на В'!H43+'Д 4_Т на П'!G33</f>
        <v>11335.931524024452</v>
      </c>
      <c r="E28" s="2135">
        <f>'Д 2_Т на В'!L43+'Д 4_Т на П'!H33</f>
        <v>8563.2932586204533</v>
      </c>
      <c r="F28" s="2135">
        <f>'Д 2_Т на В'!P43+'Д 4_Т на П'!I33</f>
        <v>650.96358031593161</v>
      </c>
      <c r="G28" s="2135">
        <f>'Д 2_Т на В'!T43+'Д 4_Т на П'!J33</f>
        <v>1066.0981494676801</v>
      </c>
      <c r="H28" s="2135">
        <f>'Д 2_Т на В'!X43+'Д 4_Т на П'!K33</f>
        <v>516.11793113026499</v>
      </c>
      <c r="I28" s="2135">
        <f>'Д 2_Т на В'!AB43+'Д 4_Т на П'!L33</f>
        <v>539.45860449012309</v>
      </c>
      <c r="K28" s="2127">
        <f>D28-E28-F28-G28-H28-I28</f>
        <v>-9.0949470177292824E-13</v>
      </c>
    </row>
    <row r="29" spans="1:19" ht="16.95" customHeight="1">
      <c r="A29" s="139" t="s">
        <v>28</v>
      </c>
      <c r="B29" s="140" t="s">
        <v>1251</v>
      </c>
      <c r="C29" s="141" t="s">
        <v>36</v>
      </c>
      <c r="D29" s="2135">
        <f>'Д 2_Т на В'!E44+'Д 4_Т на П'!G34</f>
        <v>0</v>
      </c>
      <c r="E29" s="2135">
        <f>'Д 2_Т на В'!L44+'Д 4_Т на П'!H34</f>
        <v>0</v>
      </c>
      <c r="F29" s="2135">
        <f>'Д 2_Т на В'!P44+'Д 4_Т на П'!I34</f>
        <v>0</v>
      </c>
      <c r="G29" s="2135">
        <f>'Д 2_Т на В'!T44+'Д 4_Т на П'!J34</f>
        <v>0</v>
      </c>
      <c r="H29" s="2135">
        <f>'Д 2_Т на В'!X44+'Д 4_Т на П'!K34</f>
        <v>0</v>
      </c>
      <c r="I29" s="2135">
        <f>'Д 2_Т на В'!AB44+'Д 4_Т на П'!L34</f>
        <v>0</v>
      </c>
      <c r="K29" s="2127">
        <f t="shared" ref="K29:K30" si="6">D29-E29-F29-G29-H29-I29</f>
        <v>0</v>
      </c>
    </row>
    <row r="30" spans="1:19" ht="26.4">
      <c r="A30" s="139" t="s">
        <v>29</v>
      </c>
      <c r="B30" s="140" t="s">
        <v>526</v>
      </c>
      <c r="C30" s="141" t="s">
        <v>36</v>
      </c>
      <c r="D30" s="2135">
        <f>'Д 2_Т на В'!H45+'Д 4_Т на П'!G35</f>
        <v>539.14796272799219</v>
      </c>
      <c r="E30" s="2135">
        <f>'Д 2_Т на В'!L45+'Д 4_Т на П'!H35</f>
        <v>407.27858181243613</v>
      </c>
      <c r="F30" s="2135">
        <f>'Д 2_Т на В'!P45+'Д 4_Т на П'!I35</f>
        <v>30.960462966245522</v>
      </c>
      <c r="G30" s="2135">
        <f>'Д 2_Т на В'!T45+'Д 4_Т на П'!J35</f>
        <v>50.704668084438438</v>
      </c>
      <c r="H30" s="2135">
        <f>'Д 2_Т на В'!X45+'Д 4_Т на П'!K35</f>
        <v>24.547072334244305</v>
      </c>
      <c r="I30" s="2135">
        <f>'Д 2_Т на В'!AB45+'Д 4_Т на П'!L35</f>
        <v>25.657177530627802</v>
      </c>
      <c r="K30" s="2127">
        <f t="shared" si="6"/>
        <v>0</v>
      </c>
    </row>
    <row r="31" spans="1:19" ht="66">
      <c r="A31" s="139">
        <v>6</v>
      </c>
      <c r="B31" s="140" t="s">
        <v>528</v>
      </c>
      <c r="C31" s="141" t="s">
        <v>36</v>
      </c>
      <c r="D31" s="2135">
        <f t="shared" ref="D31:I31" si="7">D32+D33+D34</f>
        <v>11875.079486752444</v>
      </c>
      <c r="E31" s="2135">
        <f t="shared" si="7"/>
        <v>8970.5718404328891</v>
      </c>
      <c r="F31" s="2135">
        <f t="shared" si="7"/>
        <v>681.92404328217708</v>
      </c>
      <c r="G31" s="2135">
        <f t="shared" si="7"/>
        <v>1116.8028175521185</v>
      </c>
      <c r="H31" s="2135">
        <f t="shared" si="7"/>
        <v>540.66500346450925</v>
      </c>
      <c r="I31" s="2135">
        <f t="shared" si="7"/>
        <v>565.11578202075088</v>
      </c>
      <c r="J31" s="151"/>
    </row>
    <row r="32" spans="1:19" ht="26.4">
      <c r="A32" s="139" t="s">
        <v>31</v>
      </c>
      <c r="B32" s="140" t="s">
        <v>529</v>
      </c>
      <c r="C32" s="141" t="s">
        <v>36</v>
      </c>
      <c r="D32" s="2135">
        <f t="shared" ref="D32:I34" si="8">D28</f>
        <v>11335.931524024452</v>
      </c>
      <c r="E32" s="2135">
        <f t="shared" si="8"/>
        <v>8563.2932586204533</v>
      </c>
      <c r="F32" s="2135">
        <f t="shared" si="8"/>
        <v>650.96358031593161</v>
      </c>
      <c r="G32" s="2135">
        <f t="shared" si="8"/>
        <v>1066.0981494676801</v>
      </c>
      <c r="H32" s="2135">
        <f t="shared" si="8"/>
        <v>516.11793113026499</v>
      </c>
      <c r="I32" s="2135">
        <f t="shared" si="8"/>
        <v>539.45860449012309</v>
      </c>
    </row>
    <row r="33" spans="1:10" ht="16.2" customHeight="1">
      <c r="A33" s="139" t="s">
        <v>32</v>
      </c>
      <c r="B33" s="140" t="s">
        <v>1251</v>
      </c>
      <c r="C33" s="141" t="s">
        <v>36</v>
      </c>
      <c r="D33" s="2135">
        <f t="shared" si="8"/>
        <v>0</v>
      </c>
      <c r="E33" s="2135">
        <f t="shared" si="8"/>
        <v>0</v>
      </c>
      <c r="F33" s="2135">
        <f t="shared" si="8"/>
        <v>0</v>
      </c>
      <c r="G33" s="2135">
        <f t="shared" si="8"/>
        <v>0</v>
      </c>
      <c r="H33" s="2135">
        <f t="shared" si="8"/>
        <v>0</v>
      </c>
      <c r="I33" s="2135">
        <f t="shared" si="8"/>
        <v>0</v>
      </c>
    </row>
    <row r="34" spans="1:10" ht="26.4">
      <c r="A34" s="139" t="s">
        <v>33</v>
      </c>
      <c r="B34" s="140" t="s">
        <v>530</v>
      </c>
      <c r="C34" s="141" t="s">
        <v>36</v>
      </c>
      <c r="D34" s="2135">
        <f t="shared" si="8"/>
        <v>539.14796272799219</v>
      </c>
      <c r="E34" s="2135">
        <f t="shared" si="8"/>
        <v>407.27858181243613</v>
      </c>
      <c r="F34" s="2135">
        <f t="shared" si="8"/>
        <v>30.960462966245522</v>
      </c>
      <c r="G34" s="2135">
        <f t="shared" si="8"/>
        <v>50.704668084438438</v>
      </c>
      <c r="H34" s="2135">
        <f t="shared" si="8"/>
        <v>24.547072334244305</v>
      </c>
      <c r="I34" s="2135">
        <f t="shared" si="8"/>
        <v>25.657177530627802</v>
      </c>
    </row>
    <row r="35" spans="1:10" ht="40.200000000000003" customHeight="1">
      <c r="A35" s="139">
        <v>7</v>
      </c>
      <c r="B35" s="140" t="s">
        <v>972</v>
      </c>
      <c r="C35" s="141" t="s">
        <v>21</v>
      </c>
      <c r="D35" s="2135">
        <f>D38</f>
        <v>8535.7796400000007</v>
      </c>
      <c r="E35" s="2135">
        <f t="shared" ref="E35:I35" si="9">E38</f>
        <v>6460.0562399999999</v>
      </c>
      <c r="F35" s="2135">
        <f t="shared" si="9"/>
        <v>480.96030000000002</v>
      </c>
      <c r="G35" s="2135">
        <f t="shared" si="9"/>
        <v>798.22533999999996</v>
      </c>
      <c r="H35" s="2135">
        <f t="shared" si="9"/>
        <v>391.51855999999998</v>
      </c>
      <c r="I35" s="2135">
        <f t="shared" si="9"/>
        <v>405.01920000000001</v>
      </c>
      <c r="J35" s="151"/>
    </row>
    <row r="36" spans="1:10" ht="26.4">
      <c r="A36" s="139" t="s">
        <v>60</v>
      </c>
      <c r="B36" s="140" t="s">
        <v>107</v>
      </c>
      <c r="C36" s="141" t="s">
        <v>21</v>
      </c>
      <c r="D36" s="2135">
        <f>D38</f>
        <v>8535.7796400000007</v>
      </c>
      <c r="E36" s="2135">
        <f t="shared" ref="E36:I36" si="10">E38</f>
        <v>6460.0562399999999</v>
      </c>
      <c r="F36" s="2135">
        <f t="shared" si="10"/>
        <v>480.96030000000002</v>
      </c>
      <c r="G36" s="2135">
        <f t="shared" si="10"/>
        <v>798.22533999999996</v>
      </c>
      <c r="H36" s="2135">
        <f t="shared" si="10"/>
        <v>391.51855999999998</v>
      </c>
      <c r="I36" s="2135">
        <f t="shared" si="10"/>
        <v>405.01920000000001</v>
      </c>
    </row>
    <row r="37" spans="1:10" ht="14.4" customHeight="1">
      <c r="A37" s="139" t="s">
        <v>62</v>
      </c>
      <c r="B37" s="140" t="s">
        <v>90</v>
      </c>
      <c r="C37" s="141" t="s">
        <v>21</v>
      </c>
      <c r="D37" s="2135">
        <v>0</v>
      </c>
      <c r="E37" s="2135">
        <v>0</v>
      </c>
      <c r="F37" s="2135">
        <v>0</v>
      </c>
      <c r="G37" s="2135">
        <v>0</v>
      </c>
      <c r="H37" s="2135"/>
      <c r="I37" s="2135">
        <v>0</v>
      </c>
    </row>
    <row r="38" spans="1:10" ht="55.95" customHeight="1">
      <c r="A38" s="527" t="s">
        <v>165</v>
      </c>
      <c r="B38" s="528" t="s">
        <v>961</v>
      </c>
      <c r="C38" s="529" t="s">
        <v>21</v>
      </c>
      <c r="D38" s="2135">
        <f>'Д 7_РП'!E184</f>
        <v>8535.7796400000007</v>
      </c>
      <c r="E38" s="2135">
        <f>'Д 7_РП'!F184</f>
        <v>6460.0562399999999</v>
      </c>
      <c r="F38" s="2135">
        <f>'Д 7_РП'!G184</f>
        <v>480.96030000000002</v>
      </c>
      <c r="G38" s="2135">
        <f>'Д 7_РП'!H184</f>
        <v>798.22533999999996</v>
      </c>
      <c r="H38" s="2135">
        <f>'Д 7_РП'!I184</f>
        <v>391.51855999999998</v>
      </c>
      <c r="I38" s="2135">
        <f>'Д 7_РП'!J184</f>
        <v>405.01920000000001</v>
      </c>
    </row>
    <row r="39" spans="1:10" ht="14.4" customHeight="1">
      <c r="A39" s="527" t="s">
        <v>109</v>
      </c>
      <c r="B39" s="528" t="s">
        <v>962</v>
      </c>
      <c r="C39" s="529" t="s">
        <v>21</v>
      </c>
      <c r="D39" s="2135">
        <f>D38</f>
        <v>8535.7796400000007</v>
      </c>
      <c r="E39" s="2135">
        <f t="shared" ref="E39:I39" si="11">E38</f>
        <v>6460.0562399999999</v>
      </c>
      <c r="F39" s="2135">
        <f t="shared" si="11"/>
        <v>480.96030000000002</v>
      </c>
      <c r="G39" s="2135">
        <f t="shared" si="11"/>
        <v>798.22533999999996</v>
      </c>
      <c r="H39" s="2135">
        <f t="shared" si="11"/>
        <v>391.51855999999998</v>
      </c>
      <c r="I39" s="2135">
        <f t="shared" si="11"/>
        <v>405.01920000000001</v>
      </c>
    </row>
    <row r="40" spans="1:10" ht="16.2" customHeight="1">
      <c r="A40" s="527" t="s">
        <v>111</v>
      </c>
      <c r="B40" s="528" t="s">
        <v>90</v>
      </c>
      <c r="C40" s="529" t="s">
        <v>21</v>
      </c>
      <c r="D40" s="2135">
        <f>SUM(E40:I40)</f>
        <v>0</v>
      </c>
      <c r="E40" s="2135">
        <v>0</v>
      </c>
      <c r="F40" s="2135">
        <v>0</v>
      </c>
      <c r="G40" s="2135">
        <v>0</v>
      </c>
      <c r="H40" s="2135">
        <v>0</v>
      </c>
      <c r="I40" s="2135">
        <v>0</v>
      </c>
    </row>
    <row r="41" spans="1:10">
      <c r="A41" s="527" t="s">
        <v>180</v>
      </c>
      <c r="B41" s="140" t="s">
        <v>108</v>
      </c>
      <c r="C41" s="141"/>
      <c r="D41" s="2135"/>
      <c r="E41" s="2135"/>
      <c r="F41" s="2135"/>
      <c r="G41" s="2135"/>
      <c r="H41" s="2135"/>
      <c r="I41" s="2135"/>
    </row>
    <row r="42" spans="1:10">
      <c r="A42" s="527" t="s">
        <v>148</v>
      </c>
      <c r="B42" s="140" t="s">
        <v>110</v>
      </c>
      <c r="C42" s="141" t="s">
        <v>4</v>
      </c>
      <c r="D42" s="2136">
        <f>D14/D12</f>
        <v>4.7560975609756091E-2</v>
      </c>
      <c r="E42" s="2136">
        <f>E14/E12</f>
        <v>4.7560975609756091E-2</v>
      </c>
      <c r="F42" s="2136">
        <f t="shared" ref="F42:G42" si="12">F14/F12</f>
        <v>4.7560975609756098E-2</v>
      </c>
      <c r="G42" s="2136">
        <f t="shared" si="12"/>
        <v>4.7560975609756084E-2</v>
      </c>
      <c r="H42" s="2136">
        <f>H14/H12</f>
        <v>4.7560975609756098E-2</v>
      </c>
      <c r="I42" s="2136">
        <f>I14/I12</f>
        <v>4.7560975609756091E-2</v>
      </c>
    </row>
    <row r="43" spans="1:10">
      <c r="A43" s="527" t="s">
        <v>193</v>
      </c>
      <c r="B43" s="140" t="s">
        <v>112</v>
      </c>
      <c r="C43" s="141" t="s">
        <v>4</v>
      </c>
      <c r="D43" s="2136">
        <v>0</v>
      </c>
      <c r="E43" s="2136">
        <v>0</v>
      </c>
      <c r="F43" s="2136">
        <v>0</v>
      </c>
      <c r="G43" s="2136">
        <v>0</v>
      </c>
      <c r="H43" s="2136">
        <v>0</v>
      </c>
      <c r="I43" s="2136">
        <v>0</v>
      </c>
    </row>
    <row r="44" spans="1:10">
      <c r="A44" s="527" t="s">
        <v>339</v>
      </c>
      <c r="B44" s="140" t="s">
        <v>114</v>
      </c>
      <c r="C44" s="141" t="s">
        <v>4</v>
      </c>
      <c r="D44" s="2136">
        <f>D22/D20</f>
        <v>4.7560975609756098E-2</v>
      </c>
      <c r="E44" s="2136">
        <f>E22/E20</f>
        <v>4.7560975609756098E-2</v>
      </c>
      <c r="F44" s="2136">
        <f t="shared" ref="F44:H44" si="13">F22/F20</f>
        <v>4.7560975609756098E-2</v>
      </c>
      <c r="G44" s="2136">
        <f t="shared" si="13"/>
        <v>4.7560975609756098E-2</v>
      </c>
      <c r="H44" s="2136">
        <f t="shared" si="13"/>
        <v>4.7560975609756091E-2</v>
      </c>
      <c r="I44" s="2136">
        <f>I22/I20</f>
        <v>4.7560975609756091E-2</v>
      </c>
    </row>
    <row r="45" spans="1:10">
      <c r="A45" s="527" t="s">
        <v>963</v>
      </c>
      <c r="B45" s="140" t="s">
        <v>116</v>
      </c>
      <c r="C45" s="141" t="s">
        <v>4</v>
      </c>
      <c r="D45" s="2136">
        <f>D26/D24</f>
        <v>4.7560975609756091E-2</v>
      </c>
      <c r="E45" s="2136">
        <f>E26/E24</f>
        <v>4.7560975609756091E-2</v>
      </c>
      <c r="F45" s="2136">
        <f t="shared" ref="F45:H45" si="14">F26/F24</f>
        <v>4.7560975609756098E-2</v>
      </c>
      <c r="G45" s="2136">
        <f t="shared" si="14"/>
        <v>4.7560975609756091E-2</v>
      </c>
      <c r="H45" s="2136">
        <f t="shared" si="14"/>
        <v>4.7560975609756098E-2</v>
      </c>
      <c r="I45" s="2136">
        <f>I26/I24</f>
        <v>4.7560975609756091E-2</v>
      </c>
    </row>
    <row r="46" spans="1:10">
      <c r="A46" s="142"/>
      <c r="B46" s="143"/>
      <c r="C46" s="90"/>
      <c r="D46" s="90"/>
      <c r="E46" s="90"/>
      <c r="F46" s="90"/>
      <c r="G46" s="90"/>
      <c r="H46" s="90"/>
      <c r="I46" s="90"/>
    </row>
    <row r="47" spans="1:10" ht="10.5" customHeight="1">
      <c r="A47" s="88"/>
      <c r="B47" s="90"/>
      <c r="C47" s="90"/>
      <c r="D47" s="90"/>
      <c r="E47" s="90"/>
      <c r="F47" s="90"/>
      <c r="G47" s="90"/>
      <c r="H47" s="90"/>
      <c r="I47" s="90"/>
    </row>
    <row r="48" spans="1:10" ht="17.25" customHeight="1">
      <c r="A48" s="88"/>
      <c r="B48" s="1930" t="str">
        <f>'Вхідні дані'!B13</f>
        <v>Директор підприємства</v>
      </c>
      <c r="C48" s="2589" t="s">
        <v>94</v>
      </c>
      <c r="D48" s="2589"/>
      <c r="E48" s="2589"/>
      <c r="F48" s="2590" t="str">
        <f>'Вхідні дані'!F13</f>
        <v>Сергій НІКУЛЬЧА</v>
      </c>
      <c r="G48" s="2590"/>
      <c r="H48" s="2590"/>
      <c r="I48" s="2590"/>
    </row>
    <row r="49" spans="1:9">
      <c r="A49" s="88"/>
      <c r="B49" s="2128" t="s">
        <v>218</v>
      </c>
      <c r="C49" s="2591" t="s">
        <v>95</v>
      </c>
      <c r="D49" s="2591"/>
      <c r="E49" s="2591"/>
      <c r="F49" s="2591" t="s">
        <v>96</v>
      </c>
      <c r="G49" s="2591"/>
      <c r="H49" s="2591"/>
      <c r="I49" s="2591"/>
    </row>
    <row r="52" spans="1:9">
      <c r="B52" s="2375" t="s">
        <v>1971</v>
      </c>
      <c r="D52" s="2125">
        <f t="shared" ref="D52:I52" si="15">D23*1.2</f>
        <v>1669.4544593589033</v>
      </c>
      <c r="E52" s="2125">
        <f t="shared" si="15"/>
        <v>1666.3455871894182</v>
      </c>
      <c r="F52" s="2125">
        <f t="shared" si="15"/>
        <v>1701.4062323618236</v>
      </c>
      <c r="G52" s="2125">
        <f t="shared" si="15"/>
        <v>1678.9286356939535</v>
      </c>
      <c r="H52" s="2125">
        <f t="shared" si="15"/>
        <v>1657.1321782482316</v>
      </c>
      <c r="I52" s="2125">
        <f t="shared" si="15"/>
        <v>1674.3377559012044</v>
      </c>
    </row>
    <row r="54" spans="1:9">
      <c r="D54" s="569"/>
      <c r="E54" s="569"/>
      <c r="F54" s="569"/>
      <c r="G54" s="569"/>
      <c r="H54" s="569"/>
      <c r="I54" s="569"/>
    </row>
    <row r="55" spans="1:9">
      <c r="D55" s="569"/>
      <c r="E55" s="569"/>
      <c r="F55" s="569"/>
      <c r="G55" s="569"/>
      <c r="H55" s="569"/>
      <c r="I55" s="569"/>
    </row>
    <row r="56" spans="1:9">
      <c r="D56" s="569"/>
      <c r="E56" s="569"/>
      <c r="F56" s="569"/>
      <c r="G56" s="569"/>
      <c r="H56" s="569"/>
      <c r="I56" s="569"/>
    </row>
    <row r="57" spans="1:9">
      <c r="I57" s="569"/>
    </row>
    <row r="59" spans="1:9">
      <c r="D59" s="569"/>
      <c r="E59" s="569"/>
      <c r="F59" s="569"/>
      <c r="G59" s="569"/>
      <c r="H59" s="569"/>
      <c r="I59" s="569"/>
    </row>
    <row r="60" spans="1:9">
      <c r="D60" s="569"/>
      <c r="E60" s="569"/>
      <c r="F60" s="569"/>
      <c r="G60" s="569"/>
      <c r="H60" s="569"/>
      <c r="I60" s="569"/>
    </row>
    <row r="61" spans="1:9">
      <c r="D61" s="569"/>
      <c r="E61" s="569"/>
      <c r="F61" s="569"/>
      <c r="G61" s="569"/>
      <c r="H61" s="569"/>
      <c r="I61" s="569"/>
    </row>
    <row r="62" spans="1:9">
      <c r="I62" s="569"/>
    </row>
  </sheetData>
  <mergeCells count="15">
    <mergeCell ref="C48:E48"/>
    <mergeCell ref="F48:I48"/>
    <mergeCell ref="C49:E49"/>
    <mergeCell ref="F49:I49"/>
    <mergeCell ref="E1:I1"/>
    <mergeCell ref="B4:I4"/>
    <mergeCell ref="A7:I7"/>
    <mergeCell ref="A8:A9"/>
    <mergeCell ref="B8:B9"/>
    <mergeCell ref="C8:C9"/>
    <mergeCell ref="D8:D9"/>
    <mergeCell ref="E8:I8"/>
    <mergeCell ref="E3:I3"/>
    <mergeCell ref="A5:I5"/>
    <mergeCell ref="E2:I2"/>
  </mergeCells>
  <conditionalFormatting sqref="B1:B3">
    <cfRule type="containsText" dxfId="42" priority="1" operator="containsText" text="Для корек">
      <formula>NOT(ISERROR(SEARCH("Для корек",B1)))</formula>
    </cfRule>
  </conditionalFormatting>
  <pageMargins left="0.55118110236220474" right="0.32" top="0.86" bottom="0.53" header="0.31496062992125984" footer="0.56000000000000005"/>
  <pageSetup paperSize="9" scale="82" fitToHeight="0" orientation="portrait" r:id="rId1"/>
  <headerFooter differentFirst="1">
    <oddHeader>&amp;Rпровження додатку  5</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Лист121"/>
  <dimension ref="A3:F46"/>
  <sheetViews>
    <sheetView workbookViewId="0">
      <pane xSplit="1" ySplit="4" topLeftCell="B38" activePane="bottomRight" state="frozen"/>
      <selection pane="topRight" activeCell="B1" sqref="B1"/>
      <selection pane="bottomLeft" activeCell="A2" sqref="A2"/>
      <selection pane="bottomRight" activeCell="C39" sqref="C39"/>
    </sheetView>
  </sheetViews>
  <sheetFormatPr defaultRowHeight="15.6"/>
  <cols>
    <col min="1" max="1" width="3.77734375" style="44" customWidth="1"/>
    <col min="2" max="2" width="23.44140625" style="44" customWidth="1"/>
    <col min="3" max="3" width="62.88671875" style="44" customWidth="1"/>
    <col min="4" max="4" width="35.21875" style="44" customWidth="1"/>
    <col min="5" max="5" width="34.77734375" style="44" customWidth="1"/>
    <col min="6" max="6" width="37.6640625" style="44" customWidth="1"/>
    <col min="7" max="16384" width="8.88671875" style="44"/>
  </cols>
  <sheetData>
    <row r="3" spans="1:6" ht="4.8" customHeight="1"/>
    <row r="4" spans="1:6" s="1521" customFormat="1">
      <c r="A4" s="1528"/>
      <c r="B4" s="1521" t="s">
        <v>922</v>
      </c>
      <c r="C4" s="1521" t="s">
        <v>1622</v>
      </c>
      <c r="D4" s="1521" t="s">
        <v>670</v>
      </c>
      <c r="E4" s="1521" t="s">
        <v>657</v>
      </c>
      <c r="F4" s="1521" t="s">
        <v>921</v>
      </c>
    </row>
    <row r="5" spans="1:6" s="43" customFormat="1">
      <c r="A5" s="1522"/>
      <c r="B5" s="3104" t="s">
        <v>1623</v>
      </c>
      <c r="C5" s="3104"/>
      <c r="D5" s="3104"/>
      <c r="E5" s="3104"/>
      <c r="F5" s="3104"/>
    </row>
    <row r="6" spans="1:6">
      <c r="B6" s="44" t="s">
        <v>1412</v>
      </c>
      <c r="C6" s="39" t="s">
        <v>1633</v>
      </c>
    </row>
    <row r="7" spans="1:6" ht="36" customHeight="1">
      <c r="C7" s="1523" t="s">
        <v>1631</v>
      </c>
    </row>
    <row r="8" spans="1:6" ht="22.8" customHeight="1">
      <c r="C8" s="39" t="s">
        <v>1635</v>
      </c>
    </row>
    <row r="9" spans="1:6" ht="36" customHeight="1">
      <c r="C9" s="1523" t="s">
        <v>1636</v>
      </c>
    </row>
    <row r="10" spans="1:6" ht="22.8" customHeight="1">
      <c r="C10" s="39" t="s">
        <v>1634</v>
      </c>
    </row>
    <row r="11" spans="1:6" ht="36" customHeight="1">
      <c r="C11" s="1523" t="s">
        <v>1637</v>
      </c>
    </row>
    <row r="12" spans="1:6" ht="32.4" customHeight="1">
      <c r="B12" s="618" t="s">
        <v>1624</v>
      </c>
      <c r="C12" s="47" t="s">
        <v>1625</v>
      </c>
      <c r="D12" s="47" t="s">
        <v>1625</v>
      </c>
    </row>
    <row r="13" spans="1:6" ht="32.4" customHeight="1">
      <c r="B13" s="618"/>
      <c r="C13" s="1524" t="s">
        <v>1632</v>
      </c>
      <c r="D13" s="47"/>
    </row>
    <row r="14" spans="1:6">
      <c r="B14" s="44" t="s">
        <v>1641</v>
      </c>
      <c r="C14" s="39" t="s">
        <v>1638</v>
      </c>
    </row>
    <row r="15" spans="1:6" ht="25.8" customHeight="1">
      <c r="C15" s="1524" t="s">
        <v>1639</v>
      </c>
    </row>
    <row r="16" spans="1:6" ht="31.2">
      <c r="B16" s="618" t="s">
        <v>533</v>
      </c>
      <c r="C16" s="47" t="s">
        <v>1411</v>
      </c>
    </row>
    <row r="17" spans="1:6" ht="33.6" customHeight="1">
      <c r="C17" s="1524" t="s">
        <v>1640</v>
      </c>
    </row>
    <row r="18" spans="1:6">
      <c r="C18" s="1524"/>
    </row>
    <row r="19" spans="1:6">
      <c r="B19" s="3104" t="s">
        <v>936</v>
      </c>
      <c r="C19" s="3104"/>
      <c r="D19" s="3104"/>
      <c r="E19" s="3104"/>
      <c r="F19" s="3104"/>
    </row>
    <row r="20" spans="1:6" ht="15.6" customHeight="1">
      <c r="B20" s="3105" t="s">
        <v>1630</v>
      </c>
      <c r="C20" s="592" t="s">
        <v>1627</v>
      </c>
      <c r="D20" s="592" t="s">
        <v>1627</v>
      </c>
      <c r="E20" s="592" t="s">
        <v>1627</v>
      </c>
      <c r="F20" s="592" t="s">
        <v>1627</v>
      </c>
    </row>
    <row r="21" spans="1:6">
      <c r="B21" s="3105"/>
      <c r="C21" s="592" t="s">
        <v>1628</v>
      </c>
      <c r="D21" s="592" t="s">
        <v>1628</v>
      </c>
      <c r="E21" s="592" t="s">
        <v>1628</v>
      </c>
      <c r="F21" s="592" t="s">
        <v>1628</v>
      </c>
    </row>
    <row r="22" spans="1:6" ht="16.2" customHeight="1">
      <c r="B22" s="3105"/>
      <c r="C22" s="643" t="s">
        <v>1629</v>
      </c>
      <c r="D22" s="643" t="s">
        <v>1629</v>
      </c>
      <c r="E22" s="643" t="s">
        <v>1629</v>
      </c>
      <c r="F22" s="643" t="s">
        <v>1629</v>
      </c>
    </row>
    <row r="23" spans="1:6" ht="149.4" customHeight="1">
      <c r="C23" s="3103" t="s">
        <v>1642</v>
      </c>
      <c r="D23" s="3103"/>
      <c r="E23" s="3103"/>
      <c r="F23" s="3103"/>
    </row>
    <row r="24" spans="1:6">
      <c r="B24" s="3104" t="s">
        <v>1656</v>
      </c>
      <c r="C24" s="3104"/>
      <c r="D24" s="3104"/>
      <c r="E24" s="3104"/>
      <c r="F24" s="3104"/>
    </row>
    <row r="25" spans="1:6" ht="78">
      <c r="B25" s="618" t="s">
        <v>1643</v>
      </c>
      <c r="C25" s="735" t="s">
        <v>1643</v>
      </c>
      <c r="D25" s="735" t="s">
        <v>1643</v>
      </c>
      <c r="E25" s="735" t="s">
        <v>1643</v>
      </c>
      <c r="F25" s="735" t="s">
        <v>1643</v>
      </c>
    </row>
    <row r="26" spans="1:6" ht="142.19999999999999" customHeight="1">
      <c r="B26" s="735" t="s">
        <v>1646</v>
      </c>
      <c r="C26" s="735" t="s">
        <v>1645</v>
      </c>
      <c r="D26" s="735" t="s">
        <v>1644</v>
      </c>
      <c r="E26" s="735" t="s">
        <v>1647</v>
      </c>
      <c r="F26" s="735" t="s">
        <v>1648</v>
      </c>
    </row>
    <row r="27" spans="1:6" s="1525" customFormat="1" ht="220.8" customHeight="1">
      <c r="B27" s="735" t="s">
        <v>1649</v>
      </c>
      <c r="C27" s="735" t="s">
        <v>1657</v>
      </c>
      <c r="D27" s="735" t="s">
        <v>1650</v>
      </c>
      <c r="E27" s="735" t="s">
        <v>1651</v>
      </c>
      <c r="F27" s="735"/>
    </row>
    <row r="28" spans="1:6" s="1525" customFormat="1" ht="126" customHeight="1">
      <c r="B28" s="1526" t="s">
        <v>1652</v>
      </c>
      <c r="C28" s="642" t="s">
        <v>1653</v>
      </c>
      <c r="D28" s="642" t="s">
        <v>1654</v>
      </c>
      <c r="E28" s="642" t="s">
        <v>1655</v>
      </c>
    </row>
    <row r="29" spans="1:6">
      <c r="A29" s="1527"/>
      <c r="B29" s="3104" t="s">
        <v>1658</v>
      </c>
      <c r="C29" s="3104"/>
      <c r="D29" s="3104"/>
      <c r="E29" s="3104"/>
      <c r="F29" s="3104"/>
    </row>
    <row r="30" spans="1:6" ht="15" customHeight="1">
      <c r="B30" s="2949" t="s">
        <v>1668</v>
      </c>
      <c r="C30" s="2949"/>
      <c r="D30" s="2949"/>
      <c r="E30" s="2949"/>
      <c r="F30" s="2949"/>
    </row>
    <row r="31" spans="1:6" ht="32.4" customHeight="1">
      <c r="B31" s="1526" t="s">
        <v>1630</v>
      </c>
      <c r="C31" s="3102" t="s">
        <v>1667</v>
      </c>
    </row>
    <row r="32" spans="1:6" ht="78">
      <c r="B32" s="618" t="s">
        <v>1643</v>
      </c>
      <c r="C32" s="3102"/>
    </row>
    <row r="33" spans="2:6">
      <c r="B33" s="618" t="s">
        <v>1673</v>
      </c>
      <c r="C33" s="3102"/>
    </row>
    <row r="34" spans="2:6" ht="31.2" customHeight="1">
      <c r="B34" s="618" t="s">
        <v>1669</v>
      </c>
      <c r="C34" s="618" t="s">
        <v>1669</v>
      </c>
    </row>
    <row r="35" spans="2:6" ht="15.6" customHeight="1">
      <c r="C35" s="1530" t="s">
        <v>1670</v>
      </c>
    </row>
    <row r="36" spans="2:6" ht="140.4">
      <c r="B36" s="735" t="s">
        <v>1671</v>
      </c>
      <c r="C36" s="735" t="s">
        <v>1671</v>
      </c>
    </row>
    <row r="37" spans="2:6">
      <c r="C37" s="618" t="s">
        <v>1659</v>
      </c>
    </row>
    <row r="38" spans="2:6" ht="62.4">
      <c r="C38" s="618" t="s">
        <v>1672</v>
      </c>
    </row>
    <row r="39" spans="2:6" ht="92.4" customHeight="1">
      <c r="C39" s="618" t="s">
        <v>1660</v>
      </c>
    </row>
    <row r="40" spans="2:6" ht="31.2">
      <c r="C40" s="618" t="s">
        <v>1661</v>
      </c>
    </row>
    <row r="41" spans="2:6" ht="31.2">
      <c r="C41" s="618" t="s">
        <v>1662</v>
      </c>
    </row>
    <row r="42" spans="2:6" ht="9.6" customHeight="1">
      <c r="C42" s="618" t="s">
        <v>1663</v>
      </c>
    </row>
    <row r="43" spans="2:6" hidden="1"/>
    <row r="44" spans="2:6" ht="25.8" customHeight="1">
      <c r="C44" s="1424" t="s">
        <v>1664</v>
      </c>
      <c r="F44" s="1424" t="s">
        <v>1626</v>
      </c>
    </row>
    <row r="45" spans="2:6">
      <c r="C45" s="44" t="s">
        <v>1665</v>
      </c>
    </row>
    <row r="46" spans="2:6" ht="306">
      <c r="C46" s="1529" t="s">
        <v>1666</v>
      </c>
    </row>
  </sheetData>
  <mergeCells count="8">
    <mergeCell ref="C31:C33"/>
    <mergeCell ref="C23:F23"/>
    <mergeCell ref="B24:F24"/>
    <mergeCell ref="B5:F5"/>
    <mergeCell ref="B19:F19"/>
    <mergeCell ref="B29:F29"/>
    <mergeCell ref="B20:B22"/>
    <mergeCell ref="B30:F30"/>
  </mergeCells>
  <pageMargins left="0.7" right="0.7" top="0.75" bottom="0.75" header="0.3" footer="0.3"/>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21">
    <tabColor rgb="FF92D050"/>
    <pageSetUpPr fitToPage="1"/>
  </sheetPr>
  <dimension ref="A1:AI244"/>
  <sheetViews>
    <sheetView topLeftCell="A220" zoomScale="90" zoomScaleNormal="90" zoomScaleSheetLayoutView="55" workbookViewId="0">
      <selection activeCell="E55" sqref="E55"/>
    </sheetView>
  </sheetViews>
  <sheetFormatPr defaultColWidth="29.5546875" defaultRowHeight="14.4"/>
  <cols>
    <col min="1" max="1" width="4.109375" style="419" customWidth="1"/>
    <col min="2" max="2" width="8.33203125" style="851" customWidth="1"/>
    <col min="3" max="3" width="48" style="419" customWidth="1"/>
    <col min="4" max="4" width="11.109375" style="419" customWidth="1"/>
    <col min="5" max="10" width="11.6640625" style="419" customWidth="1"/>
    <col min="11" max="11" width="11.6640625" style="432" customWidth="1"/>
    <col min="12" max="13" width="11.6640625" style="419" customWidth="1"/>
    <col min="14" max="14" width="11.6640625" style="432" customWidth="1"/>
    <col min="15" max="16" width="11.6640625" style="419" customWidth="1"/>
    <col min="17" max="17" width="11.6640625" style="432" customWidth="1"/>
    <col min="18" max="19" width="11.6640625" style="419" customWidth="1"/>
    <col min="20" max="20" width="11.6640625" style="432" customWidth="1"/>
    <col min="21" max="22" width="11.6640625" style="419" customWidth="1"/>
    <col min="23" max="23" width="12.88671875" style="419" customWidth="1"/>
    <col min="24" max="24" width="12.109375" style="1348" customWidth="1"/>
    <col min="25" max="28" width="12.109375" style="419" customWidth="1"/>
    <col min="29" max="29" width="13.109375" style="419" customWidth="1"/>
    <col min="30" max="30" width="12.44140625" style="419" customWidth="1"/>
    <col min="31" max="32" width="13.5546875" style="419" bestFit="1" customWidth="1"/>
    <col min="33" max="33" width="29.5546875" style="419"/>
    <col min="34" max="34" width="16" style="419" customWidth="1"/>
    <col min="35" max="35" width="16.6640625" style="419" customWidth="1"/>
    <col min="36" max="16384" width="29.5546875" style="419"/>
  </cols>
  <sheetData>
    <row r="1" spans="2:29" ht="18" customHeight="1">
      <c r="O1" s="852"/>
      <c r="P1" s="2600" t="s">
        <v>1917</v>
      </c>
      <c r="Q1" s="2600"/>
      <c r="R1" s="2600"/>
      <c r="S1" s="2600"/>
      <c r="T1" s="2600"/>
      <c r="U1" s="2600"/>
      <c r="V1" s="2600"/>
    </row>
    <row r="2" spans="2:29" ht="17.399999999999999" customHeight="1">
      <c r="O2" s="852"/>
      <c r="P2" s="2600" t="str">
        <f>'Д 5 Т на ТЕ з IТП'!E2</f>
        <v>до розрахунку тарифів на теплову енергію  ТОВ ДП " Моноліт- Сервіс "</v>
      </c>
      <c r="Q2" s="2600"/>
      <c r="R2" s="2600"/>
      <c r="S2" s="2600"/>
      <c r="T2" s="2600"/>
      <c r="U2" s="2600"/>
      <c r="V2" s="2600"/>
    </row>
    <row r="3" spans="2:29" ht="16.2" customHeight="1">
      <c r="O3" s="852"/>
      <c r="P3" s="2638" t="str">
        <f>'Вхідні дані'!F1</f>
        <v>станом на 01.09.2023 року</v>
      </c>
      <c r="Q3" s="2638"/>
      <c r="R3" s="2638"/>
      <c r="S3" s="2638"/>
      <c r="T3" s="2638"/>
      <c r="U3" s="2638"/>
      <c r="V3" s="2638"/>
    </row>
    <row r="4" spans="2:29" ht="16.8">
      <c r="L4" s="432"/>
      <c r="O4" s="852"/>
      <c r="P4" s="853"/>
      <c r="R4" s="852"/>
      <c r="S4" s="853"/>
      <c r="T4" s="854"/>
      <c r="U4" s="853"/>
    </row>
    <row r="5" spans="2:29" ht="18">
      <c r="C5" s="2621" t="s">
        <v>1124</v>
      </c>
      <c r="D5" s="2641"/>
      <c r="E5" s="2641"/>
      <c r="F5" s="2641"/>
      <c r="G5" s="2641"/>
      <c r="H5" s="2641"/>
      <c r="I5" s="2641"/>
      <c r="J5" s="2641"/>
      <c r="K5" s="2641"/>
      <c r="L5" s="2641"/>
      <c r="M5" s="2641"/>
      <c r="N5" s="2641"/>
      <c r="O5" s="2641"/>
      <c r="P5" s="2641"/>
      <c r="Q5" s="2641"/>
      <c r="R5" s="2641"/>
      <c r="S5" s="2641"/>
      <c r="T5" s="2641"/>
      <c r="U5" s="2641"/>
      <c r="V5" s="2641"/>
    </row>
    <row r="6" spans="2:29" ht="17.399999999999999" customHeight="1">
      <c r="C6" s="2620" t="s">
        <v>1151</v>
      </c>
      <c r="D6" s="2620"/>
      <c r="E6" s="2620"/>
      <c r="F6" s="2620"/>
      <c r="G6" s="2620"/>
      <c r="H6" s="2620"/>
      <c r="I6" s="2620"/>
      <c r="J6" s="2620"/>
      <c r="K6" s="2620"/>
      <c r="L6" s="2620"/>
      <c r="M6" s="2620"/>
      <c r="N6" s="2620"/>
      <c r="O6" s="2620"/>
      <c r="P6" s="2620"/>
      <c r="Q6" s="2620"/>
      <c r="R6" s="2620"/>
      <c r="S6" s="2620"/>
      <c r="T6" s="2620"/>
      <c r="U6" s="2620"/>
      <c r="V6" s="2620"/>
    </row>
    <row r="7" spans="2:29" ht="17.399999999999999" customHeight="1">
      <c r="C7" s="2620" t="s">
        <v>1152</v>
      </c>
      <c r="D7" s="2621"/>
      <c r="E7" s="2621"/>
      <c r="F7" s="2621"/>
      <c r="G7" s="2621"/>
      <c r="H7" s="2621"/>
      <c r="I7" s="2621"/>
      <c r="J7" s="2621"/>
      <c r="K7" s="2621"/>
      <c r="L7" s="2621"/>
      <c r="M7" s="2621"/>
      <c r="N7" s="2621"/>
      <c r="O7" s="2621"/>
      <c r="P7" s="2621"/>
      <c r="Q7" s="2621"/>
      <c r="R7" s="2621"/>
      <c r="S7" s="2621"/>
      <c r="T7" s="2621"/>
      <c r="U7" s="2621"/>
      <c r="V7" s="2621"/>
    </row>
    <row r="8" spans="2:29" ht="15" thickBot="1">
      <c r="C8" s="855"/>
      <c r="D8" s="856"/>
      <c r="E8" s="856"/>
      <c r="F8" s="856"/>
      <c r="G8" s="856"/>
      <c r="H8" s="856"/>
      <c r="I8" s="856"/>
      <c r="J8" s="856"/>
      <c r="K8" s="857"/>
      <c r="L8" s="856"/>
      <c r="M8" s="856"/>
      <c r="N8" s="857"/>
      <c r="O8" s="856"/>
      <c r="P8" s="856"/>
      <c r="Q8" s="857"/>
      <c r="R8" s="856"/>
      <c r="S8" s="856"/>
      <c r="T8" s="857"/>
      <c r="U8" s="856"/>
      <c r="V8" s="858"/>
    </row>
    <row r="9" spans="2:29" ht="23.25" customHeight="1" thickBot="1">
      <c r="B9" s="2639" t="s">
        <v>7</v>
      </c>
      <c r="C9" s="2602" t="s">
        <v>977</v>
      </c>
      <c r="D9" s="2604" t="s">
        <v>1092</v>
      </c>
      <c r="E9" s="2602" t="s">
        <v>1093</v>
      </c>
      <c r="F9" s="2603"/>
      <c r="G9" s="2604"/>
      <c r="H9" s="2637" t="s">
        <v>1918</v>
      </c>
      <c r="I9" s="2617"/>
      <c r="J9" s="2617"/>
      <c r="K9" s="2617"/>
      <c r="L9" s="2617"/>
      <c r="M9" s="2617"/>
      <c r="N9" s="2617"/>
      <c r="O9" s="2617"/>
      <c r="P9" s="2617"/>
      <c r="Q9" s="2617"/>
      <c r="R9" s="2617"/>
      <c r="S9" s="2617"/>
      <c r="T9" s="2617"/>
      <c r="U9" s="2617"/>
      <c r="V9" s="2618"/>
    </row>
    <row r="10" spans="2:29" ht="15.6" customHeight="1">
      <c r="B10" s="2640"/>
      <c r="C10" s="2625"/>
      <c r="D10" s="2627"/>
      <c r="E10" s="2625"/>
      <c r="F10" s="2629"/>
      <c r="G10" s="2627"/>
      <c r="H10" s="2602" t="str">
        <f>'Д 5 Т на ТЕ з IТП'!E9</f>
        <v>котельні</v>
      </c>
      <c r="I10" s="2603"/>
      <c r="J10" s="2604"/>
      <c r="K10" s="2602" t="str">
        <f>'Д 5 Т на ТЕ з IТП'!F9</f>
        <v>САО Парусна, 1-А</v>
      </c>
      <c r="L10" s="2603"/>
      <c r="M10" s="2604"/>
      <c r="N10" s="2602" t="str">
        <f>'Д 5 Т на ТЕ з IТП'!G9</f>
        <v>САО Парусна, 1-Б</v>
      </c>
      <c r="O10" s="2603"/>
      <c r="P10" s="2604"/>
      <c r="Q10" s="2602" t="str">
        <f>'Д 5 Т на ТЕ з IТП'!H9</f>
        <v>САО Паркова, 50</v>
      </c>
      <c r="R10" s="2603"/>
      <c r="S10" s="2604"/>
      <c r="T10" s="2602" t="str">
        <f>'Д 5 Т на ТЕ з IТП'!I9</f>
        <v>САО Паркова, 52</v>
      </c>
      <c r="U10" s="2603"/>
      <c r="V10" s="2604"/>
    </row>
    <row r="11" spans="2:29" ht="15.6" customHeight="1">
      <c r="B11" s="2640"/>
      <c r="C11" s="2625"/>
      <c r="D11" s="2627"/>
      <c r="E11" s="2630" t="s">
        <v>1094</v>
      </c>
      <c r="F11" s="2607" t="s">
        <v>1095</v>
      </c>
      <c r="G11" s="2608"/>
      <c r="H11" s="2630" t="s">
        <v>1094</v>
      </c>
      <c r="I11" s="2607" t="s">
        <v>1095</v>
      </c>
      <c r="J11" s="2608"/>
      <c r="K11" s="2605" t="s">
        <v>1094</v>
      </c>
      <c r="L11" s="2607" t="s">
        <v>1095</v>
      </c>
      <c r="M11" s="2608"/>
      <c r="N11" s="2605" t="s">
        <v>1094</v>
      </c>
      <c r="O11" s="2607" t="s">
        <v>1095</v>
      </c>
      <c r="P11" s="2608"/>
      <c r="Q11" s="2605" t="s">
        <v>1094</v>
      </c>
      <c r="R11" s="2607" t="s">
        <v>1095</v>
      </c>
      <c r="S11" s="2608"/>
      <c r="T11" s="2605" t="s">
        <v>1094</v>
      </c>
      <c r="U11" s="2607" t="s">
        <v>1095</v>
      </c>
      <c r="V11" s="2608"/>
    </row>
    <row r="12" spans="2:29" ht="15.75" customHeight="1">
      <c r="B12" s="2640"/>
      <c r="C12" s="2625"/>
      <c r="D12" s="2627"/>
      <c r="E12" s="2630"/>
      <c r="F12" s="2607" t="s">
        <v>1096</v>
      </c>
      <c r="G12" s="2608" t="s">
        <v>1097</v>
      </c>
      <c r="H12" s="2630"/>
      <c r="I12" s="2607" t="s">
        <v>1096</v>
      </c>
      <c r="J12" s="2608" t="s">
        <v>1097</v>
      </c>
      <c r="K12" s="2605"/>
      <c r="L12" s="2607" t="s">
        <v>1096</v>
      </c>
      <c r="M12" s="2608" t="s">
        <v>1097</v>
      </c>
      <c r="N12" s="2605"/>
      <c r="O12" s="2607" t="s">
        <v>1096</v>
      </c>
      <c r="P12" s="2608" t="s">
        <v>1097</v>
      </c>
      <c r="Q12" s="2605"/>
      <c r="R12" s="2607" t="s">
        <v>1096</v>
      </c>
      <c r="S12" s="2608" t="s">
        <v>1097</v>
      </c>
      <c r="T12" s="2605"/>
      <c r="U12" s="2607" t="s">
        <v>1096</v>
      </c>
      <c r="V12" s="2608" t="s">
        <v>1097</v>
      </c>
      <c r="Z12" s="432"/>
      <c r="AA12" s="432"/>
      <c r="AB12" s="432"/>
      <c r="AC12" s="432"/>
    </row>
    <row r="13" spans="2:29" ht="34.5" customHeight="1" thickBot="1">
      <c r="B13" s="2640"/>
      <c r="C13" s="2626"/>
      <c r="D13" s="2628"/>
      <c r="E13" s="2631"/>
      <c r="F13" s="2609"/>
      <c r="G13" s="2610"/>
      <c r="H13" s="2631"/>
      <c r="I13" s="2609"/>
      <c r="J13" s="2610"/>
      <c r="K13" s="2606"/>
      <c r="L13" s="2609"/>
      <c r="M13" s="2610"/>
      <c r="N13" s="2606"/>
      <c r="O13" s="2609"/>
      <c r="P13" s="2610"/>
      <c r="Q13" s="2606"/>
      <c r="R13" s="2609"/>
      <c r="S13" s="2610"/>
      <c r="T13" s="2606"/>
      <c r="U13" s="2609"/>
      <c r="V13" s="2610"/>
    </row>
    <row r="14" spans="2:29" s="859" customFormat="1" ht="19.5" customHeight="1" thickBot="1">
      <c r="B14" s="1034">
        <v>1</v>
      </c>
      <c r="C14" s="1135">
        <v>2</v>
      </c>
      <c r="D14" s="1208">
        <v>3</v>
      </c>
      <c r="E14" s="1135">
        <v>4</v>
      </c>
      <c r="F14" s="1209">
        <v>5</v>
      </c>
      <c r="G14" s="1208">
        <v>6</v>
      </c>
      <c r="H14" s="1135">
        <v>7</v>
      </c>
      <c r="I14" s="1209">
        <v>8</v>
      </c>
      <c r="J14" s="1208">
        <v>9</v>
      </c>
      <c r="K14" s="1210">
        <v>10</v>
      </c>
      <c r="L14" s="1209">
        <v>11</v>
      </c>
      <c r="M14" s="1208">
        <v>12</v>
      </c>
      <c r="N14" s="1210">
        <v>13</v>
      </c>
      <c r="O14" s="1209">
        <v>14</v>
      </c>
      <c r="P14" s="1208">
        <v>15</v>
      </c>
      <c r="Q14" s="1210">
        <v>13</v>
      </c>
      <c r="R14" s="1209">
        <v>14</v>
      </c>
      <c r="S14" s="1208">
        <v>15</v>
      </c>
      <c r="T14" s="1210">
        <v>16</v>
      </c>
      <c r="U14" s="1209">
        <v>17</v>
      </c>
      <c r="V14" s="1208">
        <v>18</v>
      </c>
      <c r="X14" s="2332"/>
    </row>
    <row r="15" spans="2:29" ht="31.2">
      <c r="B15" s="514" t="s">
        <v>804</v>
      </c>
      <c r="C15" s="1133" t="s">
        <v>1134</v>
      </c>
      <c r="D15" s="1134" t="s">
        <v>1098</v>
      </c>
      <c r="E15" s="1234">
        <f>H15+K15+N15+Q15+T15</f>
        <v>8.5357796399999994</v>
      </c>
      <c r="F15" s="1235">
        <f>'Д 7_РП'!E184/1000</f>
        <v>8.5357796400000012</v>
      </c>
      <c r="G15" s="1236" t="s">
        <v>300</v>
      </c>
      <c r="H15" s="1234">
        <f>I15</f>
        <v>6.4600562400000001</v>
      </c>
      <c r="I15" s="1235">
        <f>'Д 7_РП'!F184/1000</f>
        <v>6.4600562400000001</v>
      </c>
      <c r="J15" s="1236" t="s">
        <v>300</v>
      </c>
      <c r="K15" s="1234">
        <f>L15</f>
        <v>0.48096030000000001</v>
      </c>
      <c r="L15" s="1235">
        <f>'Д 7_РП'!G184/1000</f>
        <v>0.48096030000000001</v>
      </c>
      <c r="M15" s="1236" t="s">
        <v>300</v>
      </c>
      <c r="N15" s="1234">
        <f>O15</f>
        <v>0.79822534000000001</v>
      </c>
      <c r="O15" s="1235">
        <f>'Д 7_РП'!H184/1000</f>
        <v>0.79822534000000001</v>
      </c>
      <c r="P15" s="1236" t="s">
        <v>300</v>
      </c>
      <c r="Q15" s="1234">
        <f>R15</f>
        <v>0.39151855999999996</v>
      </c>
      <c r="R15" s="1235">
        <f>'Д 7_РП'!I184/1000</f>
        <v>0.39151855999999996</v>
      </c>
      <c r="S15" s="1236" t="s">
        <v>300</v>
      </c>
      <c r="T15" s="1234">
        <f>U15</f>
        <v>0.40501920000000002</v>
      </c>
      <c r="U15" s="1235">
        <f>'Д 7_РП'!J184/1000</f>
        <v>0.40501920000000002</v>
      </c>
      <c r="V15" s="1236" t="s">
        <v>300</v>
      </c>
      <c r="W15" s="860"/>
      <c r="X15" s="2333"/>
      <c r="Y15" s="860"/>
      <c r="Z15" s="860"/>
      <c r="AA15" s="860"/>
      <c r="AB15" s="860"/>
    </row>
    <row r="16" spans="2:29" ht="15.6">
      <c r="B16" s="471" t="s">
        <v>22</v>
      </c>
      <c r="C16" s="472" t="s">
        <v>1739</v>
      </c>
      <c r="D16" s="1272" t="s">
        <v>909</v>
      </c>
      <c r="E16" s="1234">
        <f t="shared" ref="E16:E33" si="0">H16+K16+N16+Q16+T16</f>
        <v>8.5357796399999994</v>
      </c>
      <c r="F16" s="1237">
        <f>F15</f>
        <v>8.5357796400000012</v>
      </c>
      <c r="G16" s="1236" t="s">
        <v>300</v>
      </c>
      <c r="H16" s="1234">
        <f>I16</f>
        <v>6.4600562400000001</v>
      </c>
      <c r="I16" s="1237">
        <f>I15</f>
        <v>6.4600562400000001</v>
      </c>
      <c r="J16" s="1236" t="s">
        <v>300</v>
      </c>
      <c r="K16" s="1234">
        <f>L16</f>
        <v>0.48096030000000001</v>
      </c>
      <c r="L16" s="1237">
        <f>L15</f>
        <v>0.48096030000000001</v>
      </c>
      <c r="M16" s="1236" t="s">
        <v>300</v>
      </c>
      <c r="N16" s="1234">
        <f>O16</f>
        <v>0.79822534000000001</v>
      </c>
      <c r="O16" s="1237">
        <f>O15</f>
        <v>0.79822534000000001</v>
      </c>
      <c r="P16" s="1236" t="s">
        <v>300</v>
      </c>
      <c r="Q16" s="1234">
        <f>R16</f>
        <v>0.39151855999999996</v>
      </c>
      <c r="R16" s="1237">
        <f>R15</f>
        <v>0.39151855999999996</v>
      </c>
      <c r="S16" s="1236" t="s">
        <v>300</v>
      </c>
      <c r="T16" s="1234">
        <f>U16</f>
        <v>0.40501920000000002</v>
      </c>
      <c r="U16" s="1237">
        <f>U15</f>
        <v>0.40501920000000002</v>
      </c>
      <c r="V16" s="1236" t="s">
        <v>300</v>
      </c>
      <c r="W16" s="860"/>
      <c r="X16" s="2333"/>
      <c r="Y16" s="860"/>
      <c r="Z16" s="860"/>
      <c r="AA16" s="860"/>
      <c r="AB16" s="860"/>
    </row>
    <row r="17" spans="2:30" ht="15.6">
      <c r="B17" s="471" t="s">
        <v>23</v>
      </c>
      <c r="C17" s="472" t="s">
        <v>1741</v>
      </c>
      <c r="D17" s="1272" t="s">
        <v>909</v>
      </c>
      <c r="E17" s="1234">
        <f t="shared" si="0"/>
        <v>0</v>
      </c>
      <c r="F17" s="1237">
        <v>0</v>
      </c>
      <c r="G17" s="1236" t="s">
        <v>300</v>
      </c>
      <c r="H17" s="1234">
        <f>I17</f>
        <v>0</v>
      </c>
      <c r="I17" s="1237">
        <v>0</v>
      </c>
      <c r="J17" s="1236" t="s">
        <v>300</v>
      </c>
      <c r="K17" s="1234">
        <f>L17</f>
        <v>0</v>
      </c>
      <c r="L17" s="1237">
        <v>0</v>
      </c>
      <c r="M17" s="1236" t="s">
        <v>300</v>
      </c>
      <c r="N17" s="1234">
        <f>O17</f>
        <v>0</v>
      </c>
      <c r="O17" s="1237">
        <v>0</v>
      </c>
      <c r="P17" s="1236" t="s">
        <v>300</v>
      </c>
      <c r="Q17" s="1234">
        <f>R17</f>
        <v>0</v>
      </c>
      <c r="R17" s="1237">
        <v>0</v>
      </c>
      <c r="S17" s="1236" t="s">
        <v>300</v>
      </c>
      <c r="T17" s="1234">
        <f>U17</f>
        <v>0</v>
      </c>
      <c r="U17" s="1237">
        <v>0</v>
      </c>
      <c r="V17" s="1236" t="s">
        <v>300</v>
      </c>
      <c r="W17" s="860"/>
      <c r="X17" s="2333"/>
      <c r="Y17" s="860"/>
      <c r="Z17" s="860"/>
      <c r="AA17" s="860"/>
      <c r="AB17" s="860"/>
    </row>
    <row r="18" spans="2:30" ht="15.6">
      <c r="B18" s="470" t="s">
        <v>821</v>
      </c>
      <c r="C18" s="428" t="s">
        <v>1125</v>
      </c>
      <c r="D18" s="1272" t="s">
        <v>30</v>
      </c>
      <c r="E18" s="1234">
        <f t="shared" si="0"/>
        <v>5.0580000000000007</v>
      </c>
      <c r="F18" s="1237" t="s">
        <v>300</v>
      </c>
      <c r="G18" s="1138">
        <f>J18+M18+P18+V18</f>
        <v>4.8260000000000005</v>
      </c>
      <c r="H18" s="1234">
        <f>J18</f>
        <v>3.8280000000000003</v>
      </c>
      <c r="I18" s="1237" t="s">
        <v>300</v>
      </c>
      <c r="J18" s="1138">
        <f>SUM(J19:J20)</f>
        <v>3.8280000000000003</v>
      </c>
      <c r="K18" s="1234">
        <f>M18</f>
        <v>0.28499999999999998</v>
      </c>
      <c r="L18" s="1237" t="s">
        <v>300</v>
      </c>
      <c r="M18" s="1138">
        <f>SUM(M19:M20)</f>
        <v>0.28499999999999998</v>
      </c>
      <c r="N18" s="1234">
        <f>P18</f>
        <v>0.47299999999999998</v>
      </c>
      <c r="O18" s="1237" t="s">
        <v>300</v>
      </c>
      <c r="P18" s="1138">
        <f>SUM(P19:P20)</f>
        <v>0.47299999999999998</v>
      </c>
      <c r="Q18" s="1234">
        <f>S18</f>
        <v>0.23200000000000001</v>
      </c>
      <c r="R18" s="1237" t="s">
        <v>300</v>
      </c>
      <c r="S18" s="1138">
        <f>SUM(S19:S20)</f>
        <v>0.23200000000000001</v>
      </c>
      <c r="T18" s="1234">
        <f>V18</f>
        <v>0.24</v>
      </c>
      <c r="U18" s="1237" t="s">
        <v>300</v>
      </c>
      <c r="V18" s="1138">
        <f>SUM(V19:V20)</f>
        <v>0.24</v>
      </c>
      <c r="W18" s="860"/>
      <c r="X18" s="2333"/>
      <c r="Y18" s="860"/>
      <c r="Z18" s="860"/>
      <c r="AA18" s="860"/>
      <c r="AB18" s="860"/>
    </row>
    <row r="19" spans="2:30" ht="15.6">
      <c r="B19" s="471" t="s">
        <v>24</v>
      </c>
      <c r="C19" s="472" t="s">
        <v>1739</v>
      </c>
      <c r="D19" s="1272" t="s">
        <v>30</v>
      </c>
      <c r="E19" s="1234">
        <f t="shared" si="0"/>
        <v>5.0580000000000007</v>
      </c>
      <c r="F19" s="1237" t="s">
        <v>300</v>
      </c>
      <c r="G19" s="1236">
        <f>J19+M19+P19+V19</f>
        <v>4.8260000000000005</v>
      </c>
      <c r="H19" s="1234">
        <f>J19</f>
        <v>3.8280000000000003</v>
      </c>
      <c r="I19" s="1237" t="s">
        <v>300</v>
      </c>
      <c r="J19" s="1236">
        <f>'Д 7_РП'!F186</f>
        <v>3.8280000000000003</v>
      </c>
      <c r="K19" s="1234">
        <f>M19</f>
        <v>0.28499999999999998</v>
      </c>
      <c r="L19" s="1237" t="s">
        <v>300</v>
      </c>
      <c r="M19" s="1236">
        <f>'Д 7_РП'!G186</f>
        <v>0.28499999999999998</v>
      </c>
      <c r="N19" s="1234">
        <f>P19</f>
        <v>0.47299999999999998</v>
      </c>
      <c r="O19" s="1237" t="s">
        <v>300</v>
      </c>
      <c r="P19" s="1236">
        <f>'Д 7_РП'!H186</f>
        <v>0.47299999999999998</v>
      </c>
      <c r="Q19" s="1234">
        <f>S19</f>
        <v>0.23200000000000001</v>
      </c>
      <c r="R19" s="1237" t="s">
        <v>300</v>
      </c>
      <c r="S19" s="1236">
        <f>'Д 7_РП'!I186</f>
        <v>0.23200000000000001</v>
      </c>
      <c r="T19" s="1234">
        <f>V19</f>
        <v>0.24</v>
      </c>
      <c r="U19" s="1237" t="s">
        <v>300</v>
      </c>
      <c r="V19" s="1236">
        <f>'Д 7_РП'!J186</f>
        <v>0.24</v>
      </c>
      <c r="W19" s="860"/>
      <c r="X19" s="2333"/>
      <c r="Y19" s="860"/>
      <c r="Z19" s="860"/>
      <c r="AA19" s="860"/>
      <c r="AB19" s="860"/>
      <c r="AC19" s="860"/>
      <c r="AD19" s="860"/>
    </row>
    <row r="20" spans="2:30" ht="15.6">
      <c r="B20" s="473" t="s">
        <v>25</v>
      </c>
      <c r="C20" s="472" t="s">
        <v>1741</v>
      </c>
      <c r="D20" s="1272" t="s">
        <v>30</v>
      </c>
      <c r="E20" s="1234">
        <f t="shared" si="0"/>
        <v>0</v>
      </c>
      <c r="F20" s="1237" t="s">
        <v>300</v>
      </c>
      <c r="G20" s="1236">
        <v>0</v>
      </c>
      <c r="H20" s="1234">
        <f>J20</f>
        <v>0</v>
      </c>
      <c r="I20" s="1237" t="s">
        <v>300</v>
      </c>
      <c r="J20" s="1236">
        <v>0</v>
      </c>
      <c r="K20" s="1234">
        <f>M20</f>
        <v>0</v>
      </c>
      <c r="L20" s="1237" t="s">
        <v>300</v>
      </c>
      <c r="M20" s="1236">
        <v>0</v>
      </c>
      <c r="N20" s="1234">
        <f>P20</f>
        <v>0</v>
      </c>
      <c r="O20" s="1237" t="s">
        <v>300</v>
      </c>
      <c r="P20" s="1236">
        <v>0</v>
      </c>
      <c r="Q20" s="1234">
        <f>S20</f>
        <v>0</v>
      </c>
      <c r="R20" s="1237" t="s">
        <v>300</v>
      </c>
      <c r="S20" s="1236">
        <v>0</v>
      </c>
      <c r="T20" s="1234">
        <f>V20</f>
        <v>0</v>
      </c>
      <c r="U20" s="1237" t="s">
        <v>300</v>
      </c>
      <c r="V20" s="1236">
        <v>0</v>
      </c>
      <c r="W20" s="860"/>
      <c r="X20" s="2333"/>
      <c r="Y20" s="860"/>
      <c r="Z20" s="860"/>
      <c r="AA20" s="860"/>
      <c r="AB20" s="860"/>
      <c r="AC20" s="860"/>
      <c r="AD20" s="860"/>
    </row>
    <row r="21" spans="2:30" ht="19.5" hidden="1" customHeight="1">
      <c r="B21" s="1274"/>
      <c r="C21" s="422" t="s">
        <v>988</v>
      </c>
      <c r="D21" s="426"/>
      <c r="E21" s="1234">
        <f t="shared" si="0"/>
        <v>0</v>
      </c>
      <c r="F21" s="1237"/>
      <c r="G21" s="1236"/>
      <c r="H21" s="1234"/>
      <c r="I21" s="1237"/>
      <c r="J21" s="1236"/>
      <c r="K21" s="1234"/>
      <c r="L21" s="1237"/>
      <c r="M21" s="1236"/>
      <c r="N21" s="1234"/>
      <c r="O21" s="1237" t="s">
        <v>300</v>
      </c>
      <c r="P21" s="1236"/>
      <c r="Q21" s="1234"/>
      <c r="R21" s="1237" t="s">
        <v>300</v>
      </c>
      <c r="S21" s="1236"/>
      <c r="T21" s="1234"/>
      <c r="U21" s="1237"/>
      <c r="V21" s="1236"/>
    </row>
    <row r="22" spans="2:30" ht="31.2" hidden="1" customHeight="1">
      <c r="B22" s="1269" t="s">
        <v>24</v>
      </c>
      <c r="C22" s="423" t="s">
        <v>1099</v>
      </c>
      <c r="D22" s="427" t="s">
        <v>983</v>
      </c>
      <c r="E22" s="1234">
        <f t="shared" si="0"/>
        <v>0</v>
      </c>
      <c r="F22" s="1237" t="s">
        <v>300</v>
      </c>
      <c r="G22" s="1236"/>
      <c r="H22" s="1234"/>
      <c r="I22" s="1237" t="s">
        <v>300</v>
      </c>
      <c r="J22" s="1236"/>
      <c r="K22" s="1234"/>
      <c r="L22" s="1237"/>
      <c r="M22" s="1236"/>
      <c r="N22" s="1234"/>
      <c r="O22" s="1237" t="s">
        <v>300</v>
      </c>
      <c r="P22" s="1236"/>
      <c r="Q22" s="1234"/>
      <c r="R22" s="1237" t="s">
        <v>300</v>
      </c>
      <c r="S22" s="1236"/>
      <c r="T22" s="1234"/>
      <c r="U22" s="1237" t="s">
        <v>300</v>
      </c>
      <c r="V22" s="1236"/>
    </row>
    <row r="23" spans="2:30" ht="15.6" hidden="1" customHeight="1">
      <c r="B23" s="1269" t="s">
        <v>25</v>
      </c>
      <c r="C23" s="423" t="s">
        <v>1100</v>
      </c>
      <c r="D23" s="427" t="s">
        <v>983</v>
      </c>
      <c r="E23" s="1234">
        <f t="shared" si="0"/>
        <v>0</v>
      </c>
      <c r="F23" s="1237" t="s">
        <v>300</v>
      </c>
      <c r="G23" s="1236"/>
      <c r="H23" s="1234"/>
      <c r="I23" s="1237" t="s">
        <v>300</v>
      </c>
      <c r="J23" s="1236"/>
      <c r="K23" s="1234"/>
      <c r="L23" s="1237"/>
      <c r="M23" s="1236"/>
      <c r="N23" s="1234"/>
      <c r="O23" s="1237" t="s">
        <v>300</v>
      </c>
      <c r="P23" s="1236"/>
      <c r="Q23" s="1234"/>
      <c r="R23" s="1237" t="s">
        <v>300</v>
      </c>
      <c r="S23" s="1236"/>
      <c r="T23" s="1234"/>
      <c r="U23" s="1237" t="s">
        <v>300</v>
      </c>
      <c r="V23" s="1236"/>
    </row>
    <row r="24" spans="2:30" ht="15.6" hidden="1" customHeight="1">
      <c r="B24" s="1269" t="s">
        <v>55</v>
      </c>
      <c r="C24" s="423" t="s">
        <v>1101</v>
      </c>
      <c r="D24" s="427" t="s">
        <v>983</v>
      </c>
      <c r="E24" s="1234">
        <f t="shared" si="0"/>
        <v>0</v>
      </c>
      <c r="F24" s="1237" t="s">
        <v>300</v>
      </c>
      <c r="G24" s="1236"/>
      <c r="H24" s="1234"/>
      <c r="I24" s="1237" t="s">
        <v>300</v>
      </c>
      <c r="J24" s="1236"/>
      <c r="K24" s="1234"/>
      <c r="L24" s="1237"/>
      <c r="M24" s="1236"/>
      <c r="N24" s="1234"/>
      <c r="O24" s="1237" t="s">
        <v>300</v>
      </c>
      <c r="P24" s="1236"/>
      <c r="Q24" s="1234"/>
      <c r="R24" s="1237" t="s">
        <v>300</v>
      </c>
      <c r="S24" s="1236"/>
      <c r="T24" s="1234"/>
      <c r="U24" s="1237" t="s">
        <v>300</v>
      </c>
      <c r="V24" s="1236"/>
    </row>
    <row r="25" spans="2:30" ht="46.8" hidden="1" customHeight="1">
      <c r="B25" s="1269" t="s">
        <v>992</v>
      </c>
      <c r="C25" s="423" t="s">
        <v>1102</v>
      </c>
      <c r="D25" s="427" t="s">
        <v>983</v>
      </c>
      <c r="E25" s="1234">
        <f t="shared" si="0"/>
        <v>0</v>
      </c>
      <c r="F25" s="1237" t="s">
        <v>300</v>
      </c>
      <c r="G25" s="1236"/>
      <c r="H25" s="1234"/>
      <c r="I25" s="1237" t="s">
        <v>300</v>
      </c>
      <c r="J25" s="1236"/>
      <c r="K25" s="1234"/>
      <c r="L25" s="1237"/>
      <c r="M25" s="1236"/>
      <c r="N25" s="1234"/>
      <c r="O25" s="1237" t="s">
        <v>300</v>
      </c>
      <c r="P25" s="1236"/>
      <c r="Q25" s="1234"/>
      <c r="R25" s="1237" t="s">
        <v>300</v>
      </c>
      <c r="S25" s="1236"/>
      <c r="T25" s="1234"/>
      <c r="U25" s="1237" t="s">
        <v>300</v>
      </c>
      <c r="V25" s="1236"/>
    </row>
    <row r="26" spans="2:30" ht="31.2" hidden="1" customHeight="1">
      <c r="B26" s="433" t="s">
        <v>823</v>
      </c>
      <c r="C26" s="474" t="s">
        <v>1103</v>
      </c>
      <c r="D26" s="427" t="s">
        <v>987</v>
      </c>
      <c r="E26" s="1238">
        <f t="shared" si="0"/>
        <v>0</v>
      </c>
      <c r="F26" s="1239"/>
      <c r="G26" s="1236" t="s">
        <v>300</v>
      </c>
      <c r="H26" s="1238"/>
      <c r="I26" s="1239"/>
      <c r="J26" s="1236" t="s">
        <v>300</v>
      </c>
      <c r="K26" s="1234"/>
      <c r="L26" s="1237"/>
      <c r="M26" s="1236"/>
      <c r="N26" s="1234"/>
      <c r="O26" s="1237" t="s">
        <v>300</v>
      </c>
      <c r="P26" s="1236" t="s">
        <v>300</v>
      </c>
      <c r="Q26" s="1234"/>
      <c r="R26" s="1237" t="s">
        <v>300</v>
      </c>
      <c r="S26" s="1236" t="s">
        <v>300</v>
      </c>
      <c r="T26" s="1234"/>
      <c r="U26" s="1237"/>
      <c r="V26" s="1236" t="s">
        <v>993</v>
      </c>
    </row>
    <row r="27" spans="2:30" ht="15.6" hidden="1" customHeight="1">
      <c r="B27" s="2635" t="s">
        <v>56</v>
      </c>
      <c r="C27" s="422" t="s">
        <v>1104</v>
      </c>
      <c r="D27" s="426"/>
      <c r="E27" s="1240">
        <f t="shared" si="0"/>
        <v>0</v>
      </c>
      <c r="F27" s="1241"/>
      <c r="G27" s="1242"/>
      <c r="H27" s="1240"/>
      <c r="I27" s="1241"/>
      <c r="J27" s="1242"/>
      <c r="K27" s="1234"/>
      <c r="L27" s="1241"/>
      <c r="M27" s="1236"/>
      <c r="N27" s="1240"/>
      <c r="O27" s="1237" t="s">
        <v>300</v>
      </c>
      <c r="P27" s="1242"/>
      <c r="Q27" s="1240"/>
      <c r="R27" s="1237" t="s">
        <v>300</v>
      </c>
      <c r="S27" s="1242"/>
      <c r="T27" s="1240"/>
      <c r="U27" s="1241"/>
      <c r="V27" s="1242"/>
    </row>
    <row r="28" spans="2:30" ht="32.25" hidden="1" customHeight="1">
      <c r="B28" s="2636"/>
      <c r="C28" s="423" t="s">
        <v>1105</v>
      </c>
      <c r="D28" s="427" t="s">
        <v>983</v>
      </c>
      <c r="E28" s="1234" t="e">
        <f t="shared" si="0"/>
        <v>#VALUE!</v>
      </c>
      <c r="F28" s="1243"/>
      <c r="G28" s="1236" t="s">
        <v>993</v>
      </c>
      <c r="H28" s="1234" t="s">
        <v>989</v>
      </c>
      <c r="I28" s="1243"/>
      <c r="J28" s="1236" t="s">
        <v>993</v>
      </c>
      <c r="K28" s="1234"/>
      <c r="L28" s="1243"/>
      <c r="M28" s="1236"/>
      <c r="N28" s="1234"/>
      <c r="O28" s="1237" t="s">
        <v>300</v>
      </c>
      <c r="P28" s="1236" t="s">
        <v>300</v>
      </c>
      <c r="Q28" s="1234"/>
      <c r="R28" s="1237" t="s">
        <v>300</v>
      </c>
      <c r="S28" s="1236" t="s">
        <v>300</v>
      </c>
      <c r="T28" s="1234" t="s">
        <v>989</v>
      </c>
      <c r="U28" s="1243"/>
      <c r="V28" s="1236" t="s">
        <v>993</v>
      </c>
    </row>
    <row r="29" spans="2:30" ht="46.8" hidden="1" customHeight="1">
      <c r="B29" s="433" t="s">
        <v>826</v>
      </c>
      <c r="C29" s="424" t="s">
        <v>1106</v>
      </c>
      <c r="D29" s="427" t="s">
        <v>1107</v>
      </c>
      <c r="E29" s="1234" t="e">
        <f t="shared" si="0"/>
        <v>#VALUE!</v>
      </c>
      <c r="F29" s="1237" t="s">
        <v>300</v>
      </c>
      <c r="G29" s="1236"/>
      <c r="H29" s="1234"/>
      <c r="I29" s="1237" t="s">
        <v>300</v>
      </c>
      <c r="J29" s="1236"/>
      <c r="K29" s="1234"/>
      <c r="L29" s="1237"/>
      <c r="M29" s="1236"/>
      <c r="N29" s="1234" t="s">
        <v>993</v>
      </c>
      <c r="O29" s="1237" t="s">
        <v>300</v>
      </c>
      <c r="P29" s="1236" t="s">
        <v>993</v>
      </c>
      <c r="Q29" s="1234" t="s">
        <v>993</v>
      </c>
      <c r="R29" s="1237" t="s">
        <v>300</v>
      </c>
      <c r="S29" s="1236" t="s">
        <v>993</v>
      </c>
      <c r="T29" s="1234" t="s">
        <v>993</v>
      </c>
      <c r="U29" s="1237" t="s">
        <v>993</v>
      </c>
      <c r="V29" s="1236" t="s">
        <v>993</v>
      </c>
    </row>
    <row r="30" spans="2:30" ht="47.4" hidden="1" customHeight="1" thickBot="1">
      <c r="B30" s="475" t="s">
        <v>891</v>
      </c>
      <c r="C30" s="476" t="s">
        <v>1108</v>
      </c>
      <c r="D30" s="477" t="s">
        <v>1079</v>
      </c>
      <c r="E30" s="1244" t="e">
        <f t="shared" si="0"/>
        <v>#VALUE!</v>
      </c>
      <c r="F30" s="1245"/>
      <c r="G30" s="1246" t="s">
        <v>300</v>
      </c>
      <c r="H30" s="1244"/>
      <c r="I30" s="1245"/>
      <c r="J30" s="1246" t="s">
        <v>300</v>
      </c>
      <c r="K30" s="1244"/>
      <c r="L30" s="1245"/>
      <c r="M30" s="1246"/>
      <c r="N30" s="1244" t="s">
        <v>993</v>
      </c>
      <c r="O30" s="1245" t="s">
        <v>300</v>
      </c>
      <c r="P30" s="1246" t="s">
        <v>993</v>
      </c>
      <c r="Q30" s="1244" t="s">
        <v>993</v>
      </c>
      <c r="R30" s="1245" t="s">
        <v>300</v>
      </c>
      <c r="S30" s="1246" t="s">
        <v>993</v>
      </c>
      <c r="T30" s="1244" t="s">
        <v>993</v>
      </c>
      <c r="U30" s="1245" t="s">
        <v>993</v>
      </c>
      <c r="V30" s="1246" t="s">
        <v>993</v>
      </c>
    </row>
    <row r="31" spans="2:30" ht="38.25" customHeight="1" thickBot="1">
      <c r="B31" s="478" t="s">
        <v>823</v>
      </c>
      <c r="C31" s="1103" t="s">
        <v>1138</v>
      </c>
      <c r="D31" s="1278" t="s">
        <v>1098</v>
      </c>
      <c r="E31" s="1247">
        <f t="shared" si="0"/>
        <v>8.5357796399999994</v>
      </c>
      <c r="F31" s="1248">
        <f>SUM(F32:F33)</f>
        <v>8.5357796399999994</v>
      </c>
      <c r="G31" s="1249" t="s">
        <v>300</v>
      </c>
      <c r="H31" s="1250">
        <f>I31</f>
        <v>6.4600562400000001</v>
      </c>
      <c r="I31" s="1139">
        <f>'Д 2_Т на В'!L58/1000</f>
        <v>6.4600562400000001</v>
      </c>
      <c r="J31" s="1249" t="s">
        <v>300</v>
      </c>
      <c r="K31" s="1250">
        <f>L31</f>
        <v>0.48096030000000001</v>
      </c>
      <c r="L31" s="1139">
        <f>'Д 2_Т на В'!P58/1000</f>
        <v>0.48096030000000001</v>
      </c>
      <c r="M31" s="1249" t="s">
        <v>300</v>
      </c>
      <c r="N31" s="1250">
        <f>O31</f>
        <v>0.79822534000000001</v>
      </c>
      <c r="O31" s="1139">
        <f>'Д 2_Т на В'!T58/1000</f>
        <v>0.79822534000000001</v>
      </c>
      <c r="P31" s="1249" t="s">
        <v>300</v>
      </c>
      <c r="Q31" s="1250">
        <f>SUM(Q32:Q33)</f>
        <v>0.39151855999999996</v>
      </c>
      <c r="R31" s="1139">
        <f>SUM(R32:R33)</f>
        <v>0.39151855999999996</v>
      </c>
      <c r="S31" s="1249" t="s">
        <v>300</v>
      </c>
      <c r="T31" s="1250">
        <f>SUM(T32:T33)</f>
        <v>0.40501920000000002</v>
      </c>
      <c r="U31" s="1139">
        <f>SUM(U32:U33)</f>
        <v>0.40501920000000002</v>
      </c>
      <c r="V31" s="1249" t="s">
        <v>300</v>
      </c>
    </row>
    <row r="32" spans="2:30" ht="15.6">
      <c r="B32" s="514"/>
      <c r="C32" s="472" t="s">
        <v>1739</v>
      </c>
      <c r="D32" s="1272" t="s">
        <v>909</v>
      </c>
      <c r="E32" s="1251">
        <f t="shared" si="0"/>
        <v>8.5357796399999994</v>
      </c>
      <c r="F32" s="1237">
        <f>E32</f>
        <v>8.5357796399999994</v>
      </c>
      <c r="G32" s="1252"/>
      <c r="H32" s="1253">
        <f>H16</f>
        <v>6.4600562400000001</v>
      </c>
      <c r="I32" s="1237">
        <f>H32</f>
        <v>6.4600562400000001</v>
      </c>
      <c r="J32" s="1252"/>
      <c r="K32" s="1253">
        <f>K16</f>
        <v>0.48096030000000001</v>
      </c>
      <c r="L32" s="1237">
        <f>K32</f>
        <v>0.48096030000000001</v>
      </c>
      <c r="M32" s="1252"/>
      <c r="N32" s="1253">
        <f>N16</f>
        <v>0.79822534000000001</v>
      </c>
      <c r="O32" s="1237">
        <f>N32</f>
        <v>0.79822534000000001</v>
      </c>
      <c r="P32" s="1252"/>
      <c r="Q32" s="1253">
        <f>Q16</f>
        <v>0.39151855999999996</v>
      </c>
      <c r="R32" s="1237">
        <f>Q32</f>
        <v>0.39151855999999996</v>
      </c>
      <c r="S32" s="1252"/>
      <c r="T32" s="1253">
        <f>T16</f>
        <v>0.40501920000000002</v>
      </c>
      <c r="U32" s="1237">
        <f>T32</f>
        <v>0.40501920000000002</v>
      </c>
      <c r="V32" s="1252"/>
    </row>
    <row r="33" spans="1:35" ht="16.2" thickBot="1">
      <c r="B33" s="470"/>
      <c r="C33" s="1104" t="s">
        <v>1741</v>
      </c>
      <c r="D33" s="1105" t="s">
        <v>909</v>
      </c>
      <c r="E33" s="1254">
        <f t="shared" si="0"/>
        <v>0</v>
      </c>
      <c r="F33" s="1255">
        <v>0</v>
      </c>
      <c r="G33" s="1256"/>
      <c r="H33" s="1254">
        <f>I33</f>
        <v>0</v>
      </c>
      <c r="I33" s="1255">
        <v>0</v>
      </c>
      <c r="J33" s="1256"/>
      <c r="K33" s="1254">
        <f>L33</f>
        <v>0</v>
      </c>
      <c r="L33" s="1255">
        <v>0</v>
      </c>
      <c r="M33" s="1256"/>
      <c r="N33" s="1254">
        <f>O33</f>
        <v>0</v>
      </c>
      <c r="O33" s="1255">
        <v>0</v>
      </c>
      <c r="P33" s="1256"/>
      <c r="Q33" s="1254">
        <f>R33</f>
        <v>0</v>
      </c>
      <c r="R33" s="1255">
        <v>0</v>
      </c>
      <c r="S33" s="1256"/>
      <c r="T33" s="1254">
        <f>U33</f>
        <v>0</v>
      </c>
      <c r="U33" s="1255">
        <v>0</v>
      </c>
      <c r="V33" s="1256"/>
      <c r="AA33" s="432"/>
    </row>
    <row r="34" spans="1:35" ht="16.5" hidden="1" customHeight="1">
      <c r="B34" s="470"/>
      <c r="C34" s="1151"/>
      <c r="D34" s="1134"/>
      <c r="E34" s="1102"/>
      <c r="F34" s="521"/>
      <c r="G34" s="1152"/>
      <c r="H34" s="1102"/>
      <c r="I34" s="521"/>
      <c r="J34" s="1152"/>
      <c r="K34" s="1153"/>
      <c r="L34" s="521"/>
      <c r="M34" s="1154"/>
      <c r="N34" s="1153"/>
      <c r="O34" s="1155"/>
      <c r="P34" s="1152"/>
      <c r="Q34" s="1153"/>
      <c r="R34" s="1155"/>
      <c r="S34" s="1152"/>
      <c r="T34" s="1156"/>
      <c r="U34" s="521"/>
      <c r="V34" s="1152"/>
    </row>
    <row r="35" spans="1:35" ht="16.5" hidden="1" customHeight="1">
      <c r="B35" s="470"/>
      <c r="C35" s="1157"/>
      <c r="D35" s="1272"/>
      <c r="E35" s="861"/>
      <c r="F35" s="1271"/>
      <c r="G35" s="1147"/>
      <c r="H35" s="861"/>
      <c r="I35" s="1271"/>
      <c r="J35" s="1147"/>
      <c r="K35" s="1148"/>
      <c r="L35" s="1271"/>
      <c r="M35" s="1149"/>
      <c r="N35" s="1148"/>
      <c r="O35" s="425"/>
      <c r="P35" s="1147"/>
      <c r="Q35" s="1148"/>
      <c r="R35" s="425"/>
      <c r="S35" s="1147"/>
      <c r="T35" s="1150"/>
      <c r="U35" s="1271"/>
      <c r="V35" s="1147"/>
    </row>
    <row r="36" spans="1:35" ht="16.5" hidden="1" customHeight="1" thickTop="1" thickBot="1">
      <c r="B36" s="488"/>
      <c r="C36" s="1211"/>
      <c r="D36" s="480"/>
      <c r="E36" s="862"/>
      <c r="F36" s="1158"/>
      <c r="G36" s="1159"/>
      <c r="H36" s="862"/>
      <c r="I36" s="1158"/>
      <c r="J36" s="1159"/>
      <c r="K36" s="1160"/>
      <c r="L36" s="1158"/>
      <c r="M36" s="1161"/>
      <c r="N36" s="1160"/>
      <c r="O36" s="1146"/>
      <c r="P36" s="1159"/>
      <c r="Q36" s="1160"/>
      <c r="R36" s="1146"/>
      <c r="S36" s="1159"/>
      <c r="T36" s="1162"/>
      <c r="U36" s="1158"/>
      <c r="V36" s="1159"/>
    </row>
    <row r="37" spans="1:35" ht="21.6" customHeight="1" thickTop="1" thickBot="1">
      <c r="B37" s="2632"/>
      <c r="C37" s="2633"/>
      <c r="D37" s="2634"/>
      <c r="E37" s="2622" t="s">
        <v>0</v>
      </c>
      <c r="F37" s="2623"/>
      <c r="G37" s="2623"/>
      <c r="H37" s="2623"/>
      <c r="I37" s="2623"/>
      <c r="J37" s="2623"/>
      <c r="K37" s="2623"/>
      <c r="L37" s="2623"/>
      <c r="M37" s="2623"/>
      <c r="N37" s="2623"/>
      <c r="O37" s="2623"/>
      <c r="P37" s="2623"/>
      <c r="Q37" s="2623"/>
      <c r="R37" s="2623"/>
      <c r="S37" s="2623"/>
      <c r="T37" s="2623"/>
      <c r="U37" s="2623"/>
      <c r="V37" s="2624"/>
    </row>
    <row r="38" spans="1:35" ht="15.6">
      <c r="B38" s="470">
        <v>1</v>
      </c>
      <c r="C38" s="515" t="s">
        <v>201</v>
      </c>
      <c r="D38" s="482" t="s">
        <v>36</v>
      </c>
      <c r="E38" s="2352">
        <f>F38+G38</f>
        <v>10255.499550927372</v>
      </c>
      <c r="F38" s="2353">
        <f>I38+L38+O38+R38+U38</f>
        <v>9095.7934124055446</v>
      </c>
      <c r="G38" s="1180">
        <f>G39+G50+G51+G55</f>
        <v>1159.7061385218283</v>
      </c>
      <c r="H38" s="2354">
        <f>I38+J38</f>
        <v>7745.5997843192235</v>
      </c>
      <c r="I38" s="1179">
        <f>I39+I50+I51+I55</f>
        <v>6902.9164964726087</v>
      </c>
      <c r="J38" s="1180">
        <f>J39+J50+J51+J55</f>
        <v>842.68328784661435</v>
      </c>
      <c r="K38" s="2354">
        <f>L38+M38</f>
        <v>590.08514766811277</v>
      </c>
      <c r="L38" s="1179">
        <f>L39+L50+L51+L55</f>
        <v>504.47820613037419</v>
      </c>
      <c r="M38" s="1180">
        <f>M39+M50+M51+M55</f>
        <v>85.60694153773855</v>
      </c>
      <c r="N38" s="2354">
        <f>O38+P38</f>
        <v>965.06131212586149</v>
      </c>
      <c r="O38" s="1179">
        <f>O39+O50+O51+O55</f>
        <v>837.25667962934335</v>
      </c>
      <c r="P38" s="1180">
        <f>P39+P50+P51+P55</f>
        <v>127.80463249651817</v>
      </c>
      <c r="Q38" s="2354">
        <f>R38+S38</f>
        <v>466.56075086958441</v>
      </c>
      <c r="R38" s="1179">
        <f>R39+R50+R51+R55</f>
        <v>418.35794703429394</v>
      </c>
      <c r="S38" s="1180">
        <f>S39+S50+S51+S55</f>
        <v>48.20280383529046</v>
      </c>
      <c r="T38" s="2354">
        <f>U38+V38</f>
        <v>488.1925559445915</v>
      </c>
      <c r="U38" s="1179">
        <f>U39+U50+U51+U55</f>
        <v>432.78408313892481</v>
      </c>
      <c r="V38" s="1180">
        <f>V39+V50+V51+V55</f>
        <v>55.408472805666683</v>
      </c>
      <c r="W38" s="863">
        <f>'Д 2_Т на В'!H12</f>
        <v>10255.499550927374</v>
      </c>
      <c r="X38" s="2334">
        <f>W38-E38</f>
        <v>0</v>
      </c>
      <c r="Y38" s="432"/>
      <c r="Z38" s="432"/>
      <c r="AA38" s="432"/>
      <c r="AB38" s="432"/>
      <c r="AC38" s="432"/>
      <c r="AD38" s="864"/>
      <c r="AE38" s="864"/>
      <c r="AF38" s="864"/>
      <c r="AG38" s="865"/>
      <c r="AH38" s="866"/>
      <c r="AI38" s="866"/>
    </row>
    <row r="39" spans="1:35" ht="15.6">
      <c r="B39" s="470" t="s">
        <v>22</v>
      </c>
      <c r="C39" s="494" t="s">
        <v>202</v>
      </c>
      <c r="D39" s="1278" t="s">
        <v>36</v>
      </c>
      <c r="E39" s="429">
        <f t="shared" ref="E39:V39" si="1">E40+E44+E45+E48+E49</f>
        <v>9714.0286569070067</v>
      </c>
      <c r="F39" s="425">
        <f t="shared" ref="F39:G44" si="2">I39+L39+O39+R39+U39</f>
        <v>9095.7934124055446</v>
      </c>
      <c r="G39" s="524">
        <f t="shared" si="1"/>
        <v>618.23524450146135</v>
      </c>
      <c r="H39" s="429">
        <f t="shared" si="1"/>
        <v>7335.8033069942012</v>
      </c>
      <c r="I39" s="425">
        <f t="shared" si="1"/>
        <v>6902.9164964726087</v>
      </c>
      <c r="J39" s="524">
        <f t="shared" si="1"/>
        <v>432.88681052159166</v>
      </c>
      <c r="K39" s="429">
        <f t="shared" si="1"/>
        <v>559.57522184845982</v>
      </c>
      <c r="L39" s="425">
        <f t="shared" si="1"/>
        <v>504.47820613037419</v>
      </c>
      <c r="M39" s="524">
        <f t="shared" si="1"/>
        <v>55.097015718085608</v>
      </c>
      <c r="N39" s="429">
        <f t="shared" si="1"/>
        <v>914.42554050236731</v>
      </c>
      <c r="O39" s="425">
        <f t="shared" si="1"/>
        <v>837.25667962934335</v>
      </c>
      <c r="P39" s="524">
        <f t="shared" si="1"/>
        <v>77.168860873024002</v>
      </c>
      <c r="Q39" s="429">
        <f t="shared" ref="Q39:S39" si="3">Q40+Q44+Q45+Q48+Q49</f>
        <v>441.72460072867392</v>
      </c>
      <c r="R39" s="425">
        <f t="shared" si="3"/>
        <v>418.35794703429394</v>
      </c>
      <c r="S39" s="524">
        <f t="shared" si="3"/>
        <v>23.366653694380002</v>
      </c>
      <c r="T39" s="429">
        <f t="shared" si="1"/>
        <v>462.49998683330477</v>
      </c>
      <c r="U39" s="425">
        <f t="shared" si="1"/>
        <v>432.78408313892481</v>
      </c>
      <c r="V39" s="524">
        <f t="shared" si="1"/>
        <v>29.715903694379996</v>
      </c>
      <c r="W39" s="863">
        <f>'Д 2_Т на В'!H13</f>
        <v>9714.0286569070067</v>
      </c>
      <c r="X39" s="2334">
        <f t="shared" ref="X39:X77" si="4">W39-E39</f>
        <v>0</v>
      </c>
      <c r="Y39" s="432"/>
      <c r="Z39" s="432"/>
      <c r="AA39" s="432"/>
      <c r="AB39" s="432"/>
      <c r="AC39" s="432"/>
      <c r="AD39" s="864"/>
      <c r="AE39" s="864"/>
      <c r="AF39" s="864"/>
      <c r="AG39" s="865"/>
      <c r="AH39" s="866"/>
      <c r="AI39" s="866"/>
    </row>
    <row r="40" spans="1:35" ht="15.6">
      <c r="B40" s="470" t="s">
        <v>37</v>
      </c>
      <c r="C40" s="516" t="s">
        <v>435</v>
      </c>
      <c r="D40" s="1278" t="s">
        <v>36</v>
      </c>
      <c r="E40" s="429">
        <f>E41+E42+E43</f>
        <v>8302.6957517161845</v>
      </c>
      <c r="F40" s="425">
        <f t="shared" si="2"/>
        <v>7692.533371716183</v>
      </c>
      <c r="G40" s="425">
        <f t="shared" si="2"/>
        <v>610.1623800000001</v>
      </c>
      <c r="H40" s="429">
        <f t="shared" ref="H40:V40" si="5">H41+H42+H43</f>
        <v>6266.4817806721203</v>
      </c>
      <c r="I40" s="425">
        <f t="shared" si="5"/>
        <v>5840.9000006721199</v>
      </c>
      <c r="J40" s="524">
        <f t="shared" si="5"/>
        <v>425.58178000000004</v>
      </c>
      <c r="K40" s="429">
        <f t="shared" si="5"/>
        <v>480.36083987563558</v>
      </c>
      <c r="L40" s="425">
        <f t="shared" si="5"/>
        <v>425.40957987563559</v>
      </c>
      <c r="M40" s="524">
        <f t="shared" si="5"/>
        <v>54.951260000000005</v>
      </c>
      <c r="N40" s="429">
        <f t="shared" si="5"/>
        <v>782.8090134241105</v>
      </c>
      <c r="O40" s="425">
        <f t="shared" si="5"/>
        <v>706.03050342411052</v>
      </c>
      <c r="P40" s="524">
        <f t="shared" si="5"/>
        <v>76.778509999999997</v>
      </c>
      <c r="Q40" s="429">
        <f t="shared" ref="Q40:S40" si="6">Q41+Q42+Q43</f>
        <v>377.24410092517337</v>
      </c>
      <c r="R40" s="425">
        <f t="shared" si="6"/>
        <v>353.99331092517338</v>
      </c>
      <c r="S40" s="524">
        <f t="shared" si="6"/>
        <v>23.250790000000002</v>
      </c>
      <c r="T40" s="429">
        <f t="shared" si="5"/>
        <v>395.8000168191449</v>
      </c>
      <c r="U40" s="425">
        <f t="shared" si="5"/>
        <v>366.19997681914492</v>
      </c>
      <c r="V40" s="524">
        <f t="shared" si="5"/>
        <v>29.600039999999996</v>
      </c>
      <c r="W40" s="863">
        <f>'Д 2_Т на В'!H14</f>
        <v>8302.6957517161845</v>
      </c>
      <c r="X40" s="2334">
        <f t="shared" si="4"/>
        <v>0</v>
      </c>
      <c r="Y40" s="432"/>
      <c r="Z40" s="432"/>
      <c r="AA40" s="432"/>
      <c r="AB40" s="432"/>
      <c r="AC40" s="432"/>
      <c r="AD40" s="864"/>
      <c r="AE40" s="864"/>
      <c r="AF40" s="864"/>
      <c r="AG40" s="865"/>
      <c r="AH40" s="866"/>
      <c r="AI40" s="866"/>
    </row>
    <row r="41" spans="1:35" ht="15.6">
      <c r="B41" s="470" t="s">
        <v>436</v>
      </c>
      <c r="C41" s="517" t="s">
        <v>422</v>
      </c>
      <c r="D41" s="1278" t="s">
        <v>36</v>
      </c>
      <c r="E41" s="429">
        <f>F41+G41</f>
        <v>7526.294279271533</v>
      </c>
      <c r="F41" s="425">
        <f t="shared" si="2"/>
        <v>7526.294279271533</v>
      </c>
      <c r="G41" s="524"/>
      <c r="H41" s="429">
        <f>I41+J41</f>
        <v>5714.6755349139594</v>
      </c>
      <c r="I41" s="425">
        <f>'Д 2_Т на В'!L15</f>
        <v>5714.6755349139594</v>
      </c>
      <c r="J41" s="524"/>
      <c r="K41" s="429">
        <f>L41+M41</f>
        <v>416.21628826954287</v>
      </c>
      <c r="L41" s="425">
        <f>'Д 2_Т на В'!P15</f>
        <v>416.21628826954287</v>
      </c>
      <c r="M41" s="524"/>
      <c r="N41" s="429">
        <f>O41+P41</f>
        <v>690.77286794097972</v>
      </c>
      <c r="O41" s="425">
        <f>'Д 2_Т на В'!T15</f>
        <v>690.77286794097972</v>
      </c>
      <c r="P41" s="524"/>
      <c r="Q41" s="429">
        <f>R41+S41</f>
        <v>346.34335688583855</v>
      </c>
      <c r="R41" s="425">
        <f>'Д 2_Т на В'!X15</f>
        <v>346.34335688583855</v>
      </c>
      <c r="S41" s="524"/>
      <c r="T41" s="429">
        <f>U41+V41</f>
        <v>358.28623126121232</v>
      </c>
      <c r="U41" s="425">
        <f>'Д 2_Т на В'!AB15</f>
        <v>358.28623126121232</v>
      </c>
      <c r="V41" s="524"/>
      <c r="W41" s="863">
        <f>'Д 2_Т на В'!H15</f>
        <v>7526.294279271533</v>
      </c>
      <c r="X41" s="2334">
        <f t="shared" si="4"/>
        <v>0</v>
      </c>
      <c r="Y41" s="432"/>
      <c r="Z41" s="432"/>
      <c r="AA41" s="432"/>
      <c r="AB41" s="432"/>
      <c r="AC41" s="432"/>
      <c r="AD41" s="864"/>
      <c r="AE41" s="864"/>
      <c r="AF41" s="864"/>
      <c r="AG41" s="865"/>
      <c r="AH41" s="864"/>
      <c r="AI41" s="864"/>
    </row>
    <row r="42" spans="1:35" ht="15.6">
      <c r="B42" s="470" t="s">
        <v>437</v>
      </c>
      <c r="C42" s="517" t="s">
        <v>930</v>
      </c>
      <c r="D42" s="1278" t="s">
        <v>36</v>
      </c>
      <c r="E42" s="429">
        <f>F42+G42</f>
        <v>166.23909244465176</v>
      </c>
      <c r="F42" s="425">
        <f t="shared" si="2"/>
        <v>166.23909244465176</v>
      </c>
      <c r="G42" s="524"/>
      <c r="H42" s="429">
        <f>I42+J42</f>
        <v>126.22446575816085</v>
      </c>
      <c r="I42" s="425">
        <f>'Д 2_Т на В'!L16</f>
        <v>126.22446575816085</v>
      </c>
      <c r="J42" s="524"/>
      <c r="K42" s="429">
        <f>L42+M42</f>
        <v>9.1932916060926857</v>
      </c>
      <c r="L42" s="425">
        <f>'Д 2_Т на В'!P16</f>
        <v>9.1932916060926857</v>
      </c>
      <c r="M42" s="524"/>
      <c r="N42" s="429">
        <f>O42+P42</f>
        <v>15.257635483130812</v>
      </c>
      <c r="O42" s="425">
        <f>'Д 2_Т на В'!T16</f>
        <v>15.257635483130812</v>
      </c>
      <c r="P42" s="524"/>
      <c r="Q42" s="429">
        <f>R42+S42</f>
        <v>7.6499540393348378</v>
      </c>
      <c r="R42" s="425">
        <f>'Д 2_Т на В'!X16</f>
        <v>7.6499540393348378</v>
      </c>
      <c r="S42" s="524"/>
      <c r="T42" s="429">
        <f>U42+V42</f>
        <v>7.9137455579325913</v>
      </c>
      <c r="U42" s="425">
        <f>'Д 2_Т на В'!AB16</f>
        <v>7.9137455579325913</v>
      </c>
      <c r="V42" s="524"/>
      <c r="W42" s="863">
        <f>'Д 2_Т на В'!H16</f>
        <v>166.23909244465176</v>
      </c>
      <c r="X42" s="2334">
        <f t="shared" si="4"/>
        <v>0</v>
      </c>
      <c r="Y42" s="432"/>
      <c r="Z42" s="432"/>
      <c r="AA42" s="432"/>
      <c r="AB42" s="432"/>
      <c r="AC42" s="432"/>
      <c r="AD42" s="864"/>
      <c r="AE42" s="864"/>
      <c r="AF42" s="864"/>
      <c r="AG42" s="865"/>
      <c r="AH42" s="864"/>
      <c r="AI42" s="864"/>
    </row>
    <row r="43" spans="1:35" ht="15.6">
      <c r="A43" s="419">
        <f>I42/F42</f>
        <v>0.75929472365344197</v>
      </c>
      <c r="B43" s="470" t="s">
        <v>438</v>
      </c>
      <c r="C43" s="517" t="s">
        <v>931</v>
      </c>
      <c r="D43" s="1278" t="s">
        <v>36</v>
      </c>
      <c r="E43" s="429">
        <f>F43+G43</f>
        <v>610.1623800000001</v>
      </c>
      <c r="F43" s="425"/>
      <c r="G43" s="425">
        <f t="shared" si="2"/>
        <v>610.1623800000001</v>
      </c>
      <c r="H43" s="429">
        <f>I43+J43</f>
        <v>425.58178000000004</v>
      </c>
      <c r="I43" s="425"/>
      <c r="J43" s="425">
        <f>'Д 2_Т на В'!L17</f>
        <v>425.58178000000004</v>
      </c>
      <c r="K43" s="429">
        <f>L43+M43</f>
        <v>54.951260000000005</v>
      </c>
      <c r="L43" s="425"/>
      <c r="M43" s="425">
        <f>'Д 2_Т на В'!P17</f>
        <v>54.951260000000005</v>
      </c>
      <c r="N43" s="429">
        <f>O43+P43</f>
        <v>76.778509999999997</v>
      </c>
      <c r="O43" s="425"/>
      <c r="P43" s="425">
        <f>'Д 2_Т на В'!T17</f>
        <v>76.778509999999997</v>
      </c>
      <c r="Q43" s="429">
        <f>R43+S43</f>
        <v>23.250790000000002</v>
      </c>
      <c r="R43" s="425"/>
      <c r="S43" s="425">
        <f>'Д 2_Т на В'!X17</f>
        <v>23.250790000000002</v>
      </c>
      <c r="T43" s="429">
        <f>U43+V43</f>
        <v>29.600039999999996</v>
      </c>
      <c r="U43" s="425"/>
      <c r="V43" s="524">
        <f>'Д 2_Т на В'!AB17</f>
        <v>29.600039999999996</v>
      </c>
      <c r="W43" s="863">
        <f>'Д 2_Т на В'!H17</f>
        <v>610.1623800000001</v>
      </c>
      <c r="X43" s="2334">
        <f t="shared" si="4"/>
        <v>0</v>
      </c>
      <c r="Y43" s="432"/>
      <c r="Z43" s="432"/>
      <c r="AA43" s="432"/>
      <c r="AB43" s="432"/>
      <c r="AC43" s="432"/>
      <c r="AD43" s="864"/>
      <c r="AE43" s="864"/>
      <c r="AF43" s="864"/>
      <c r="AG43" s="865"/>
      <c r="AH43" s="864"/>
      <c r="AI43" s="864"/>
    </row>
    <row r="44" spans="1:35" ht="15.6">
      <c r="B44" s="470" t="s">
        <v>38</v>
      </c>
      <c r="C44" s="498" t="s">
        <v>39</v>
      </c>
      <c r="D44" s="1278" t="s">
        <v>36</v>
      </c>
      <c r="E44" s="429">
        <f>F44+G44</f>
        <v>1403.2600406893609</v>
      </c>
      <c r="F44" s="425">
        <f t="shared" si="2"/>
        <v>1403.2600406893609</v>
      </c>
      <c r="G44" s="524"/>
      <c r="H44" s="429">
        <f>I44+J44</f>
        <v>1062.0164958004891</v>
      </c>
      <c r="I44" s="425">
        <f>'Д 2_Т на В'!L18</f>
        <v>1062.0164958004891</v>
      </c>
      <c r="J44" s="425"/>
      <c r="K44" s="429">
        <f>L44+M44</f>
        <v>79.068626254738618</v>
      </c>
      <c r="L44" s="425">
        <f>'Д 2_Т на В'!P18</f>
        <v>79.068626254738618</v>
      </c>
      <c r="M44" s="425"/>
      <c r="N44" s="429">
        <f>O44+P44</f>
        <v>131.22617620523283</v>
      </c>
      <c r="O44" s="425">
        <f>'Д 2_Т на В'!T18</f>
        <v>131.22617620523283</v>
      </c>
      <c r="P44" s="425"/>
      <c r="Q44" s="429">
        <f>R44+S44</f>
        <v>64.364636109120553</v>
      </c>
      <c r="R44" s="425">
        <f>'Д 2_Т на В'!X18</f>
        <v>64.364636109120553</v>
      </c>
      <c r="S44" s="425"/>
      <c r="T44" s="429">
        <f>U44+V44</f>
        <v>66.584106319779892</v>
      </c>
      <c r="U44" s="425">
        <f>'Д 2_Т на В'!AB18</f>
        <v>66.584106319779892</v>
      </c>
      <c r="V44" s="524"/>
      <c r="W44" s="863">
        <f>'Д 2_Т на В'!H18</f>
        <v>1403.2600406893609</v>
      </c>
      <c r="X44" s="2334">
        <f t="shared" si="4"/>
        <v>0</v>
      </c>
      <c r="Y44" s="432"/>
      <c r="Z44" s="432"/>
      <c r="AA44" s="432"/>
      <c r="AB44" s="432"/>
      <c r="AC44" s="432"/>
      <c r="AD44" s="864"/>
      <c r="AE44" s="864"/>
      <c r="AF44" s="864"/>
      <c r="AG44" s="865"/>
      <c r="AH44" s="864"/>
      <c r="AI44" s="864"/>
    </row>
    <row r="45" spans="1:35" ht="66">
      <c r="B45" s="470" t="s">
        <v>40</v>
      </c>
      <c r="C45" s="518" t="s">
        <v>948</v>
      </c>
      <c r="D45" s="1278" t="s">
        <v>36</v>
      </c>
      <c r="E45" s="429">
        <f>F45+G45</f>
        <v>0</v>
      </c>
      <c r="F45" s="425">
        <v>0</v>
      </c>
      <c r="G45" s="425">
        <f>J45+M45+P45+S45+V45</f>
        <v>0</v>
      </c>
      <c r="H45" s="429">
        <f>I45+J45</f>
        <v>0</v>
      </c>
      <c r="I45" s="425">
        <v>0</v>
      </c>
      <c r="J45" s="425">
        <f>'Д 2_Т на В'!L19</f>
        <v>0</v>
      </c>
      <c r="K45" s="429">
        <f>L45+M45</f>
        <v>0</v>
      </c>
      <c r="L45" s="425">
        <v>0</v>
      </c>
      <c r="M45" s="425">
        <f>'Д 2_Т на В'!P19</f>
        <v>0</v>
      </c>
      <c r="N45" s="429">
        <f>O45+P45</f>
        <v>0</v>
      </c>
      <c r="O45" s="425">
        <v>0</v>
      </c>
      <c r="P45" s="425">
        <f>'Д 2_Т на В'!T19</f>
        <v>0</v>
      </c>
      <c r="Q45" s="429">
        <f>R45+S45</f>
        <v>0</v>
      </c>
      <c r="R45" s="425">
        <v>0</v>
      </c>
      <c r="S45" s="425">
        <f>'Д 2_Т на В'!X19</f>
        <v>0</v>
      </c>
      <c r="T45" s="429">
        <f>U45+V45</f>
        <v>0</v>
      </c>
      <c r="U45" s="425">
        <v>0</v>
      </c>
      <c r="V45" s="524">
        <f>'Д 2_Т на В'!AB19</f>
        <v>0</v>
      </c>
      <c r="W45" s="863">
        <f>'Д 2_Т на В'!H19</f>
        <v>0</v>
      </c>
      <c r="X45" s="2334">
        <f t="shared" si="4"/>
        <v>0</v>
      </c>
      <c r="Y45" s="432"/>
      <c r="Z45" s="432"/>
      <c r="AA45" s="432"/>
      <c r="AB45" s="432"/>
      <c r="AC45" s="432"/>
      <c r="AD45" s="864"/>
      <c r="AE45" s="864"/>
      <c r="AF45" s="864"/>
      <c r="AG45" s="864"/>
      <c r="AH45" s="864"/>
      <c r="AI45" s="864"/>
    </row>
    <row r="46" spans="1:35" ht="15.75" hidden="1" customHeight="1">
      <c r="B46" s="470" t="s">
        <v>511</v>
      </c>
      <c r="C46" s="518" t="s">
        <v>512</v>
      </c>
      <c r="D46" s="1278" t="s">
        <v>36</v>
      </c>
      <c r="E46" s="429"/>
      <c r="F46" s="425"/>
      <c r="G46" s="425">
        <f t="shared" ref="G46:G68" si="7">J46+M46+P46+S46+V46</f>
        <v>0</v>
      </c>
      <c r="H46" s="429"/>
      <c r="I46" s="425"/>
      <c r="J46" s="425">
        <f>'Д 2_Т на В'!L20</f>
        <v>0</v>
      </c>
      <c r="K46" s="429"/>
      <c r="L46" s="425"/>
      <c r="M46" s="425">
        <f>'Д 2_Т на В'!P20</f>
        <v>0</v>
      </c>
      <c r="N46" s="429"/>
      <c r="O46" s="425"/>
      <c r="P46" s="425">
        <f>'Д 2_Т на В'!T20</f>
        <v>0</v>
      </c>
      <c r="Q46" s="429"/>
      <c r="R46" s="425"/>
      <c r="S46" s="425">
        <f>'Д 2_Т на В'!X20</f>
        <v>0</v>
      </c>
      <c r="T46" s="429"/>
      <c r="U46" s="425"/>
      <c r="V46" s="524">
        <f>'Д 2_Т на В'!AB20</f>
        <v>0</v>
      </c>
      <c r="W46" s="863">
        <f>'Д 2_Т на В'!H20</f>
        <v>0</v>
      </c>
      <c r="X46" s="2334">
        <f t="shared" si="4"/>
        <v>0</v>
      </c>
      <c r="Y46" s="432"/>
      <c r="Z46" s="432"/>
      <c r="AA46" s="432"/>
      <c r="AB46" s="432"/>
      <c r="AC46" s="432"/>
      <c r="AD46" s="864"/>
      <c r="AE46" s="864"/>
      <c r="AF46" s="864"/>
      <c r="AG46" s="864"/>
      <c r="AH46" s="864"/>
      <c r="AI46" s="864"/>
    </row>
    <row r="47" spans="1:35" ht="38.25" hidden="1" customHeight="1">
      <c r="B47" s="470" t="s">
        <v>513</v>
      </c>
      <c r="C47" s="518" t="s">
        <v>514</v>
      </c>
      <c r="D47" s="1278" t="s">
        <v>36</v>
      </c>
      <c r="E47" s="429"/>
      <c r="F47" s="425"/>
      <c r="G47" s="425">
        <f t="shared" si="7"/>
        <v>0</v>
      </c>
      <c r="H47" s="429"/>
      <c r="I47" s="425"/>
      <c r="J47" s="425">
        <f>'Д 2_Т на В'!L21</f>
        <v>0</v>
      </c>
      <c r="K47" s="429"/>
      <c r="L47" s="425"/>
      <c r="M47" s="425">
        <f>'Д 2_Т на В'!P21</f>
        <v>0</v>
      </c>
      <c r="N47" s="429"/>
      <c r="O47" s="425"/>
      <c r="P47" s="425">
        <f>'Д 2_Т на В'!T21</f>
        <v>0</v>
      </c>
      <c r="Q47" s="429"/>
      <c r="R47" s="425"/>
      <c r="S47" s="425">
        <f>'Д 2_Т на В'!X21</f>
        <v>0</v>
      </c>
      <c r="T47" s="429"/>
      <c r="U47" s="425"/>
      <c r="V47" s="524">
        <f>'Д 2_Т на В'!AB21</f>
        <v>0</v>
      </c>
      <c r="W47" s="863">
        <f>'Д 2_Т на В'!H21</f>
        <v>0</v>
      </c>
      <c r="X47" s="2334">
        <f t="shared" si="4"/>
        <v>0</v>
      </c>
      <c r="Y47" s="432"/>
      <c r="Z47" s="432"/>
      <c r="AA47" s="432"/>
      <c r="AB47" s="432"/>
      <c r="AC47" s="432"/>
      <c r="AD47" s="864"/>
      <c r="AE47" s="864"/>
      <c r="AF47" s="864"/>
      <c r="AG47" s="864"/>
      <c r="AH47" s="864"/>
      <c r="AI47" s="864"/>
    </row>
    <row r="48" spans="1:35" ht="26.4">
      <c r="B48" s="470" t="s">
        <v>41</v>
      </c>
      <c r="C48" s="494" t="s">
        <v>784</v>
      </c>
      <c r="D48" s="1278" t="s">
        <v>36</v>
      </c>
      <c r="E48" s="429">
        <f>F48+G48</f>
        <v>8.0728645014612006</v>
      </c>
      <c r="F48" s="425"/>
      <c r="G48" s="425">
        <f t="shared" si="7"/>
        <v>8.0728645014612006</v>
      </c>
      <c r="H48" s="429">
        <f>I48+J48</f>
        <v>7.3050305215916005</v>
      </c>
      <c r="I48" s="425"/>
      <c r="J48" s="425">
        <f>'Д 2_Т на В'!L22</f>
        <v>7.3050305215916005</v>
      </c>
      <c r="K48" s="429">
        <f>L48+M48</f>
        <v>0.14575571808560001</v>
      </c>
      <c r="L48" s="425"/>
      <c r="M48" s="425">
        <f>'Д 2_Т на В'!P22</f>
        <v>0.14575571808560001</v>
      </c>
      <c r="N48" s="429">
        <f>O48+P48</f>
        <v>0.39035087302400001</v>
      </c>
      <c r="O48" s="425"/>
      <c r="P48" s="425">
        <f>'Д 2_Т на В'!T22</f>
        <v>0.39035087302400001</v>
      </c>
      <c r="Q48" s="429">
        <f>R48+S48</f>
        <v>0.11586369437999999</v>
      </c>
      <c r="R48" s="425"/>
      <c r="S48" s="425">
        <f>'Д 2_Т на В'!X22</f>
        <v>0.11586369437999999</v>
      </c>
      <c r="T48" s="429">
        <f>U48+V48</f>
        <v>0.11586369437999999</v>
      </c>
      <c r="U48" s="425"/>
      <c r="V48" s="524">
        <f>'Д 2_Т на В'!AB22</f>
        <v>0.11586369437999999</v>
      </c>
      <c r="W48" s="863">
        <f>'Д 2_Т на В'!H22</f>
        <v>8.0728645014612006</v>
      </c>
      <c r="X48" s="2334">
        <f t="shared" si="4"/>
        <v>0</v>
      </c>
      <c r="Y48" s="432"/>
      <c r="Z48" s="432"/>
      <c r="AA48" s="432"/>
      <c r="AB48" s="432"/>
      <c r="AC48" s="432"/>
      <c r="AD48" s="864"/>
      <c r="AE48" s="864"/>
      <c r="AF48" s="864"/>
      <c r="AG48" s="864"/>
      <c r="AH48" s="864"/>
      <c r="AI48" s="864"/>
    </row>
    <row r="49" spans="2:35" ht="15.6">
      <c r="B49" s="470" t="s">
        <v>42</v>
      </c>
      <c r="C49" s="494" t="s">
        <v>533</v>
      </c>
      <c r="D49" s="1278" t="s">
        <v>36</v>
      </c>
      <c r="E49" s="429">
        <f>F49+G49</f>
        <v>0</v>
      </c>
      <c r="F49" s="425"/>
      <c r="G49" s="425">
        <f t="shared" si="7"/>
        <v>0</v>
      </c>
      <c r="H49" s="429">
        <f>I49+J49</f>
        <v>0</v>
      </c>
      <c r="I49" s="425"/>
      <c r="J49" s="425">
        <f>'Д 2_Т на В'!L23</f>
        <v>0</v>
      </c>
      <c r="K49" s="429">
        <f>L49+M49</f>
        <v>0</v>
      </c>
      <c r="L49" s="425"/>
      <c r="M49" s="425">
        <f>'Д 2_Т на В'!P23</f>
        <v>0</v>
      </c>
      <c r="N49" s="429">
        <f>O49+P49</f>
        <v>0</v>
      </c>
      <c r="O49" s="425"/>
      <c r="P49" s="425">
        <f>'Д 2_Т на В'!T23</f>
        <v>0</v>
      </c>
      <c r="Q49" s="429">
        <f>R49+S49</f>
        <v>0</v>
      </c>
      <c r="R49" s="425"/>
      <c r="S49" s="425">
        <f>'Д 2_Т на В'!X23</f>
        <v>0</v>
      </c>
      <c r="T49" s="429">
        <f>U49+V49</f>
        <v>0</v>
      </c>
      <c r="U49" s="425"/>
      <c r="V49" s="524">
        <f>'Д 2_Т на В'!AB23</f>
        <v>0</v>
      </c>
      <c r="W49" s="863">
        <f>'Д 2_Т на В'!H23</f>
        <v>0</v>
      </c>
      <c r="X49" s="2334">
        <f t="shared" si="4"/>
        <v>0</v>
      </c>
      <c r="Y49" s="432"/>
      <c r="Z49" s="432"/>
      <c r="AA49" s="432"/>
      <c r="AB49" s="432"/>
      <c r="AC49" s="432"/>
      <c r="AD49" s="864"/>
      <c r="AE49" s="864"/>
      <c r="AF49" s="864"/>
      <c r="AG49" s="864"/>
      <c r="AH49" s="864"/>
      <c r="AI49" s="864"/>
    </row>
    <row r="50" spans="2:35" ht="15.6">
      <c r="B50" s="470" t="s">
        <v>23</v>
      </c>
      <c r="C50" s="494" t="s">
        <v>43</v>
      </c>
      <c r="D50" s="1278" t="s">
        <v>36</v>
      </c>
      <c r="E50" s="429">
        <f>F50+G50</f>
        <v>216</v>
      </c>
      <c r="F50" s="425"/>
      <c r="G50" s="425">
        <f t="shared" si="7"/>
        <v>216</v>
      </c>
      <c r="H50" s="429">
        <f>I50+J50</f>
        <v>163.47330960854092</v>
      </c>
      <c r="I50" s="425"/>
      <c r="J50" s="425">
        <f>'Д 2_Т на В'!L24</f>
        <v>163.47330960854092</v>
      </c>
      <c r="K50" s="429">
        <f>L50+M50</f>
        <v>12.170818505338078</v>
      </c>
      <c r="L50" s="425"/>
      <c r="M50" s="425">
        <f>'Д 2_Т на В'!P24</f>
        <v>12.170818505338078</v>
      </c>
      <c r="N50" s="429">
        <f>O50+P50</f>
        <v>20.199288256227756</v>
      </c>
      <c r="O50" s="425"/>
      <c r="P50" s="425">
        <f>'Д 2_Т на В'!T24</f>
        <v>20.199288256227756</v>
      </c>
      <c r="Q50" s="429">
        <f>R50+S50</f>
        <v>9.9074733096085392</v>
      </c>
      <c r="R50" s="425"/>
      <c r="S50" s="425">
        <f>'Д 2_Т на В'!X24</f>
        <v>9.9074733096085392</v>
      </c>
      <c r="T50" s="429">
        <f>U50+V50</f>
        <v>10.249110320284698</v>
      </c>
      <c r="U50" s="425"/>
      <c r="V50" s="524">
        <f>'Д 2_Т на В'!AB24</f>
        <v>10.249110320284698</v>
      </c>
      <c r="W50" s="863">
        <f>'Д 2_Т на В'!H24</f>
        <v>216</v>
      </c>
      <c r="X50" s="2334">
        <f t="shared" si="4"/>
        <v>0</v>
      </c>
      <c r="Y50" s="432"/>
      <c r="Z50" s="432"/>
      <c r="AA50" s="432"/>
      <c r="AB50" s="432"/>
      <c r="AC50" s="432"/>
      <c r="AD50" s="864"/>
      <c r="AE50" s="864"/>
      <c r="AF50" s="864"/>
      <c r="AG50" s="864"/>
      <c r="AH50" s="864"/>
      <c r="AI50" s="864"/>
    </row>
    <row r="51" spans="2:35" ht="15.6">
      <c r="B51" s="470" t="s">
        <v>44</v>
      </c>
      <c r="C51" s="494" t="s">
        <v>203</v>
      </c>
      <c r="D51" s="1278" t="s">
        <v>36</v>
      </c>
      <c r="E51" s="429">
        <f>E52+E53+E54</f>
        <v>217.59440000000001</v>
      </c>
      <c r="F51" s="425"/>
      <c r="G51" s="425">
        <f t="shared" si="7"/>
        <v>217.59439999999998</v>
      </c>
      <c r="H51" s="429">
        <f>H52+H53+H54</f>
        <v>164.67998481613284</v>
      </c>
      <c r="I51" s="425"/>
      <c r="J51" s="425">
        <f>'Д 2_Т на В'!L25</f>
        <v>164.67998481613284</v>
      </c>
      <c r="K51" s="429">
        <f>K52+K53+K54</f>
        <v>12.260657176749703</v>
      </c>
      <c r="L51" s="425"/>
      <c r="M51" s="425">
        <f>'Д 2_Т на В'!P25</f>
        <v>12.260657176749703</v>
      </c>
      <c r="N51" s="429">
        <f>N52+N53+N54</f>
        <v>20.348388928430204</v>
      </c>
      <c r="O51" s="425"/>
      <c r="P51" s="425">
        <f>'Д 2_Т на В'!T25</f>
        <v>20.348388928430204</v>
      </c>
      <c r="Q51" s="429">
        <f>Q52+Q53+Q54</f>
        <v>9.9806051403716864</v>
      </c>
      <c r="R51" s="425"/>
      <c r="S51" s="425">
        <f>'Д 2_Т на В'!X25</f>
        <v>9.9806051403716864</v>
      </c>
      <c r="T51" s="429">
        <f>T52+T53+T54</f>
        <v>10.32476393831554</v>
      </c>
      <c r="U51" s="425"/>
      <c r="V51" s="524">
        <f>'Д 2_Т на В'!AB25</f>
        <v>10.32476393831554</v>
      </c>
      <c r="W51" s="863">
        <f>'Д 2_Т на В'!H25</f>
        <v>217.59439999999998</v>
      </c>
      <c r="X51" s="2334">
        <f t="shared" si="4"/>
        <v>0</v>
      </c>
      <c r="Y51" s="432"/>
      <c r="Z51" s="432"/>
      <c r="AA51" s="432"/>
      <c r="AB51" s="432"/>
      <c r="AC51" s="432"/>
      <c r="AD51" s="864"/>
      <c r="AE51" s="864"/>
      <c r="AF51" s="864"/>
      <c r="AG51" s="864"/>
      <c r="AH51" s="864"/>
      <c r="AI51" s="864"/>
    </row>
    <row r="52" spans="2:35" ht="26.4">
      <c r="B52" s="470" t="s">
        <v>45</v>
      </c>
      <c r="C52" s="516" t="s">
        <v>433</v>
      </c>
      <c r="D52" s="1278" t="s">
        <v>36</v>
      </c>
      <c r="E52" s="429">
        <f t="shared" ref="E52:E57" si="8">F52+G52</f>
        <v>10.454399999999998</v>
      </c>
      <c r="F52" s="425"/>
      <c r="G52" s="425">
        <f t="shared" si="7"/>
        <v>10.454399999999998</v>
      </c>
      <c r="H52" s="429">
        <f t="shared" ref="H52:H57" si="9">I52+J52</f>
        <v>7.9121081850533796</v>
      </c>
      <c r="I52" s="425"/>
      <c r="J52" s="425">
        <f>'Д 2_Т на В'!L26</f>
        <v>7.9121081850533796</v>
      </c>
      <c r="K52" s="429">
        <f t="shared" ref="K52:K57" si="10">L52+M52</f>
        <v>0.58906761565836296</v>
      </c>
      <c r="L52" s="425"/>
      <c r="M52" s="425">
        <f>'Д 2_Т на В'!P26</f>
        <v>0.58906761565836296</v>
      </c>
      <c r="N52" s="429">
        <f t="shared" ref="N52:N57" si="11">O52+P52</f>
        <v>0.9776455516014233</v>
      </c>
      <c r="O52" s="425"/>
      <c r="P52" s="425">
        <f>'Д 2_Т на В'!T26</f>
        <v>0.9776455516014233</v>
      </c>
      <c r="Q52" s="429">
        <f t="shared" ref="Q52:Q57" si="12">R52+S52</f>
        <v>0.4795217081850533</v>
      </c>
      <c r="R52" s="425"/>
      <c r="S52" s="425">
        <f>'Д 2_Т на В'!X26</f>
        <v>0.4795217081850533</v>
      </c>
      <c r="T52" s="429">
        <f t="shared" ref="T52:T57" si="13">U52+V52</f>
        <v>0.49605693950177937</v>
      </c>
      <c r="U52" s="425"/>
      <c r="V52" s="524">
        <f>'Д 2_Т на В'!AB26</f>
        <v>0.49605693950177937</v>
      </c>
      <c r="W52" s="863">
        <f>'Д 2_Т на В'!H26</f>
        <v>10.454399999999998</v>
      </c>
      <c r="X52" s="2334">
        <f t="shared" si="4"/>
        <v>0</v>
      </c>
      <c r="Y52" s="432"/>
      <c r="Z52" s="432"/>
      <c r="AA52" s="432"/>
      <c r="AB52" s="432"/>
      <c r="AC52" s="432"/>
      <c r="AD52" s="864"/>
      <c r="AE52" s="864"/>
      <c r="AF52" s="864"/>
      <c r="AG52" s="864"/>
      <c r="AH52" s="864"/>
      <c r="AI52" s="864"/>
    </row>
    <row r="53" spans="2:35" ht="15.6">
      <c r="B53" s="470" t="s">
        <v>46</v>
      </c>
      <c r="C53" s="498" t="s">
        <v>434</v>
      </c>
      <c r="D53" s="1278" t="s">
        <v>36</v>
      </c>
      <c r="E53" s="429">
        <f t="shared" si="8"/>
        <v>0</v>
      </c>
      <c r="F53" s="425"/>
      <c r="G53" s="425">
        <f t="shared" si="7"/>
        <v>0</v>
      </c>
      <c r="H53" s="429">
        <f t="shared" si="9"/>
        <v>0</v>
      </c>
      <c r="I53" s="425"/>
      <c r="J53" s="425">
        <f>'Д 2_Т на В'!L27</f>
        <v>0</v>
      </c>
      <c r="K53" s="429">
        <f t="shared" si="10"/>
        <v>0</v>
      </c>
      <c r="L53" s="425"/>
      <c r="M53" s="425">
        <f>'Д 2_Т на В'!P27</f>
        <v>0</v>
      </c>
      <c r="N53" s="429">
        <f t="shared" si="11"/>
        <v>0</v>
      </c>
      <c r="O53" s="425"/>
      <c r="P53" s="425">
        <f>'Д 2_Т на В'!T27</f>
        <v>0</v>
      </c>
      <c r="Q53" s="429">
        <f t="shared" si="12"/>
        <v>0</v>
      </c>
      <c r="R53" s="425"/>
      <c r="S53" s="425">
        <f>'Д 2_Т на В'!X27</f>
        <v>0</v>
      </c>
      <c r="T53" s="429">
        <f t="shared" si="13"/>
        <v>0</v>
      </c>
      <c r="U53" s="425"/>
      <c r="V53" s="524">
        <f>'Д 2_Т на В'!AB27</f>
        <v>0</v>
      </c>
      <c r="W53" s="863">
        <f>'Д 2_Т на В'!H27</f>
        <v>0</v>
      </c>
      <c r="X53" s="2334">
        <f t="shared" si="4"/>
        <v>0</v>
      </c>
      <c r="Y53" s="432"/>
      <c r="Z53" s="432"/>
      <c r="AA53" s="432"/>
      <c r="AB53" s="432"/>
      <c r="AC53" s="432"/>
      <c r="AD53" s="864"/>
      <c r="AE53" s="864"/>
      <c r="AF53" s="864"/>
      <c r="AG53" s="864"/>
      <c r="AH53" s="864"/>
      <c r="AI53" s="864"/>
    </row>
    <row r="54" spans="2:35" ht="15.6">
      <c r="B54" s="470" t="s">
        <v>47</v>
      </c>
      <c r="C54" s="498" t="s">
        <v>48</v>
      </c>
      <c r="D54" s="1278" t="s">
        <v>36</v>
      </c>
      <c r="E54" s="429">
        <f t="shared" si="8"/>
        <v>207.14000000000001</v>
      </c>
      <c r="F54" s="425"/>
      <c r="G54" s="425">
        <f t="shared" si="7"/>
        <v>207.14000000000001</v>
      </c>
      <c r="H54" s="429">
        <f t="shared" si="9"/>
        <v>156.76787663107947</v>
      </c>
      <c r="I54" s="425"/>
      <c r="J54" s="425">
        <f>'Д 2_Т на В'!L28</f>
        <v>156.76787663107947</v>
      </c>
      <c r="K54" s="429">
        <f t="shared" si="10"/>
        <v>11.67158956109134</v>
      </c>
      <c r="L54" s="425"/>
      <c r="M54" s="425">
        <f>'Д 2_Т на В'!P28</f>
        <v>11.67158956109134</v>
      </c>
      <c r="N54" s="429">
        <f t="shared" si="11"/>
        <v>19.370743376828781</v>
      </c>
      <c r="O54" s="425"/>
      <c r="P54" s="425">
        <f>'Д 2_Т на В'!T28</f>
        <v>19.370743376828781</v>
      </c>
      <c r="Q54" s="429">
        <f t="shared" si="12"/>
        <v>9.5010834321866326</v>
      </c>
      <c r="R54" s="425"/>
      <c r="S54" s="425">
        <f>'Д 2_Т на В'!X28</f>
        <v>9.5010834321866326</v>
      </c>
      <c r="T54" s="429">
        <f t="shared" si="13"/>
        <v>9.828706998813761</v>
      </c>
      <c r="U54" s="425"/>
      <c r="V54" s="524">
        <f>'Д 2_Т на В'!AB28</f>
        <v>9.828706998813761</v>
      </c>
      <c r="W54" s="863">
        <f>'Д 2_Т на В'!H28</f>
        <v>207.14000000000001</v>
      </c>
      <c r="X54" s="2334">
        <f t="shared" si="4"/>
        <v>0</v>
      </c>
      <c r="Y54" s="432"/>
      <c r="Z54" s="432"/>
      <c r="AA54" s="432"/>
      <c r="AB54" s="432"/>
      <c r="AC54" s="432"/>
      <c r="AD54" s="864"/>
      <c r="AE54" s="864"/>
      <c r="AF54" s="864"/>
      <c r="AG54" s="864"/>
      <c r="AH54" s="864"/>
      <c r="AI54" s="864"/>
    </row>
    <row r="55" spans="2:35" s="766" customFormat="1" ht="15.6">
      <c r="B55" s="470" t="s">
        <v>49</v>
      </c>
      <c r="C55" s="502" t="s">
        <v>204</v>
      </c>
      <c r="D55" s="1273" t="s">
        <v>36</v>
      </c>
      <c r="E55" s="2355">
        <f t="shared" si="8"/>
        <v>107.87649402036686</v>
      </c>
      <c r="F55" s="1145"/>
      <c r="G55" s="425">
        <f t="shared" si="7"/>
        <v>107.87649402036686</v>
      </c>
      <c r="H55" s="2355">
        <f t="shared" si="9"/>
        <v>81.643182900348819</v>
      </c>
      <c r="I55" s="1145"/>
      <c r="J55" s="425">
        <f>'Д 2_Т на В'!L29</f>
        <v>81.643182900348819</v>
      </c>
      <c r="K55" s="2355">
        <f t="shared" si="10"/>
        <v>6.078450137565155</v>
      </c>
      <c r="L55" s="1145"/>
      <c r="M55" s="425">
        <f>'Д 2_Т на В'!P29</f>
        <v>6.078450137565155</v>
      </c>
      <c r="N55" s="2355">
        <f t="shared" si="11"/>
        <v>10.088094438836203</v>
      </c>
      <c r="O55" s="1145"/>
      <c r="P55" s="425">
        <f>'Д 2_Т на В'!T29</f>
        <v>10.088094438836203</v>
      </c>
      <c r="Q55" s="2355">
        <f t="shared" si="12"/>
        <v>4.9480716909302318</v>
      </c>
      <c r="R55" s="1145"/>
      <c r="S55" s="425">
        <f>'Д 2_Т на В'!X29</f>
        <v>4.9480716909302318</v>
      </c>
      <c r="T55" s="2355">
        <f t="shared" si="13"/>
        <v>5.1186948526864473</v>
      </c>
      <c r="U55" s="1145"/>
      <c r="V55" s="524">
        <f>'Д 2_Т на В'!AB29</f>
        <v>5.1186948526864473</v>
      </c>
      <c r="W55" s="863">
        <f>'Д 2_Т на В'!H29</f>
        <v>107.87649402036686</v>
      </c>
      <c r="X55" s="2334">
        <f t="shared" si="4"/>
        <v>0</v>
      </c>
      <c r="Y55" s="765"/>
      <c r="Z55" s="765"/>
      <c r="AA55" s="765"/>
      <c r="AB55" s="765"/>
      <c r="AC55" s="765"/>
      <c r="AD55" s="868"/>
      <c r="AE55" s="868"/>
      <c r="AF55" s="868"/>
      <c r="AG55" s="868"/>
      <c r="AH55" s="868"/>
      <c r="AI55" s="868"/>
    </row>
    <row r="56" spans="2:35" ht="15.6">
      <c r="B56" s="470" t="s">
        <v>50</v>
      </c>
      <c r="C56" s="498" t="s">
        <v>51</v>
      </c>
      <c r="D56" s="1278" t="s">
        <v>36</v>
      </c>
      <c r="E56" s="429">
        <f t="shared" si="8"/>
        <v>102.22995734234219</v>
      </c>
      <c r="F56" s="425"/>
      <c r="G56" s="425">
        <f t="shared" si="7"/>
        <v>102.22995734234219</v>
      </c>
      <c r="H56" s="429">
        <f t="shared" si="9"/>
        <v>77.369766055058506</v>
      </c>
      <c r="I56" s="425"/>
      <c r="J56" s="425">
        <f>'Д 2_Т на В'!L30</f>
        <v>77.369766055058506</v>
      </c>
      <c r="K56" s="429">
        <f t="shared" si="10"/>
        <v>5.7602882251023191</v>
      </c>
      <c r="L56" s="425"/>
      <c r="M56" s="425">
        <f>'Д 2_Т на В'!P30</f>
        <v>5.7602882251023191</v>
      </c>
      <c r="N56" s="429">
        <f t="shared" si="11"/>
        <v>9.5600572999066546</v>
      </c>
      <c r="O56" s="425"/>
      <c r="P56" s="425">
        <f>'Д 2_Т на В'!T30</f>
        <v>9.5600572999066546</v>
      </c>
      <c r="Q56" s="429">
        <f t="shared" si="12"/>
        <v>4.6890767306096066</v>
      </c>
      <c r="R56" s="425"/>
      <c r="S56" s="425">
        <f>'Д 2_Т на В'!X30</f>
        <v>4.6890767306096066</v>
      </c>
      <c r="T56" s="429">
        <f t="shared" si="13"/>
        <v>4.8507690316651111</v>
      </c>
      <c r="U56" s="425"/>
      <c r="V56" s="524">
        <f>'Д 2_Т на В'!AB30</f>
        <v>4.8507690316651111</v>
      </c>
      <c r="W56" s="863">
        <f>'Д 2_Т на В'!H30</f>
        <v>102.22995734234222</v>
      </c>
      <c r="X56" s="2334">
        <f t="shared" si="4"/>
        <v>0</v>
      </c>
      <c r="Y56" s="432"/>
      <c r="Z56" s="432"/>
      <c r="AA56" s="432"/>
      <c r="AB56" s="432"/>
      <c r="AC56" s="432"/>
      <c r="AD56" s="864"/>
      <c r="AE56" s="864"/>
      <c r="AF56" s="864"/>
      <c r="AG56" s="864"/>
      <c r="AH56" s="864"/>
      <c r="AI56" s="864"/>
    </row>
    <row r="57" spans="2:35" ht="26.4">
      <c r="B57" s="470" t="s">
        <v>52</v>
      </c>
      <c r="C57" s="516" t="s">
        <v>433</v>
      </c>
      <c r="D57" s="1278" t="s">
        <v>36</v>
      </c>
      <c r="E57" s="429">
        <f t="shared" si="8"/>
        <v>4.9479299353693627</v>
      </c>
      <c r="F57" s="425"/>
      <c r="G57" s="425">
        <f t="shared" si="7"/>
        <v>4.9479299353693627</v>
      </c>
      <c r="H57" s="429">
        <f t="shared" si="9"/>
        <v>3.7446966770648316</v>
      </c>
      <c r="I57" s="425"/>
      <c r="J57" s="425">
        <f>'Д 2_Т на В'!L31</f>
        <v>3.7446966770648316</v>
      </c>
      <c r="K57" s="429">
        <f t="shared" si="10"/>
        <v>0.27879795009495217</v>
      </c>
      <c r="L57" s="425"/>
      <c r="M57" s="425">
        <f>'Д 2_Т на В'!P31</f>
        <v>0.27879795009495217</v>
      </c>
      <c r="N57" s="429">
        <f t="shared" si="11"/>
        <v>0.46270677331548205</v>
      </c>
      <c r="O57" s="425"/>
      <c r="P57" s="425">
        <f>'Д 2_Т на В'!T31</f>
        <v>0.46270677331548205</v>
      </c>
      <c r="Q57" s="429">
        <f t="shared" si="12"/>
        <v>0.22695131376150493</v>
      </c>
      <c r="R57" s="425"/>
      <c r="S57" s="425">
        <f>'Д 2_Т на В'!X31</f>
        <v>0.22695131376150493</v>
      </c>
      <c r="T57" s="429">
        <f t="shared" si="13"/>
        <v>0.23477722113259131</v>
      </c>
      <c r="U57" s="425"/>
      <c r="V57" s="524">
        <f>'Д 2_Т на В'!AB31</f>
        <v>0.23477722113259131</v>
      </c>
      <c r="W57" s="863">
        <f>'Д 2_Т на В'!H31</f>
        <v>4.9479299353693627</v>
      </c>
      <c r="X57" s="2334">
        <f t="shared" si="4"/>
        <v>0</v>
      </c>
      <c r="Y57" s="432"/>
      <c r="Z57" s="432"/>
      <c r="AA57" s="432"/>
      <c r="AB57" s="432"/>
      <c r="AC57" s="432"/>
      <c r="AD57" s="864"/>
      <c r="AE57" s="864"/>
      <c r="AF57" s="864"/>
      <c r="AG57" s="864"/>
      <c r="AH57" s="864"/>
      <c r="AI57" s="864"/>
    </row>
    <row r="58" spans="2:35" ht="15.6">
      <c r="B58" s="470" t="s">
        <v>53</v>
      </c>
      <c r="C58" s="498" t="s">
        <v>54</v>
      </c>
      <c r="D58" s="1278" t="s">
        <v>36</v>
      </c>
      <c r="E58" s="429">
        <f>E55-E56-E57</f>
        <v>0.69860674265531131</v>
      </c>
      <c r="F58" s="425"/>
      <c r="G58" s="425">
        <f t="shared" si="7"/>
        <v>0.69860674265528633</v>
      </c>
      <c r="H58" s="429">
        <f>H55-H56-H57</f>
        <v>0.52872016822548185</v>
      </c>
      <c r="I58" s="425"/>
      <c r="J58" s="425">
        <f>'Д 2_Т на В'!L32</f>
        <v>0.52872016822547174</v>
      </c>
      <c r="K58" s="429">
        <f>K55-K56-K57</f>
        <v>3.9363962367883698E-2</v>
      </c>
      <c r="L58" s="425"/>
      <c r="M58" s="425">
        <f>'Д 2_Т на В'!P32</f>
        <v>3.9363962367883872E-2</v>
      </c>
      <c r="N58" s="429">
        <f>N55-N56-N57</f>
        <v>6.5330365614066133E-2</v>
      </c>
      <c r="O58" s="425"/>
      <c r="P58" s="425">
        <f>'Д 2_Т на В'!T32</f>
        <v>6.533036561406691E-2</v>
      </c>
      <c r="Q58" s="429">
        <f>Q55-Q56-Q57</f>
        <v>3.2043646559120259E-2</v>
      </c>
      <c r="R58" s="425"/>
      <c r="S58" s="425">
        <f>'Д 2_Т на В'!X32</f>
        <v>3.2043646559119503E-2</v>
      </c>
      <c r="T58" s="429">
        <f>T55-T56-T57</f>
        <v>3.3148599888744912E-2</v>
      </c>
      <c r="U58" s="425"/>
      <c r="V58" s="524">
        <f>'Д 2_Т на В'!AB32</f>
        <v>3.3148599888744315E-2</v>
      </c>
      <c r="W58" s="863">
        <f>'Д 2_Т на В'!H32</f>
        <v>0.69860674265528644</v>
      </c>
      <c r="X58" s="2334">
        <f t="shared" si="4"/>
        <v>-2.4868995751603507E-14</v>
      </c>
      <c r="Y58" s="432"/>
      <c r="Z58" s="432"/>
      <c r="AA58" s="432"/>
      <c r="AB58" s="432"/>
      <c r="AC58" s="432"/>
      <c r="AD58" s="864"/>
      <c r="AE58" s="864"/>
      <c r="AF58" s="864"/>
      <c r="AG58" s="864"/>
      <c r="AH58" s="864"/>
      <c r="AI58" s="864"/>
    </row>
    <row r="59" spans="2:35" s="766" customFormat="1" ht="15.6">
      <c r="B59" s="470">
        <v>2</v>
      </c>
      <c r="C59" s="502" t="s">
        <v>205</v>
      </c>
      <c r="D59" s="1273" t="s">
        <v>36</v>
      </c>
      <c r="E59" s="2355">
        <f>F59+G59</f>
        <v>914.10664391922774</v>
      </c>
      <c r="F59" s="1145"/>
      <c r="G59" s="425">
        <f t="shared" si="7"/>
        <v>914.10664391922774</v>
      </c>
      <c r="H59" s="2355">
        <f>I59+J59</f>
        <v>691.81499266959349</v>
      </c>
      <c r="I59" s="1145"/>
      <c r="J59" s="425">
        <f>'Д 2_Т на В'!L33</f>
        <v>691.81499266959349</v>
      </c>
      <c r="K59" s="2355">
        <f>L59+M59</f>
        <v>51.50660211881771</v>
      </c>
      <c r="L59" s="1145"/>
      <c r="M59" s="425">
        <f>'Д 2_Т на В'!P33</f>
        <v>51.50660211881771</v>
      </c>
      <c r="N59" s="2355">
        <f>O59+P59</f>
        <v>85.482887025265867</v>
      </c>
      <c r="O59" s="1145"/>
      <c r="P59" s="425">
        <f>'Д 2_Т на В'!T33</f>
        <v>85.482887025265867</v>
      </c>
      <c r="Q59" s="2355">
        <f>R59+S59</f>
        <v>41.928181373914754</v>
      </c>
      <c r="R59" s="1145"/>
      <c r="S59" s="425">
        <f>'Д 2_Т на В'!X33</f>
        <v>41.928181373914754</v>
      </c>
      <c r="T59" s="2355">
        <f>U59+V59</f>
        <v>43.373980731635967</v>
      </c>
      <c r="U59" s="1145"/>
      <c r="V59" s="524">
        <f>'Д 2_Т на В'!AB33</f>
        <v>43.373980731635967</v>
      </c>
      <c r="W59" s="863">
        <f>'Д 2_Т на В'!H33</f>
        <v>914.10664391922796</v>
      </c>
      <c r="X59" s="2334">
        <f t="shared" si="4"/>
        <v>0</v>
      </c>
      <c r="Y59" s="765"/>
      <c r="Z59" s="765"/>
      <c r="AA59" s="765"/>
      <c r="AB59" s="765"/>
      <c r="AC59" s="765"/>
      <c r="AD59" s="868"/>
      <c r="AE59" s="868"/>
      <c r="AF59" s="868"/>
      <c r="AG59" s="868"/>
      <c r="AH59" s="868"/>
      <c r="AI59" s="868"/>
    </row>
    <row r="60" spans="2:35" ht="15.6">
      <c r="B60" s="470" t="s">
        <v>24</v>
      </c>
      <c r="C60" s="498" t="s">
        <v>51</v>
      </c>
      <c r="D60" s="1278" t="s">
        <v>36</v>
      </c>
      <c r="E60" s="429">
        <f>F60+G60</f>
        <v>785.10961706071248</v>
      </c>
      <c r="F60" s="425"/>
      <c r="G60" s="425">
        <f t="shared" si="7"/>
        <v>785.10961706071248</v>
      </c>
      <c r="H60" s="429">
        <f>I60+J60</f>
        <v>594.18734956670767</v>
      </c>
      <c r="I60" s="425"/>
      <c r="J60" s="425">
        <f>'Д 2_Т на В'!L34</f>
        <v>594.18734956670767</v>
      </c>
      <c r="K60" s="429">
        <f>L60+M60</f>
        <v>44.238086370562094</v>
      </c>
      <c r="L60" s="425"/>
      <c r="M60" s="425">
        <f>'Д 2_Т на В'!P34</f>
        <v>44.238086370562094</v>
      </c>
      <c r="N60" s="429">
        <f>O60+P60</f>
        <v>73.419701239564446</v>
      </c>
      <c r="O60" s="425"/>
      <c r="P60" s="425">
        <f>'Д 2_Т на В'!T34</f>
        <v>73.419701239564446</v>
      </c>
      <c r="Q60" s="429">
        <f>R60+S60</f>
        <v>36.011354519194398</v>
      </c>
      <c r="R60" s="425"/>
      <c r="S60" s="425">
        <f>'Д 2_Т на В'!X34</f>
        <v>36.011354519194398</v>
      </c>
      <c r="T60" s="429">
        <f>U60+V60</f>
        <v>37.253125364683868</v>
      </c>
      <c r="U60" s="425"/>
      <c r="V60" s="524">
        <f>'Д 2_Т на В'!AB34</f>
        <v>37.253125364683868</v>
      </c>
      <c r="W60" s="863">
        <f>'Д 2_Т на В'!H34</f>
        <v>785.10961706071248</v>
      </c>
      <c r="X60" s="2334">
        <f t="shared" si="4"/>
        <v>0</v>
      </c>
      <c r="Y60" s="432"/>
      <c r="Z60" s="432"/>
      <c r="AA60" s="432"/>
      <c r="AB60" s="432"/>
      <c r="AC60" s="432"/>
      <c r="AD60" s="864"/>
      <c r="AE60" s="864"/>
      <c r="AF60" s="864"/>
      <c r="AG60" s="864"/>
      <c r="AH60" s="864"/>
      <c r="AI60" s="864"/>
    </row>
    <row r="61" spans="2:35" ht="26.4">
      <c r="B61" s="470" t="s">
        <v>25</v>
      </c>
      <c r="C61" s="516" t="s">
        <v>433</v>
      </c>
      <c r="D61" s="1278" t="s">
        <v>36</v>
      </c>
      <c r="E61" s="429">
        <f>F61+G61</f>
        <v>37.999305465738487</v>
      </c>
      <c r="F61" s="425"/>
      <c r="G61" s="425">
        <f t="shared" si="7"/>
        <v>37.999305465738487</v>
      </c>
      <c r="H61" s="429">
        <f>I61+J61</f>
        <v>28.758667719028651</v>
      </c>
      <c r="I61" s="425"/>
      <c r="J61" s="425">
        <f>'Д 2_Т на В'!L35</f>
        <v>28.758667719028651</v>
      </c>
      <c r="K61" s="429">
        <f>L61+M61</f>
        <v>2.1411233803352054</v>
      </c>
      <c r="L61" s="425"/>
      <c r="M61" s="425">
        <f>'Д 2_Т на В'!P35</f>
        <v>2.1411233803352054</v>
      </c>
      <c r="N61" s="429">
        <f>O61+P61</f>
        <v>3.5535135399949191</v>
      </c>
      <c r="O61" s="425"/>
      <c r="P61" s="425">
        <f>'Д 2_Т на В'!T35</f>
        <v>3.5535135399949191</v>
      </c>
      <c r="Q61" s="429">
        <f>R61+S61</f>
        <v>1.7429495587290091</v>
      </c>
      <c r="R61" s="425"/>
      <c r="S61" s="425">
        <f>'Д 2_Т на В'!X35</f>
        <v>1.7429495587290091</v>
      </c>
      <c r="T61" s="429">
        <f>U61+V61</f>
        <v>1.8030512676506991</v>
      </c>
      <c r="U61" s="425"/>
      <c r="V61" s="524">
        <f>'Д 2_Т на В'!AB35</f>
        <v>1.8030512676506991</v>
      </c>
      <c r="W61" s="863">
        <f>'Д 2_Т на В'!H35</f>
        <v>37.999305465738487</v>
      </c>
      <c r="X61" s="2334">
        <f t="shared" si="4"/>
        <v>0</v>
      </c>
      <c r="Y61" s="432"/>
      <c r="Z61" s="432"/>
      <c r="AA61" s="432"/>
      <c r="AB61" s="432"/>
      <c r="AC61" s="432"/>
      <c r="AD61" s="864"/>
      <c r="AE61" s="864"/>
      <c r="AF61" s="864"/>
      <c r="AG61" s="864"/>
      <c r="AH61" s="864"/>
      <c r="AI61" s="864"/>
    </row>
    <row r="62" spans="2:35" ht="15.6">
      <c r="B62" s="470" t="s">
        <v>55</v>
      </c>
      <c r="C62" s="499" t="s">
        <v>54</v>
      </c>
      <c r="D62" s="1278" t="s">
        <v>36</v>
      </c>
      <c r="E62" s="429">
        <f>E59-E60-E61</f>
        <v>90.997721392776768</v>
      </c>
      <c r="F62" s="425"/>
      <c r="G62" s="425">
        <f t="shared" si="7"/>
        <v>90.997721392776924</v>
      </c>
      <c r="H62" s="429">
        <f>H59-H60-H61</f>
        <v>68.868975383857176</v>
      </c>
      <c r="I62" s="425"/>
      <c r="J62" s="425">
        <f>'Д 2_Т на В'!L36</f>
        <v>68.868975383857276</v>
      </c>
      <c r="K62" s="429">
        <f>K59-K60-K61</f>
        <v>5.127392367920411</v>
      </c>
      <c r="L62" s="425"/>
      <c r="M62" s="425">
        <f>'Д 2_Т на В'!P36</f>
        <v>5.1273923679204092</v>
      </c>
      <c r="N62" s="429">
        <f>N59-N60-N61</f>
        <v>8.5096722457065024</v>
      </c>
      <c r="O62" s="425"/>
      <c r="P62" s="425">
        <f>'Д 2_Т на В'!T36</f>
        <v>8.5096722457065024</v>
      </c>
      <c r="Q62" s="429">
        <f>Q59-Q60-Q61</f>
        <v>4.1738772959913462</v>
      </c>
      <c r="R62" s="425"/>
      <c r="S62" s="425">
        <f>'Д 2_Т на В'!X36</f>
        <v>4.1738772959913497</v>
      </c>
      <c r="T62" s="429">
        <f>T59-T60-T61</f>
        <v>4.3178040993014006</v>
      </c>
      <c r="U62" s="425"/>
      <c r="V62" s="524">
        <f>'Д 2_Т на В'!AB36</f>
        <v>4.3178040993013971</v>
      </c>
      <c r="W62" s="863">
        <f>'Д 2_Т на В'!H36</f>
        <v>90.997721392776953</v>
      </c>
      <c r="X62" s="2334">
        <f t="shared" si="4"/>
        <v>1.8474111129762605E-13</v>
      </c>
      <c r="Y62" s="432"/>
      <c r="Z62" s="432"/>
      <c r="AA62" s="432"/>
      <c r="AB62" s="432"/>
      <c r="AC62" s="432"/>
      <c r="AD62" s="864"/>
      <c r="AE62" s="864"/>
      <c r="AF62" s="864"/>
      <c r="AG62" s="864"/>
      <c r="AH62" s="864"/>
      <c r="AI62" s="864"/>
    </row>
    <row r="63" spans="2:35" ht="15.6">
      <c r="B63" s="470" t="s">
        <v>166</v>
      </c>
      <c r="C63" s="494" t="s">
        <v>206</v>
      </c>
      <c r="D63" s="1278" t="s">
        <v>36</v>
      </c>
      <c r="E63" s="429">
        <f>F63+G63</f>
        <v>0</v>
      </c>
      <c r="F63" s="425"/>
      <c r="G63" s="425">
        <f t="shared" si="7"/>
        <v>0</v>
      </c>
      <c r="H63" s="429">
        <f>I63+J63</f>
        <v>0</v>
      </c>
      <c r="I63" s="425"/>
      <c r="J63" s="425">
        <f>'Д 2_Т на В'!L37</f>
        <v>0</v>
      </c>
      <c r="K63" s="429">
        <f>L63+M63</f>
        <v>0</v>
      </c>
      <c r="L63" s="425"/>
      <c r="M63" s="425">
        <f>'Д 2_Т на В'!P37</f>
        <v>0</v>
      </c>
      <c r="N63" s="429">
        <f>O63+P63</f>
        <v>0</v>
      </c>
      <c r="O63" s="425"/>
      <c r="P63" s="425">
        <f>'Д 2_Т на В'!T37</f>
        <v>0</v>
      </c>
      <c r="Q63" s="429">
        <f>R63+S63</f>
        <v>0</v>
      </c>
      <c r="R63" s="425"/>
      <c r="S63" s="425">
        <f>'Д 2_Т на В'!X37</f>
        <v>0</v>
      </c>
      <c r="T63" s="429">
        <f>U63+V63</f>
        <v>0</v>
      </c>
      <c r="U63" s="425"/>
      <c r="V63" s="524">
        <f>'Д 2_Т на В'!AB37</f>
        <v>0</v>
      </c>
      <c r="W63" s="863">
        <f>'Д 2_Т на В'!H37</f>
        <v>0</v>
      </c>
      <c r="X63" s="2334">
        <f t="shared" si="4"/>
        <v>0</v>
      </c>
      <c r="Y63" s="432"/>
      <c r="Z63" s="432"/>
      <c r="AA63" s="432"/>
      <c r="AB63" s="432"/>
      <c r="AC63" s="432"/>
      <c r="AD63" s="864"/>
      <c r="AE63" s="864"/>
      <c r="AF63" s="864"/>
      <c r="AG63" s="864"/>
      <c r="AH63" s="864"/>
      <c r="AI63" s="864"/>
    </row>
    <row r="64" spans="2:35" ht="15.6">
      <c r="B64" s="470" t="s">
        <v>56</v>
      </c>
      <c r="C64" s="494" t="s">
        <v>51</v>
      </c>
      <c r="D64" s="1278" t="s">
        <v>36</v>
      </c>
      <c r="E64" s="429">
        <f>F64+G64</f>
        <v>0</v>
      </c>
      <c r="F64" s="425"/>
      <c r="G64" s="425">
        <f t="shared" si="7"/>
        <v>0</v>
      </c>
      <c r="H64" s="429">
        <f>I64+J64</f>
        <v>0</v>
      </c>
      <c r="I64" s="425"/>
      <c r="J64" s="425">
        <f>'Д 2_Т на В'!L38</f>
        <v>0</v>
      </c>
      <c r="K64" s="429">
        <f>L64+M64</f>
        <v>0</v>
      </c>
      <c r="L64" s="425"/>
      <c r="M64" s="425">
        <f>'Д 2_Т на В'!P38</f>
        <v>0</v>
      </c>
      <c r="N64" s="429">
        <f>O64+P64</f>
        <v>0</v>
      </c>
      <c r="O64" s="425"/>
      <c r="P64" s="425">
        <f>'Д 2_Т на В'!T38</f>
        <v>0</v>
      </c>
      <c r="Q64" s="429">
        <f>R64+S64</f>
        <v>0</v>
      </c>
      <c r="R64" s="425"/>
      <c r="S64" s="425">
        <f>'Д 2_Т на В'!X38</f>
        <v>0</v>
      </c>
      <c r="T64" s="429">
        <f>U64+V64</f>
        <v>0</v>
      </c>
      <c r="U64" s="425"/>
      <c r="V64" s="524">
        <f>'Д 2_Т на В'!AB38</f>
        <v>0</v>
      </c>
      <c r="W64" s="863">
        <f>'Д 2_Т на В'!H38</f>
        <v>0</v>
      </c>
      <c r="X64" s="2334">
        <f t="shared" si="4"/>
        <v>0</v>
      </c>
      <c r="Y64" s="432"/>
      <c r="Z64" s="432"/>
      <c r="AA64" s="432"/>
      <c r="AB64" s="432"/>
      <c r="AC64" s="432"/>
      <c r="AD64" s="864"/>
      <c r="AE64" s="864"/>
      <c r="AF64" s="864"/>
      <c r="AG64" s="864"/>
      <c r="AH64" s="864"/>
      <c r="AI64" s="864"/>
    </row>
    <row r="65" spans="2:35" ht="26.4">
      <c r="B65" s="470" t="s">
        <v>57</v>
      </c>
      <c r="C65" s="516" t="s">
        <v>433</v>
      </c>
      <c r="D65" s="1278" t="s">
        <v>36</v>
      </c>
      <c r="E65" s="429">
        <f>F65+G65</f>
        <v>0</v>
      </c>
      <c r="F65" s="425"/>
      <c r="G65" s="425">
        <f t="shared" si="7"/>
        <v>0</v>
      </c>
      <c r="H65" s="429">
        <f>I65+J65</f>
        <v>0</v>
      </c>
      <c r="I65" s="425"/>
      <c r="J65" s="425">
        <f>'Д 2_Т на В'!L39</f>
        <v>0</v>
      </c>
      <c r="K65" s="429">
        <f>L65+M65</f>
        <v>0</v>
      </c>
      <c r="L65" s="425"/>
      <c r="M65" s="425">
        <f>'Д 2_Т на В'!P39</f>
        <v>0</v>
      </c>
      <c r="N65" s="429">
        <f>O65+P65</f>
        <v>0</v>
      </c>
      <c r="O65" s="425"/>
      <c r="P65" s="425">
        <f>'Д 2_Т на В'!T39</f>
        <v>0</v>
      </c>
      <c r="Q65" s="429">
        <f>R65+S65</f>
        <v>0</v>
      </c>
      <c r="R65" s="425"/>
      <c r="S65" s="425">
        <f>'Д 2_Т на В'!X39</f>
        <v>0</v>
      </c>
      <c r="T65" s="429">
        <f>U65+V65</f>
        <v>0</v>
      </c>
      <c r="U65" s="425"/>
      <c r="V65" s="524">
        <f>'Д 2_Т на В'!AB39</f>
        <v>0</v>
      </c>
      <c r="W65" s="863">
        <f>'Д 2_Т на В'!H39</f>
        <v>0</v>
      </c>
      <c r="X65" s="2334">
        <f t="shared" si="4"/>
        <v>0</v>
      </c>
      <c r="Y65" s="432"/>
      <c r="Z65" s="432"/>
      <c r="AA65" s="432"/>
      <c r="AB65" s="432"/>
      <c r="AC65" s="432"/>
      <c r="AD65" s="864"/>
      <c r="AE65" s="864"/>
      <c r="AF65" s="864"/>
      <c r="AG65" s="864"/>
      <c r="AH65" s="864"/>
      <c r="AI65" s="864"/>
    </row>
    <row r="66" spans="2:35" ht="15.6">
      <c r="B66" s="470" t="s">
        <v>58</v>
      </c>
      <c r="C66" s="494" t="s">
        <v>54</v>
      </c>
      <c r="D66" s="1278" t="s">
        <v>36</v>
      </c>
      <c r="E66" s="429">
        <f>E63-E64-E65</f>
        <v>0</v>
      </c>
      <c r="F66" s="425"/>
      <c r="G66" s="425">
        <f t="shared" si="7"/>
        <v>0</v>
      </c>
      <c r="H66" s="429">
        <f t="shared" ref="H66:U66" si="14">H63-H64-H65</f>
        <v>0</v>
      </c>
      <c r="I66" s="425">
        <f t="shared" si="14"/>
        <v>0</v>
      </c>
      <c r="J66" s="425">
        <f>'Д 2_Т на В'!L40</f>
        <v>0</v>
      </c>
      <c r="K66" s="429">
        <f t="shared" si="14"/>
        <v>0</v>
      </c>
      <c r="L66" s="425">
        <f t="shared" si="14"/>
        <v>0</v>
      </c>
      <c r="M66" s="425">
        <f>'Д 2_Т на В'!P40</f>
        <v>0</v>
      </c>
      <c r="N66" s="429">
        <f t="shared" si="14"/>
        <v>0</v>
      </c>
      <c r="O66" s="425">
        <f t="shared" si="14"/>
        <v>0</v>
      </c>
      <c r="P66" s="425">
        <f>'Д 2_Т на В'!T40</f>
        <v>0</v>
      </c>
      <c r="Q66" s="429">
        <f t="shared" ref="Q66:R66" si="15">Q63-Q64-Q65</f>
        <v>0</v>
      </c>
      <c r="R66" s="425">
        <f t="shared" si="15"/>
        <v>0</v>
      </c>
      <c r="S66" s="425">
        <f>'Д 2_Т на В'!X40</f>
        <v>0</v>
      </c>
      <c r="T66" s="429">
        <f t="shared" si="14"/>
        <v>0</v>
      </c>
      <c r="U66" s="425">
        <f t="shared" si="14"/>
        <v>0</v>
      </c>
      <c r="V66" s="524">
        <f>'Д 2_Т на В'!AB40</f>
        <v>0</v>
      </c>
      <c r="W66" s="863">
        <f>'Д 2_Т на В'!H40</f>
        <v>0</v>
      </c>
      <c r="X66" s="2334">
        <f t="shared" si="4"/>
        <v>0</v>
      </c>
      <c r="Y66" s="432"/>
      <c r="Z66" s="432"/>
      <c r="AA66" s="432"/>
      <c r="AB66" s="432"/>
      <c r="AC66" s="432"/>
      <c r="AD66" s="864"/>
      <c r="AE66" s="864"/>
      <c r="AF66" s="864"/>
      <c r="AG66" s="864"/>
      <c r="AH66" s="864"/>
      <c r="AI66" s="864"/>
    </row>
    <row r="67" spans="2:35" ht="15.6">
      <c r="B67" s="470" t="s">
        <v>167</v>
      </c>
      <c r="C67" s="516" t="s">
        <v>168</v>
      </c>
      <c r="D67" s="1278" t="s">
        <v>36</v>
      </c>
      <c r="E67" s="429">
        <f>F67+G67</f>
        <v>0</v>
      </c>
      <c r="F67" s="425"/>
      <c r="G67" s="425">
        <f t="shared" si="7"/>
        <v>0</v>
      </c>
      <c r="H67" s="429">
        <f>I67+J67</f>
        <v>0</v>
      </c>
      <c r="I67" s="425"/>
      <c r="J67" s="425">
        <f>'Д 2_Т на В'!L41</f>
        <v>0</v>
      </c>
      <c r="K67" s="429">
        <f>L67+M67</f>
        <v>0</v>
      </c>
      <c r="L67" s="425"/>
      <c r="M67" s="425">
        <f>'Д 2_Т на В'!P41</f>
        <v>0</v>
      </c>
      <c r="N67" s="429">
        <f>O67+P67</f>
        <v>0</v>
      </c>
      <c r="O67" s="425"/>
      <c r="P67" s="425">
        <f>'Д 2_Т на В'!T41</f>
        <v>0</v>
      </c>
      <c r="Q67" s="429">
        <f>R67+S67</f>
        <v>0</v>
      </c>
      <c r="R67" s="425"/>
      <c r="S67" s="425">
        <f>'Д 2_Т на В'!X41</f>
        <v>0</v>
      </c>
      <c r="T67" s="429">
        <f>U67+V67</f>
        <v>0</v>
      </c>
      <c r="U67" s="425"/>
      <c r="V67" s="524">
        <f>'Д 2_Т на В'!AB41</f>
        <v>0</v>
      </c>
      <c r="W67" s="863">
        <f>'Д 2_Т на В'!H41</f>
        <v>0</v>
      </c>
      <c r="X67" s="2334">
        <f t="shared" si="4"/>
        <v>0</v>
      </c>
      <c r="Y67" s="432"/>
      <c r="Z67" s="432"/>
      <c r="AA67" s="432"/>
      <c r="AB67" s="432"/>
      <c r="AC67" s="432"/>
      <c r="AD67" s="864"/>
      <c r="AE67" s="864"/>
      <c r="AF67" s="864"/>
      <c r="AG67" s="864"/>
      <c r="AH67" s="864"/>
      <c r="AI67" s="864"/>
    </row>
    <row r="68" spans="2:35" ht="15.6">
      <c r="B68" s="470" t="s">
        <v>162</v>
      </c>
      <c r="C68" s="498" t="s">
        <v>5</v>
      </c>
      <c r="D68" s="1278" t="s">
        <v>36</v>
      </c>
      <c r="E68" s="429">
        <f>F68+G68</f>
        <v>0</v>
      </c>
      <c r="F68" s="425"/>
      <c r="G68" s="425">
        <f t="shared" si="7"/>
        <v>0</v>
      </c>
      <c r="H68" s="429">
        <f>I68+J68</f>
        <v>0</v>
      </c>
      <c r="I68" s="425"/>
      <c r="J68" s="425">
        <f>'Д 2_Т на В'!L42</f>
        <v>0</v>
      </c>
      <c r="K68" s="429">
        <f>L68+M68</f>
        <v>0</v>
      </c>
      <c r="L68" s="425"/>
      <c r="M68" s="425">
        <f>'Д 2_Т на В'!P42</f>
        <v>0</v>
      </c>
      <c r="N68" s="429">
        <f>O68+P68</f>
        <v>0</v>
      </c>
      <c r="O68" s="425"/>
      <c r="P68" s="425">
        <f>'Д 2_Т на В'!T42</f>
        <v>0</v>
      </c>
      <c r="Q68" s="429">
        <f>R68+S68</f>
        <v>0</v>
      </c>
      <c r="R68" s="425"/>
      <c r="S68" s="425">
        <f>'Д 2_Т на В'!X42</f>
        <v>0</v>
      </c>
      <c r="T68" s="429">
        <f>U68+V68</f>
        <v>0</v>
      </c>
      <c r="U68" s="425"/>
      <c r="V68" s="524">
        <f>'Д 2_Т на В'!AB42</f>
        <v>0</v>
      </c>
      <c r="W68" s="863">
        <f>'Д 2_Т на В'!H42</f>
        <v>0</v>
      </c>
      <c r="X68" s="2334">
        <f t="shared" si="4"/>
        <v>0</v>
      </c>
      <c r="Y68" s="432"/>
      <c r="Z68" s="432"/>
      <c r="AA68" s="432"/>
      <c r="AB68" s="432"/>
      <c r="AC68" s="432"/>
      <c r="AD68" s="864"/>
      <c r="AE68" s="864"/>
      <c r="AF68" s="864"/>
      <c r="AG68" s="864"/>
      <c r="AH68" s="864"/>
      <c r="AI68" s="864"/>
    </row>
    <row r="69" spans="2:35" s="766" customFormat="1" ht="15.6">
      <c r="B69" s="470" t="s">
        <v>163</v>
      </c>
      <c r="C69" s="502" t="s">
        <v>169</v>
      </c>
      <c r="D69" s="1273" t="s">
        <v>36</v>
      </c>
      <c r="E69" s="2355">
        <f t="shared" ref="E69:V69" si="16">E68+E67+E63+E59+E38</f>
        <v>11169.606194846599</v>
      </c>
      <c r="F69" s="1145">
        <f t="shared" si="16"/>
        <v>9095.7934124055446</v>
      </c>
      <c r="G69" s="2356">
        <f>G68+G67+G63+G59+G38</f>
        <v>2073.8127824410558</v>
      </c>
      <c r="H69" s="2355">
        <f t="shared" si="16"/>
        <v>8437.4147769888168</v>
      </c>
      <c r="I69" s="1145">
        <f t="shared" si="16"/>
        <v>6902.9164964726087</v>
      </c>
      <c r="J69" s="2356">
        <f>J68+J67+J63+J59+J38</f>
        <v>1534.4982805162078</v>
      </c>
      <c r="K69" s="2355">
        <f t="shared" si="16"/>
        <v>641.59174978693045</v>
      </c>
      <c r="L69" s="1145">
        <f t="shared" si="16"/>
        <v>504.47820613037419</v>
      </c>
      <c r="M69" s="2356">
        <f t="shared" si="16"/>
        <v>137.11354365655626</v>
      </c>
      <c r="N69" s="2355">
        <f t="shared" si="16"/>
        <v>1050.5441991511273</v>
      </c>
      <c r="O69" s="1145">
        <f t="shared" si="16"/>
        <v>837.25667962934335</v>
      </c>
      <c r="P69" s="2356">
        <f t="shared" si="16"/>
        <v>213.28751952178402</v>
      </c>
      <c r="Q69" s="2355">
        <f t="shared" ref="Q69:S69" si="17">Q68+Q67+Q63+Q59+Q38</f>
        <v>508.48893224349916</v>
      </c>
      <c r="R69" s="1145">
        <f t="shared" si="17"/>
        <v>418.35794703429394</v>
      </c>
      <c r="S69" s="2356">
        <f t="shared" si="17"/>
        <v>90.130985209205221</v>
      </c>
      <c r="T69" s="2355">
        <f t="shared" si="16"/>
        <v>531.56653667622743</v>
      </c>
      <c r="U69" s="1145">
        <f t="shared" si="16"/>
        <v>432.78408313892481</v>
      </c>
      <c r="V69" s="2356">
        <f t="shared" si="16"/>
        <v>98.782453537302644</v>
      </c>
      <c r="W69" s="863">
        <f>'Д 2_Т на В'!H43</f>
        <v>11169.606194846601</v>
      </c>
      <c r="X69" s="2334">
        <f t="shared" si="4"/>
        <v>0</v>
      </c>
      <c r="Y69" s="432"/>
      <c r="Z69" s="432"/>
      <c r="AA69" s="432"/>
      <c r="AB69" s="432"/>
      <c r="AC69" s="432"/>
      <c r="AD69" s="864"/>
      <c r="AE69" s="864"/>
      <c r="AF69" s="864"/>
      <c r="AG69" s="864"/>
      <c r="AH69" s="866"/>
      <c r="AI69" s="866"/>
    </row>
    <row r="70" spans="2:35" s="766" customFormat="1" ht="17.399999999999999" customHeight="1">
      <c r="B70" s="470" t="s">
        <v>164</v>
      </c>
      <c r="C70" s="502" t="s">
        <v>1250</v>
      </c>
      <c r="D70" s="1273" t="s">
        <v>36</v>
      </c>
      <c r="E70" s="2357">
        <f>H70+K70+N70+T70</f>
        <v>0</v>
      </c>
      <c r="F70" s="1145">
        <f>I70+L70+O70+U70</f>
        <v>0</v>
      </c>
      <c r="G70" s="2358">
        <f>J70+M70+P70+V70</f>
        <v>0</v>
      </c>
      <c r="H70" s="2355">
        <f>I70+J70</f>
        <v>0</v>
      </c>
      <c r="I70" s="1145">
        <v>0</v>
      </c>
      <c r="J70" s="2356">
        <f>'Д 2_Т на В'!L44</f>
        <v>0</v>
      </c>
      <c r="K70" s="2355">
        <f>L70+M70</f>
        <v>0</v>
      </c>
      <c r="L70" s="1145">
        <f>'Д 2_Т на В'!P44</f>
        <v>0</v>
      </c>
      <c r="M70" s="2356">
        <v>0</v>
      </c>
      <c r="N70" s="2355">
        <f>O70+P70</f>
        <v>0</v>
      </c>
      <c r="O70" s="1145">
        <f>'Д 2_Т на В'!T44</f>
        <v>0</v>
      </c>
      <c r="P70" s="2356">
        <v>0</v>
      </c>
      <c r="Q70" s="2355">
        <f>R70+S70</f>
        <v>0</v>
      </c>
      <c r="R70" s="1145">
        <f>'Д 2_Т на В'!W44</f>
        <v>0</v>
      </c>
      <c r="S70" s="2356">
        <v>0</v>
      </c>
      <c r="T70" s="2355">
        <f>U70+V70</f>
        <v>0</v>
      </c>
      <c r="U70" s="1145">
        <v>0</v>
      </c>
      <c r="V70" s="2356">
        <f>'Д 2_Т на В'!X44</f>
        <v>0</v>
      </c>
      <c r="W70" s="863">
        <f>'Д 2_Т на В'!H44</f>
        <v>0</v>
      </c>
      <c r="X70" s="2334">
        <f t="shared" si="4"/>
        <v>0</v>
      </c>
      <c r="Y70" s="432"/>
      <c r="Z70" s="432"/>
      <c r="AA70" s="432"/>
      <c r="AB70" s="432"/>
      <c r="AC70" s="432"/>
      <c r="AD70" s="864"/>
      <c r="AE70" s="864"/>
      <c r="AF70" s="864"/>
      <c r="AG70" s="864"/>
      <c r="AH70" s="864"/>
      <c r="AI70" s="864"/>
    </row>
    <row r="71" spans="2:35" s="766" customFormat="1" ht="15.6">
      <c r="B71" s="470" t="s">
        <v>165</v>
      </c>
      <c r="C71" s="519" t="s">
        <v>208</v>
      </c>
      <c r="D71" s="1273" t="s">
        <v>36</v>
      </c>
      <c r="E71" s="2359">
        <f>E72+E73+E74+E75+E76</f>
        <v>531.23736780367972</v>
      </c>
      <c r="F71" s="1145">
        <f>F72+F73+F74+F75+F76</f>
        <v>0</v>
      </c>
      <c r="G71" s="2358">
        <f>E72+G73+G74+E75+G76</f>
        <v>531.23736780367972</v>
      </c>
      <c r="H71" s="2355">
        <f t="shared" ref="H71:V71" si="18">H72+H73+H74+H75+H76</f>
        <v>401.29167841776075</v>
      </c>
      <c r="I71" s="1145">
        <f t="shared" si="18"/>
        <v>0</v>
      </c>
      <c r="J71" s="2356">
        <f t="shared" si="18"/>
        <v>401.29167841776075</v>
      </c>
      <c r="K71" s="2355">
        <f t="shared" si="18"/>
        <v>30.514729563036934</v>
      </c>
      <c r="L71" s="1145">
        <f t="shared" si="18"/>
        <v>0</v>
      </c>
      <c r="M71" s="2356">
        <f t="shared" si="18"/>
        <v>30.514729563036934</v>
      </c>
      <c r="N71" s="2355">
        <f t="shared" si="18"/>
        <v>49.964907032797512</v>
      </c>
      <c r="O71" s="1145">
        <f t="shared" si="18"/>
        <v>0</v>
      </c>
      <c r="P71" s="2356">
        <f t="shared" si="18"/>
        <v>49.964907032797512</v>
      </c>
      <c r="Q71" s="2355">
        <f t="shared" ref="Q71:S71" si="19">Q72+Q73+Q74+Q75+Q76</f>
        <v>24.184229704263981</v>
      </c>
      <c r="R71" s="1145">
        <f t="shared" si="19"/>
        <v>0</v>
      </c>
      <c r="S71" s="2356">
        <f t="shared" si="19"/>
        <v>24.184229704263981</v>
      </c>
      <c r="T71" s="2355">
        <f t="shared" si="18"/>
        <v>25.281823085820569</v>
      </c>
      <c r="U71" s="1145">
        <f t="shared" si="18"/>
        <v>0</v>
      </c>
      <c r="V71" s="2356">
        <f t="shared" si="18"/>
        <v>25.281823085820569</v>
      </c>
      <c r="W71" s="863">
        <f>'Д 2_Т на В'!H45</f>
        <v>531.23736780367972</v>
      </c>
      <c r="X71" s="2334">
        <f t="shared" si="4"/>
        <v>0</v>
      </c>
      <c r="Y71" s="432"/>
      <c r="Z71" s="432"/>
      <c r="AA71" s="432"/>
      <c r="AB71" s="432"/>
      <c r="AC71" s="432"/>
      <c r="AD71" s="864"/>
      <c r="AE71" s="864"/>
      <c r="AF71" s="864"/>
      <c r="AG71" s="864"/>
      <c r="AH71" s="864"/>
      <c r="AI71" s="864"/>
    </row>
    <row r="72" spans="2:35" ht="15.6">
      <c r="B72" s="470" t="s">
        <v>109</v>
      </c>
      <c r="C72" s="498" t="s">
        <v>61</v>
      </c>
      <c r="D72" s="1278" t="s">
        <v>36</v>
      </c>
      <c r="E72" s="2360">
        <f>(E73+E74+E75+E76)/(100%-'Вхідні дані'!$D$46)-(E73+E74+E75+E76)</f>
        <v>95.622726204662342</v>
      </c>
      <c r="F72" s="425"/>
      <c r="G72" s="2361">
        <f>(G73+G74+G75+G76)/(100%-'Вхідні дані'!$D$46)-(G73+G74+G75+G76)</f>
        <v>95.622726204662342</v>
      </c>
      <c r="H72" s="2362">
        <f>(H73+H74+H75+H76)/(100%-'Вхідні дані'!$D$46)-(H73+H74+H75+H76)</f>
        <v>72.232502115196894</v>
      </c>
      <c r="I72" s="425"/>
      <c r="J72" s="2361">
        <f>(J73+J74+J75+J76)/(100%-'Вхідні дані'!$D$46)-(J73+J74+J75+J76)</f>
        <v>72.232502115196894</v>
      </c>
      <c r="K72" s="2362">
        <f>(K73+K74+K75+K76)/(100%-'Вхідні дані'!$D$46)-(K73+K74+K75+K76)</f>
        <v>5.4926513213466457</v>
      </c>
      <c r="L72" s="425"/>
      <c r="M72" s="2361">
        <f>(M73+M74+M75+M76)/(100%-'Вхідні дані'!$D$46)-(M73+M74+M75+M76)</f>
        <v>5.4926513213466457</v>
      </c>
      <c r="N72" s="2362">
        <f>(N73+N74+N75+N76)/(100%-'Вхідні дані'!$D$46)-(N73+N74+N75+N76)</f>
        <v>8.9936832659035488</v>
      </c>
      <c r="O72" s="425"/>
      <c r="P72" s="2361">
        <f>(P73+P74+P75+P76)/(100%-'Вхідні дані'!$D$46)-(P73+P74+P75+P76)</f>
        <v>8.9936832659035488</v>
      </c>
      <c r="Q72" s="2362">
        <f>(Q73+Q74+Q75+Q76)/(100%-'Вхідні дані'!$D$46)-(Q73+Q74+Q75+Q76)</f>
        <v>4.3531613467675143</v>
      </c>
      <c r="R72" s="425"/>
      <c r="S72" s="2361">
        <f>(S73+S74+S75+S76)/(100%-'Вхідні дані'!$D$46)-(S73+S74+S75+S76)</f>
        <v>4.3531613467675143</v>
      </c>
      <c r="T72" s="2362">
        <f>(T73+T74+T75+T76)/(100%-'Вхідні дані'!$D$46)-(T73+T74+T75+T76)</f>
        <v>4.5507281554477004</v>
      </c>
      <c r="U72" s="425"/>
      <c r="V72" s="2368">
        <f>(V73+V74+V75+V76)/(100%-'Вхідні дані'!$D$46)-(V73+V74+V75+V76)</f>
        <v>4.5507281554477004</v>
      </c>
      <c r="W72" s="863">
        <f>'Д 2_Т на В'!H46</f>
        <v>95.622726204662285</v>
      </c>
      <c r="X72" s="2334">
        <f t="shared" si="4"/>
        <v>0</v>
      </c>
      <c r="Y72" s="432"/>
      <c r="Z72" s="432"/>
      <c r="AA72" s="432"/>
      <c r="AB72" s="432"/>
      <c r="AC72" s="432"/>
      <c r="AD72" s="864"/>
      <c r="AE72" s="864"/>
      <c r="AF72" s="864"/>
      <c r="AG72" s="864"/>
      <c r="AH72" s="864"/>
      <c r="AI72" s="864"/>
    </row>
    <row r="73" spans="2:35" ht="15.6">
      <c r="B73" s="470" t="s">
        <v>111</v>
      </c>
      <c r="C73" s="498" t="s">
        <v>63</v>
      </c>
      <c r="D73" s="1278" t="s">
        <v>36</v>
      </c>
      <c r="E73" s="429">
        <f>'Д 2_Т на В'!H47</f>
        <v>0</v>
      </c>
      <c r="F73" s="425"/>
      <c r="G73" s="524">
        <f>E73</f>
        <v>0</v>
      </c>
      <c r="H73" s="429">
        <f>'Д 2_Т на В'!L47</f>
        <v>0</v>
      </c>
      <c r="I73" s="425"/>
      <c r="J73" s="524">
        <f>H73</f>
        <v>0</v>
      </c>
      <c r="K73" s="429">
        <f>'Д 2_Т на В'!P47</f>
        <v>0</v>
      </c>
      <c r="L73" s="425"/>
      <c r="M73" s="524">
        <f>K73</f>
        <v>0</v>
      </c>
      <c r="N73" s="429">
        <f>'Д 2_Т на В'!T47</f>
        <v>0</v>
      </c>
      <c r="O73" s="425"/>
      <c r="P73" s="524">
        <f>N73</f>
        <v>0</v>
      </c>
      <c r="Q73" s="429">
        <f>'Д 2_Т на В'!W47</f>
        <v>0</v>
      </c>
      <c r="R73" s="425"/>
      <c r="S73" s="524">
        <f>Q73</f>
        <v>0</v>
      </c>
      <c r="T73" s="429">
        <f>'Д 2_Т на В'!X47</f>
        <v>0</v>
      </c>
      <c r="U73" s="425"/>
      <c r="V73" s="524">
        <f>T73</f>
        <v>0</v>
      </c>
      <c r="W73" s="863">
        <f>'Д 2_Т на В'!H47</f>
        <v>0</v>
      </c>
      <c r="X73" s="2334">
        <f t="shared" si="4"/>
        <v>0</v>
      </c>
      <c r="Y73" s="432"/>
      <c r="Z73" s="432"/>
      <c r="AA73" s="432"/>
      <c r="AB73" s="432"/>
      <c r="AC73" s="432"/>
      <c r="AD73" s="864"/>
      <c r="AE73" s="864"/>
      <c r="AF73" s="864"/>
      <c r="AG73" s="864"/>
      <c r="AH73" s="864"/>
      <c r="AI73" s="864"/>
    </row>
    <row r="74" spans="2:35" ht="15.6">
      <c r="B74" s="470" t="s">
        <v>113</v>
      </c>
      <c r="C74" s="498" t="s">
        <v>65</v>
      </c>
      <c r="D74" s="1278" t="s">
        <v>36</v>
      </c>
      <c r="E74" s="429">
        <f>'Д 2_Т на В'!H48</f>
        <v>0</v>
      </c>
      <c r="F74" s="425"/>
      <c r="G74" s="524">
        <f>E74</f>
        <v>0</v>
      </c>
      <c r="H74" s="429">
        <f>'Д 2_Т на В'!L48</f>
        <v>0</v>
      </c>
      <c r="I74" s="425"/>
      <c r="J74" s="524">
        <f>H74</f>
        <v>0</v>
      </c>
      <c r="K74" s="429">
        <f>'Д 2_Т на В'!P48</f>
        <v>0</v>
      </c>
      <c r="L74" s="425"/>
      <c r="M74" s="524">
        <f>K74</f>
        <v>0</v>
      </c>
      <c r="N74" s="429">
        <f>'Д 2_Т на В'!T48</f>
        <v>0</v>
      </c>
      <c r="O74" s="425"/>
      <c r="P74" s="524">
        <f>N74</f>
        <v>0</v>
      </c>
      <c r="Q74" s="429">
        <f>'Д 2_Т на В'!W48</f>
        <v>0</v>
      </c>
      <c r="R74" s="425"/>
      <c r="S74" s="524">
        <f>Q74</f>
        <v>0</v>
      </c>
      <c r="T74" s="429">
        <f>'Д 2_Т на В'!X48</f>
        <v>0</v>
      </c>
      <c r="U74" s="425"/>
      <c r="V74" s="524">
        <f>T74</f>
        <v>0</v>
      </c>
      <c r="W74" s="863">
        <f>'Д 2_Т на В'!H48</f>
        <v>0</v>
      </c>
      <c r="X74" s="2334">
        <f t="shared" si="4"/>
        <v>0</v>
      </c>
      <c r="Y74" s="432"/>
      <c r="Z74" s="432"/>
      <c r="AA74" s="432"/>
      <c r="AB74" s="432"/>
      <c r="AC74" s="432"/>
      <c r="AD74" s="864"/>
      <c r="AE74" s="864"/>
      <c r="AF74" s="864"/>
      <c r="AG74" s="864"/>
      <c r="AH74" s="864"/>
      <c r="AI74" s="864"/>
    </row>
    <row r="75" spans="2:35" ht="15.6">
      <c r="B75" s="470" t="s">
        <v>115</v>
      </c>
      <c r="C75" s="498" t="s">
        <v>67</v>
      </c>
      <c r="D75" s="1278" t="s">
        <v>36</v>
      </c>
      <c r="E75" s="429">
        <f>'Д 2_Т на В'!H49</f>
        <v>0</v>
      </c>
      <c r="F75" s="425"/>
      <c r="G75" s="524">
        <f>E75</f>
        <v>0</v>
      </c>
      <c r="H75" s="429">
        <f>'Д 2_Т на В'!L49</f>
        <v>0</v>
      </c>
      <c r="I75" s="425"/>
      <c r="J75" s="524">
        <f>H75</f>
        <v>0</v>
      </c>
      <c r="K75" s="429">
        <f>'Д 2_Т на В'!P49</f>
        <v>0</v>
      </c>
      <c r="L75" s="425"/>
      <c r="M75" s="524">
        <f>K75</f>
        <v>0</v>
      </c>
      <c r="N75" s="429">
        <f>'Д 2_Т на В'!T49</f>
        <v>0</v>
      </c>
      <c r="O75" s="425"/>
      <c r="P75" s="524">
        <f>N75</f>
        <v>0</v>
      </c>
      <c r="Q75" s="429">
        <f>'Д 2_Т на В'!W49</f>
        <v>0</v>
      </c>
      <c r="R75" s="425"/>
      <c r="S75" s="524">
        <f>Q75</f>
        <v>0</v>
      </c>
      <c r="T75" s="429">
        <f>'Д 2_Т на В'!X49</f>
        <v>0</v>
      </c>
      <c r="U75" s="425"/>
      <c r="V75" s="524">
        <f>T75</f>
        <v>0</v>
      </c>
      <c r="W75" s="863">
        <f>'Д 2_Т на В'!H49</f>
        <v>0</v>
      </c>
      <c r="X75" s="2334">
        <f t="shared" si="4"/>
        <v>0</v>
      </c>
      <c r="Y75" s="432"/>
      <c r="Z75" s="432"/>
      <c r="AA75" s="432"/>
      <c r="AB75" s="432"/>
      <c r="AC75" s="432"/>
      <c r="AD75" s="864"/>
      <c r="AE75" s="864"/>
      <c r="AF75" s="864"/>
      <c r="AG75" s="864"/>
      <c r="AH75" s="864"/>
      <c r="AI75" s="864"/>
    </row>
    <row r="76" spans="2:35" ht="15.6">
      <c r="B76" s="470" t="s">
        <v>209</v>
      </c>
      <c r="C76" s="498" t="s">
        <v>82</v>
      </c>
      <c r="D76" s="1278" t="s">
        <v>36</v>
      </c>
      <c r="E76" s="429">
        <f>G76</f>
        <v>435.61464159901738</v>
      </c>
      <c r="F76" s="425"/>
      <c r="G76" s="524">
        <f>E69*'Вхідні дані'!$D$45</f>
        <v>435.61464159901738</v>
      </c>
      <c r="H76" s="429">
        <f>J76</f>
        <v>329.05917630256386</v>
      </c>
      <c r="I76" s="425"/>
      <c r="J76" s="524">
        <f>H69*'Вхідні дані'!$D$45</f>
        <v>329.05917630256386</v>
      </c>
      <c r="K76" s="429">
        <f>M76</f>
        <v>25.022078241690288</v>
      </c>
      <c r="L76" s="425"/>
      <c r="M76" s="524">
        <f>K69*'Вхідні дані'!$D$45</f>
        <v>25.022078241690288</v>
      </c>
      <c r="N76" s="429">
        <f>P76</f>
        <v>40.971223766893964</v>
      </c>
      <c r="O76" s="425"/>
      <c r="P76" s="524">
        <f>N69*'Вхідні дані'!$D$45</f>
        <v>40.971223766893964</v>
      </c>
      <c r="Q76" s="429">
        <f>S76</f>
        <v>19.831068357496466</v>
      </c>
      <c r="R76" s="425"/>
      <c r="S76" s="524">
        <f>Q69*'Вхідні дані'!$D$45</f>
        <v>19.831068357496466</v>
      </c>
      <c r="T76" s="429">
        <f>V76</f>
        <v>20.731094930372869</v>
      </c>
      <c r="U76" s="425"/>
      <c r="V76" s="524">
        <f>T69*'Вхідні дані'!$D$45</f>
        <v>20.731094930372869</v>
      </c>
      <c r="W76" s="863">
        <f>'Д 2_Т на В'!H50</f>
        <v>435.61464159901743</v>
      </c>
      <c r="X76" s="2334">
        <f t="shared" si="4"/>
        <v>0</v>
      </c>
      <c r="Y76" s="432"/>
      <c r="Z76" s="432"/>
      <c r="AA76" s="432"/>
      <c r="AB76" s="432"/>
      <c r="AC76" s="432"/>
      <c r="AD76" s="864"/>
      <c r="AE76" s="864"/>
      <c r="AF76" s="864"/>
      <c r="AG76" s="864"/>
      <c r="AH76" s="864"/>
      <c r="AI76" s="864"/>
    </row>
    <row r="77" spans="2:35" s="766" customFormat="1" ht="27" thickBot="1">
      <c r="B77" s="488" t="s">
        <v>180</v>
      </c>
      <c r="C77" s="520" t="s">
        <v>69</v>
      </c>
      <c r="D77" s="490" t="s">
        <v>36</v>
      </c>
      <c r="E77" s="2363">
        <f t="shared" ref="E77:V77" si="20">E71+E70+E69</f>
        <v>11700.84356265028</v>
      </c>
      <c r="F77" s="2364">
        <f t="shared" si="20"/>
        <v>9095.7934124055446</v>
      </c>
      <c r="G77" s="2365">
        <f t="shared" si="20"/>
        <v>2605.0501502447355</v>
      </c>
      <c r="H77" s="2366">
        <f>H71+H70+H69+5.166-0.0002119</f>
        <v>8843.8722435065774</v>
      </c>
      <c r="I77" s="2364">
        <f t="shared" si="20"/>
        <v>6902.9164964726087</v>
      </c>
      <c r="J77" s="2367">
        <f t="shared" si="20"/>
        <v>1935.7899589339686</v>
      </c>
      <c r="K77" s="2366">
        <f>K71+K70+K69-0.00411197</f>
        <v>672.10236737996729</v>
      </c>
      <c r="L77" s="2364">
        <f t="shared" si="20"/>
        <v>504.47820613037419</v>
      </c>
      <c r="M77" s="2367">
        <f t="shared" si="20"/>
        <v>167.62827321959318</v>
      </c>
      <c r="N77" s="2366">
        <f>N71+N70+N69</f>
        <v>1100.5091061839248</v>
      </c>
      <c r="O77" s="2364">
        <f t="shared" si="20"/>
        <v>837.25667962934335</v>
      </c>
      <c r="P77" s="2367">
        <f t="shared" si="20"/>
        <v>263.25242655458152</v>
      </c>
      <c r="Q77" s="2366">
        <f>Q71+Q70+Q69</f>
        <v>532.67316194776311</v>
      </c>
      <c r="R77" s="2364">
        <f t="shared" ref="R77:S77" si="21">R71+R70+R69</f>
        <v>418.35794703429394</v>
      </c>
      <c r="S77" s="2367">
        <f t="shared" si="21"/>
        <v>114.31521491346921</v>
      </c>
      <c r="T77" s="2366">
        <f>T71+T70+T69+0.7406239321</f>
        <v>557.58898369414794</v>
      </c>
      <c r="U77" s="2364">
        <f t="shared" si="20"/>
        <v>432.78408313892481</v>
      </c>
      <c r="V77" s="2369">
        <f t="shared" si="20"/>
        <v>124.06427662312322</v>
      </c>
      <c r="W77" s="863">
        <f>'Д 2_Т на В'!H51</f>
        <v>11700.843562650281</v>
      </c>
      <c r="X77" s="2334">
        <f t="shared" si="4"/>
        <v>0</v>
      </c>
      <c r="Y77" s="432"/>
      <c r="Z77" s="432"/>
      <c r="AA77" s="432"/>
      <c r="AB77" s="432"/>
      <c r="AC77" s="432"/>
      <c r="AD77" s="864"/>
      <c r="AE77" s="864"/>
      <c r="AF77" s="864"/>
      <c r="AG77" s="864"/>
      <c r="AH77" s="864"/>
      <c r="AI77" s="864"/>
    </row>
    <row r="78" spans="2:35" ht="31.2">
      <c r="B78" s="491" t="s">
        <v>181</v>
      </c>
      <c r="C78" s="492" t="s">
        <v>1135</v>
      </c>
      <c r="D78" s="493" t="s">
        <v>70</v>
      </c>
      <c r="E78" s="902">
        <f>E77/E31</f>
        <v>1370.7996288725983</v>
      </c>
      <c r="F78" s="1155" t="s">
        <v>300</v>
      </c>
      <c r="G78" s="1168" t="s">
        <v>300</v>
      </c>
      <c r="H78" s="902">
        <f>H77/H31</f>
        <v>1369.008552703649</v>
      </c>
      <c r="I78" s="1155" t="s">
        <v>300</v>
      </c>
      <c r="J78" s="1168" t="s">
        <v>300</v>
      </c>
      <c r="K78" s="902">
        <f>IF(K31=0,0,K77/K31)</f>
        <v>1397.4175568752084</v>
      </c>
      <c r="L78" s="1155" t="s">
        <v>300</v>
      </c>
      <c r="M78" s="1168" t="s">
        <v>300</v>
      </c>
      <c r="N78" s="902">
        <f>N77/N31</f>
        <v>1378.6947758184735</v>
      </c>
      <c r="O78" s="1155" t="s">
        <v>300</v>
      </c>
      <c r="P78" s="1168" t="s">
        <v>300</v>
      </c>
      <c r="Q78" s="902">
        <f>Q77/Q31</f>
        <v>1360.5310612803723</v>
      </c>
      <c r="R78" s="1155" t="s">
        <v>300</v>
      </c>
      <c r="S78" s="1168" t="s">
        <v>300</v>
      </c>
      <c r="T78" s="902">
        <f>T77/T31</f>
        <v>1376.6976570348959</v>
      </c>
      <c r="U78" s="1155" t="s">
        <v>300</v>
      </c>
      <c r="V78" s="1168" t="s">
        <v>300</v>
      </c>
      <c r="W78" s="863">
        <f>'Д 2_Т на В'!H52</f>
        <v>1370.7996288725983</v>
      </c>
      <c r="X78" s="2334"/>
      <c r="Y78" s="432"/>
      <c r="Z78" s="432"/>
      <c r="AA78" s="432"/>
      <c r="AB78" s="432"/>
    </row>
    <row r="79" spans="2:35" ht="31.2">
      <c r="B79" s="433" t="s">
        <v>182</v>
      </c>
      <c r="C79" s="434" t="s">
        <v>1136</v>
      </c>
      <c r="D79" s="1278" t="s">
        <v>70</v>
      </c>
      <c r="E79" s="1276">
        <f>E78*1.2</f>
        <v>1644.959554647118</v>
      </c>
      <c r="F79" s="425" t="s">
        <v>300</v>
      </c>
      <c r="G79" s="524" t="s">
        <v>300</v>
      </c>
      <c r="H79" s="1276">
        <f>H78*1.2</f>
        <v>1642.8102632443788</v>
      </c>
      <c r="I79" s="425" t="s">
        <v>300</v>
      </c>
      <c r="J79" s="524" t="s">
        <v>300</v>
      </c>
      <c r="K79" s="1276">
        <f>K78*1.2</f>
        <v>1676.9010682502501</v>
      </c>
      <c r="L79" s="425" t="s">
        <v>300</v>
      </c>
      <c r="M79" s="524" t="s">
        <v>300</v>
      </c>
      <c r="N79" s="1276">
        <f>N78*1.2</f>
        <v>1654.4337309821683</v>
      </c>
      <c r="O79" s="425" t="s">
        <v>300</v>
      </c>
      <c r="P79" s="524" t="s">
        <v>300</v>
      </c>
      <c r="Q79" s="1276">
        <f>Q78*1.2</f>
        <v>1632.6372735364469</v>
      </c>
      <c r="R79" s="425" t="s">
        <v>300</v>
      </c>
      <c r="S79" s="524" t="s">
        <v>300</v>
      </c>
      <c r="T79" s="1276">
        <f>T78*1.2</f>
        <v>1652.0371884418751</v>
      </c>
      <c r="U79" s="425" t="s">
        <v>300</v>
      </c>
      <c r="V79" s="524" t="s">
        <v>300</v>
      </c>
      <c r="X79" s="2335"/>
      <c r="Y79" s="870"/>
      <c r="Z79" s="870"/>
      <c r="AA79" s="870"/>
      <c r="AB79" s="870"/>
    </row>
    <row r="80" spans="2:35" ht="31.2">
      <c r="B80" s="433" t="s">
        <v>183</v>
      </c>
      <c r="C80" s="434" t="s">
        <v>1137</v>
      </c>
      <c r="D80" s="1272" t="s">
        <v>989</v>
      </c>
      <c r="E80" s="429" t="s">
        <v>300</v>
      </c>
      <c r="F80" s="1169" t="s">
        <v>300</v>
      </c>
      <c r="G80" s="524" t="s">
        <v>300</v>
      </c>
      <c r="H80" s="871" t="s">
        <v>300</v>
      </c>
      <c r="I80" s="425" t="s">
        <v>300</v>
      </c>
      <c r="J80" s="524" t="s">
        <v>300</v>
      </c>
      <c r="K80" s="429" t="s">
        <v>300</v>
      </c>
      <c r="L80" s="425" t="s">
        <v>300</v>
      </c>
      <c r="M80" s="524" t="s">
        <v>300</v>
      </c>
      <c r="N80" s="871" t="s">
        <v>300</v>
      </c>
      <c r="O80" s="425" t="s">
        <v>300</v>
      </c>
      <c r="P80" s="524" t="s">
        <v>300</v>
      </c>
      <c r="Q80" s="871" t="s">
        <v>300</v>
      </c>
      <c r="R80" s="425" t="s">
        <v>300</v>
      </c>
      <c r="S80" s="524" t="s">
        <v>300</v>
      </c>
      <c r="T80" s="429" t="s">
        <v>300</v>
      </c>
      <c r="U80" s="425" t="s">
        <v>300</v>
      </c>
      <c r="V80" s="524" t="s">
        <v>300</v>
      </c>
    </row>
    <row r="81" spans="1:33" ht="15.6">
      <c r="B81" s="433" t="s">
        <v>88</v>
      </c>
      <c r="C81" s="435" t="s">
        <v>1109</v>
      </c>
      <c r="D81" s="1272" t="s">
        <v>1126</v>
      </c>
      <c r="E81" s="1276">
        <f>F81</f>
        <v>1065.607805733554</v>
      </c>
      <c r="F81" s="1170">
        <f>F77/F31</f>
        <v>1065.607805733554</v>
      </c>
      <c r="G81" s="524" t="s">
        <v>300</v>
      </c>
      <c r="H81" s="1276">
        <f>I81</f>
        <v>1068.5536224484338</v>
      </c>
      <c r="I81" s="1170">
        <f>I77/I31</f>
        <v>1068.5536224484338</v>
      </c>
      <c r="J81" s="524" t="s">
        <v>300</v>
      </c>
      <c r="K81" s="1276">
        <f>L81</f>
        <v>1048.897811587306</v>
      </c>
      <c r="L81" s="1170">
        <f>IF(L32=0,0,L77/L31)</f>
        <v>1048.897811587306</v>
      </c>
      <c r="M81" s="524" t="s">
        <v>300</v>
      </c>
      <c r="N81" s="1276">
        <f>O81</f>
        <v>1048.8976454059243</v>
      </c>
      <c r="O81" s="1170">
        <f>O77/O31</f>
        <v>1048.8976454059243</v>
      </c>
      <c r="P81" s="524" t="s">
        <v>300</v>
      </c>
      <c r="Q81" s="1276">
        <f>R81</f>
        <v>1068.5520171362859</v>
      </c>
      <c r="R81" s="1170">
        <f>R77/R31</f>
        <v>1068.5520171362859</v>
      </c>
      <c r="S81" s="524" t="s">
        <v>300</v>
      </c>
      <c r="T81" s="1276">
        <f>U81</f>
        <v>1068.5520171362859</v>
      </c>
      <c r="U81" s="1170">
        <f>U77/U31</f>
        <v>1068.5520171362859</v>
      </c>
      <c r="V81" s="524" t="s">
        <v>300</v>
      </c>
    </row>
    <row r="82" spans="1:33" ht="21" customHeight="1">
      <c r="B82" s="433" t="s">
        <v>89</v>
      </c>
      <c r="C82" s="1171" t="s">
        <v>1193</v>
      </c>
      <c r="D82" s="1272" t="s">
        <v>1130</v>
      </c>
      <c r="E82" s="1276">
        <f>G82</f>
        <v>44982.907691751891</v>
      </c>
      <c r="F82" s="1169" t="s">
        <v>300</v>
      </c>
      <c r="G82" s="525">
        <f>G77/G18*1000/12</f>
        <v>44982.907691751891</v>
      </c>
      <c r="H82" s="1276">
        <f>J82</f>
        <v>42141.021397900739</v>
      </c>
      <c r="I82" s="1169" t="s">
        <v>300</v>
      </c>
      <c r="J82" s="525">
        <f>J77/J18*1000/12</f>
        <v>42141.021397900739</v>
      </c>
      <c r="K82" s="1276">
        <f>M82</f>
        <v>49014.11497648924</v>
      </c>
      <c r="L82" s="1169" t="s">
        <v>300</v>
      </c>
      <c r="M82" s="525">
        <f>IF(M19=0,0,M77/M18*1000)/12</f>
        <v>49014.11497648924</v>
      </c>
      <c r="N82" s="872">
        <f>P82</f>
        <v>46379.920111800835</v>
      </c>
      <c r="O82" s="425" t="s">
        <v>300</v>
      </c>
      <c r="P82" s="525">
        <f>P77/P18*1000/12</f>
        <v>46379.920111800835</v>
      </c>
      <c r="Q82" s="872">
        <f>S82</f>
        <v>41061.499609723134</v>
      </c>
      <c r="R82" s="425" t="s">
        <v>300</v>
      </c>
      <c r="S82" s="525">
        <f>S77/S18*1000/12</f>
        <v>41061.499609723134</v>
      </c>
      <c r="T82" s="1276">
        <f>V82</f>
        <v>43077.87382747334</v>
      </c>
      <c r="U82" s="1169" t="s">
        <v>300</v>
      </c>
      <c r="V82" s="525">
        <f>V77/V18*1000/12</f>
        <v>43077.87382747334</v>
      </c>
      <c r="W82" s="419">
        <f>T82/12</f>
        <v>3589.8228189561119</v>
      </c>
    </row>
    <row r="83" spans="1:33" ht="31.2">
      <c r="B83" s="433" t="s">
        <v>184</v>
      </c>
      <c r="C83" s="434" t="s">
        <v>1144</v>
      </c>
      <c r="D83" s="1272" t="s">
        <v>989</v>
      </c>
      <c r="E83" s="429" t="s">
        <v>300</v>
      </c>
      <c r="F83" s="1169" t="s">
        <v>300</v>
      </c>
      <c r="G83" s="524" t="s">
        <v>300</v>
      </c>
      <c r="H83" s="429" t="s">
        <v>300</v>
      </c>
      <c r="I83" s="1169" t="s">
        <v>300</v>
      </c>
      <c r="J83" s="524" t="s">
        <v>300</v>
      </c>
      <c r="K83" s="429" t="s">
        <v>300</v>
      </c>
      <c r="L83" s="1169" t="s">
        <v>300</v>
      </c>
      <c r="M83" s="524" t="s">
        <v>300</v>
      </c>
      <c r="N83" s="429" t="s">
        <v>300</v>
      </c>
      <c r="O83" s="1169" t="s">
        <v>300</v>
      </c>
      <c r="P83" s="524" t="s">
        <v>300</v>
      </c>
      <c r="Q83" s="429" t="s">
        <v>300</v>
      </c>
      <c r="R83" s="1169" t="s">
        <v>300</v>
      </c>
      <c r="S83" s="524" t="s">
        <v>300</v>
      </c>
      <c r="T83" s="429" t="s">
        <v>300</v>
      </c>
      <c r="U83" s="1169" t="s">
        <v>300</v>
      </c>
      <c r="V83" s="524" t="s">
        <v>300</v>
      </c>
    </row>
    <row r="84" spans="1:33" ht="15.6">
      <c r="B84" s="433" t="s">
        <v>222</v>
      </c>
      <c r="C84" s="435" t="s">
        <v>1109</v>
      </c>
      <c r="D84" s="1272" t="s">
        <v>1126</v>
      </c>
      <c r="E84" s="872">
        <f>E81*1.2</f>
        <v>1278.7293668802647</v>
      </c>
      <c r="F84" s="441">
        <f>F81*1.2</f>
        <v>1278.7293668802647</v>
      </c>
      <c r="G84" s="524" t="s">
        <v>300</v>
      </c>
      <c r="H84" s="872">
        <f>H81*1.2</f>
        <v>1282.2643469381205</v>
      </c>
      <c r="I84" s="441">
        <f>I81*1.2</f>
        <v>1282.2643469381205</v>
      </c>
      <c r="J84" s="524" t="s">
        <v>300</v>
      </c>
      <c r="K84" s="872">
        <f>K81*1.2</f>
        <v>1258.6773739047671</v>
      </c>
      <c r="L84" s="441">
        <f>L81*1.2</f>
        <v>1258.6773739047671</v>
      </c>
      <c r="M84" s="524" t="s">
        <v>300</v>
      </c>
      <c r="N84" s="872">
        <f>N81*1.2</f>
        <v>1258.6771744871091</v>
      </c>
      <c r="O84" s="441">
        <f>O81*1.2</f>
        <v>1258.6771744871091</v>
      </c>
      <c r="P84" s="524" t="s">
        <v>300</v>
      </c>
      <c r="Q84" s="872">
        <f>Q81*1.2</f>
        <v>1282.2624205635432</v>
      </c>
      <c r="R84" s="441">
        <f>R81*1.2</f>
        <v>1282.2624205635432</v>
      </c>
      <c r="S84" s="524" t="s">
        <v>300</v>
      </c>
      <c r="T84" s="872">
        <f>T81*1.2</f>
        <v>1282.2624205635432</v>
      </c>
      <c r="U84" s="441">
        <f>U81*1.2</f>
        <v>1282.2624205635432</v>
      </c>
      <c r="V84" s="524" t="s">
        <v>300</v>
      </c>
    </row>
    <row r="85" spans="1:33" ht="21" customHeight="1" thickBot="1">
      <c r="B85" s="433" t="s">
        <v>223</v>
      </c>
      <c r="C85" s="436" t="s">
        <v>1110</v>
      </c>
      <c r="D85" s="480" t="s">
        <v>1130</v>
      </c>
      <c r="E85" s="438">
        <f>E82*1.2</f>
        <v>53979.48923010227</v>
      </c>
      <c r="F85" s="1172" t="s">
        <v>300</v>
      </c>
      <c r="G85" s="443">
        <f>G82*1.2</f>
        <v>53979.48923010227</v>
      </c>
      <c r="H85" s="438">
        <f>H82*1.2</f>
        <v>50569.225677480885</v>
      </c>
      <c r="I85" s="1172" t="s">
        <v>300</v>
      </c>
      <c r="J85" s="443">
        <f>J82*1.2</f>
        <v>50569.225677480885</v>
      </c>
      <c r="K85" s="438">
        <f>K82*1.2</f>
        <v>58816.937971787083</v>
      </c>
      <c r="L85" s="1172" t="s">
        <v>300</v>
      </c>
      <c r="M85" s="443">
        <f>M82*1.2</f>
        <v>58816.937971787083</v>
      </c>
      <c r="N85" s="438">
        <f>N82*1.2</f>
        <v>55655.904134160999</v>
      </c>
      <c r="O85" s="1172" t="s">
        <v>300</v>
      </c>
      <c r="P85" s="443">
        <f>P82*1.2</f>
        <v>55655.904134160999</v>
      </c>
      <c r="Q85" s="438">
        <f>Q82*1.2</f>
        <v>49273.799531667762</v>
      </c>
      <c r="R85" s="1172" t="s">
        <v>300</v>
      </c>
      <c r="S85" s="443">
        <f>S82*1.2</f>
        <v>49273.799531667762</v>
      </c>
      <c r="T85" s="438">
        <f>T82*1.2</f>
        <v>51693.448592968009</v>
      </c>
      <c r="U85" s="1172" t="s">
        <v>300</v>
      </c>
      <c r="V85" s="443">
        <f>V82*1.2</f>
        <v>51693.448592968009</v>
      </c>
    </row>
    <row r="86" spans="1:33" ht="21" hidden="1" customHeight="1" thickBot="1">
      <c r="B86" s="873"/>
      <c r="C86" s="2611" t="s">
        <v>1350</v>
      </c>
      <c r="D86" s="2612"/>
      <c r="E86" s="2612" t="s">
        <v>1</v>
      </c>
      <c r="F86" s="2612"/>
      <c r="G86" s="2612"/>
      <c r="H86" s="2612"/>
      <c r="I86" s="2612"/>
      <c r="J86" s="2612"/>
      <c r="K86" s="2612"/>
      <c r="L86" s="2612"/>
      <c r="M86" s="2612"/>
      <c r="N86" s="2612"/>
      <c r="O86" s="2612"/>
      <c r="P86" s="2612"/>
      <c r="Q86" s="2612"/>
      <c r="R86" s="2612"/>
      <c r="S86" s="2612"/>
      <c r="T86" s="2612"/>
      <c r="U86" s="2612"/>
      <c r="V86" s="2613"/>
    </row>
    <row r="87" spans="1:33" s="766" customFormat="1" ht="15.6" hidden="1">
      <c r="A87" s="764"/>
      <c r="B87" s="433">
        <v>1</v>
      </c>
      <c r="C87" s="513" t="s">
        <v>201</v>
      </c>
      <c r="D87" s="1173" t="s">
        <v>36</v>
      </c>
      <c r="E87" s="874"/>
      <c r="F87" s="1174"/>
      <c r="G87" s="1175"/>
      <c r="H87" s="874"/>
      <c r="I87" s="1174"/>
      <c r="J87" s="1175"/>
      <c r="K87" s="874"/>
      <c r="L87" s="1174"/>
      <c r="M87" s="1175"/>
      <c r="N87" s="874"/>
      <c r="O87" s="1174"/>
      <c r="P87" s="1175"/>
      <c r="Q87" s="874"/>
      <c r="R87" s="1174"/>
      <c r="S87" s="1175"/>
      <c r="T87" s="874"/>
      <c r="U87" s="1174"/>
      <c r="V87" s="1175"/>
      <c r="W87" s="764"/>
      <c r="X87" s="2336"/>
      <c r="Y87" s="765"/>
      <c r="Z87" s="765"/>
      <c r="AA87" s="765"/>
      <c r="AB87" s="765"/>
      <c r="AF87" s="765"/>
      <c r="AG87" s="765"/>
    </row>
    <row r="88" spans="1:33" ht="15.6" hidden="1">
      <c r="A88" s="764"/>
      <c r="B88" s="433" t="s">
        <v>22</v>
      </c>
      <c r="C88" s="494" t="s">
        <v>202</v>
      </c>
      <c r="D88" s="1278" t="s">
        <v>36</v>
      </c>
      <c r="E88" s="1276"/>
      <c r="F88" s="1170"/>
      <c r="G88" s="525"/>
      <c r="H88" s="1276"/>
      <c r="I88" s="1170"/>
      <c r="J88" s="525"/>
      <c r="K88" s="1276"/>
      <c r="L88" s="1170"/>
      <c r="M88" s="525"/>
      <c r="N88" s="1276"/>
      <c r="O88" s="1170"/>
      <c r="P88" s="525"/>
      <c r="Q88" s="1276"/>
      <c r="R88" s="1170"/>
      <c r="S88" s="525"/>
      <c r="T88" s="1276"/>
      <c r="U88" s="1170"/>
      <c r="V88" s="525"/>
      <c r="W88" s="764"/>
      <c r="X88" s="2336"/>
      <c r="Y88" s="765"/>
      <c r="Z88" s="765"/>
      <c r="AA88" s="765"/>
      <c r="AB88" s="765"/>
      <c r="AD88" s="766"/>
      <c r="AF88" s="765"/>
    </row>
    <row r="89" spans="1:33" ht="15.6" hidden="1">
      <c r="A89" s="764"/>
      <c r="B89" s="433" t="s">
        <v>37</v>
      </c>
      <c r="C89" s="494" t="s">
        <v>39</v>
      </c>
      <c r="D89" s="1278" t="s">
        <v>36</v>
      </c>
      <c r="E89" s="1276"/>
      <c r="F89" s="1170"/>
      <c r="G89" s="525"/>
      <c r="H89" s="1276"/>
      <c r="I89" s="1170"/>
      <c r="J89" s="525"/>
      <c r="K89" s="1276"/>
      <c r="L89" s="1170"/>
      <c r="M89" s="525"/>
      <c r="N89" s="1276"/>
      <c r="O89" s="1170"/>
      <c r="P89" s="525"/>
      <c r="Q89" s="1276"/>
      <c r="R89" s="1170"/>
      <c r="S89" s="525"/>
      <c r="T89" s="1276"/>
      <c r="U89" s="1170"/>
      <c r="V89" s="525"/>
      <c r="W89" s="764"/>
      <c r="X89" s="2336"/>
      <c r="Y89" s="765"/>
      <c r="Z89" s="765"/>
      <c r="AA89" s="765"/>
      <c r="AB89" s="765"/>
      <c r="AD89" s="766"/>
      <c r="AF89" s="765"/>
    </row>
    <row r="90" spans="1:33" ht="26.4" hidden="1">
      <c r="A90" s="764"/>
      <c r="B90" s="433" t="s">
        <v>38</v>
      </c>
      <c r="C90" s="494" t="s">
        <v>531</v>
      </c>
      <c r="D90" s="1278" t="s">
        <v>36</v>
      </c>
      <c r="E90" s="1276"/>
      <c r="F90" s="1170"/>
      <c r="G90" s="525"/>
      <c r="H90" s="1276"/>
      <c r="I90" s="1170"/>
      <c r="J90" s="525"/>
      <c r="K90" s="1276"/>
      <c r="L90" s="1170"/>
      <c r="M90" s="525"/>
      <c r="N90" s="1276"/>
      <c r="O90" s="1170"/>
      <c r="P90" s="525"/>
      <c r="Q90" s="1276"/>
      <c r="R90" s="1170"/>
      <c r="S90" s="525"/>
      <c r="T90" s="1276"/>
      <c r="U90" s="1170"/>
      <c r="V90" s="525"/>
      <c r="W90" s="764"/>
      <c r="X90" s="2336"/>
      <c r="Y90" s="765"/>
      <c r="Z90" s="765"/>
      <c r="AA90" s="765"/>
      <c r="AB90" s="765"/>
      <c r="AD90" s="766"/>
      <c r="AF90" s="765"/>
    </row>
    <row r="91" spans="1:33" ht="26.4" hidden="1">
      <c r="A91" s="764"/>
      <c r="B91" s="433" t="s">
        <v>40</v>
      </c>
      <c r="C91" s="494" t="s">
        <v>532</v>
      </c>
      <c r="D91" s="1278" t="s">
        <v>36</v>
      </c>
      <c r="E91" s="1276"/>
      <c r="F91" s="1170"/>
      <c r="G91" s="525"/>
      <c r="H91" s="1276"/>
      <c r="I91" s="1170"/>
      <c r="J91" s="525"/>
      <c r="K91" s="1276"/>
      <c r="L91" s="1170"/>
      <c r="M91" s="525"/>
      <c r="N91" s="1276"/>
      <c r="O91" s="1170"/>
      <c r="P91" s="525"/>
      <c r="Q91" s="1276"/>
      <c r="R91" s="1170"/>
      <c r="S91" s="525"/>
      <c r="T91" s="1276"/>
      <c r="U91" s="1170"/>
      <c r="V91" s="525"/>
      <c r="W91" s="764"/>
      <c r="X91" s="2336"/>
      <c r="Y91" s="765"/>
      <c r="Z91" s="765"/>
      <c r="AA91" s="765"/>
      <c r="AB91" s="765"/>
      <c r="AD91" s="766"/>
      <c r="AF91" s="765"/>
    </row>
    <row r="92" spans="1:33" ht="15.6" hidden="1">
      <c r="A92" s="764"/>
      <c r="B92" s="433" t="s">
        <v>41</v>
      </c>
      <c r="C92" s="494" t="s">
        <v>533</v>
      </c>
      <c r="D92" s="1278" t="s">
        <v>36</v>
      </c>
      <c r="E92" s="1276"/>
      <c r="F92" s="1170"/>
      <c r="G92" s="525"/>
      <c r="H92" s="1276"/>
      <c r="I92" s="1170"/>
      <c r="J92" s="525"/>
      <c r="K92" s="1276"/>
      <c r="L92" s="1170"/>
      <c r="M92" s="525"/>
      <c r="N92" s="1276"/>
      <c r="O92" s="1170"/>
      <c r="P92" s="525"/>
      <c r="Q92" s="1276"/>
      <c r="R92" s="1170"/>
      <c r="S92" s="525"/>
      <c r="T92" s="1276"/>
      <c r="U92" s="1170"/>
      <c r="V92" s="525"/>
      <c r="W92" s="764"/>
      <c r="X92" s="2336"/>
      <c r="Y92" s="765"/>
      <c r="Z92" s="765"/>
      <c r="AA92" s="765"/>
      <c r="AB92" s="765"/>
      <c r="AD92" s="766"/>
      <c r="AF92" s="765"/>
    </row>
    <row r="93" spans="1:33" s="856" customFormat="1" ht="26.4" hidden="1">
      <c r="A93" s="1226"/>
      <c r="B93" s="1227" t="s">
        <v>959</v>
      </c>
      <c r="C93" s="1228" t="s">
        <v>1263</v>
      </c>
      <c r="D93" s="1278" t="s">
        <v>36</v>
      </c>
      <c r="E93" s="1276"/>
      <c r="F93" s="1170"/>
      <c r="G93" s="525"/>
      <c r="H93" s="1276"/>
      <c r="I93" s="1170"/>
      <c r="J93" s="525"/>
      <c r="K93" s="1276"/>
      <c r="L93" s="1170"/>
      <c r="M93" s="525"/>
      <c r="N93" s="1276"/>
      <c r="O93" s="1170"/>
      <c r="P93" s="525"/>
      <c r="Q93" s="1276"/>
      <c r="R93" s="1170"/>
      <c r="S93" s="525"/>
      <c r="T93" s="1276"/>
      <c r="U93" s="1170"/>
      <c r="V93" s="525"/>
      <c r="W93" s="1226"/>
      <c r="X93" s="2336"/>
      <c r="Y93" s="1229"/>
      <c r="Z93" s="1229"/>
      <c r="AA93" s="1229"/>
      <c r="AB93" s="1229"/>
      <c r="AD93" s="1230"/>
      <c r="AF93" s="1229"/>
    </row>
    <row r="94" spans="1:33" ht="15.6" hidden="1">
      <c r="A94" s="764"/>
      <c r="B94" s="433" t="s">
        <v>23</v>
      </c>
      <c r="C94" s="495" t="s">
        <v>43</v>
      </c>
      <c r="D94" s="1278" t="s">
        <v>36</v>
      </c>
      <c r="E94" s="1276"/>
      <c r="F94" s="1170"/>
      <c r="G94" s="525"/>
      <c r="H94" s="1276"/>
      <c r="I94" s="1170"/>
      <c r="J94" s="525"/>
      <c r="K94" s="1276"/>
      <c r="L94" s="1170"/>
      <c r="M94" s="525"/>
      <c r="N94" s="1276"/>
      <c r="O94" s="1170"/>
      <c r="P94" s="525"/>
      <c r="Q94" s="1276"/>
      <c r="R94" s="1170"/>
      <c r="S94" s="525"/>
      <c r="T94" s="1276"/>
      <c r="U94" s="1170"/>
      <c r="V94" s="525"/>
      <c r="W94" s="764"/>
      <c r="X94" s="2336"/>
      <c r="Y94" s="765"/>
      <c r="Z94" s="765"/>
      <c r="AA94" s="765"/>
      <c r="AB94" s="765"/>
      <c r="AD94" s="766"/>
      <c r="AF94" s="765"/>
    </row>
    <row r="95" spans="1:33" ht="15.6" hidden="1">
      <c r="A95" s="764"/>
      <c r="B95" s="433" t="s">
        <v>44</v>
      </c>
      <c r="C95" s="494" t="s">
        <v>203</v>
      </c>
      <c r="D95" s="1278" t="s">
        <v>36</v>
      </c>
      <c r="E95" s="1276"/>
      <c r="F95" s="1170"/>
      <c r="G95" s="525"/>
      <c r="H95" s="1276"/>
      <c r="I95" s="1170"/>
      <c r="J95" s="525"/>
      <c r="K95" s="1276"/>
      <c r="L95" s="1170"/>
      <c r="M95" s="525"/>
      <c r="N95" s="1276"/>
      <c r="O95" s="1170"/>
      <c r="P95" s="525"/>
      <c r="Q95" s="1276"/>
      <c r="R95" s="1170"/>
      <c r="S95" s="525"/>
      <c r="T95" s="1276"/>
      <c r="U95" s="1170"/>
      <c r="V95" s="525"/>
      <c r="W95" s="764"/>
      <c r="X95" s="2336"/>
      <c r="Y95" s="765"/>
      <c r="Z95" s="765"/>
      <c r="AA95" s="765"/>
      <c r="AB95" s="765"/>
      <c r="AD95" s="766"/>
      <c r="AF95" s="765"/>
    </row>
    <row r="96" spans="1:33" ht="26.4" hidden="1">
      <c r="A96" s="764"/>
      <c r="B96" s="433" t="s">
        <v>45</v>
      </c>
      <c r="C96" s="494" t="s">
        <v>433</v>
      </c>
      <c r="D96" s="1278" t="s">
        <v>36</v>
      </c>
      <c r="E96" s="1276"/>
      <c r="F96" s="1170"/>
      <c r="G96" s="525"/>
      <c r="H96" s="1276"/>
      <c r="I96" s="1170"/>
      <c r="J96" s="525"/>
      <c r="K96" s="1276"/>
      <c r="L96" s="1170"/>
      <c r="M96" s="525"/>
      <c r="N96" s="1276"/>
      <c r="O96" s="1170"/>
      <c r="P96" s="525"/>
      <c r="Q96" s="1276"/>
      <c r="R96" s="1170"/>
      <c r="S96" s="525"/>
      <c r="T96" s="1276"/>
      <c r="U96" s="1170"/>
      <c r="V96" s="525"/>
      <c r="W96" s="764"/>
      <c r="X96" s="2336"/>
      <c r="Y96" s="765"/>
      <c r="Z96" s="765"/>
      <c r="AA96" s="765"/>
      <c r="AB96" s="765"/>
      <c r="AD96" s="766"/>
      <c r="AF96" s="765"/>
    </row>
    <row r="97" spans="1:32" ht="15.6" hidden="1">
      <c r="A97" s="764"/>
      <c r="B97" s="433" t="s">
        <v>46</v>
      </c>
      <c r="C97" s="494" t="s">
        <v>441</v>
      </c>
      <c r="D97" s="1278" t="s">
        <v>36</v>
      </c>
      <c r="E97" s="1276"/>
      <c r="F97" s="1170"/>
      <c r="G97" s="525"/>
      <c r="H97" s="1276"/>
      <c r="I97" s="1170"/>
      <c r="J97" s="525"/>
      <c r="K97" s="1276"/>
      <c r="L97" s="1170"/>
      <c r="M97" s="525"/>
      <c r="N97" s="1276"/>
      <c r="O97" s="1170"/>
      <c r="P97" s="525"/>
      <c r="Q97" s="1276"/>
      <c r="R97" s="1170"/>
      <c r="S97" s="525"/>
      <c r="T97" s="1276"/>
      <c r="U97" s="1170"/>
      <c r="V97" s="525"/>
      <c r="W97" s="764"/>
      <c r="X97" s="2336"/>
      <c r="Y97" s="765"/>
      <c r="Z97" s="765"/>
      <c r="AA97" s="765"/>
      <c r="AB97" s="765"/>
      <c r="AD97" s="766"/>
      <c r="AF97" s="765"/>
    </row>
    <row r="98" spans="1:32" ht="15.6" hidden="1">
      <c r="A98" s="764"/>
      <c r="B98" s="433" t="s">
        <v>47</v>
      </c>
      <c r="C98" s="496" t="s">
        <v>77</v>
      </c>
      <c r="D98" s="1278" t="s">
        <v>36</v>
      </c>
      <c r="E98" s="1276"/>
      <c r="F98" s="1170"/>
      <c r="G98" s="525"/>
      <c r="H98" s="1276"/>
      <c r="I98" s="1170"/>
      <c r="J98" s="525"/>
      <c r="K98" s="1276"/>
      <c r="L98" s="1170"/>
      <c r="M98" s="525"/>
      <c r="N98" s="1276"/>
      <c r="O98" s="1170"/>
      <c r="P98" s="525"/>
      <c r="Q98" s="1276"/>
      <c r="R98" s="1170"/>
      <c r="S98" s="525"/>
      <c r="T98" s="1276"/>
      <c r="U98" s="1170"/>
      <c r="V98" s="525"/>
      <c r="W98" s="764"/>
      <c r="X98" s="2336"/>
      <c r="Y98" s="765"/>
      <c r="Z98" s="765"/>
      <c r="AA98" s="765"/>
      <c r="AB98" s="765"/>
      <c r="AD98" s="766"/>
      <c r="AF98" s="765"/>
    </row>
    <row r="99" spans="1:32" ht="15.6" hidden="1">
      <c r="A99" s="764"/>
      <c r="B99" s="433" t="s">
        <v>49</v>
      </c>
      <c r="C99" s="494" t="s">
        <v>204</v>
      </c>
      <c r="D99" s="1278" t="s">
        <v>36</v>
      </c>
      <c r="E99" s="1276"/>
      <c r="F99" s="1170"/>
      <c r="G99" s="1176"/>
      <c r="H99" s="1276"/>
      <c r="I99" s="1170"/>
      <c r="J99" s="525"/>
      <c r="K99" s="1276"/>
      <c r="L99" s="1170"/>
      <c r="M99" s="525"/>
      <c r="N99" s="1276"/>
      <c r="O99" s="1170"/>
      <c r="P99" s="525"/>
      <c r="Q99" s="1276"/>
      <c r="R99" s="1170"/>
      <c r="S99" s="525"/>
      <c r="T99" s="1276"/>
      <c r="U99" s="1170"/>
      <c r="V99" s="525"/>
      <c r="W99" s="764"/>
      <c r="X99" s="2336"/>
      <c r="Y99" s="765"/>
      <c r="Z99" s="765"/>
      <c r="AA99" s="765"/>
      <c r="AB99" s="765"/>
      <c r="AD99" s="766"/>
    </row>
    <row r="100" spans="1:32" ht="15.6" hidden="1">
      <c r="A100" s="764"/>
      <c r="B100" s="433" t="s">
        <v>50</v>
      </c>
      <c r="C100" s="494" t="s">
        <v>51</v>
      </c>
      <c r="D100" s="1278" t="s">
        <v>36</v>
      </c>
      <c r="E100" s="1276"/>
      <c r="F100" s="1170"/>
      <c r="G100" s="525"/>
      <c r="H100" s="1276"/>
      <c r="I100" s="1170"/>
      <c r="J100" s="525"/>
      <c r="K100" s="1276"/>
      <c r="L100" s="1170"/>
      <c r="M100" s="525"/>
      <c r="N100" s="1276"/>
      <c r="O100" s="1170"/>
      <c r="P100" s="525"/>
      <c r="Q100" s="1276"/>
      <c r="R100" s="1170"/>
      <c r="S100" s="525"/>
      <c r="T100" s="1276"/>
      <c r="U100" s="1170"/>
      <c r="V100" s="525"/>
      <c r="W100" s="764"/>
      <c r="X100" s="2336"/>
      <c r="Y100" s="765"/>
      <c r="Z100" s="765"/>
      <c r="AA100" s="765"/>
      <c r="AB100" s="765"/>
      <c r="AD100" s="766"/>
    </row>
    <row r="101" spans="1:32" ht="26.4" hidden="1">
      <c r="A101" s="764"/>
      <c r="B101" s="433" t="s">
        <v>52</v>
      </c>
      <c r="C101" s="494" t="s">
        <v>433</v>
      </c>
      <c r="D101" s="1278" t="s">
        <v>36</v>
      </c>
      <c r="E101" s="1276"/>
      <c r="F101" s="1170"/>
      <c r="G101" s="525"/>
      <c r="H101" s="1276"/>
      <c r="I101" s="1170"/>
      <c r="J101" s="525"/>
      <c r="K101" s="1276"/>
      <c r="L101" s="1170"/>
      <c r="M101" s="525"/>
      <c r="N101" s="1276"/>
      <c r="O101" s="1170"/>
      <c r="P101" s="525"/>
      <c r="Q101" s="1276"/>
      <c r="R101" s="1170"/>
      <c r="S101" s="525"/>
      <c r="T101" s="1276"/>
      <c r="U101" s="1170"/>
      <c r="V101" s="525"/>
      <c r="W101" s="764"/>
      <c r="X101" s="2336"/>
      <c r="Y101" s="765"/>
      <c r="Z101" s="765"/>
      <c r="AA101" s="765"/>
      <c r="AB101" s="765"/>
      <c r="AD101" s="766"/>
    </row>
    <row r="102" spans="1:32" ht="15.6" hidden="1">
      <c r="A102" s="764"/>
      <c r="B102" s="433" t="s">
        <v>53</v>
      </c>
      <c r="C102" s="494" t="s">
        <v>54</v>
      </c>
      <c r="D102" s="1278" t="s">
        <v>36</v>
      </c>
      <c r="E102" s="1276"/>
      <c r="F102" s="1170"/>
      <c r="G102" s="525"/>
      <c r="H102" s="1276"/>
      <c r="I102" s="1170"/>
      <c r="J102" s="525"/>
      <c r="K102" s="1276"/>
      <c r="L102" s="1170"/>
      <c r="M102" s="525"/>
      <c r="N102" s="1276"/>
      <c r="O102" s="1170"/>
      <c r="P102" s="525"/>
      <c r="Q102" s="1276"/>
      <c r="R102" s="1170"/>
      <c r="S102" s="525"/>
      <c r="T102" s="1276"/>
      <c r="U102" s="1170"/>
      <c r="V102" s="525"/>
      <c r="W102" s="764"/>
      <c r="X102" s="2336"/>
      <c r="Y102" s="765"/>
      <c r="Z102" s="765"/>
      <c r="AA102" s="765"/>
      <c r="AB102" s="765"/>
      <c r="AD102" s="766"/>
    </row>
    <row r="103" spans="1:32" s="766" customFormat="1" ht="15.6" hidden="1">
      <c r="A103" s="764"/>
      <c r="B103" s="433">
        <v>2</v>
      </c>
      <c r="C103" s="497" t="s">
        <v>205</v>
      </c>
      <c r="D103" s="1273" t="s">
        <v>36</v>
      </c>
      <c r="E103" s="875"/>
      <c r="F103" s="1177"/>
      <c r="G103" s="1176"/>
      <c r="H103" s="875"/>
      <c r="I103" s="1177"/>
      <c r="J103" s="1176"/>
      <c r="K103" s="875"/>
      <c r="L103" s="1177"/>
      <c r="M103" s="1176"/>
      <c r="N103" s="875"/>
      <c r="O103" s="1177"/>
      <c r="P103" s="1176"/>
      <c r="Q103" s="875"/>
      <c r="R103" s="1177"/>
      <c r="S103" s="1176"/>
      <c r="T103" s="875"/>
      <c r="U103" s="1177"/>
      <c r="V103" s="1176"/>
      <c r="W103" s="764"/>
      <c r="X103" s="2336"/>
      <c r="Y103" s="765"/>
      <c r="Z103" s="765"/>
      <c r="AA103" s="765"/>
      <c r="AB103" s="765"/>
    </row>
    <row r="104" spans="1:32" ht="15.6" hidden="1">
      <c r="A104" s="764"/>
      <c r="B104" s="433" t="s">
        <v>24</v>
      </c>
      <c r="C104" s="498" t="s">
        <v>51</v>
      </c>
      <c r="D104" s="1278" t="s">
        <v>36</v>
      </c>
      <c r="E104" s="1276"/>
      <c r="F104" s="1170"/>
      <c r="G104" s="525"/>
      <c r="H104" s="1276"/>
      <c r="I104" s="1170"/>
      <c r="J104" s="525"/>
      <c r="K104" s="1276"/>
      <c r="L104" s="1170"/>
      <c r="M104" s="525"/>
      <c r="N104" s="1276"/>
      <c r="O104" s="1170"/>
      <c r="P104" s="525"/>
      <c r="Q104" s="1276"/>
      <c r="R104" s="1170"/>
      <c r="S104" s="525"/>
      <c r="T104" s="1276"/>
      <c r="U104" s="1170"/>
      <c r="V104" s="525"/>
      <c r="W104" s="764"/>
      <c r="X104" s="2336"/>
      <c r="Y104" s="765"/>
      <c r="Z104" s="765"/>
      <c r="AA104" s="765"/>
      <c r="AB104" s="765"/>
      <c r="AD104" s="766"/>
    </row>
    <row r="105" spans="1:32" ht="26.4" hidden="1">
      <c r="A105" s="764"/>
      <c r="B105" s="433" t="s">
        <v>25</v>
      </c>
      <c r="C105" s="498" t="s">
        <v>433</v>
      </c>
      <c r="D105" s="1278" t="s">
        <v>36</v>
      </c>
      <c r="E105" s="1276"/>
      <c r="F105" s="1170"/>
      <c r="G105" s="525"/>
      <c r="H105" s="1276"/>
      <c r="I105" s="1170"/>
      <c r="J105" s="525"/>
      <c r="K105" s="1276"/>
      <c r="L105" s="1170"/>
      <c r="M105" s="525"/>
      <c r="N105" s="1276"/>
      <c r="O105" s="1170"/>
      <c r="P105" s="525"/>
      <c r="Q105" s="1276"/>
      <c r="R105" s="1170"/>
      <c r="S105" s="525"/>
      <c r="T105" s="1276"/>
      <c r="U105" s="1170"/>
      <c r="V105" s="525"/>
      <c r="W105" s="764"/>
      <c r="X105" s="2336"/>
      <c r="Y105" s="765"/>
      <c r="Z105" s="765"/>
      <c r="AA105" s="765"/>
      <c r="AB105" s="765"/>
      <c r="AD105" s="766"/>
    </row>
    <row r="106" spans="1:32" ht="15.6" hidden="1">
      <c r="A106" s="764"/>
      <c r="B106" s="433" t="s">
        <v>55</v>
      </c>
      <c r="C106" s="499" t="s">
        <v>54</v>
      </c>
      <c r="D106" s="1278" t="s">
        <v>36</v>
      </c>
      <c r="E106" s="1276"/>
      <c r="F106" s="1170"/>
      <c r="G106" s="525"/>
      <c r="H106" s="1276"/>
      <c r="I106" s="1170"/>
      <c r="J106" s="525"/>
      <c r="K106" s="1276"/>
      <c r="L106" s="1170"/>
      <c r="M106" s="525"/>
      <c r="N106" s="1276"/>
      <c r="O106" s="1170"/>
      <c r="P106" s="525"/>
      <c r="Q106" s="1276"/>
      <c r="R106" s="1170"/>
      <c r="S106" s="525"/>
      <c r="T106" s="1276"/>
      <c r="U106" s="1170"/>
      <c r="V106" s="525"/>
      <c r="W106" s="764"/>
      <c r="X106" s="2336"/>
      <c r="Y106" s="765"/>
      <c r="Z106" s="765"/>
      <c r="AA106" s="765"/>
      <c r="AB106" s="765"/>
      <c r="AD106" s="766"/>
    </row>
    <row r="107" spans="1:32" s="766" customFormat="1" ht="15.6" hidden="1">
      <c r="A107" s="764"/>
      <c r="B107" s="433" t="s">
        <v>166</v>
      </c>
      <c r="C107" s="500" t="s">
        <v>206</v>
      </c>
      <c r="D107" s="1273" t="s">
        <v>36</v>
      </c>
      <c r="E107" s="875"/>
      <c r="F107" s="1177"/>
      <c r="G107" s="1176"/>
      <c r="H107" s="875"/>
      <c r="I107" s="1177"/>
      <c r="J107" s="1176"/>
      <c r="K107" s="875"/>
      <c r="L107" s="1177"/>
      <c r="M107" s="1176"/>
      <c r="N107" s="875"/>
      <c r="O107" s="1177"/>
      <c r="P107" s="1176"/>
      <c r="Q107" s="875"/>
      <c r="R107" s="1177"/>
      <c r="S107" s="1176"/>
      <c r="T107" s="875"/>
      <c r="U107" s="1177"/>
      <c r="V107" s="1176"/>
      <c r="W107" s="764"/>
      <c r="X107" s="2336"/>
      <c r="Y107" s="765"/>
      <c r="Z107" s="765"/>
      <c r="AA107" s="765"/>
      <c r="AB107" s="765"/>
    </row>
    <row r="108" spans="1:32" ht="15.6" hidden="1">
      <c r="A108" s="764"/>
      <c r="B108" s="433" t="s">
        <v>56</v>
      </c>
      <c r="C108" s="494" t="s">
        <v>51</v>
      </c>
      <c r="D108" s="1278" t="s">
        <v>36</v>
      </c>
      <c r="E108" s="1276"/>
      <c r="F108" s="1170"/>
      <c r="G108" s="525"/>
      <c r="H108" s="1276"/>
      <c r="I108" s="1170"/>
      <c r="J108" s="525"/>
      <c r="K108" s="1276"/>
      <c r="L108" s="1170"/>
      <c r="M108" s="525"/>
      <c r="N108" s="1276"/>
      <c r="O108" s="1170"/>
      <c r="P108" s="525"/>
      <c r="Q108" s="1276"/>
      <c r="R108" s="1170"/>
      <c r="S108" s="525"/>
      <c r="T108" s="1276"/>
      <c r="U108" s="1170"/>
      <c r="V108" s="525"/>
      <c r="W108" s="764"/>
      <c r="X108" s="2336"/>
      <c r="Y108" s="765"/>
      <c r="Z108" s="765"/>
      <c r="AA108" s="765"/>
      <c r="AB108" s="765"/>
      <c r="AD108" s="766"/>
    </row>
    <row r="109" spans="1:32" ht="26.4" hidden="1">
      <c r="A109" s="764"/>
      <c r="B109" s="433" t="s">
        <v>57</v>
      </c>
      <c r="C109" s="498" t="s">
        <v>433</v>
      </c>
      <c r="D109" s="1278" t="s">
        <v>36</v>
      </c>
      <c r="E109" s="1276"/>
      <c r="F109" s="1170"/>
      <c r="G109" s="525"/>
      <c r="H109" s="1276"/>
      <c r="I109" s="1170"/>
      <c r="J109" s="525"/>
      <c r="K109" s="1276"/>
      <c r="L109" s="1170"/>
      <c r="M109" s="525"/>
      <c r="N109" s="1276"/>
      <c r="O109" s="1170"/>
      <c r="P109" s="525"/>
      <c r="Q109" s="1276"/>
      <c r="R109" s="1170"/>
      <c r="S109" s="525"/>
      <c r="T109" s="1276"/>
      <c r="U109" s="1170"/>
      <c r="V109" s="525"/>
      <c r="W109" s="764"/>
      <c r="X109" s="2336"/>
      <c r="Y109" s="765"/>
      <c r="Z109" s="765"/>
      <c r="AA109" s="765"/>
      <c r="AB109" s="765"/>
      <c r="AD109" s="766"/>
    </row>
    <row r="110" spans="1:32" ht="15.6" hidden="1">
      <c r="A110" s="764"/>
      <c r="B110" s="433" t="s">
        <v>58</v>
      </c>
      <c r="C110" s="501" t="s">
        <v>219</v>
      </c>
      <c r="D110" s="1278" t="s">
        <v>36</v>
      </c>
      <c r="E110" s="1276"/>
      <c r="F110" s="1170"/>
      <c r="G110" s="525"/>
      <c r="H110" s="1276"/>
      <c r="I110" s="1170"/>
      <c r="J110" s="525"/>
      <c r="K110" s="1276"/>
      <c r="L110" s="1170"/>
      <c r="M110" s="525"/>
      <c r="N110" s="1276"/>
      <c r="O110" s="1170"/>
      <c r="P110" s="525"/>
      <c r="Q110" s="1276"/>
      <c r="R110" s="1170"/>
      <c r="S110" s="525"/>
      <c r="T110" s="1276"/>
      <c r="U110" s="1170"/>
      <c r="V110" s="525"/>
      <c r="W110" s="764"/>
      <c r="X110" s="2336"/>
      <c r="Y110" s="765"/>
      <c r="Z110" s="765"/>
      <c r="AA110" s="765"/>
      <c r="AB110" s="765"/>
      <c r="AD110" s="766"/>
    </row>
    <row r="111" spans="1:32" s="766" customFormat="1" ht="15.6" hidden="1">
      <c r="A111" s="764"/>
      <c r="B111" s="433" t="s">
        <v>167</v>
      </c>
      <c r="C111" s="502" t="s">
        <v>78</v>
      </c>
      <c r="D111" s="1273" t="s">
        <v>36</v>
      </c>
      <c r="E111" s="875"/>
      <c r="F111" s="1170"/>
      <c r="G111" s="1176"/>
      <c r="H111" s="875"/>
      <c r="I111" s="1170"/>
      <c r="J111" s="1176"/>
      <c r="K111" s="875"/>
      <c r="L111" s="1170"/>
      <c r="M111" s="1176"/>
      <c r="N111" s="875"/>
      <c r="O111" s="1170"/>
      <c r="P111" s="1176"/>
      <c r="Q111" s="875"/>
      <c r="R111" s="1170"/>
      <c r="S111" s="1176"/>
      <c r="T111" s="875"/>
      <c r="U111" s="1170"/>
      <c r="V111" s="525"/>
      <c r="W111" s="764"/>
      <c r="X111" s="2336"/>
      <c r="Y111" s="765"/>
      <c r="Z111" s="765"/>
      <c r="AA111" s="765"/>
      <c r="AB111" s="765"/>
    </row>
    <row r="112" spans="1:32" s="766" customFormat="1" ht="15.6" hidden="1">
      <c r="A112" s="764"/>
      <c r="B112" s="433" t="s">
        <v>162</v>
      </c>
      <c r="C112" s="502" t="s">
        <v>5</v>
      </c>
      <c r="D112" s="1273" t="s">
        <v>36</v>
      </c>
      <c r="E112" s="875"/>
      <c r="F112" s="1170"/>
      <c r="G112" s="1176"/>
      <c r="H112" s="875"/>
      <c r="I112" s="1170"/>
      <c r="J112" s="1176"/>
      <c r="K112" s="875"/>
      <c r="L112" s="1170"/>
      <c r="M112" s="1176"/>
      <c r="N112" s="875"/>
      <c r="O112" s="1170"/>
      <c r="P112" s="1176"/>
      <c r="Q112" s="875"/>
      <c r="R112" s="1170"/>
      <c r="S112" s="1176"/>
      <c r="T112" s="875"/>
      <c r="U112" s="1170"/>
      <c r="V112" s="525"/>
      <c r="W112" s="764"/>
      <c r="X112" s="2336"/>
      <c r="Y112" s="765"/>
      <c r="Z112" s="765"/>
      <c r="AA112" s="765"/>
      <c r="AB112" s="765"/>
    </row>
    <row r="113" spans="1:30" ht="15.6" hidden="1">
      <c r="A113" s="764"/>
      <c r="B113" s="433" t="s">
        <v>163</v>
      </c>
      <c r="C113" s="502" t="s">
        <v>59</v>
      </c>
      <c r="D113" s="1278" t="s">
        <v>36</v>
      </c>
      <c r="E113" s="875"/>
      <c r="F113" s="1177"/>
      <c r="G113" s="1176"/>
      <c r="H113" s="875"/>
      <c r="I113" s="1177"/>
      <c r="J113" s="1176"/>
      <c r="K113" s="875"/>
      <c r="L113" s="1177"/>
      <c r="M113" s="1176"/>
      <c r="N113" s="875"/>
      <c r="O113" s="1177"/>
      <c r="P113" s="1176"/>
      <c r="Q113" s="875"/>
      <c r="R113" s="1177"/>
      <c r="S113" s="1176"/>
      <c r="T113" s="875"/>
      <c r="U113" s="1177"/>
      <c r="V113" s="1176"/>
      <c r="W113" s="764"/>
      <c r="X113" s="2336"/>
      <c r="Y113" s="765"/>
      <c r="Z113" s="765"/>
      <c r="AA113" s="765"/>
      <c r="AB113" s="765"/>
      <c r="AD113" s="766"/>
    </row>
    <row r="114" spans="1:30" ht="19.8" hidden="1" customHeight="1">
      <c r="A114" s="764"/>
      <c r="B114" s="433" t="s">
        <v>164</v>
      </c>
      <c r="C114" s="502" t="s">
        <v>1250</v>
      </c>
      <c r="D114" s="1278" t="s">
        <v>36</v>
      </c>
      <c r="E114" s="1276"/>
      <c r="F114" s="1170"/>
      <c r="G114" s="525"/>
      <c r="H114" s="1276"/>
      <c r="I114" s="1170"/>
      <c r="J114" s="525"/>
      <c r="K114" s="1276"/>
      <c r="L114" s="1170"/>
      <c r="M114" s="525"/>
      <c r="N114" s="1276"/>
      <c r="O114" s="1170"/>
      <c r="P114" s="525"/>
      <c r="Q114" s="1276"/>
      <c r="R114" s="1170"/>
      <c r="S114" s="525"/>
      <c r="T114" s="1276"/>
      <c r="U114" s="1170"/>
      <c r="V114" s="525"/>
      <c r="W114" s="764"/>
      <c r="X114" s="2336"/>
      <c r="Y114" s="765"/>
      <c r="Z114" s="765"/>
      <c r="AA114" s="765"/>
      <c r="AB114" s="765"/>
      <c r="AD114" s="766"/>
    </row>
    <row r="115" spans="1:30" s="766" customFormat="1" ht="15.6" hidden="1">
      <c r="A115" s="764"/>
      <c r="B115" s="433" t="s">
        <v>165</v>
      </c>
      <c r="C115" s="502" t="s">
        <v>221</v>
      </c>
      <c r="D115" s="1273" t="s">
        <v>36</v>
      </c>
      <c r="E115" s="875"/>
      <c r="F115" s="1177"/>
      <c r="G115" s="1176"/>
      <c r="H115" s="875"/>
      <c r="I115" s="1177"/>
      <c r="J115" s="1176"/>
      <c r="K115" s="875"/>
      <c r="L115" s="1177"/>
      <c r="M115" s="1176"/>
      <c r="N115" s="875"/>
      <c r="O115" s="1177"/>
      <c r="P115" s="1176"/>
      <c r="Q115" s="875"/>
      <c r="R115" s="1177"/>
      <c r="S115" s="1176"/>
      <c r="T115" s="875"/>
      <c r="U115" s="1177"/>
      <c r="V115" s="1176"/>
      <c r="W115" s="764"/>
      <c r="X115" s="2336"/>
      <c r="Y115" s="765"/>
      <c r="Z115" s="765"/>
      <c r="AA115" s="765"/>
      <c r="AB115" s="765"/>
    </row>
    <row r="116" spans="1:30" ht="15.6" hidden="1">
      <c r="A116" s="764"/>
      <c r="B116" s="433" t="s">
        <v>109</v>
      </c>
      <c r="C116" s="498" t="s">
        <v>61</v>
      </c>
      <c r="D116" s="1278" t="s">
        <v>36</v>
      </c>
      <c r="E116" s="1276"/>
      <c r="F116" s="425"/>
      <c r="G116" s="1178"/>
      <c r="H116" s="1276"/>
      <c r="I116" s="425"/>
      <c r="J116" s="1178"/>
      <c r="K116" s="1276"/>
      <c r="L116" s="425"/>
      <c r="M116" s="1178"/>
      <c r="N116" s="1276"/>
      <c r="O116" s="425"/>
      <c r="P116" s="1178"/>
      <c r="Q116" s="1276"/>
      <c r="R116" s="425"/>
      <c r="S116" s="1178"/>
      <c r="T116" s="1276"/>
      <c r="U116" s="425"/>
      <c r="V116" s="1178"/>
      <c r="W116" s="764"/>
      <c r="X116" s="2336"/>
      <c r="Y116" s="765"/>
      <c r="Z116" s="765"/>
      <c r="AA116" s="765"/>
      <c r="AB116" s="765"/>
      <c r="AD116" s="766"/>
    </row>
    <row r="117" spans="1:30" ht="15.6" hidden="1">
      <c r="A117" s="764"/>
      <c r="B117" s="433" t="s">
        <v>111</v>
      </c>
      <c r="C117" s="498" t="s">
        <v>80</v>
      </c>
      <c r="D117" s="1278" t="s">
        <v>36</v>
      </c>
      <c r="E117" s="1276"/>
      <c r="F117" s="1170"/>
      <c r="G117" s="1178"/>
      <c r="H117" s="1276"/>
      <c r="I117" s="1170"/>
      <c r="J117" s="525"/>
      <c r="K117" s="1276"/>
      <c r="L117" s="1170"/>
      <c r="M117" s="525"/>
      <c r="N117" s="1276"/>
      <c r="O117" s="1170"/>
      <c r="P117" s="525"/>
      <c r="Q117" s="1276"/>
      <c r="R117" s="1170"/>
      <c r="S117" s="525"/>
      <c r="T117" s="1276"/>
      <c r="U117" s="1170"/>
      <c r="V117" s="525"/>
      <c r="W117" s="764"/>
      <c r="X117" s="2336"/>
      <c r="Y117" s="765"/>
      <c r="Z117" s="765"/>
      <c r="AA117" s="765"/>
      <c r="AB117" s="765"/>
      <c r="AD117" s="766"/>
    </row>
    <row r="118" spans="1:30" ht="15.6" hidden="1">
      <c r="A118" s="764"/>
      <c r="B118" s="433" t="s">
        <v>113</v>
      </c>
      <c r="C118" s="498" t="s">
        <v>81</v>
      </c>
      <c r="D118" s="1278" t="s">
        <v>36</v>
      </c>
      <c r="E118" s="1276"/>
      <c r="F118" s="1170"/>
      <c r="G118" s="1178"/>
      <c r="H118" s="1276"/>
      <c r="I118" s="1170"/>
      <c r="J118" s="525"/>
      <c r="K118" s="1276"/>
      <c r="L118" s="1170"/>
      <c r="M118" s="525"/>
      <c r="N118" s="1276"/>
      <c r="O118" s="1170"/>
      <c r="P118" s="525"/>
      <c r="Q118" s="1276"/>
      <c r="R118" s="1170"/>
      <c r="S118" s="525"/>
      <c r="T118" s="1276"/>
      <c r="U118" s="1170"/>
      <c r="V118" s="525"/>
      <c r="W118" s="764"/>
      <c r="X118" s="2336"/>
      <c r="Y118" s="765"/>
      <c r="Z118" s="765"/>
      <c r="AA118" s="765"/>
      <c r="AB118" s="765"/>
      <c r="AD118" s="766"/>
    </row>
    <row r="119" spans="1:30" ht="15.6" hidden="1">
      <c r="A119" s="764"/>
      <c r="B119" s="433" t="s">
        <v>115</v>
      </c>
      <c r="C119" s="498" t="s">
        <v>67</v>
      </c>
      <c r="D119" s="1278" t="s">
        <v>36</v>
      </c>
      <c r="E119" s="1276"/>
      <c r="F119" s="1170"/>
      <c r="G119" s="1178"/>
      <c r="H119" s="1276"/>
      <c r="I119" s="1170"/>
      <c r="J119" s="525"/>
      <c r="K119" s="1276"/>
      <c r="L119" s="1170"/>
      <c r="M119" s="525"/>
      <c r="N119" s="1276"/>
      <c r="O119" s="1170"/>
      <c r="P119" s="525"/>
      <c r="Q119" s="1276"/>
      <c r="R119" s="1170"/>
      <c r="S119" s="525"/>
      <c r="T119" s="1276"/>
      <c r="U119" s="1170"/>
      <c r="V119" s="525"/>
      <c r="W119" s="764"/>
      <c r="X119" s="2336"/>
      <c r="Y119" s="765"/>
      <c r="Z119" s="765"/>
      <c r="AA119" s="765"/>
      <c r="AB119" s="765"/>
      <c r="AD119" s="766"/>
    </row>
    <row r="120" spans="1:30" ht="15.6" hidden="1">
      <c r="A120" s="764"/>
      <c r="B120" s="433" t="s">
        <v>209</v>
      </c>
      <c r="C120" s="498" t="s">
        <v>82</v>
      </c>
      <c r="D120" s="1278" t="s">
        <v>36</v>
      </c>
      <c r="E120" s="1275"/>
      <c r="F120" s="441"/>
      <c r="G120" s="430"/>
      <c r="H120" s="1275"/>
      <c r="I120" s="441"/>
      <c r="J120" s="430"/>
      <c r="K120" s="1275"/>
      <c r="L120" s="441"/>
      <c r="M120" s="430"/>
      <c r="N120" s="1275"/>
      <c r="O120" s="441"/>
      <c r="P120" s="430"/>
      <c r="Q120" s="1275"/>
      <c r="R120" s="441"/>
      <c r="S120" s="430"/>
      <c r="T120" s="1275"/>
      <c r="U120" s="441"/>
      <c r="V120" s="430"/>
      <c r="W120" s="764"/>
      <c r="X120" s="2336"/>
      <c r="Y120" s="765"/>
      <c r="Z120" s="765"/>
      <c r="AA120" s="765"/>
      <c r="AB120" s="765"/>
      <c r="AD120" s="766"/>
    </row>
    <row r="121" spans="1:30" ht="27" hidden="1" thickBot="1">
      <c r="A121" s="764"/>
      <c r="B121" s="475" t="s">
        <v>180</v>
      </c>
      <c r="C121" s="503" t="s">
        <v>516</v>
      </c>
      <c r="D121" s="1278" t="s">
        <v>36</v>
      </c>
      <c r="E121" s="875"/>
      <c r="F121" s="1177"/>
      <c r="G121" s="1176"/>
      <c r="H121" s="875"/>
      <c r="I121" s="1177"/>
      <c r="J121" s="1176"/>
      <c r="K121" s="875"/>
      <c r="L121" s="1177"/>
      <c r="M121" s="1176"/>
      <c r="N121" s="875"/>
      <c r="O121" s="1177"/>
      <c r="P121" s="1176"/>
      <c r="Q121" s="875"/>
      <c r="R121" s="1177"/>
      <c r="S121" s="1176"/>
      <c r="T121" s="875"/>
      <c r="U121" s="1177"/>
      <c r="V121" s="1176"/>
      <c r="W121" s="764"/>
      <c r="X121" s="2336"/>
      <c r="Y121" s="765"/>
      <c r="Z121" s="765"/>
      <c r="AA121" s="765"/>
      <c r="AB121" s="765"/>
    </row>
    <row r="122" spans="1:30" ht="32.25" hidden="1" customHeight="1">
      <c r="B122" s="876" t="s">
        <v>181</v>
      </c>
      <c r="C122" s="469" t="s">
        <v>1131</v>
      </c>
      <c r="D122" s="482" t="s">
        <v>70</v>
      </c>
      <c r="E122" s="877"/>
      <c r="F122" s="1179" t="s">
        <v>300</v>
      </c>
      <c r="G122" s="1180" t="s">
        <v>300</v>
      </c>
      <c r="H122" s="877"/>
      <c r="I122" s="1179" t="s">
        <v>300</v>
      </c>
      <c r="J122" s="1180" t="s">
        <v>300</v>
      </c>
      <c r="K122" s="877">
        <v>0</v>
      </c>
      <c r="L122" s="1179" t="s">
        <v>300</v>
      </c>
      <c r="M122" s="1180" t="s">
        <v>300</v>
      </c>
      <c r="N122" s="877"/>
      <c r="O122" s="1179" t="s">
        <v>300</v>
      </c>
      <c r="P122" s="1180" t="s">
        <v>300</v>
      </c>
      <c r="Q122" s="877"/>
      <c r="R122" s="1179" t="s">
        <v>300</v>
      </c>
      <c r="S122" s="1180" t="s">
        <v>300</v>
      </c>
      <c r="T122" s="877"/>
      <c r="U122" s="1179" t="s">
        <v>300</v>
      </c>
      <c r="V122" s="1180" t="s">
        <v>300</v>
      </c>
      <c r="W122" s="863"/>
      <c r="X122" s="2336"/>
      <c r="Y122" s="765"/>
      <c r="Z122" s="765"/>
      <c r="AA122" s="765"/>
      <c r="AB122" s="765"/>
    </row>
    <row r="123" spans="1:30" ht="36" hidden="1" customHeight="1">
      <c r="B123" s="878" t="s">
        <v>182</v>
      </c>
      <c r="C123" s="434" t="s">
        <v>1132</v>
      </c>
      <c r="D123" s="1278" t="s">
        <v>70</v>
      </c>
      <c r="E123" s="1276">
        <f>E122*1.2</f>
        <v>0</v>
      </c>
      <c r="F123" s="425" t="s">
        <v>300</v>
      </c>
      <c r="G123" s="524" t="s">
        <v>300</v>
      </c>
      <c r="H123" s="1276">
        <f>H122*1.2</f>
        <v>0</v>
      </c>
      <c r="I123" s="425" t="s">
        <v>300</v>
      </c>
      <c r="J123" s="524" t="s">
        <v>300</v>
      </c>
      <c r="K123" s="1276">
        <v>0</v>
      </c>
      <c r="L123" s="425" t="s">
        <v>300</v>
      </c>
      <c r="M123" s="524" t="s">
        <v>300</v>
      </c>
      <c r="N123" s="1276">
        <f>N122*1.2</f>
        <v>0</v>
      </c>
      <c r="O123" s="425" t="s">
        <v>300</v>
      </c>
      <c r="P123" s="524" t="s">
        <v>300</v>
      </c>
      <c r="Q123" s="1276">
        <f>Q122*1.2</f>
        <v>0</v>
      </c>
      <c r="R123" s="425" t="s">
        <v>300</v>
      </c>
      <c r="S123" s="524" t="s">
        <v>300</v>
      </c>
      <c r="T123" s="1276">
        <f>T122*1.2</f>
        <v>0</v>
      </c>
      <c r="U123" s="425" t="s">
        <v>300</v>
      </c>
      <c r="V123" s="524" t="s">
        <v>300</v>
      </c>
    </row>
    <row r="124" spans="1:30" ht="36" hidden="1" customHeight="1">
      <c r="B124" s="878" t="s">
        <v>183</v>
      </c>
      <c r="C124" s="434" t="s">
        <v>1133</v>
      </c>
      <c r="D124" s="1272" t="s">
        <v>989</v>
      </c>
      <c r="E124" s="429" t="s">
        <v>300</v>
      </c>
      <c r="F124" s="1169" t="s">
        <v>300</v>
      </c>
      <c r="G124" s="524" t="s">
        <v>300</v>
      </c>
      <c r="H124" s="871" t="s">
        <v>300</v>
      </c>
      <c r="I124" s="425" t="s">
        <v>300</v>
      </c>
      <c r="J124" s="524" t="s">
        <v>300</v>
      </c>
      <c r="K124" s="429" t="s">
        <v>300</v>
      </c>
      <c r="L124" s="425" t="s">
        <v>300</v>
      </c>
      <c r="M124" s="524" t="s">
        <v>300</v>
      </c>
      <c r="N124" s="871" t="s">
        <v>300</v>
      </c>
      <c r="O124" s="425" t="s">
        <v>300</v>
      </c>
      <c r="P124" s="524" t="s">
        <v>300</v>
      </c>
      <c r="Q124" s="871" t="s">
        <v>300</v>
      </c>
      <c r="R124" s="425" t="s">
        <v>300</v>
      </c>
      <c r="S124" s="524" t="s">
        <v>300</v>
      </c>
      <c r="T124" s="429" t="s">
        <v>300</v>
      </c>
      <c r="U124" s="425" t="s">
        <v>300</v>
      </c>
      <c r="V124" s="524" t="s">
        <v>300</v>
      </c>
    </row>
    <row r="125" spans="1:30" ht="15.6" hidden="1">
      <c r="B125" s="878" t="s">
        <v>88</v>
      </c>
      <c r="C125" s="435" t="s">
        <v>1109</v>
      </c>
      <c r="D125" s="1272" t="s">
        <v>1126</v>
      </c>
      <c r="E125" s="1276">
        <f>F125</f>
        <v>0</v>
      </c>
      <c r="F125" s="1170">
        <f>F121/F16</f>
        <v>0</v>
      </c>
      <c r="G125" s="524" t="s">
        <v>300</v>
      </c>
      <c r="H125" s="1276">
        <f>I125</f>
        <v>0</v>
      </c>
      <c r="I125" s="1170">
        <f>I121/I16</f>
        <v>0</v>
      </c>
      <c r="J125" s="524" t="s">
        <v>300</v>
      </c>
      <c r="K125" s="1276">
        <v>0</v>
      </c>
      <c r="L125" s="1170">
        <v>0</v>
      </c>
      <c r="M125" s="524" t="s">
        <v>300</v>
      </c>
      <c r="N125" s="872">
        <f>O125</f>
        <v>0</v>
      </c>
      <c r="O125" s="1170">
        <f>O121/O16</f>
        <v>0</v>
      </c>
      <c r="P125" s="524" t="s">
        <v>300</v>
      </c>
      <c r="Q125" s="872">
        <f>R125</f>
        <v>0</v>
      </c>
      <c r="R125" s="1170">
        <f>R121/R16</f>
        <v>0</v>
      </c>
      <c r="S125" s="524" t="s">
        <v>300</v>
      </c>
      <c r="T125" s="1276">
        <f>U125</f>
        <v>0</v>
      </c>
      <c r="U125" s="1170">
        <f>U121/U16</f>
        <v>0</v>
      </c>
      <c r="V125" s="524" t="s">
        <v>300</v>
      </c>
    </row>
    <row r="126" spans="1:30" ht="31.2" hidden="1">
      <c r="B126" s="878" t="s">
        <v>89</v>
      </c>
      <c r="C126" s="435" t="s">
        <v>1193</v>
      </c>
      <c r="D126" s="1272" t="s">
        <v>1130</v>
      </c>
      <c r="E126" s="1276">
        <f>G126</f>
        <v>0</v>
      </c>
      <c r="F126" s="1169" t="s">
        <v>300</v>
      </c>
      <c r="G126" s="525">
        <f>G121/G19*1000/12</f>
        <v>0</v>
      </c>
      <c r="H126" s="1276">
        <f>J126</f>
        <v>0</v>
      </c>
      <c r="I126" s="1169" t="s">
        <v>300</v>
      </c>
      <c r="J126" s="525">
        <f>J121/J19*1000/12</f>
        <v>0</v>
      </c>
      <c r="K126" s="1276">
        <v>0</v>
      </c>
      <c r="L126" s="1169" t="s">
        <v>300</v>
      </c>
      <c r="M126" s="525">
        <f>M121/M19*1000/12</f>
        <v>0</v>
      </c>
      <c r="N126" s="872">
        <f>P126</f>
        <v>0</v>
      </c>
      <c r="O126" s="425" t="s">
        <v>300</v>
      </c>
      <c r="P126" s="525">
        <f>P121/P19*1000/12</f>
        <v>0</v>
      </c>
      <c r="Q126" s="872">
        <f>S126</f>
        <v>0</v>
      </c>
      <c r="R126" s="425" t="s">
        <v>300</v>
      </c>
      <c r="S126" s="525">
        <f>S121/S19*1000/12</f>
        <v>0</v>
      </c>
      <c r="T126" s="1276">
        <f>V126</f>
        <v>0</v>
      </c>
      <c r="U126" s="1169" t="s">
        <v>300</v>
      </c>
      <c r="V126" s="525">
        <f>V121/V19*1000/12</f>
        <v>0</v>
      </c>
    </row>
    <row r="127" spans="1:30" ht="36" hidden="1" customHeight="1">
      <c r="B127" s="878" t="s">
        <v>184</v>
      </c>
      <c r="C127" s="434" t="s">
        <v>1145</v>
      </c>
      <c r="D127" s="1272" t="s">
        <v>989</v>
      </c>
      <c r="E127" s="429" t="s">
        <v>300</v>
      </c>
      <c r="F127" s="1169" t="s">
        <v>300</v>
      </c>
      <c r="G127" s="524" t="s">
        <v>300</v>
      </c>
      <c r="H127" s="429" t="s">
        <v>300</v>
      </c>
      <c r="I127" s="1169" t="s">
        <v>300</v>
      </c>
      <c r="J127" s="524" t="s">
        <v>300</v>
      </c>
      <c r="K127" s="429" t="s">
        <v>300</v>
      </c>
      <c r="L127" s="1169" t="s">
        <v>300</v>
      </c>
      <c r="M127" s="524" t="s">
        <v>300</v>
      </c>
      <c r="N127" s="429" t="s">
        <v>300</v>
      </c>
      <c r="O127" s="1169" t="s">
        <v>300</v>
      </c>
      <c r="P127" s="524" t="s">
        <v>300</v>
      </c>
      <c r="Q127" s="429" t="s">
        <v>300</v>
      </c>
      <c r="R127" s="1169" t="s">
        <v>300</v>
      </c>
      <c r="S127" s="524" t="s">
        <v>300</v>
      </c>
      <c r="T127" s="429" t="s">
        <v>300</v>
      </c>
      <c r="U127" s="1169" t="s">
        <v>300</v>
      </c>
      <c r="V127" s="524" t="s">
        <v>300</v>
      </c>
    </row>
    <row r="128" spans="1:30" ht="15.6" hidden="1">
      <c r="B128" s="878" t="s">
        <v>222</v>
      </c>
      <c r="C128" s="435" t="s">
        <v>1109</v>
      </c>
      <c r="D128" s="1272" t="s">
        <v>1126</v>
      </c>
      <c r="E128" s="872">
        <f>E125*1.2</f>
        <v>0</v>
      </c>
      <c r="F128" s="441">
        <f>F125*1.2</f>
        <v>0</v>
      </c>
      <c r="G128" s="524" t="s">
        <v>300</v>
      </c>
      <c r="H128" s="872">
        <f>H125*1.2</f>
        <v>0</v>
      </c>
      <c r="I128" s="441">
        <f>I125*1.2</f>
        <v>0</v>
      </c>
      <c r="J128" s="524" t="s">
        <v>300</v>
      </c>
      <c r="K128" s="872">
        <f>K125*1.2</f>
        <v>0</v>
      </c>
      <c r="L128" s="441">
        <f>L125*1.2</f>
        <v>0</v>
      </c>
      <c r="M128" s="524" t="s">
        <v>300</v>
      </c>
      <c r="N128" s="872">
        <f>N125*1.2</f>
        <v>0</v>
      </c>
      <c r="O128" s="441">
        <f>O125*1.2</f>
        <v>0</v>
      </c>
      <c r="P128" s="524" t="s">
        <v>300</v>
      </c>
      <c r="Q128" s="872">
        <f>Q125*1.2</f>
        <v>0</v>
      </c>
      <c r="R128" s="441">
        <f>R125*1.2</f>
        <v>0</v>
      </c>
      <c r="S128" s="524" t="s">
        <v>300</v>
      </c>
      <c r="T128" s="872">
        <f>T125*1.2</f>
        <v>0</v>
      </c>
      <c r="U128" s="441">
        <f>U125*1.2</f>
        <v>0</v>
      </c>
      <c r="V128" s="524" t="s">
        <v>300</v>
      </c>
    </row>
    <row r="129" spans="2:30" ht="31.8" hidden="1" thickBot="1">
      <c r="B129" s="488" t="s">
        <v>223</v>
      </c>
      <c r="C129" s="436" t="s">
        <v>1193</v>
      </c>
      <c r="D129" s="480" t="s">
        <v>1130</v>
      </c>
      <c r="E129" s="438">
        <f>E126*1.2</f>
        <v>0</v>
      </c>
      <c r="F129" s="1172" t="s">
        <v>300</v>
      </c>
      <c r="G129" s="443">
        <f>G126*1.2</f>
        <v>0</v>
      </c>
      <c r="H129" s="438">
        <f>H126*1.2</f>
        <v>0</v>
      </c>
      <c r="I129" s="1172" t="s">
        <v>300</v>
      </c>
      <c r="J129" s="443">
        <f>J126*1.2</f>
        <v>0</v>
      </c>
      <c r="K129" s="438">
        <f>K126*1.2</f>
        <v>0</v>
      </c>
      <c r="L129" s="1172" t="s">
        <v>300</v>
      </c>
      <c r="M129" s="443">
        <f>M126*1.2</f>
        <v>0</v>
      </c>
      <c r="N129" s="438">
        <f>N126*1.2</f>
        <v>0</v>
      </c>
      <c r="O129" s="1172" t="s">
        <v>300</v>
      </c>
      <c r="P129" s="443">
        <f>P126*1.2</f>
        <v>0</v>
      </c>
      <c r="Q129" s="438">
        <f>Q126*1.2</f>
        <v>0</v>
      </c>
      <c r="R129" s="1172" t="s">
        <v>300</v>
      </c>
      <c r="S129" s="443">
        <f>S126*1.2</f>
        <v>0</v>
      </c>
      <c r="T129" s="438">
        <f>T126*1.2</f>
        <v>0</v>
      </c>
      <c r="U129" s="1172" t="s">
        <v>300</v>
      </c>
      <c r="V129" s="443">
        <f>V126*1.2</f>
        <v>0</v>
      </c>
    </row>
    <row r="130" spans="2:30" ht="21.75" customHeight="1" thickBot="1">
      <c r="B130" s="879"/>
      <c r="C130" s="2612" t="s">
        <v>2</v>
      </c>
      <c r="D130" s="2612"/>
      <c r="E130" s="2612"/>
      <c r="F130" s="2612"/>
      <c r="G130" s="2612"/>
      <c r="H130" s="2612"/>
      <c r="I130" s="2612"/>
      <c r="J130" s="2612"/>
      <c r="K130" s="2612"/>
      <c r="L130" s="2612"/>
      <c r="M130" s="2612"/>
      <c r="N130" s="2612"/>
      <c r="O130" s="2612"/>
      <c r="P130" s="2612"/>
      <c r="Q130" s="2612"/>
      <c r="R130" s="2612"/>
      <c r="S130" s="2612"/>
      <c r="T130" s="2612"/>
      <c r="U130" s="2612"/>
      <c r="V130" s="2613"/>
    </row>
    <row r="131" spans="2:30" ht="15.6">
      <c r="B131" s="880">
        <v>1</v>
      </c>
      <c r="C131" s="504" t="s">
        <v>201</v>
      </c>
      <c r="D131" s="1134" t="s">
        <v>36</v>
      </c>
      <c r="E131" s="2338">
        <f>E132+E133+E134+E138</f>
        <v>152.71347162429942</v>
      </c>
      <c r="F131" s="2339"/>
      <c r="G131" s="2340">
        <f t="shared" ref="G131:V131" si="22">G132+G133+G134+G138</f>
        <v>152.71347162429942</v>
      </c>
      <c r="H131" s="2338">
        <f t="shared" si="22"/>
        <v>115.57674364923251</v>
      </c>
      <c r="I131" s="2339"/>
      <c r="J131" s="2340">
        <f t="shared" si="22"/>
        <v>115.57674364923251</v>
      </c>
      <c r="K131" s="2338">
        <f t="shared" si="22"/>
        <v>8.6048516039789114</v>
      </c>
      <c r="L131" s="2339"/>
      <c r="M131" s="2340">
        <f t="shared" si="22"/>
        <v>8.6048516039789114</v>
      </c>
      <c r="N131" s="2338">
        <f t="shared" si="22"/>
        <v>14.281034416428156</v>
      </c>
      <c r="O131" s="2339"/>
      <c r="P131" s="2340">
        <f t="shared" si="22"/>
        <v>14.281034416428156</v>
      </c>
      <c r="Q131" s="2338">
        <f t="shared" ref="Q131" si="23">Q132+Q133+Q134+Q138</f>
        <v>7.0046511302565158</v>
      </c>
      <c r="R131" s="2339"/>
      <c r="S131" s="2340">
        <f t="shared" ref="S131" si="24">S132+S133+S134+S138</f>
        <v>7.0046511302565158</v>
      </c>
      <c r="T131" s="2338">
        <f t="shared" si="22"/>
        <v>7.2461908244032935</v>
      </c>
      <c r="U131" s="2339"/>
      <c r="V131" s="2340">
        <f t="shared" si="22"/>
        <v>7.2461908244032935</v>
      </c>
      <c r="W131" s="2331">
        <f>'Д 4_Т на П'!G12</f>
        <v>152.71347162429942</v>
      </c>
      <c r="X131" s="2337">
        <f>E131-W131</f>
        <v>0</v>
      </c>
      <c r="Y131" s="864"/>
      <c r="Z131" s="864"/>
      <c r="AA131" s="864"/>
      <c r="AB131" s="864"/>
      <c r="AC131" s="864"/>
      <c r="AD131" s="864"/>
    </row>
    <row r="132" spans="2:30" ht="15.6">
      <c r="B132" s="881" t="s">
        <v>22</v>
      </c>
      <c r="C132" s="505" t="s">
        <v>97</v>
      </c>
      <c r="D132" s="1272" t="s">
        <v>36</v>
      </c>
      <c r="E132" s="2341">
        <f>'Д 4_Т на П'!G13</f>
        <v>0</v>
      </c>
      <c r="F132" s="2342"/>
      <c r="G132" s="2343">
        <f>E132</f>
        <v>0</v>
      </c>
      <c r="H132" s="2341">
        <f>'Д 4_Т на П'!H13</f>
        <v>0</v>
      </c>
      <c r="I132" s="2342"/>
      <c r="J132" s="2343">
        <f>H132</f>
        <v>0</v>
      </c>
      <c r="K132" s="2341">
        <f>'Д 4_Т на П'!I13</f>
        <v>0</v>
      </c>
      <c r="L132" s="2342"/>
      <c r="M132" s="2343">
        <f>K132</f>
        <v>0</v>
      </c>
      <c r="N132" s="2341">
        <f>'Д 4_Т на П'!J13</f>
        <v>0</v>
      </c>
      <c r="O132" s="2342"/>
      <c r="P132" s="2343">
        <f>N132</f>
        <v>0</v>
      </c>
      <c r="Q132" s="2341">
        <f>'Д 4_Т на П'!K13</f>
        <v>0</v>
      </c>
      <c r="R132" s="2342"/>
      <c r="S132" s="2343">
        <f>Q132</f>
        <v>0</v>
      </c>
      <c r="T132" s="2341">
        <f>'Д 4_Т на П'!L13</f>
        <v>0</v>
      </c>
      <c r="U132" s="2342"/>
      <c r="V132" s="2343">
        <f>T132</f>
        <v>0</v>
      </c>
      <c r="W132" s="2331">
        <f>'Д 4_Т на П'!G13</f>
        <v>0</v>
      </c>
      <c r="X132" s="2337">
        <f t="shared" ref="X132:X160" si="25">E132-W132</f>
        <v>0</v>
      </c>
    </row>
    <row r="133" spans="2:30" ht="15.6">
      <c r="B133" s="881" t="s">
        <v>23</v>
      </c>
      <c r="C133" s="505" t="s">
        <v>43</v>
      </c>
      <c r="D133" s="1272" t="s">
        <v>36</v>
      </c>
      <c r="E133" s="2341">
        <f>'Д 4_Т на П'!G14</f>
        <v>144.13114754098359</v>
      </c>
      <c r="F133" s="2342"/>
      <c r="G133" s="2343">
        <f>E133</f>
        <v>144.13114754098359</v>
      </c>
      <c r="H133" s="2341">
        <f>'Д 4_Т на П'!H14</f>
        <v>109.08146160278471</v>
      </c>
      <c r="I133" s="2342"/>
      <c r="J133" s="2343">
        <f>H133</f>
        <v>109.08146160278471</v>
      </c>
      <c r="K133" s="2341">
        <f>'Д 4_Т на П'!I14</f>
        <v>8.1212686929972957</v>
      </c>
      <c r="L133" s="2342"/>
      <c r="M133" s="2343">
        <f>K133</f>
        <v>8.1212686929972957</v>
      </c>
      <c r="N133" s="2341">
        <f>'Д 4_Т на П'!J14</f>
        <v>13.478456462413055</v>
      </c>
      <c r="O133" s="2342"/>
      <c r="P133" s="2343">
        <f>N133</f>
        <v>13.478456462413055</v>
      </c>
      <c r="Q133" s="2341">
        <f>'Д 4_Т на П'!K14</f>
        <v>6.610997672896044</v>
      </c>
      <c r="R133" s="2342"/>
      <c r="S133" s="2343">
        <f>Q133</f>
        <v>6.610997672896044</v>
      </c>
      <c r="T133" s="2341">
        <f>'Д 4_Т на П'!L14</f>
        <v>6.8389631098924601</v>
      </c>
      <c r="U133" s="2342"/>
      <c r="V133" s="2343">
        <f>T133</f>
        <v>6.8389631098924601</v>
      </c>
      <c r="W133" s="2331">
        <f>'Д 4_Т на П'!G14</f>
        <v>144.13114754098359</v>
      </c>
      <c r="X133" s="2337">
        <f t="shared" si="25"/>
        <v>0</v>
      </c>
    </row>
    <row r="134" spans="2:30" ht="15.6">
      <c r="B134" s="881" t="s">
        <v>44</v>
      </c>
      <c r="C134" s="505" t="s">
        <v>203</v>
      </c>
      <c r="D134" s="1272" t="s">
        <v>36</v>
      </c>
      <c r="E134" s="2341">
        <f>E135+E136+E137</f>
        <v>6.9759475409836069</v>
      </c>
      <c r="F134" s="2342"/>
      <c r="G134" s="2343">
        <f t="shared" ref="G134:V134" si="26">G135+G136+G137</f>
        <v>6.9759475409836069</v>
      </c>
      <c r="H134" s="2341">
        <f>'Д 4_Т на П'!H15</f>
        <v>5.2795427415747813</v>
      </c>
      <c r="I134" s="2342"/>
      <c r="J134" s="2343">
        <f t="shared" si="26"/>
        <v>5.2795427415747813</v>
      </c>
      <c r="K134" s="2341">
        <f>'Д 4_Т на П'!I15</f>
        <v>0.39306940474106916</v>
      </c>
      <c r="L134" s="2342"/>
      <c r="M134" s="2343">
        <f t="shared" si="26"/>
        <v>0.39306940474106916</v>
      </c>
      <c r="N134" s="2341">
        <f>'Д 4_Т на П'!J15</f>
        <v>0.65235729278079191</v>
      </c>
      <c r="O134" s="2342"/>
      <c r="P134" s="2343">
        <f t="shared" si="26"/>
        <v>0.65235729278079191</v>
      </c>
      <c r="Q134" s="2341">
        <f>'Д 4_Т на П'!K15</f>
        <v>0.31997228736816857</v>
      </c>
      <c r="R134" s="2342"/>
      <c r="S134" s="2343">
        <f t="shared" ref="S134" si="27">S135+S136+S137</f>
        <v>0.31997228736816857</v>
      </c>
      <c r="T134" s="2341">
        <f>'Д 4_Т на П'!L15</f>
        <v>0.33100581451879513</v>
      </c>
      <c r="U134" s="2342"/>
      <c r="V134" s="2343">
        <f t="shared" si="26"/>
        <v>0.33100581451879513</v>
      </c>
      <c r="W134" s="2331">
        <f>'Д 4_Т на П'!G15</f>
        <v>6.9759475409836069</v>
      </c>
      <c r="X134" s="2337">
        <f t="shared" si="25"/>
        <v>0</v>
      </c>
    </row>
    <row r="135" spans="2:30" ht="26.4">
      <c r="B135" s="881" t="s">
        <v>45</v>
      </c>
      <c r="C135" s="505" t="s">
        <v>433</v>
      </c>
      <c r="D135" s="1272" t="s">
        <v>36</v>
      </c>
      <c r="E135" s="2341">
        <f>'Д 4_Т на П'!G16</f>
        <v>6.9759475409836069</v>
      </c>
      <c r="F135" s="2342"/>
      <c r="G135" s="2343">
        <f>E135</f>
        <v>6.9759475409836069</v>
      </c>
      <c r="H135" s="2341">
        <f>'Д 4_Т на П'!H16</f>
        <v>5.2795427415747813</v>
      </c>
      <c r="I135" s="2342"/>
      <c r="J135" s="2343">
        <f>H135</f>
        <v>5.2795427415747813</v>
      </c>
      <c r="K135" s="2341">
        <f>'Д 4_Т на П'!I16</f>
        <v>0.39306940474106916</v>
      </c>
      <c r="L135" s="2342"/>
      <c r="M135" s="2343">
        <f>K135</f>
        <v>0.39306940474106916</v>
      </c>
      <c r="N135" s="2341">
        <f>'Д 4_Т на П'!J16</f>
        <v>0.65235729278079191</v>
      </c>
      <c r="O135" s="2342"/>
      <c r="P135" s="2343">
        <f>N135</f>
        <v>0.65235729278079191</v>
      </c>
      <c r="Q135" s="2341">
        <f>'Д 4_Т на П'!K16</f>
        <v>0.31997228736816857</v>
      </c>
      <c r="R135" s="2342"/>
      <c r="S135" s="2343">
        <f>Q135</f>
        <v>0.31997228736816857</v>
      </c>
      <c r="T135" s="2341">
        <f>'Д 4_Т на П'!L16</f>
        <v>0.33100581451879513</v>
      </c>
      <c r="U135" s="2342"/>
      <c r="V135" s="2343">
        <f>T135</f>
        <v>0.33100581451879513</v>
      </c>
      <c r="W135" s="2331">
        <f>'Д 4_Т на П'!G16</f>
        <v>6.9759475409836069</v>
      </c>
      <c r="X135" s="2337">
        <f t="shared" si="25"/>
        <v>0</v>
      </c>
    </row>
    <row r="136" spans="2:30" ht="15.6">
      <c r="B136" s="881" t="s">
        <v>46</v>
      </c>
      <c r="C136" s="505" t="s">
        <v>441</v>
      </c>
      <c r="D136" s="1272" t="s">
        <v>36</v>
      </c>
      <c r="E136" s="2341">
        <f>'Д 4_Т на П'!G17</f>
        <v>0</v>
      </c>
      <c r="F136" s="2342"/>
      <c r="G136" s="2343">
        <f>E136</f>
        <v>0</v>
      </c>
      <c r="H136" s="2341">
        <f>'Д 4_Т на П'!H17</f>
        <v>0</v>
      </c>
      <c r="I136" s="2342"/>
      <c r="J136" s="2343">
        <f>H136</f>
        <v>0</v>
      </c>
      <c r="K136" s="2341">
        <f>'Д 4_Т на П'!I17</f>
        <v>0</v>
      </c>
      <c r="L136" s="2342"/>
      <c r="M136" s="2343">
        <f>K136</f>
        <v>0</v>
      </c>
      <c r="N136" s="2341">
        <f>'Д 4_Т на П'!J17</f>
        <v>0</v>
      </c>
      <c r="O136" s="2342"/>
      <c r="P136" s="2343">
        <f>N136</f>
        <v>0</v>
      </c>
      <c r="Q136" s="2341">
        <f>'Д 4_Т на П'!K17</f>
        <v>0</v>
      </c>
      <c r="R136" s="2342"/>
      <c r="S136" s="2343">
        <f>Q136</f>
        <v>0</v>
      </c>
      <c r="T136" s="2341">
        <f>'Д 4_Т на П'!L17</f>
        <v>0</v>
      </c>
      <c r="U136" s="2342"/>
      <c r="V136" s="2343">
        <f>T136</f>
        <v>0</v>
      </c>
      <c r="W136" s="2331">
        <f>'Д 4_Т на П'!G17</f>
        <v>0</v>
      </c>
      <c r="X136" s="2337">
        <f t="shared" si="25"/>
        <v>0</v>
      </c>
    </row>
    <row r="137" spans="2:30" ht="15.6">
      <c r="B137" s="881" t="s">
        <v>47</v>
      </c>
      <c r="C137" s="505" t="s">
        <v>48</v>
      </c>
      <c r="D137" s="1272" t="s">
        <v>36</v>
      </c>
      <c r="E137" s="2341">
        <f>'Д 4_Т на П'!G18</f>
        <v>0</v>
      </c>
      <c r="F137" s="2342"/>
      <c r="G137" s="2343">
        <f>E137</f>
        <v>0</v>
      </c>
      <c r="H137" s="2341">
        <f>'Д 4_Т на П'!H18</f>
        <v>0</v>
      </c>
      <c r="I137" s="2342"/>
      <c r="J137" s="2343">
        <f>H137</f>
        <v>0</v>
      </c>
      <c r="K137" s="2341">
        <f>'Д 4_Т на П'!I18</f>
        <v>0</v>
      </c>
      <c r="L137" s="2342"/>
      <c r="M137" s="2343">
        <f>K137</f>
        <v>0</v>
      </c>
      <c r="N137" s="2341">
        <f>'Д 4_Т на П'!J18</f>
        <v>0</v>
      </c>
      <c r="O137" s="2342"/>
      <c r="P137" s="2343">
        <f>N137</f>
        <v>0</v>
      </c>
      <c r="Q137" s="2341">
        <f>'Д 4_Т на П'!K18</f>
        <v>0</v>
      </c>
      <c r="R137" s="2342"/>
      <c r="S137" s="2343">
        <f>Q137</f>
        <v>0</v>
      </c>
      <c r="T137" s="2341">
        <f>'Д 4_Т на П'!L18</f>
        <v>0</v>
      </c>
      <c r="U137" s="2342"/>
      <c r="V137" s="2343">
        <f>T137</f>
        <v>0</v>
      </c>
      <c r="W137" s="2331">
        <f>'Д 4_Т на П'!G18</f>
        <v>0</v>
      </c>
      <c r="X137" s="2337">
        <f t="shared" si="25"/>
        <v>0</v>
      </c>
    </row>
    <row r="138" spans="2:30" ht="15.6">
      <c r="B138" s="881" t="s">
        <v>49</v>
      </c>
      <c r="C138" s="506" t="s">
        <v>204</v>
      </c>
      <c r="D138" s="1306" t="s">
        <v>36</v>
      </c>
      <c r="E138" s="2344">
        <f>E139+E140+E141</f>
        <v>1.6063765423322054</v>
      </c>
      <c r="F138" s="2342"/>
      <c r="G138" s="2345">
        <f t="shared" ref="G138:V138" si="28">G139+G140+G141</f>
        <v>1.6063765423322054</v>
      </c>
      <c r="H138" s="2344">
        <f t="shared" si="28"/>
        <v>1.2157393048730094</v>
      </c>
      <c r="I138" s="2342"/>
      <c r="J138" s="2345">
        <f t="shared" si="28"/>
        <v>1.2157393048730094</v>
      </c>
      <c r="K138" s="2344">
        <f t="shared" si="28"/>
        <v>9.0513506240545383E-2</v>
      </c>
      <c r="L138" s="2342"/>
      <c r="M138" s="2345">
        <f t="shared" si="28"/>
        <v>9.0513506240545383E-2</v>
      </c>
      <c r="N138" s="2344">
        <f t="shared" si="28"/>
        <v>0.15022066123430863</v>
      </c>
      <c r="O138" s="2342"/>
      <c r="P138" s="2345">
        <f t="shared" si="28"/>
        <v>0.15022066123430863</v>
      </c>
      <c r="Q138" s="2344">
        <f t="shared" ref="Q138" si="29">Q139+Q140+Q141</f>
        <v>7.3681169992303605E-2</v>
      </c>
      <c r="R138" s="2342"/>
      <c r="S138" s="2345">
        <f t="shared" ref="S138" si="30">S139+S140+S141</f>
        <v>7.3681169992303605E-2</v>
      </c>
      <c r="T138" s="2344">
        <f t="shared" si="28"/>
        <v>7.6221899992038225E-2</v>
      </c>
      <c r="U138" s="2342"/>
      <c r="V138" s="2345">
        <f t="shared" si="28"/>
        <v>7.6221899992038225E-2</v>
      </c>
      <c r="W138" s="2331">
        <f>'Д 4_Т на П'!G19</f>
        <v>1.6063765423322054</v>
      </c>
      <c r="X138" s="2337">
        <f t="shared" si="25"/>
        <v>0</v>
      </c>
    </row>
    <row r="139" spans="2:30" ht="15.6">
      <c r="B139" s="881" t="s">
        <v>50</v>
      </c>
      <c r="C139" s="505" t="s">
        <v>51</v>
      </c>
      <c r="D139" s="1272" t="s">
        <v>36</v>
      </c>
      <c r="E139" s="2341">
        <f>'Д 4_Т на П'!G20</f>
        <v>1.5222946100506025</v>
      </c>
      <c r="F139" s="2342"/>
      <c r="G139" s="2343">
        <f>E139</f>
        <v>1.5222946100506025</v>
      </c>
      <c r="H139" s="2341">
        <f>'Д 4_Т на П'!H20</f>
        <v>1.1521043430750704</v>
      </c>
      <c r="I139" s="2342"/>
      <c r="J139" s="2343">
        <f>H139</f>
        <v>1.1521043430750704</v>
      </c>
      <c r="K139" s="2341">
        <f>'Д 4_Т на П'!I20</f>
        <v>8.5775793567501327E-2</v>
      </c>
      <c r="L139" s="2342"/>
      <c r="M139" s="2343">
        <f>K139</f>
        <v>8.5775793567501327E-2</v>
      </c>
      <c r="N139" s="2341">
        <f>'Д 4_Т на П'!J20</f>
        <v>0.14235772055237939</v>
      </c>
      <c r="O139" s="2342"/>
      <c r="P139" s="2343">
        <f>N139</f>
        <v>0.14235772055237939</v>
      </c>
      <c r="Q139" s="2341">
        <f>'Д 4_Т на П'!K20</f>
        <v>6.9824505640913359E-2</v>
      </c>
      <c r="R139" s="2342"/>
      <c r="S139" s="2343">
        <f>Q139</f>
        <v>6.9824505640913359E-2</v>
      </c>
      <c r="T139" s="2341">
        <f>'Д 4_Т на П'!L20</f>
        <v>7.2232247214737963E-2</v>
      </c>
      <c r="U139" s="2342"/>
      <c r="V139" s="2343">
        <f>T139</f>
        <v>7.2232247214737963E-2</v>
      </c>
      <c r="W139" s="2331">
        <f>'Д 4_Т на П'!G20</f>
        <v>1.5222946100506025</v>
      </c>
      <c r="X139" s="2337">
        <f t="shared" si="25"/>
        <v>0</v>
      </c>
    </row>
    <row r="140" spans="2:30" ht="26.4">
      <c r="B140" s="881" t="s">
        <v>52</v>
      </c>
      <c r="C140" s="505" t="s">
        <v>433</v>
      </c>
      <c r="D140" s="1272" t="s">
        <v>36</v>
      </c>
      <c r="E140" s="2341">
        <f>'Д 4_Т на П'!G21</f>
        <v>7.3679059126449162E-2</v>
      </c>
      <c r="F140" s="2342"/>
      <c r="G140" s="2343">
        <f>E140</f>
        <v>7.3679059126449162E-2</v>
      </c>
      <c r="H140" s="2341">
        <f>'Д 4_Т на П'!H21</f>
        <v>5.5761850204833402E-2</v>
      </c>
      <c r="I140" s="2342"/>
      <c r="J140" s="2343">
        <f>H140</f>
        <v>5.5761850204833402E-2</v>
      </c>
      <c r="K140" s="2341">
        <f>'Д 4_Т на П'!I21</f>
        <v>4.1515484086670643E-3</v>
      </c>
      <c r="L140" s="2342"/>
      <c r="M140" s="2343">
        <f>K140</f>
        <v>4.1515484086670643E-3</v>
      </c>
      <c r="N140" s="2341">
        <f>'Д 4_Т на П'!J21</f>
        <v>6.8901136747351616E-3</v>
      </c>
      <c r="O140" s="2342"/>
      <c r="P140" s="2343">
        <f>N140</f>
        <v>6.8901136747351616E-3</v>
      </c>
      <c r="Q140" s="2341">
        <f>'Д 4_Т на П'!K21</f>
        <v>3.3795060730202062E-3</v>
      </c>
      <c r="R140" s="2342"/>
      <c r="S140" s="2343">
        <f>Q140</f>
        <v>3.3795060730202062E-3</v>
      </c>
      <c r="T140" s="2341">
        <f>'Д 4_Т на П'!L21</f>
        <v>3.4960407651933173E-3</v>
      </c>
      <c r="U140" s="2342"/>
      <c r="V140" s="2343">
        <f>T140</f>
        <v>3.4960407651933173E-3</v>
      </c>
      <c r="W140" s="2331">
        <f>'Д 4_Т на П'!G21</f>
        <v>7.3679059126449162E-2</v>
      </c>
      <c r="X140" s="2337">
        <f t="shared" si="25"/>
        <v>0</v>
      </c>
    </row>
    <row r="141" spans="2:30" ht="15.6">
      <c r="B141" s="881" t="s">
        <v>53</v>
      </c>
      <c r="C141" s="505" t="s">
        <v>54</v>
      </c>
      <c r="D141" s="1272" t="s">
        <v>36</v>
      </c>
      <c r="E141" s="2341">
        <f>'Д 4_Т на П'!G22</f>
        <v>1.0402873155153758E-2</v>
      </c>
      <c r="F141" s="2342"/>
      <c r="G141" s="2343">
        <f>E141</f>
        <v>1.0402873155153758E-2</v>
      </c>
      <c r="H141" s="2341">
        <f>'Д 4_Т на П'!H22</f>
        <v>7.8731115931056899E-3</v>
      </c>
      <c r="I141" s="2342"/>
      <c r="J141" s="2343">
        <f>H141</f>
        <v>7.8731115931056899E-3</v>
      </c>
      <c r="K141" s="2341">
        <f>'Д 4_Т на П'!I22</f>
        <v>5.8616426437699113E-4</v>
      </c>
      <c r="L141" s="2342"/>
      <c r="M141" s="2343">
        <f>K141</f>
        <v>5.8616426437699113E-4</v>
      </c>
      <c r="N141" s="2341">
        <f>'Д 4_Т на П'!J22</f>
        <v>9.7282700719409385E-4</v>
      </c>
      <c r="O141" s="2342"/>
      <c r="P141" s="2343">
        <f>N141</f>
        <v>9.7282700719409385E-4</v>
      </c>
      <c r="Q141" s="2341">
        <f>'Д 4_Т на П'!K22</f>
        <v>4.7715827837004185E-4</v>
      </c>
      <c r="R141" s="2342"/>
      <c r="S141" s="2343">
        <f>Q141</f>
        <v>4.7715827837004185E-4</v>
      </c>
      <c r="T141" s="2341">
        <f>'Д 4_Т на П'!L22</f>
        <v>4.9361201210693984E-4</v>
      </c>
      <c r="U141" s="2342"/>
      <c r="V141" s="2343">
        <f>T141</f>
        <v>4.9361201210693984E-4</v>
      </c>
      <c r="W141" s="2331">
        <f>'Д 4_Т на П'!G22</f>
        <v>1.0402873155153758E-2</v>
      </c>
      <c r="X141" s="2337">
        <f t="shared" si="25"/>
        <v>0</v>
      </c>
    </row>
    <row r="142" spans="2:30" ht="15.6">
      <c r="B142" s="881">
        <v>2</v>
      </c>
      <c r="C142" s="506" t="s">
        <v>205</v>
      </c>
      <c r="D142" s="1272" t="s">
        <v>36</v>
      </c>
      <c r="E142" s="2344">
        <f>E143+E144+E145</f>
        <v>13.611857553552259</v>
      </c>
      <c r="F142" s="2342"/>
      <c r="G142" s="2345">
        <f t="shared" ref="G142:V142" si="31">G143+G144+G145</f>
        <v>13.611857553552259</v>
      </c>
      <c r="H142" s="2344">
        <f>SUM(H143:H145)</f>
        <v>10.301737982403726</v>
      </c>
      <c r="I142" s="2342"/>
      <c r="J142" s="2345">
        <f t="shared" si="31"/>
        <v>10.301737982403726</v>
      </c>
      <c r="K142" s="2344">
        <f t="shared" si="31"/>
        <v>0.76697892502222109</v>
      </c>
      <c r="L142" s="2342"/>
      <c r="M142" s="2345">
        <f t="shared" si="31"/>
        <v>0.76697892502222109</v>
      </c>
      <c r="N142" s="2344">
        <f t="shared" si="31"/>
        <v>1.2729159001245982</v>
      </c>
      <c r="O142" s="2342"/>
      <c r="P142" s="2345">
        <f t="shared" si="31"/>
        <v>1.2729159001245982</v>
      </c>
      <c r="Q142" s="2344">
        <f t="shared" ref="Q142" si="32">Q143+Q144+Q145</f>
        <v>0.62434775650931673</v>
      </c>
      <c r="R142" s="2342"/>
      <c r="S142" s="2345">
        <f t="shared" ref="S142" si="33">S143+S144+S145</f>
        <v>0.62434775650931673</v>
      </c>
      <c r="T142" s="2344">
        <f t="shared" si="31"/>
        <v>0.64587698949239658</v>
      </c>
      <c r="U142" s="2342"/>
      <c r="V142" s="2345">
        <f t="shared" si="31"/>
        <v>0.64587698949239658</v>
      </c>
      <c r="W142" s="2331">
        <f>'Д 4_Т на П'!G23</f>
        <v>13.611857553552259</v>
      </c>
      <c r="X142" s="2337">
        <f t="shared" si="25"/>
        <v>0</v>
      </c>
    </row>
    <row r="143" spans="2:30" ht="15.6">
      <c r="B143" s="881" t="s">
        <v>24</v>
      </c>
      <c r="C143" s="505" t="s">
        <v>51</v>
      </c>
      <c r="D143" s="1272" t="s">
        <v>36</v>
      </c>
      <c r="E143" s="2341">
        <f>'Д 4_Т на П'!G24</f>
        <v>11.690977570773116</v>
      </c>
      <c r="F143" s="2342"/>
      <c r="G143" s="2343">
        <f>E143</f>
        <v>11.690977570773116</v>
      </c>
      <c r="H143" s="2341">
        <f>'Д 4_Т на П'!H24</f>
        <v>8.8479759076550977</v>
      </c>
      <c r="I143" s="2342"/>
      <c r="J143" s="2343">
        <f>H143</f>
        <v>8.8479759076550977</v>
      </c>
      <c r="K143" s="2341">
        <f>'Д 4_Т на П'!I24</f>
        <v>0.65874428779563821</v>
      </c>
      <c r="L143" s="2342"/>
      <c r="M143" s="2343">
        <f>K143</f>
        <v>0.65874428779563821</v>
      </c>
      <c r="N143" s="2341">
        <f>'Д 4_Т на П'!J24</f>
        <v>1.0932843793941642</v>
      </c>
      <c r="O143" s="2342"/>
      <c r="P143" s="2343">
        <f>N143</f>
        <v>1.0932843793941642</v>
      </c>
      <c r="Q143" s="2341">
        <f>'Д 4_Т на П'!K24</f>
        <v>0.53624096410030897</v>
      </c>
      <c r="R143" s="2342"/>
      <c r="S143" s="2343">
        <f>Q143</f>
        <v>0.53624096410030897</v>
      </c>
      <c r="T143" s="2341">
        <f>'Д 4_Т на П'!L24</f>
        <v>0.55473203182790587</v>
      </c>
      <c r="U143" s="2342"/>
      <c r="V143" s="2343">
        <f>T143</f>
        <v>0.55473203182790587</v>
      </c>
      <c r="W143" s="2331">
        <f>'Д 4_Т на П'!G24</f>
        <v>11.690977570773116</v>
      </c>
      <c r="X143" s="2337">
        <f t="shared" si="25"/>
        <v>0</v>
      </c>
    </row>
    <row r="144" spans="2:30" ht="26.4">
      <c r="B144" s="881" t="s">
        <v>25</v>
      </c>
      <c r="C144" s="505" t="s">
        <v>433</v>
      </c>
      <c r="D144" s="1272" t="s">
        <v>36</v>
      </c>
      <c r="E144" s="2341">
        <f>'Д 4_Т на П'!G25</f>
        <v>0.5658433144254188</v>
      </c>
      <c r="F144" s="2342"/>
      <c r="G144" s="2343">
        <f>E144</f>
        <v>0.5658433144254188</v>
      </c>
      <c r="H144" s="2341">
        <f>'Д 4_Т на П'!H25</f>
        <v>0.42824203393050669</v>
      </c>
      <c r="I144" s="2342"/>
      <c r="J144" s="2343">
        <f>H144</f>
        <v>0.42824203393050669</v>
      </c>
      <c r="K144" s="2341">
        <f>'Д 4_Т на П'!I25</f>
        <v>3.1883223529308891E-2</v>
      </c>
      <c r="L144" s="2342"/>
      <c r="M144" s="2343">
        <f>K144</f>
        <v>3.1883223529308891E-2</v>
      </c>
      <c r="N144" s="2341">
        <f>'Д 4_Т на П'!J25</f>
        <v>5.2914963962677551E-2</v>
      </c>
      <c r="O144" s="2342"/>
      <c r="P144" s="2343">
        <f>N144</f>
        <v>5.2914963962677551E-2</v>
      </c>
      <c r="Q144" s="2341">
        <f>'Д 4_Т на П'!K25</f>
        <v>2.5954062662454952E-2</v>
      </c>
      <c r="R144" s="2342"/>
      <c r="S144" s="2343">
        <f>Q144</f>
        <v>2.5954062662454952E-2</v>
      </c>
      <c r="T144" s="2341">
        <f>'Д 4_Т на П'!L25</f>
        <v>2.6849030340470644E-2</v>
      </c>
      <c r="U144" s="2342"/>
      <c r="V144" s="2343">
        <f>T144</f>
        <v>2.6849030340470644E-2</v>
      </c>
      <c r="W144" s="2331">
        <f>'Д 4_Т на П'!G25</f>
        <v>0.5658433144254188</v>
      </c>
      <c r="X144" s="2337">
        <f t="shared" si="25"/>
        <v>0</v>
      </c>
    </row>
    <row r="145" spans="2:24" ht="15.6">
      <c r="B145" s="881" t="s">
        <v>55</v>
      </c>
      <c r="C145" s="505" t="s">
        <v>54</v>
      </c>
      <c r="D145" s="1272" t="s">
        <v>36</v>
      </c>
      <c r="E145" s="2341">
        <f>'Д 4_Т на П'!G26</f>
        <v>1.3550366683537245</v>
      </c>
      <c r="F145" s="2342"/>
      <c r="G145" s="2343">
        <f>E145</f>
        <v>1.3550366683537245</v>
      </c>
      <c r="H145" s="2341">
        <f>'Д 4_Т на П'!H26</f>
        <v>1.0255200408181211</v>
      </c>
      <c r="I145" s="2342"/>
      <c r="J145" s="2343">
        <f>H145</f>
        <v>1.0255200408181211</v>
      </c>
      <c r="K145" s="2341">
        <f>'Д 4_Т на П'!I26</f>
        <v>7.6351413697273912E-2</v>
      </c>
      <c r="L145" s="2342"/>
      <c r="M145" s="2343">
        <f>K145</f>
        <v>7.6351413697273912E-2</v>
      </c>
      <c r="N145" s="2341">
        <f>'Д 4_Т на П'!J26</f>
        <v>0.12671655676775634</v>
      </c>
      <c r="O145" s="2342"/>
      <c r="P145" s="2343">
        <f>N145</f>
        <v>0.12671655676775634</v>
      </c>
      <c r="Q145" s="2341">
        <f>'Д 4_Т на П'!K26</f>
        <v>6.2152729746552796E-2</v>
      </c>
      <c r="R145" s="2342"/>
      <c r="S145" s="2343">
        <f>Q145</f>
        <v>6.2152729746552796E-2</v>
      </c>
      <c r="T145" s="2341">
        <f>'Д 4_Т на П'!L26</f>
        <v>6.4295927324020147E-2</v>
      </c>
      <c r="U145" s="2342"/>
      <c r="V145" s="2343">
        <f>T145</f>
        <v>6.4295927324020147E-2</v>
      </c>
      <c r="W145" s="2331">
        <f>'Д 4_Т на П'!G26</f>
        <v>1.3550366683537245</v>
      </c>
      <c r="X145" s="2337">
        <f t="shared" si="25"/>
        <v>0</v>
      </c>
    </row>
    <row r="146" spans="2:24" ht="15.6">
      <c r="B146" s="881" t="s">
        <v>166</v>
      </c>
      <c r="C146" s="507" t="s">
        <v>206</v>
      </c>
      <c r="D146" s="1272" t="s">
        <v>36</v>
      </c>
      <c r="E146" s="2344">
        <f>E147+E148+E149</f>
        <v>0</v>
      </c>
      <c r="F146" s="2342"/>
      <c r="G146" s="2345">
        <f t="shared" ref="G146:V146" si="34">G147+G148+G149</f>
        <v>0</v>
      </c>
      <c r="H146" s="2344">
        <f t="shared" si="34"/>
        <v>0</v>
      </c>
      <c r="I146" s="2342"/>
      <c r="J146" s="2345">
        <f t="shared" si="34"/>
        <v>0</v>
      </c>
      <c r="K146" s="2344">
        <f t="shared" si="34"/>
        <v>0</v>
      </c>
      <c r="L146" s="2342"/>
      <c r="M146" s="2345">
        <f t="shared" si="34"/>
        <v>0</v>
      </c>
      <c r="N146" s="2344">
        <f t="shared" si="34"/>
        <v>0</v>
      </c>
      <c r="O146" s="2342"/>
      <c r="P146" s="2345">
        <f t="shared" si="34"/>
        <v>0</v>
      </c>
      <c r="Q146" s="2344">
        <f t="shared" ref="Q146" si="35">Q147+Q148+Q149</f>
        <v>0</v>
      </c>
      <c r="R146" s="2342"/>
      <c r="S146" s="2345">
        <f t="shared" ref="S146" si="36">S147+S148+S149</f>
        <v>0</v>
      </c>
      <c r="T146" s="2344">
        <f t="shared" si="34"/>
        <v>0</v>
      </c>
      <c r="U146" s="2342"/>
      <c r="V146" s="2345">
        <f t="shared" si="34"/>
        <v>0</v>
      </c>
      <c r="W146" s="2331">
        <f>'Д 4_Т на П'!G27</f>
        <v>0</v>
      </c>
      <c r="X146" s="2337">
        <f t="shared" si="25"/>
        <v>0</v>
      </c>
    </row>
    <row r="147" spans="2:24" ht="15.6">
      <c r="B147" s="881" t="s">
        <v>56</v>
      </c>
      <c r="C147" s="508" t="s">
        <v>51</v>
      </c>
      <c r="D147" s="1272" t="s">
        <v>36</v>
      </c>
      <c r="E147" s="2344">
        <f>'Д 4_Т на П'!G28</f>
        <v>0</v>
      </c>
      <c r="F147" s="2342"/>
      <c r="G147" s="2343">
        <f>E147</f>
        <v>0</v>
      </c>
      <c r="H147" s="2341">
        <f>'Д 4_Т на П'!H28</f>
        <v>0</v>
      </c>
      <c r="I147" s="2342"/>
      <c r="J147" s="2343">
        <f>H147</f>
        <v>0</v>
      </c>
      <c r="K147" s="2341">
        <f t="shared" ref="K147:K153" si="37">E147*$K$18/$E$18</f>
        <v>0</v>
      </c>
      <c r="L147" s="2342"/>
      <c r="M147" s="2343">
        <f>K147</f>
        <v>0</v>
      </c>
      <c r="N147" s="2341">
        <f t="shared" ref="N147:N153" si="38">E147*$N$18/$E$18</f>
        <v>0</v>
      </c>
      <c r="O147" s="2342"/>
      <c r="P147" s="2343">
        <f>N147</f>
        <v>0</v>
      </c>
      <c r="Q147" s="2341">
        <f t="shared" ref="Q147:Q153" si="39">H147*$N$18/$E$18</f>
        <v>0</v>
      </c>
      <c r="R147" s="2342"/>
      <c r="S147" s="2343">
        <f>Q147</f>
        <v>0</v>
      </c>
      <c r="T147" s="2341">
        <f>E147*$T$18/$E$18</f>
        <v>0</v>
      </c>
      <c r="U147" s="2342"/>
      <c r="V147" s="2343">
        <f>T147</f>
        <v>0</v>
      </c>
      <c r="W147" s="2331">
        <f>'Д 4_Т на П'!G28</f>
        <v>0</v>
      </c>
      <c r="X147" s="2337">
        <f t="shared" si="25"/>
        <v>0</v>
      </c>
    </row>
    <row r="148" spans="2:24" ht="26.4">
      <c r="B148" s="881" t="s">
        <v>57</v>
      </c>
      <c r="C148" s="508" t="s">
        <v>433</v>
      </c>
      <c r="D148" s="1272" t="s">
        <v>36</v>
      </c>
      <c r="E148" s="2344">
        <f>'Д 4_Т на П'!G29</f>
        <v>0</v>
      </c>
      <c r="F148" s="2342"/>
      <c r="G148" s="2343">
        <f t="shared" ref="G148:G158" si="40">E148</f>
        <v>0</v>
      </c>
      <c r="H148" s="2341">
        <f>'Д 4_Т на П'!H29</f>
        <v>0</v>
      </c>
      <c r="I148" s="2342"/>
      <c r="J148" s="2343">
        <f t="shared" ref="J148:J158" si="41">H148</f>
        <v>0</v>
      </c>
      <c r="K148" s="2341">
        <f t="shared" si="37"/>
        <v>0</v>
      </c>
      <c r="L148" s="2342"/>
      <c r="M148" s="2343">
        <f t="shared" ref="M148:M158" si="42">K148</f>
        <v>0</v>
      </c>
      <c r="N148" s="2341">
        <f t="shared" si="38"/>
        <v>0</v>
      </c>
      <c r="O148" s="2342"/>
      <c r="P148" s="2343">
        <f t="shared" ref="P148:P158" si="43">N148</f>
        <v>0</v>
      </c>
      <c r="Q148" s="2341">
        <f t="shared" si="39"/>
        <v>0</v>
      </c>
      <c r="R148" s="2342"/>
      <c r="S148" s="2343">
        <f t="shared" ref="S148:S153" si="44">Q148</f>
        <v>0</v>
      </c>
      <c r="T148" s="2341">
        <f>E148*$T$18/$E$18</f>
        <v>0</v>
      </c>
      <c r="U148" s="2342"/>
      <c r="V148" s="2343">
        <f t="shared" ref="V148:V158" si="45">T148</f>
        <v>0</v>
      </c>
      <c r="W148" s="2331">
        <f>'Д 4_Т на П'!G29</f>
        <v>0</v>
      </c>
      <c r="X148" s="2337">
        <f t="shared" si="25"/>
        <v>0</v>
      </c>
    </row>
    <row r="149" spans="2:24" ht="15.6">
      <c r="B149" s="881" t="s">
        <v>58</v>
      </c>
      <c r="C149" s="509" t="s">
        <v>219</v>
      </c>
      <c r="D149" s="1272" t="s">
        <v>36</v>
      </c>
      <c r="E149" s="2344">
        <f>'Д 4_Т на П'!G30</f>
        <v>0</v>
      </c>
      <c r="F149" s="2342"/>
      <c r="G149" s="2343">
        <f t="shared" si="40"/>
        <v>0</v>
      </c>
      <c r="H149" s="2341">
        <f>'Д 4_Т на П'!H30</f>
        <v>0</v>
      </c>
      <c r="I149" s="2342"/>
      <c r="J149" s="2343">
        <f t="shared" si="41"/>
        <v>0</v>
      </c>
      <c r="K149" s="2341">
        <f t="shared" si="37"/>
        <v>0</v>
      </c>
      <c r="L149" s="2342"/>
      <c r="M149" s="2343">
        <f t="shared" si="42"/>
        <v>0</v>
      </c>
      <c r="N149" s="2341">
        <f t="shared" si="38"/>
        <v>0</v>
      </c>
      <c r="O149" s="2342"/>
      <c r="P149" s="2343">
        <f t="shared" si="43"/>
        <v>0</v>
      </c>
      <c r="Q149" s="2341">
        <f t="shared" si="39"/>
        <v>0</v>
      </c>
      <c r="R149" s="2342"/>
      <c r="S149" s="2343">
        <f t="shared" si="44"/>
        <v>0</v>
      </c>
      <c r="T149" s="2341">
        <f>E149*$T$18/$E$18</f>
        <v>0</v>
      </c>
      <c r="U149" s="2342"/>
      <c r="V149" s="2343">
        <f t="shared" si="45"/>
        <v>0</v>
      </c>
      <c r="W149" s="2331">
        <f>'Д 4_Т на П'!G30</f>
        <v>0</v>
      </c>
      <c r="X149" s="2337">
        <f t="shared" si="25"/>
        <v>0</v>
      </c>
    </row>
    <row r="150" spans="2:24" ht="15.6">
      <c r="B150" s="881" t="s">
        <v>167</v>
      </c>
      <c r="C150" s="506" t="s">
        <v>100</v>
      </c>
      <c r="D150" s="1272" t="s">
        <v>36</v>
      </c>
      <c r="E150" s="2344">
        <f>'Д 4_Т на П'!G31</f>
        <v>0</v>
      </c>
      <c r="F150" s="2342"/>
      <c r="G150" s="2343">
        <f t="shared" si="40"/>
        <v>0</v>
      </c>
      <c r="H150" s="2341">
        <f>'Д 4_Т на П'!H31</f>
        <v>0</v>
      </c>
      <c r="I150" s="2342"/>
      <c r="J150" s="2343">
        <f t="shared" si="41"/>
        <v>0</v>
      </c>
      <c r="K150" s="2341">
        <f t="shared" si="37"/>
        <v>0</v>
      </c>
      <c r="L150" s="2342"/>
      <c r="M150" s="2343">
        <f t="shared" si="42"/>
        <v>0</v>
      </c>
      <c r="N150" s="2341">
        <f t="shared" si="38"/>
        <v>0</v>
      </c>
      <c r="O150" s="2342"/>
      <c r="P150" s="2343">
        <f t="shared" si="43"/>
        <v>0</v>
      </c>
      <c r="Q150" s="2341">
        <f t="shared" si="39"/>
        <v>0</v>
      </c>
      <c r="R150" s="2342"/>
      <c r="S150" s="2343">
        <f t="shared" si="44"/>
        <v>0</v>
      </c>
      <c r="T150" s="2341">
        <f>E150*$T$18/$E$18</f>
        <v>0</v>
      </c>
      <c r="U150" s="2342"/>
      <c r="V150" s="2343">
        <f t="shared" si="45"/>
        <v>0</v>
      </c>
      <c r="W150" s="2331">
        <f>'Д 4_Т на П'!G31</f>
        <v>0</v>
      </c>
      <c r="X150" s="2337">
        <f t="shared" si="25"/>
        <v>0</v>
      </c>
    </row>
    <row r="151" spans="2:24" ht="15.6">
      <c r="B151" s="881" t="s">
        <v>162</v>
      </c>
      <c r="C151" s="506" t="s">
        <v>5</v>
      </c>
      <c r="D151" s="1272" t="s">
        <v>36</v>
      </c>
      <c r="E151" s="2344">
        <f>'Д 4_Т на П'!G32</f>
        <v>0</v>
      </c>
      <c r="F151" s="2342"/>
      <c r="G151" s="2343">
        <f t="shared" si="40"/>
        <v>0</v>
      </c>
      <c r="H151" s="2341">
        <f>'Д 4_Т на П'!H32</f>
        <v>0</v>
      </c>
      <c r="I151" s="2342"/>
      <c r="J151" s="2343">
        <f t="shared" si="41"/>
        <v>0</v>
      </c>
      <c r="K151" s="2341">
        <f t="shared" si="37"/>
        <v>0</v>
      </c>
      <c r="L151" s="2342"/>
      <c r="M151" s="2343">
        <f t="shared" si="42"/>
        <v>0</v>
      </c>
      <c r="N151" s="2341">
        <f t="shared" si="38"/>
        <v>0</v>
      </c>
      <c r="O151" s="2342"/>
      <c r="P151" s="2343">
        <f t="shared" si="43"/>
        <v>0</v>
      </c>
      <c r="Q151" s="2341">
        <f t="shared" si="39"/>
        <v>0</v>
      </c>
      <c r="R151" s="2342"/>
      <c r="S151" s="2343">
        <f t="shared" si="44"/>
        <v>0</v>
      </c>
      <c r="T151" s="2341">
        <f>E151*$T$18/$E$18</f>
        <v>0</v>
      </c>
      <c r="U151" s="2342"/>
      <c r="V151" s="2343">
        <f t="shared" si="45"/>
        <v>0</v>
      </c>
      <c r="W151" s="2331">
        <f>'Д 4_Т на П'!G32</f>
        <v>0</v>
      </c>
      <c r="X151" s="2337">
        <f t="shared" si="25"/>
        <v>0</v>
      </c>
    </row>
    <row r="152" spans="2:24" ht="15.6">
      <c r="B152" s="881" t="s">
        <v>163</v>
      </c>
      <c r="C152" s="506" t="s">
        <v>59</v>
      </c>
      <c r="D152" s="1306" t="s">
        <v>36</v>
      </c>
      <c r="E152" s="2344">
        <f>E151+E150+E146+E142+E131</f>
        <v>166.32532917785167</v>
      </c>
      <c r="F152" s="2346"/>
      <c r="G152" s="2345">
        <f t="shared" si="40"/>
        <v>166.32532917785167</v>
      </c>
      <c r="H152" s="2344">
        <f>H151+H150+H146+H142+H131</f>
        <v>125.87848163163623</v>
      </c>
      <c r="I152" s="2346"/>
      <c r="J152" s="2345">
        <f t="shared" si="41"/>
        <v>125.87848163163623</v>
      </c>
      <c r="K152" s="2344">
        <f>K151+K150+K146+K142+K131</f>
        <v>9.3718305290011319</v>
      </c>
      <c r="L152" s="2346"/>
      <c r="M152" s="2345">
        <f t="shared" si="42"/>
        <v>9.3718305290011319</v>
      </c>
      <c r="N152" s="2344">
        <f>N151+N150+N146+N142+N131</f>
        <v>15.553950316552754</v>
      </c>
      <c r="O152" s="2346"/>
      <c r="P152" s="2345">
        <f t="shared" si="43"/>
        <v>15.553950316552754</v>
      </c>
      <c r="Q152" s="2344">
        <f>Q151+Q150+Q146+Q142+Q131</f>
        <v>7.6289988867658325</v>
      </c>
      <c r="R152" s="2346"/>
      <c r="S152" s="2345">
        <f t="shared" si="44"/>
        <v>7.6289988867658325</v>
      </c>
      <c r="T152" s="2344">
        <f>T151+T150+T146+T142+T131</f>
        <v>7.8920678138956903</v>
      </c>
      <c r="U152" s="2346"/>
      <c r="V152" s="2345">
        <f t="shared" si="45"/>
        <v>7.8920678138956903</v>
      </c>
      <c r="W152" s="2331">
        <f>'Д 4_Т на П'!G33</f>
        <v>166.32532917785167</v>
      </c>
      <c r="X152" s="2337">
        <f t="shared" si="25"/>
        <v>0</v>
      </c>
    </row>
    <row r="153" spans="2:24" ht="18.600000000000001" customHeight="1">
      <c r="B153" s="881" t="s">
        <v>164</v>
      </c>
      <c r="C153" s="502" t="s">
        <v>1250</v>
      </c>
      <c r="D153" s="1272" t="s">
        <v>36</v>
      </c>
      <c r="E153" s="2344">
        <f>'Д 4_Т на П'!G34</f>
        <v>0</v>
      </c>
      <c r="F153" s="2342"/>
      <c r="G153" s="2343">
        <f t="shared" si="40"/>
        <v>0</v>
      </c>
      <c r="H153" s="2341">
        <f t="shared" ref="H153" si="46">E153*$H$18/$E$18</f>
        <v>0</v>
      </c>
      <c r="I153" s="2342"/>
      <c r="J153" s="2343">
        <f t="shared" si="41"/>
        <v>0</v>
      </c>
      <c r="K153" s="2341">
        <f t="shared" si="37"/>
        <v>0</v>
      </c>
      <c r="L153" s="2342"/>
      <c r="M153" s="2343">
        <f t="shared" si="42"/>
        <v>0</v>
      </c>
      <c r="N153" s="2341">
        <f t="shared" si="38"/>
        <v>0</v>
      </c>
      <c r="O153" s="2342"/>
      <c r="P153" s="2343">
        <f t="shared" si="43"/>
        <v>0</v>
      </c>
      <c r="Q153" s="2341">
        <f t="shared" si="39"/>
        <v>0</v>
      </c>
      <c r="R153" s="2342"/>
      <c r="S153" s="2343">
        <f t="shared" si="44"/>
        <v>0</v>
      </c>
      <c r="T153" s="2341">
        <f>E153*$T$18/$E$18</f>
        <v>0</v>
      </c>
      <c r="U153" s="2342"/>
      <c r="V153" s="2343">
        <f t="shared" si="45"/>
        <v>0</v>
      </c>
      <c r="W153" s="2331">
        <f>'Д 4_Т на П'!G34</f>
        <v>0</v>
      </c>
      <c r="X153" s="2337">
        <f t="shared" si="25"/>
        <v>0</v>
      </c>
    </row>
    <row r="154" spans="2:24" ht="15.6">
      <c r="B154" s="881" t="s">
        <v>165</v>
      </c>
      <c r="C154" s="506" t="s">
        <v>226</v>
      </c>
      <c r="D154" s="1272" t="s">
        <v>36</v>
      </c>
      <c r="E154" s="2344">
        <f>E155+E156+E157+E158+E159</f>
        <v>7.9105949243124574</v>
      </c>
      <c r="F154" s="2342"/>
      <c r="G154" s="2345">
        <f t="shared" ref="G154:V154" si="47">G155+G156+G157+G158+G159</f>
        <v>7.9105949243124574</v>
      </c>
      <c r="H154" s="2344">
        <f t="shared" si="47"/>
        <v>5.9869033946753811</v>
      </c>
      <c r="I154" s="2342"/>
      <c r="J154" s="2345">
        <f t="shared" si="47"/>
        <v>5.9869033946753811</v>
      </c>
      <c r="K154" s="2344">
        <f t="shared" si="47"/>
        <v>0.4457334032085904</v>
      </c>
      <c r="L154" s="2342"/>
      <c r="M154" s="2345">
        <f t="shared" si="47"/>
        <v>0.4457334032085904</v>
      </c>
      <c r="N154" s="2344">
        <f t="shared" si="47"/>
        <v>0.73976105164092365</v>
      </c>
      <c r="O154" s="2342"/>
      <c r="P154" s="2345">
        <f t="shared" si="47"/>
        <v>0.73976105164092365</v>
      </c>
      <c r="Q154" s="2344">
        <f t="shared" ref="Q154" si="48">Q155+Q156+Q157+Q158+Q159</f>
        <v>0.36284262998032613</v>
      </c>
      <c r="R154" s="2342"/>
      <c r="S154" s="2345">
        <f t="shared" ref="S154" si="49">S155+S156+S157+S158+S159</f>
        <v>0.36284262998032613</v>
      </c>
      <c r="T154" s="2344">
        <f t="shared" si="47"/>
        <v>0.37535444480723401</v>
      </c>
      <c r="U154" s="2342"/>
      <c r="V154" s="2345">
        <f t="shared" si="47"/>
        <v>0.37535444480723401</v>
      </c>
      <c r="W154" s="2331">
        <f>'Д 4_Т на П'!G35</f>
        <v>7.9105949243124574</v>
      </c>
      <c r="X154" s="2337">
        <f t="shared" si="25"/>
        <v>0</v>
      </c>
    </row>
    <row r="155" spans="2:24" ht="15.6">
      <c r="B155" s="881" t="s">
        <v>109</v>
      </c>
      <c r="C155" s="505" t="s">
        <v>61</v>
      </c>
      <c r="D155" s="1272" t="s">
        <v>36</v>
      </c>
      <c r="E155" s="2347">
        <f>(E156+E157+E158+E159)/(100%-'Вхідні дані'!$D$46)-(E156+E157+E158+E159)</f>
        <v>1.423907086376242</v>
      </c>
      <c r="F155" s="2342"/>
      <c r="G155" s="2347">
        <f>(G156+G157+G158+G159)/(100%-'Вхідні дані'!$D$46)-(G156+G157+G158+G159)</f>
        <v>1.423907086376242</v>
      </c>
      <c r="H155" s="2347">
        <f>(H156+H157+H158+H159)/(100%-'Вхідні дані'!$D$46)-(H156+H157+H158+H159)</f>
        <v>1.0776426110415684</v>
      </c>
      <c r="I155" s="2342"/>
      <c r="J155" s="2347">
        <f>(J156+J157+J158+J159)/(100%-'Вхідні дані'!$D$46)-(J156+J157+J158+J159)</f>
        <v>1.0776426110415684</v>
      </c>
      <c r="K155" s="2347">
        <f>(K156+K157+K158+K159)/(100%-'Вхідні дані'!$D$46)-(K156+K157+K158+K159)</f>
        <v>8.0232012577546252E-2</v>
      </c>
      <c r="L155" s="2342"/>
      <c r="M155" s="2348">
        <f>(M156+M157+M158+M159)/(100%-'Вхідні дані'!$D$46)-(M156+M157+M158+M159)</f>
        <v>8.0232012577546252E-2</v>
      </c>
      <c r="N155" s="2347">
        <f>(N156+N157+N158+N159)/(100%-'Вхідні дані'!$D$46)-(N156+N157+N158+N159)</f>
        <v>0.13315698929536623</v>
      </c>
      <c r="O155" s="2342"/>
      <c r="P155" s="2348">
        <f>(P156+P157+P158+P159)/(100%-'Вхідні дані'!$D$46)-(P156+P157+P158+P159)</f>
        <v>0.13315698929536623</v>
      </c>
      <c r="Q155" s="2347">
        <f>(Q156+Q157+Q158+Q159)/(100%-'Вхідні дані'!$D$46)-(Q156+Q157+Q158+Q159)</f>
        <v>6.5311673396458658E-2</v>
      </c>
      <c r="R155" s="2342"/>
      <c r="S155" s="2348">
        <f>(S156+S157+S158+S159)/(100%-'Вхідні дані'!$D$46)-(S156+S157+S158+S159)</f>
        <v>6.5311673396458658E-2</v>
      </c>
      <c r="T155" s="2347">
        <f>(T156+T157+T158+T159)/(100%-'Вхідні дані'!$D$46)-(T156+T157+T158+T159)</f>
        <v>6.7563800065302104E-2</v>
      </c>
      <c r="U155" s="2342"/>
      <c r="V155" s="2348">
        <f>(V156+V157+V158+V159)/(100%-'Вхідні дані'!$D$46)-(V156+V157+V158+V159)</f>
        <v>6.7563800065302104E-2</v>
      </c>
      <c r="W155" s="2331">
        <f>'Д 4_Т на П'!G36</f>
        <v>1.423907086376242</v>
      </c>
      <c r="X155" s="2337">
        <f t="shared" si="25"/>
        <v>0</v>
      </c>
    </row>
    <row r="156" spans="2:24" ht="15.6">
      <c r="B156" s="881" t="s">
        <v>111</v>
      </c>
      <c r="C156" s="505" t="s">
        <v>80</v>
      </c>
      <c r="D156" s="1272" t="s">
        <v>36</v>
      </c>
      <c r="E156" s="2347">
        <f>(E157+E158+E159)/(100%-'Вхідні дані'!$D$47)*'Вхідні дані'!$D$47</f>
        <v>0</v>
      </c>
      <c r="F156" s="2342"/>
      <c r="G156" s="2343">
        <f t="shared" si="40"/>
        <v>0</v>
      </c>
      <c r="H156" s="2347">
        <f>(H157+H158+H159)/(100%-'Вхідні дані'!$D$47)*'Вхідні дані'!$D$47</f>
        <v>0</v>
      </c>
      <c r="I156" s="2342"/>
      <c r="J156" s="2343">
        <f t="shared" si="41"/>
        <v>0</v>
      </c>
      <c r="K156" s="2347">
        <f>(K157+K158+K159)/(100%-'Вхідні дані'!$D$47)*'Вхідні дані'!$D$47</f>
        <v>0</v>
      </c>
      <c r="L156" s="2342"/>
      <c r="M156" s="2343">
        <f t="shared" si="42"/>
        <v>0</v>
      </c>
      <c r="N156" s="2347">
        <f>(N157+N158+N159)/(100%-'Вхідні дані'!$D$47)*'Вхідні дані'!$D$47</f>
        <v>0</v>
      </c>
      <c r="O156" s="2342"/>
      <c r="P156" s="2343">
        <f t="shared" si="43"/>
        <v>0</v>
      </c>
      <c r="Q156" s="2347">
        <f>(Q157+Q158+Q159)/(100%-'Вхідні дані'!$D$47)*'Вхідні дані'!$D$47</f>
        <v>0</v>
      </c>
      <c r="R156" s="2342"/>
      <c r="S156" s="2343">
        <f t="shared" ref="S156:S158" si="50">Q156</f>
        <v>0</v>
      </c>
      <c r="T156" s="2347">
        <f>(T157+T158+T159)/(100%-'Вхідні дані'!$D$47)*'Вхідні дані'!$D$47</f>
        <v>0</v>
      </c>
      <c r="U156" s="2342"/>
      <c r="V156" s="2343">
        <f t="shared" si="45"/>
        <v>0</v>
      </c>
      <c r="W156" s="2331">
        <f>'Д 4_Т на П'!G37</f>
        <v>0</v>
      </c>
      <c r="X156" s="2337">
        <f t="shared" si="25"/>
        <v>0</v>
      </c>
    </row>
    <row r="157" spans="2:24" ht="15.6">
      <c r="B157" s="881" t="s">
        <v>113</v>
      </c>
      <c r="C157" s="505" t="s">
        <v>81</v>
      </c>
      <c r="D157" s="1272" t="s">
        <v>36</v>
      </c>
      <c r="E157" s="2347">
        <v>0</v>
      </c>
      <c r="F157" s="2342"/>
      <c r="G157" s="2343">
        <f t="shared" si="40"/>
        <v>0</v>
      </c>
      <c r="H157" s="2347">
        <v>0</v>
      </c>
      <c r="I157" s="2342"/>
      <c r="J157" s="2343">
        <f t="shared" si="41"/>
        <v>0</v>
      </c>
      <c r="K157" s="2347">
        <v>0</v>
      </c>
      <c r="L157" s="2342"/>
      <c r="M157" s="2343">
        <f t="shared" si="42"/>
        <v>0</v>
      </c>
      <c r="N157" s="2347">
        <v>0</v>
      </c>
      <c r="O157" s="2342"/>
      <c r="P157" s="2343">
        <f t="shared" si="43"/>
        <v>0</v>
      </c>
      <c r="Q157" s="2347">
        <v>0</v>
      </c>
      <c r="R157" s="2342"/>
      <c r="S157" s="2343">
        <f t="shared" si="50"/>
        <v>0</v>
      </c>
      <c r="T157" s="2347">
        <v>0</v>
      </c>
      <c r="U157" s="2342"/>
      <c r="V157" s="2343">
        <f t="shared" si="45"/>
        <v>0</v>
      </c>
      <c r="W157" s="2331">
        <f>'Д 4_Т на П'!G38</f>
        <v>0</v>
      </c>
      <c r="X157" s="2337">
        <f t="shared" si="25"/>
        <v>0</v>
      </c>
    </row>
    <row r="158" spans="2:24" ht="15.6">
      <c r="B158" s="881" t="s">
        <v>115</v>
      </c>
      <c r="C158" s="505" t="s">
        <v>67</v>
      </c>
      <c r="D158" s="1272" t="s">
        <v>36</v>
      </c>
      <c r="E158" s="2347">
        <v>0</v>
      </c>
      <c r="F158" s="2342"/>
      <c r="G158" s="2343">
        <f t="shared" si="40"/>
        <v>0</v>
      </c>
      <c r="H158" s="2347">
        <v>0</v>
      </c>
      <c r="I158" s="2342"/>
      <c r="J158" s="2343">
        <f t="shared" si="41"/>
        <v>0</v>
      </c>
      <c r="K158" s="2347">
        <v>0</v>
      </c>
      <c r="L158" s="2342"/>
      <c r="M158" s="2343">
        <f t="shared" si="42"/>
        <v>0</v>
      </c>
      <c r="N158" s="2347">
        <v>0</v>
      </c>
      <c r="O158" s="2342"/>
      <c r="P158" s="2343">
        <f t="shared" si="43"/>
        <v>0</v>
      </c>
      <c r="Q158" s="2347">
        <v>0</v>
      </c>
      <c r="R158" s="2342"/>
      <c r="S158" s="2343">
        <f t="shared" si="50"/>
        <v>0</v>
      </c>
      <c r="T158" s="2347">
        <v>0</v>
      </c>
      <c r="U158" s="2342"/>
      <c r="V158" s="2343">
        <f t="shared" si="45"/>
        <v>0</v>
      </c>
      <c r="W158" s="2331">
        <f>'Д 4_Т на П'!G39</f>
        <v>0</v>
      </c>
      <c r="X158" s="2337">
        <f t="shared" si="25"/>
        <v>0</v>
      </c>
    </row>
    <row r="159" spans="2:24" ht="15.6">
      <c r="B159" s="881" t="s">
        <v>209</v>
      </c>
      <c r="C159" s="505" t="s">
        <v>82</v>
      </c>
      <c r="D159" s="1272" t="s">
        <v>36</v>
      </c>
      <c r="E159" s="2341">
        <f>G159</f>
        <v>6.4866878379362154</v>
      </c>
      <c r="F159" s="2342"/>
      <c r="G159" s="2343">
        <f>E152*'Вхідні дані'!$D$45</f>
        <v>6.4866878379362154</v>
      </c>
      <c r="H159" s="2341">
        <f>J159</f>
        <v>4.9092607836338127</v>
      </c>
      <c r="I159" s="2342"/>
      <c r="J159" s="2343">
        <f>H152*'Вхідні дані'!$D$45</f>
        <v>4.9092607836338127</v>
      </c>
      <c r="K159" s="2341">
        <f>M159</f>
        <v>0.36550139063104414</v>
      </c>
      <c r="L159" s="2342"/>
      <c r="M159" s="2343">
        <f>K152*'Вхідні дані'!$D$45</f>
        <v>0.36550139063104414</v>
      </c>
      <c r="N159" s="2341">
        <f>P159</f>
        <v>0.60660406234555742</v>
      </c>
      <c r="O159" s="2342"/>
      <c r="P159" s="2343">
        <f>N152*'Вхідні дані'!$D$45</f>
        <v>0.60660406234555742</v>
      </c>
      <c r="Q159" s="2341">
        <f>S159</f>
        <v>0.29753095658386747</v>
      </c>
      <c r="R159" s="2342"/>
      <c r="S159" s="2343">
        <f>Q152*'Вхідні дані'!$D$45</f>
        <v>0.29753095658386747</v>
      </c>
      <c r="T159" s="2341">
        <f>V159</f>
        <v>0.30779064474193191</v>
      </c>
      <c r="U159" s="2342"/>
      <c r="V159" s="2343">
        <f>T152*'Вхідні дані'!$D$45</f>
        <v>0.30779064474193191</v>
      </c>
      <c r="W159" s="2331">
        <f>'Д 4_Т на П'!G40</f>
        <v>6.4866878379362154</v>
      </c>
      <c r="X159" s="2337">
        <f t="shared" si="25"/>
        <v>0</v>
      </c>
    </row>
    <row r="160" spans="2:24" ht="27" thickBot="1">
      <c r="B160" s="881" t="s">
        <v>180</v>
      </c>
      <c r="C160" s="510" t="s">
        <v>101</v>
      </c>
      <c r="D160" s="1278" t="s">
        <v>36</v>
      </c>
      <c r="E160" s="2349">
        <f>E152+E153+E154</f>
        <v>174.23592410216412</v>
      </c>
      <c r="F160" s="2350"/>
      <c r="G160" s="2351">
        <f t="shared" ref="G160:T160" si="51">G152+G153+G154</f>
        <v>174.23592410216412</v>
      </c>
      <c r="H160" s="2349">
        <f t="shared" si="51"/>
        <v>131.86538502631163</v>
      </c>
      <c r="I160" s="2350"/>
      <c r="J160" s="2351">
        <f>J152+J153+J154</f>
        <v>131.86538502631163</v>
      </c>
      <c r="K160" s="2349">
        <f t="shared" si="51"/>
        <v>9.8175639322097226</v>
      </c>
      <c r="L160" s="2350"/>
      <c r="M160" s="2351">
        <f>M152+M153+M154</f>
        <v>9.8175639322097226</v>
      </c>
      <c r="N160" s="2349">
        <f t="shared" si="51"/>
        <v>16.293711368193676</v>
      </c>
      <c r="O160" s="2350"/>
      <c r="P160" s="2351">
        <f>P152+P153+P154</f>
        <v>16.293711368193676</v>
      </c>
      <c r="Q160" s="2349">
        <f t="shared" ref="Q160" si="52">Q152+Q153+Q154</f>
        <v>7.9918415167461587</v>
      </c>
      <c r="R160" s="2350"/>
      <c r="S160" s="2351">
        <f>S152+S153+S154</f>
        <v>7.9918415167461587</v>
      </c>
      <c r="T160" s="2349">
        <f t="shared" si="51"/>
        <v>8.2674222587029238</v>
      </c>
      <c r="U160" s="2350"/>
      <c r="V160" s="2351">
        <f>V152+V153+V154</f>
        <v>8.2674222587029238</v>
      </c>
      <c r="W160" s="2331">
        <f>'Д 4_Т на П'!G41</f>
        <v>174.23592410216412</v>
      </c>
      <c r="X160" s="2337">
        <f t="shared" si="25"/>
        <v>0</v>
      </c>
    </row>
    <row r="161" spans="2:24" ht="40.5" customHeight="1">
      <c r="B161" s="881" t="s">
        <v>181</v>
      </c>
      <c r="C161" s="1181" t="s">
        <v>1127</v>
      </c>
      <c r="D161" s="482" t="s">
        <v>70</v>
      </c>
      <c r="E161" s="437">
        <f>E160/E15</f>
        <v>20.412420593154408</v>
      </c>
      <c r="F161" s="439" t="s">
        <v>300</v>
      </c>
      <c r="G161" s="440" t="s">
        <v>300</v>
      </c>
      <c r="H161" s="437">
        <f>H160/H15</f>
        <v>20.412420593154408</v>
      </c>
      <c r="I161" s="439" t="s">
        <v>300</v>
      </c>
      <c r="J161" s="440" t="s">
        <v>300</v>
      </c>
      <c r="K161" s="437">
        <f>IF(K16=0,0,K160/K15)</f>
        <v>20.412420593154408</v>
      </c>
      <c r="L161" s="439" t="s">
        <v>300</v>
      </c>
      <c r="M161" s="440" t="s">
        <v>300</v>
      </c>
      <c r="N161" s="437">
        <f>N160/N15</f>
        <v>20.412420593154405</v>
      </c>
      <c r="O161" s="439" t="s">
        <v>300</v>
      </c>
      <c r="P161" s="440" t="s">
        <v>300</v>
      </c>
      <c r="Q161" s="437">
        <f>Q160/Q15</f>
        <v>20.412420593154408</v>
      </c>
      <c r="R161" s="439" t="s">
        <v>300</v>
      </c>
      <c r="S161" s="440" t="s">
        <v>300</v>
      </c>
      <c r="T161" s="437">
        <f>T160/T15</f>
        <v>20.412420593154408</v>
      </c>
      <c r="U161" s="1179" t="s">
        <v>300</v>
      </c>
      <c r="V161" s="1180" t="s">
        <v>300</v>
      </c>
      <c r="W161" s="863"/>
    </row>
    <row r="162" spans="2:24" ht="31.2">
      <c r="B162" s="882" t="s">
        <v>182</v>
      </c>
      <c r="C162" s="1182" t="s">
        <v>1128</v>
      </c>
      <c r="D162" s="1278" t="s">
        <v>70</v>
      </c>
      <c r="E162" s="1275">
        <f>E161*1.2</f>
        <v>24.494904711785288</v>
      </c>
      <c r="F162" s="425" t="s">
        <v>300</v>
      </c>
      <c r="G162" s="524" t="s">
        <v>300</v>
      </c>
      <c r="H162" s="1275">
        <f>H161*1.2</f>
        <v>24.494904711785288</v>
      </c>
      <c r="I162" s="425" t="s">
        <v>300</v>
      </c>
      <c r="J162" s="524" t="s">
        <v>300</v>
      </c>
      <c r="K162" s="1275">
        <f>K161*1.2</f>
        <v>24.494904711785288</v>
      </c>
      <c r="L162" s="425" t="s">
        <v>300</v>
      </c>
      <c r="M162" s="524" t="s">
        <v>300</v>
      </c>
      <c r="N162" s="1275">
        <f>N161*1.2</f>
        <v>24.494904711785285</v>
      </c>
      <c r="O162" s="425" t="s">
        <v>300</v>
      </c>
      <c r="P162" s="524" t="s">
        <v>300</v>
      </c>
      <c r="Q162" s="1275">
        <f>Q161*1.2</f>
        <v>24.494904711785288</v>
      </c>
      <c r="R162" s="425" t="s">
        <v>300</v>
      </c>
      <c r="S162" s="524" t="s">
        <v>300</v>
      </c>
      <c r="T162" s="1275">
        <f>T161*1.2</f>
        <v>24.494904711785288</v>
      </c>
      <c r="U162" s="425" t="s">
        <v>300</v>
      </c>
      <c r="V162" s="524" t="s">
        <v>300</v>
      </c>
    </row>
    <row r="163" spans="2:24" ht="31.2">
      <c r="B163" s="882" t="s">
        <v>183</v>
      </c>
      <c r="C163" s="1182" t="s">
        <v>1129</v>
      </c>
      <c r="D163" s="1272" t="s">
        <v>989</v>
      </c>
      <c r="E163" s="1307"/>
      <c r="F163" s="1271"/>
      <c r="G163" s="1272"/>
      <c r="H163" s="1307"/>
      <c r="I163" s="1271"/>
      <c r="J163" s="1272"/>
      <c r="K163" s="1275"/>
      <c r="L163" s="1271"/>
      <c r="M163" s="1272"/>
      <c r="N163" s="1275"/>
      <c r="O163" s="1271"/>
      <c r="P163" s="1272"/>
      <c r="Q163" s="1275"/>
      <c r="R163" s="1271"/>
      <c r="S163" s="1272"/>
      <c r="T163" s="1275"/>
      <c r="U163" s="1271"/>
      <c r="V163" s="1272"/>
    </row>
    <row r="164" spans="2:24" ht="15.6">
      <c r="B164" s="473" t="s">
        <v>88</v>
      </c>
      <c r="C164" s="1183" t="s">
        <v>1109</v>
      </c>
      <c r="D164" s="1272" t="s">
        <v>1126</v>
      </c>
      <c r="E164" s="429" t="s">
        <v>300</v>
      </c>
      <c r="F164" s="425" t="s">
        <v>300</v>
      </c>
      <c r="G164" s="524" t="s">
        <v>300</v>
      </c>
      <c r="H164" s="429" t="s">
        <v>300</v>
      </c>
      <c r="I164" s="425" t="s">
        <v>300</v>
      </c>
      <c r="J164" s="524" t="s">
        <v>300</v>
      </c>
      <c r="K164" s="429" t="s">
        <v>300</v>
      </c>
      <c r="L164" s="425" t="s">
        <v>300</v>
      </c>
      <c r="M164" s="524" t="s">
        <v>300</v>
      </c>
      <c r="N164" s="429" t="s">
        <v>300</v>
      </c>
      <c r="O164" s="425" t="s">
        <v>300</v>
      </c>
      <c r="P164" s="524" t="s">
        <v>300</v>
      </c>
      <c r="Q164" s="429" t="s">
        <v>300</v>
      </c>
      <c r="R164" s="425" t="s">
        <v>300</v>
      </c>
      <c r="S164" s="524" t="s">
        <v>300</v>
      </c>
      <c r="T164" s="429" t="s">
        <v>300</v>
      </c>
      <c r="U164" s="425" t="s">
        <v>300</v>
      </c>
      <c r="V164" s="524" t="s">
        <v>300</v>
      </c>
    </row>
    <row r="165" spans="2:24" ht="20.399999999999999" customHeight="1">
      <c r="B165" s="473" t="s">
        <v>89</v>
      </c>
      <c r="C165" s="1183" t="s">
        <v>1110</v>
      </c>
      <c r="D165" s="1272" t="s">
        <v>1130</v>
      </c>
      <c r="E165" s="1275">
        <f>E160/E18*1000</f>
        <v>34447.592744595509</v>
      </c>
      <c r="F165" s="425" t="s">
        <v>300</v>
      </c>
      <c r="G165" s="430">
        <f>G160/G18*1000/12</f>
        <v>3008.6324786255718</v>
      </c>
      <c r="H165" s="1275">
        <f>J165</f>
        <v>2870.6327287162926</v>
      </c>
      <c r="I165" s="425" t="s">
        <v>300</v>
      </c>
      <c r="J165" s="430">
        <f>J160/J18*1000/12</f>
        <v>2870.6327287162926</v>
      </c>
      <c r="K165" s="1275">
        <f>M165</f>
        <v>2870.6327287162931</v>
      </c>
      <c r="L165" s="425" t="s">
        <v>300</v>
      </c>
      <c r="M165" s="430">
        <f>IF(M19=0,0,M160/M18*1000)/12</f>
        <v>2870.6327287162931</v>
      </c>
      <c r="N165" s="1275">
        <f>P165</f>
        <v>2870.6327287162926</v>
      </c>
      <c r="O165" s="425" t="s">
        <v>300</v>
      </c>
      <c r="P165" s="430">
        <f>P160/P18*1000/12</f>
        <v>2870.6327287162926</v>
      </c>
      <c r="Q165" s="1275">
        <f>S165</f>
        <v>2870.6327287162926</v>
      </c>
      <c r="R165" s="425" t="s">
        <v>300</v>
      </c>
      <c r="S165" s="430">
        <f>S160/S18*1000/12</f>
        <v>2870.6327287162926</v>
      </c>
      <c r="T165" s="1275">
        <f>V165</f>
        <v>2870.6327287162931</v>
      </c>
      <c r="U165" s="425" t="s">
        <v>300</v>
      </c>
      <c r="V165" s="430">
        <f>V160/V18*1000/12</f>
        <v>2870.6327287162931</v>
      </c>
    </row>
    <row r="166" spans="2:24" ht="31.2">
      <c r="B166" s="882" t="s">
        <v>184</v>
      </c>
      <c r="C166" s="1182" t="s">
        <v>1146</v>
      </c>
      <c r="D166" s="1272" t="s">
        <v>989</v>
      </c>
      <c r="E166" s="429"/>
      <c r="F166" s="425"/>
      <c r="G166" s="524"/>
      <c r="H166" s="429"/>
      <c r="I166" s="425"/>
      <c r="J166" s="524"/>
      <c r="K166" s="429"/>
      <c r="L166" s="425"/>
      <c r="M166" s="524"/>
      <c r="N166" s="429"/>
      <c r="O166" s="425"/>
      <c r="P166" s="524"/>
      <c r="Q166" s="429"/>
      <c r="R166" s="425"/>
      <c r="S166" s="524"/>
      <c r="T166" s="429"/>
      <c r="U166" s="425"/>
      <c r="V166" s="524"/>
    </row>
    <row r="167" spans="2:24" ht="15.6">
      <c r="B167" s="473" t="s">
        <v>222</v>
      </c>
      <c r="C167" s="1183" t="s">
        <v>1109</v>
      </c>
      <c r="D167" s="1272" t="s">
        <v>1126</v>
      </c>
      <c r="E167" s="429" t="s">
        <v>300</v>
      </c>
      <c r="F167" s="425" t="s">
        <v>300</v>
      </c>
      <c r="G167" s="524" t="s">
        <v>300</v>
      </c>
      <c r="H167" s="429" t="s">
        <v>300</v>
      </c>
      <c r="I167" s="425" t="s">
        <v>300</v>
      </c>
      <c r="J167" s="524" t="s">
        <v>300</v>
      </c>
      <c r="K167" s="429" t="s">
        <v>300</v>
      </c>
      <c r="L167" s="425" t="s">
        <v>300</v>
      </c>
      <c r="M167" s="524" t="s">
        <v>300</v>
      </c>
      <c r="N167" s="429" t="s">
        <v>300</v>
      </c>
      <c r="O167" s="425" t="s">
        <v>300</v>
      </c>
      <c r="P167" s="524" t="s">
        <v>300</v>
      </c>
      <c r="Q167" s="429" t="s">
        <v>300</v>
      </c>
      <c r="R167" s="425" t="s">
        <v>300</v>
      </c>
      <c r="S167" s="524" t="s">
        <v>300</v>
      </c>
      <c r="T167" s="429" t="s">
        <v>300</v>
      </c>
      <c r="U167" s="425" t="s">
        <v>300</v>
      </c>
      <c r="V167" s="524" t="s">
        <v>300</v>
      </c>
    </row>
    <row r="168" spans="2:24" ht="31.8" thickBot="1">
      <c r="B168" s="883" t="s">
        <v>223</v>
      </c>
      <c r="C168" s="1184" t="s">
        <v>1192</v>
      </c>
      <c r="D168" s="480" t="s">
        <v>1130</v>
      </c>
      <c r="E168" s="438">
        <f>E165*1.2</f>
        <v>41337.111293514608</v>
      </c>
      <c r="F168" s="1146" t="s">
        <v>300</v>
      </c>
      <c r="G168" s="443">
        <f t="shared" ref="G168:V168" si="53">G165*1.2</f>
        <v>3610.3589743506859</v>
      </c>
      <c r="H168" s="438">
        <f t="shared" si="53"/>
        <v>3444.7592744595509</v>
      </c>
      <c r="I168" s="1146" t="s">
        <v>300</v>
      </c>
      <c r="J168" s="443">
        <f t="shared" si="53"/>
        <v>3444.7592744595509</v>
      </c>
      <c r="K168" s="438">
        <f t="shared" si="53"/>
        <v>3444.7592744595518</v>
      </c>
      <c r="L168" s="1146" t="s">
        <v>300</v>
      </c>
      <c r="M168" s="443">
        <f t="shared" si="53"/>
        <v>3444.7592744595518</v>
      </c>
      <c r="N168" s="438">
        <f t="shared" si="53"/>
        <v>3444.7592744595509</v>
      </c>
      <c r="O168" s="1146" t="s">
        <v>300</v>
      </c>
      <c r="P168" s="443">
        <f t="shared" si="53"/>
        <v>3444.7592744595509</v>
      </c>
      <c r="Q168" s="438">
        <f t="shared" ref="Q168" si="54">Q165*1.2</f>
        <v>3444.7592744595509</v>
      </c>
      <c r="R168" s="1146" t="s">
        <v>300</v>
      </c>
      <c r="S168" s="443">
        <f t="shared" ref="S168" si="55">S165*1.2</f>
        <v>3444.7592744595509</v>
      </c>
      <c r="T168" s="438">
        <f t="shared" si="53"/>
        <v>3444.7592744595518</v>
      </c>
      <c r="U168" s="1146" t="s">
        <v>300</v>
      </c>
      <c r="V168" s="443">
        <f t="shared" si="53"/>
        <v>3444.7592744595518</v>
      </c>
    </row>
    <row r="169" spans="2:24" ht="23.25" customHeight="1" thickBot="1">
      <c r="B169" s="884"/>
      <c r="C169" s="2617" t="s">
        <v>1966</v>
      </c>
      <c r="D169" s="2617"/>
      <c r="E169" s="2617"/>
      <c r="F169" s="2617"/>
      <c r="G169" s="2617"/>
      <c r="H169" s="2617"/>
      <c r="I169" s="2617"/>
      <c r="J169" s="2617"/>
      <c r="K169" s="2617"/>
      <c r="L169" s="2617"/>
      <c r="M169" s="2617"/>
      <c r="N169" s="2617"/>
      <c r="O169" s="2617"/>
      <c r="P169" s="2617"/>
      <c r="Q169" s="2617"/>
      <c r="R169" s="2617"/>
      <c r="S169" s="2617"/>
      <c r="T169" s="2617"/>
      <c r="U169" s="2617"/>
      <c r="V169" s="2618"/>
    </row>
    <row r="170" spans="2:24" ht="15.6">
      <c r="B170" s="470">
        <v>1</v>
      </c>
      <c r="C170" s="481" t="s">
        <v>201</v>
      </c>
      <c r="D170" s="482" t="s">
        <v>36</v>
      </c>
      <c r="E170" s="437">
        <f>E171+E184+E185+E189</f>
        <v>10408.213022551672</v>
      </c>
      <c r="F170" s="439">
        <f t="shared" ref="F170:V170" si="56">F171+F184+F185+F189</f>
        <v>9095.7934124055464</v>
      </c>
      <c r="G170" s="1185">
        <f t="shared" si="56"/>
        <v>1312.4196101461275</v>
      </c>
      <c r="H170" s="437">
        <f t="shared" si="56"/>
        <v>7861.176527968456</v>
      </c>
      <c r="I170" s="439">
        <f t="shared" si="56"/>
        <v>6902.9164964726087</v>
      </c>
      <c r="J170" s="440">
        <f t="shared" si="56"/>
        <v>958.26003149584665</v>
      </c>
      <c r="K170" s="437">
        <f t="shared" si="56"/>
        <v>598.68999927209165</v>
      </c>
      <c r="L170" s="439">
        <f t="shared" si="56"/>
        <v>504.47820613037419</v>
      </c>
      <c r="M170" s="440">
        <f t="shared" si="56"/>
        <v>94.21179314171745</v>
      </c>
      <c r="N170" s="437">
        <f t="shared" si="56"/>
        <v>979.34234654228965</v>
      </c>
      <c r="O170" s="439">
        <f t="shared" si="56"/>
        <v>837.25667962934335</v>
      </c>
      <c r="P170" s="440">
        <f t="shared" si="56"/>
        <v>142.08566691294632</v>
      </c>
      <c r="Q170" s="437">
        <f t="shared" ref="Q170:S170" si="57">Q171+Q184+Q185+Q189</f>
        <v>473.56540199984096</v>
      </c>
      <c r="R170" s="439">
        <f t="shared" si="57"/>
        <v>418.35794703429394</v>
      </c>
      <c r="S170" s="440">
        <f t="shared" si="57"/>
        <v>55.207454965546972</v>
      </c>
      <c r="T170" s="1163">
        <f t="shared" si="56"/>
        <v>495.43874676899469</v>
      </c>
      <c r="U170" s="439">
        <f t="shared" si="56"/>
        <v>432.78408313892481</v>
      </c>
      <c r="V170" s="440">
        <f t="shared" si="56"/>
        <v>62.654663630069969</v>
      </c>
      <c r="W170" s="885"/>
      <c r="X170" s="2137"/>
    </row>
    <row r="171" spans="2:24" ht="15.6">
      <c r="B171" s="470" t="s">
        <v>22</v>
      </c>
      <c r="C171" s="171" t="s">
        <v>202</v>
      </c>
      <c r="D171" s="1278" t="s">
        <v>36</v>
      </c>
      <c r="E171" s="1275">
        <f>E172+E176+E177+E181+E182</f>
        <v>9714.0286569070067</v>
      </c>
      <c r="F171" s="441">
        <f t="shared" ref="F171:V171" si="58">F172+F176+F177+F181+F182</f>
        <v>9095.7934124055464</v>
      </c>
      <c r="G171" s="1186">
        <f t="shared" si="58"/>
        <v>618.23524450146135</v>
      </c>
      <c r="H171" s="1275">
        <f t="shared" si="58"/>
        <v>7335.8033069942012</v>
      </c>
      <c r="I171" s="441">
        <f t="shared" si="58"/>
        <v>6902.9164964726087</v>
      </c>
      <c r="J171" s="430">
        <f t="shared" si="58"/>
        <v>432.88681052159166</v>
      </c>
      <c r="K171" s="1275">
        <f t="shared" si="58"/>
        <v>559.57522184845982</v>
      </c>
      <c r="L171" s="441">
        <f t="shared" si="58"/>
        <v>504.47820613037419</v>
      </c>
      <c r="M171" s="430">
        <f t="shared" si="58"/>
        <v>55.097015718085608</v>
      </c>
      <c r="N171" s="1275">
        <f t="shared" si="58"/>
        <v>914.42554050236731</v>
      </c>
      <c r="O171" s="441">
        <f t="shared" si="58"/>
        <v>837.25667962934335</v>
      </c>
      <c r="P171" s="430">
        <f t="shared" si="58"/>
        <v>77.168860873024002</v>
      </c>
      <c r="Q171" s="1275">
        <f t="shared" ref="Q171:S171" si="59">Q172+Q176+Q177+Q181+Q182</f>
        <v>441.72460072867392</v>
      </c>
      <c r="R171" s="441">
        <f t="shared" si="59"/>
        <v>418.35794703429394</v>
      </c>
      <c r="S171" s="430">
        <f t="shared" si="59"/>
        <v>23.366653694380002</v>
      </c>
      <c r="T171" s="1187">
        <f t="shared" si="58"/>
        <v>462.49998683330477</v>
      </c>
      <c r="U171" s="441">
        <f t="shared" si="58"/>
        <v>432.78408313892481</v>
      </c>
      <c r="V171" s="430">
        <f t="shared" si="58"/>
        <v>29.715903694379996</v>
      </c>
      <c r="W171" s="886"/>
    </row>
    <row r="172" spans="2:24" ht="15.6">
      <c r="B172" s="470" t="s">
        <v>37</v>
      </c>
      <c r="C172" s="483" t="s">
        <v>435</v>
      </c>
      <c r="D172" s="1278" t="s">
        <v>36</v>
      </c>
      <c r="E172" s="1275">
        <f>E173+E174+E175</f>
        <v>8302.6957517161845</v>
      </c>
      <c r="F172" s="441">
        <f t="shared" ref="F172:V172" si="60">F173+F174+F175</f>
        <v>7692.5333717161848</v>
      </c>
      <c r="G172" s="1186">
        <f t="shared" si="60"/>
        <v>610.1623800000001</v>
      </c>
      <c r="H172" s="1275">
        <f t="shared" si="60"/>
        <v>6266.4817806721203</v>
      </c>
      <c r="I172" s="441">
        <f t="shared" si="60"/>
        <v>5840.9000006721199</v>
      </c>
      <c r="J172" s="430">
        <f t="shared" si="60"/>
        <v>425.58178000000004</v>
      </c>
      <c r="K172" s="1275">
        <f t="shared" si="60"/>
        <v>480.36083987563558</v>
      </c>
      <c r="L172" s="441">
        <f t="shared" si="60"/>
        <v>425.40957987563559</v>
      </c>
      <c r="M172" s="430">
        <f t="shared" si="60"/>
        <v>54.951260000000005</v>
      </c>
      <c r="N172" s="1275">
        <f t="shared" si="60"/>
        <v>782.8090134241105</v>
      </c>
      <c r="O172" s="441">
        <f t="shared" si="60"/>
        <v>706.03050342411052</v>
      </c>
      <c r="P172" s="430">
        <f t="shared" si="60"/>
        <v>76.778509999999997</v>
      </c>
      <c r="Q172" s="1275">
        <f t="shared" ref="Q172:S172" si="61">Q173+Q174+Q175</f>
        <v>377.24410092517337</v>
      </c>
      <c r="R172" s="441">
        <f t="shared" si="61"/>
        <v>353.99331092517338</v>
      </c>
      <c r="S172" s="430">
        <f t="shared" si="61"/>
        <v>23.250790000000002</v>
      </c>
      <c r="T172" s="1187">
        <f t="shared" si="60"/>
        <v>395.8000168191449</v>
      </c>
      <c r="U172" s="441">
        <f t="shared" si="60"/>
        <v>366.19997681914492</v>
      </c>
      <c r="V172" s="430">
        <f t="shared" si="60"/>
        <v>29.600039999999996</v>
      </c>
      <c r="W172" s="886"/>
    </row>
    <row r="173" spans="2:24" ht="15.6">
      <c r="B173" s="470" t="s">
        <v>436</v>
      </c>
      <c r="C173" s="484" t="s">
        <v>422</v>
      </c>
      <c r="D173" s="1278" t="s">
        <v>36</v>
      </c>
      <c r="E173" s="887">
        <f>E41</f>
        <v>7526.294279271533</v>
      </c>
      <c r="F173" s="1188">
        <f t="shared" ref="F173:V173" si="62">F41</f>
        <v>7526.294279271533</v>
      </c>
      <c r="G173" s="1189">
        <f t="shared" si="62"/>
        <v>0</v>
      </c>
      <c r="H173" s="887">
        <f t="shared" si="62"/>
        <v>5714.6755349139594</v>
      </c>
      <c r="I173" s="1188">
        <f t="shared" si="62"/>
        <v>5714.6755349139594</v>
      </c>
      <c r="J173" s="1190">
        <f t="shared" si="62"/>
        <v>0</v>
      </c>
      <c r="K173" s="887">
        <f t="shared" si="62"/>
        <v>416.21628826954287</v>
      </c>
      <c r="L173" s="1188">
        <f t="shared" si="62"/>
        <v>416.21628826954287</v>
      </c>
      <c r="M173" s="1190">
        <f t="shared" si="62"/>
        <v>0</v>
      </c>
      <c r="N173" s="887">
        <f t="shared" si="62"/>
        <v>690.77286794097972</v>
      </c>
      <c r="O173" s="1188">
        <f t="shared" si="62"/>
        <v>690.77286794097972</v>
      </c>
      <c r="P173" s="1190">
        <f t="shared" si="62"/>
        <v>0</v>
      </c>
      <c r="Q173" s="887">
        <f t="shared" ref="Q173:S173" si="63">Q41</f>
        <v>346.34335688583855</v>
      </c>
      <c r="R173" s="1188">
        <f t="shared" si="63"/>
        <v>346.34335688583855</v>
      </c>
      <c r="S173" s="1190">
        <f t="shared" si="63"/>
        <v>0</v>
      </c>
      <c r="T173" s="1191">
        <f t="shared" si="62"/>
        <v>358.28623126121232</v>
      </c>
      <c r="U173" s="1188">
        <f t="shared" si="62"/>
        <v>358.28623126121232</v>
      </c>
      <c r="V173" s="1190">
        <f t="shared" si="62"/>
        <v>0</v>
      </c>
      <c r="W173" s="886"/>
    </row>
    <row r="174" spans="2:24" ht="15.6">
      <c r="B174" s="470" t="s">
        <v>437</v>
      </c>
      <c r="C174" s="484" t="s">
        <v>930</v>
      </c>
      <c r="D174" s="1278" t="s">
        <v>36</v>
      </c>
      <c r="E174" s="887">
        <f t="shared" ref="E174:V175" si="64">E42</f>
        <v>166.23909244465176</v>
      </c>
      <c r="F174" s="1188">
        <f t="shared" si="64"/>
        <v>166.23909244465176</v>
      </c>
      <c r="G174" s="1189">
        <f t="shared" si="64"/>
        <v>0</v>
      </c>
      <c r="H174" s="887">
        <f t="shared" si="64"/>
        <v>126.22446575816085</v>
      </c>
      <c r="I174" s="1188">
        <f t="shared" si="64"/>
        <v>126.22446575816085</v>
      </c>
      <c r="J174" s="1190">
        <f t="shared" si="64"/>
        <v>0</v>
      </c>
      <c r="K174" s="887">
        <f t="shared" si="64"/>
        <v>9.1932916060926857</v>
      </c>
      <c r="L174" s="1188">
        <f t="shared" si="64"/>
        <v>9.1932916060926857</v>
      </c>
      <c r="M174" s="1190">
        <f t="shared" si="64"/>
        <v>0</v>
      </c>
      <c r="N174" s="887">
        <f t="shared" si="64"/>
        <v>15.257635483130812</v>
      </c>
      <c r="O174" s="1188">
        <f t="shared" si="64"/>
        <v>15.257635483130812</v>
      </c>
      <c r="P174" s="1190">
        <f t="shared" si="64"/>
        <v>0</v>
      </c>
      <c r="Q174" s="887">
        <f t="shared" ref="Q174:S174" si="65">Q42</f>
        <v>7.6499540393348378</v>
      </c>
      <c r="R174" s="1188">
        <f t="shared" si="65"/>
        <v>7.6499540393348378</v>
      </c>
      <c r="S174" s="1190">
        <f t="shared" si="65"/>
        <v>0</v>
      </c>
      <c r="T174" s="1191">
        <f t="shared" si="64"/>
        <v>7.9137455579325913</v>
      </c>
      <c r="U174" s="1188">
        <f t="shared" si="64"/>
        <v>7.9137455579325913</v>
      </c>
      <c r="V174" s="1190">
        <f t="shared" si="64"/>
        <v>0</v>
      </c>
      <c r="W174" s="886"/>
    </row>
    <row r="175" spans="2:24" ht="15.6">
      <c r="B175" s="470" t="s">
        <v>438</v>
      </c>
      <c r="C175" s="484" t="s">
        <v>931</v>
      </c>
      <c r="D175" s="1278" t="s">
        <v>36</v>
      </c>
      <c r="E175" s="887">
        <f t="shared" si="64"/>
        <v>610.1623800000001</v>
      </c>
      <c r="F175" s="1188">
        <f t="shared" si="64"/>
        <v>0</v>
      </c>
      <c r="G175" s="1189">
        <f t="shared" si="64"/>
        <v>610.1623800000001</v>
      </c>
      <c r="H175" s="887">
        <f t="shared" si="64"/>
        <v>425.58178000000004</v>
      </c>
      <c r="I175" s="1188">
        <f t="shared" si="64"/>
        <v>0</v>
      </c>
      <c r="J175" s="1190">
        <f t="shared" si="64"/>
        <v>425.58178000000004</v>
      </c>
      <c r="K175" s="887">
        <f t="shared" si="64"/>
        <v>54.951260000000005</v>
      </c>
      <c r="L175" s="1188">
        <f t="shared" si="64"/>
        <v>0</v>
      </c>
      <c r="M175" s="1190">
        <f t="shared" si="64"/>
        <v>54.951260000000005</v>
      </c>
      <c r="N175" s="887">
        <f t="shared" si="64"/>
        <v>76.778509999999997</v>
      </c>
      <c r="O175" s="1188">
        <f t="shared" si="64"/>
        <v>0</v>
      </c>
      <c r="P175" s="1190">
        <f t="shared" si="64"/>
        <v>76.778509999999997</v>
      </c>
      <c r="Q175" s="887">
        <f t="shared" ref="Q175:S175" si="66">Q43</f>
        <v>23.250790000000002</v>
      </c>
      <c r="R175" s="1188">
        <f t="shared" si="66"/>
        <v>0</v>
      </c>
      <c r="S175" s="1190">
        <f t="shared" si="66"/>
        <v>23.250790000000002</v>
      </c>
      <c r="T175" s="1191">
        <f t="shared" si="64"/>
        <v>29.600039999999996</v>
      </c>
      <c r="U175" s="1188">
        <f t="shared" si="64"/>
        <v>0</v>
      </c>
      <c r="V175" s="1190">
        <f t="shared" si="64"/>
        <v>29.600039999999996</v>
      </c>
      <c r="W175" s="886"/>
    </row>
    <row r="176" spans="2:24" ht="15.6">
      <c r="B176" s="470" t="s">
        <v>38</v>
      </c>
      <c r="C176" s="140" t="s">
        <v>39</v>
      </c>
      <c r="D176" s="1278" t="s">
        <v>36</v>
      </c>
      <c r="E176" s="1275">
        <f t="shared" ref="E176:V176" si="67">E44+E89</f>
        <v>1403.2600406893609</v>
      </c>
      <c r="F176" s="441">
        <f t="shared" si="67"/>
        <v>1403.2600406893609</v>
      </c>
      <c r="G176" s="1186">
        <f t="shared" si="67"/>
        <v>0</v>
      </c>
      <c r="H176" s="1275">
        <f t="shared" si="67"/>
        <v>1062.0164958004891</v>
      </c>
      <c r="I176" s="441">
        <f t="shared" si="67"/>
        <v>1062.0164958004891</v>
      </c>
      <c r="J176" s="430">
        <f t="shared" si="67"/>
        <v>0</v>
      </c>
      <c r="K176" s="1275">
        <f t="shared" si="67"/>
        <v>79.068626254738618</v>
      </c>
      <c r="L176" s="441">
        <f t="shared" si="67"/>
        <v>79.068626254738618</v>
      </c>
      <c r="M176" s="430">
        <f t="shared" si="67"/>
        <v>0</v>
      </c>
      <c r="N176" s="1275">
        <f t="shared" si="67"/>
        <v>131.22617620523283</v>
      </c>
      <c r="O176" s="441">
        <f t="shared" si="67"/>
        <v>131.22617620523283</v>
      </c>
      <c r="P176" s="430">
        <f t="shared" si="67"/>
        <v>0</v>
      </c>
      <c r="Q176" s="1275">
        <f t="shared" ref="Q176:S176" si="68">Q44+Q89</f>
        <v>64.364636109120553</v>
      </c>
      <c r="R176" s="441">
        <f t="shared" si="68"/>
        <v>64.364636109120553</v>
      </c>
      <c r="S176" s="430">
        <f t="shared" si="68"/>
        <v>0</v>
      </c>
      <c r="T176" s="1187">
        <f t="shared" si="67"/>
        <v>66.584106319779892</v>
      </c>
      <c r="U176" s="441">
        <f t="shared" si="67"/>
        <v>66.584106319779892</v>
      </c>
      <c r="V176" s="430">
        <f t="shared" si="67"/>
        <v>0</v>
      </c>
      <c r="W176" s="888"/>
    </row>
    <row r="177" spans="2:24" ht="66">
      <c r="B177" s="470" t="s">
        <v>40</v>
      </c>
      <c r="C177" s="485" t="s">
        <v>948</v>
      </c>
      <c r="D177" s="1278" t="s">
        <v>36</v>
      </c>
      <c r="E177" s="1275">
        <f>E45</f>
        <v>0</v>
      </c>
      <c r="F177" s="441">
        <f t="shared" ref="F177:V177" si="69">F45</f>
        <v>0</v>
      </c>
      <c r="G177" s="1186">
        <f t="shared" si="69"/>
        <v>0</v>
      </c>
      <c r="H177" s="1275">
        <f t="shared" si="69"/>
        <v>0</v>
      </c>
      <c r="I177" s="441">
        <f t="shared" si="69"/>
        <v>0</v>
      </c>
      <c r="J177" s="430">
        <f t="shared" si="69"/>
        <v>0</v>
      </c>
      <c r="K177" s="1275">
        <f t="shared" si="69"/>
        <v>0</v>
      </c>
      <c r="L177" s="441">
        <f t="shared" si="69"/>
        <v>0</v>
      </c>
      <c r="M177" s="430">
        <f t="shared" si="69"/>
        <v>0</v>
      </c>
      <c r="N177" s="1275">
        <f t="shared" si="69"/>
        <v>0</v>
      </c>
      <c r="O177" s="441">
        <f t="shared" si="69"/>
        <v>0</v>
      </c>
      <c r="P177" s="430">
        <f t="shared" si="69"/>
        <v>0</v>
      </c>
      <c r="Q177" s="1275">
        <f t="shared" ref="Q177:S177" si="70">Q45</f>
        <v>0</v>
      </c>
      <c r="R177" s="441">
        <f t="shared" si="70"/>
        <v>0</v>
      </c>
      <c r="S177" s="430">
        <f t="shared" si="70"/>
        <v>0</v>
      </c>
      <c r="T177" s="1187">
        <f t="shared" si="69"/>
        <v>0</v>
      </c>
      <c r="U177" s="441">
        <f t="shared" si="69"/>
        <v>0</v>
      </c>
      <c r="V177" s="430">
        <f t="shared" si="69"/>
        <v>0</v>
      </c>
      <c r="W177" s="886"/>
      <c r="X177" s="2334"/>
    </row>
    <row r="178" spans="2:24" ht="15.6">
      <c r="B178" s="1269" t="s">
        <v>511</v>
      </c>
      <c r="C178" s="485" t="s">
        <v>512</v>
      </c>
      <c r="D178" s="1278" t="s">
        <v>36</v>
      </c>
      <c r="E178" s="1275">
        <f t="shared" ref="E178:V179" si="71">E46</f>
        <v>0</v>
      </c>
      <c r="F178" s="441">
        <f t="shared" si="71"/>
        <v>0</v>
      </c>
      <c r="G178" s="1186">
        <f t="shared" si="71"/>
        <v>0</v>
      </c>
      <c r="H178" s="1275">
        <f t="shared" si="71"/>
        <v>0</v>
      </c>
      <c r="I178" s="441">
        <f t="shared" si="71"/>
        <v>0</v>
      </c>
      <c r="J178" s="430">
        <f t="shared" si="71"/>
        <v>0</v>
      </c>
      <c r="K178" s="1275">
        <f t="shared" si="71"/>
        <v>0</v>
      </c>
      <c r="L178" s="441">
        <f t="shared" si="71"/>
        <v>0</v>
      </c>
      <c r="M178" s="430">
        <f t="shared" si="71"/>
        <v>0</v>
      </c>
      <c r="N178" s="1275">
        <f t="shared" si="71"/>
        <v>0</v>
      </c>
      <c r="O178" s="441">
        <f t="shared" si="71"/>
        <v>0</v>
      </c>
      <c r="P178" s="430">
        <f t="shared" si="71"/>
        <v>0</v>
      </c>
      <c r="Q178" s="1275">
        <f t="shared" ref="Q178:S178" si="72">Q46</f>
        <v>0</v>
      </c>
      <c r="R178" s="441">
        <f t="shared" si="72"/>
        <v>0</v>
      </c>
      <c r="S178" s="430">
        <f t="shared" si="72"/>
        <v>0</v>
      </c>
      <c r="T178" s="1187">
        <f t="shared" si="71"/>
        <v>0</v>
      </c>
      <c r="U178" s="441">
        <f t="shared" si="71"/>
        <v>0</v>
      </c>
      <c r="V178" s="430">
        <f t="shared" si="71"/>
        <v>0</v>
      </c>
      <c r="W178" s="886"/>
    </row>
    <row r="179" spans="2:24" ht="39.6">
      <c r="B179" s="1269" t="s">
        <v>513</v>
      </c>
      <c r="C179" s="485" t="s">
        <v>514</v>
      </c>
      <c r="D179" s="1278" t="s">
        <v>36</v>
      </c>
      <c r="E179" s="1275">
        <f t="shared" si="71"/>
        <v>0</v>
      </c>
      <c r="F179" s="441">
        <f t="shared" si="71"/>
        <v>0</v>
      </c>
      <c r="G179" s="1186">
        <f t="shared" si="71"/>
        <v>0</v>
      </c>
      <c r="H179" s="1275">
        <f t="shared" si="71"/>
        <v>0</v>
      </c>
      <c r="I179" s="441">
        <f t="shared" si="71"/>
        <v>0</v>
      </c>
      <c r="J179" s="430">
        <f t="shared" si="71"/>
        <v>0</v>
      </c>
      <c r="K179" s="1275">
        <f t="shared" si="71"/>
        <v>0</v>
      </c>
      <c r="L179" s="441">
        <f t="shared" si="71"/>
        <v>0</v>
      </c>
      <c r="M179" s="430">
        <f t="shared" si="71"/>
        <v>0</v>
      </c>
      <c r="N179" s="1275">
        <f t="shared" si="71"/>
        <v>0</v>
      </c>
      <c r="O179" s="441">
        <f t="shared" si="71"/>
        <v>0</v>
      </c>
      <c r="P179" s="430">
        <f t="shared" si="71"/>
        <v>0</v>
      </c>
      <c r="Q179" s="1275">
        <f t="shared" ref="Q179:S179" si="73">Q47</f>
        <v>0</v>
      </c>
      <c r="R179" s="441">
        <f t="shared" si="73"/>
        <v>0</v>
      </c>
      <c r="S179" s="430">
        <f t="shared" si="73"/>
        <v>0</v>
      </c>
      <c r="T179" s="1187">
        <f t="shared" si="71"/>
        <v>0</v>
      </c>
      <c r="U179" s="441">
        <f t="shared" si="71"/>
        <v>0</v>
      </c>
      <c r="V179" s="430">
        <f t="shared" si="71"/>
        <v>0</v>
      </c>
      <c r="W179" s="886"/>
    </row>
    <row r="180" spans="2:24" ht="26.4">
      <c r="B180" s="1269" t="s">
        <v>40</v>
      </c>
      <c r="C180" s="171" t="s">
        <v>531</v>
      </c>
      <c r="D180" s="1278" t="s">
        <v>36</v>
      </c>
      <c r="E180" s="1275">
        <f>E90</f>
        <v>0</v>
      </c>
      <c r="F180" s="441">
        <f t="shared" ref="F180:V180" si="74">F90</f>
        <v>0</v>
      </c>
      <c r="G180" s="1186">
        <f t="shared" si="74"/>
        <v>0</v>
      </c>
      <c r="H180" s="1275">
        <f t="shared" si="74"/>
        <v>0</v>
      </c>
      <c r="I180" s="441">
        <f t="shared" si="74"/>
        <v>0</v>
      </c>
      <c r="J180" s="430">
        <f t="shared" si="74"/>
        <v>0</v>
      </c>
      <c r="K180" s="1275">
        <f t="shared" si="74"/>
        <v>0</v>
      </c>
      <c r="L180" s="441">
        <f t="shared" si="74"/>
        <v>0</v>
      </c>
      <c r="M180" s="430">
        <f t="shared" si="74"/>
        <v>0</v>
      </c>
      <c r="N180" s="1275">
        <f t="shared" si="74"/>
        <v>0</v>
      </c>
      <c r="O180" s="441">
        <f t="shared" si="74"/>
        <v>0</v>
      </c>
      <c r="P180" s="430">
        <f t="shared" si="74"/>
        <v>0</v>
      </c>
      <c r="Q180" s="1275">
        <f t="shared" ref="Q180:S180" si="75">Q90</f>
        <v>0</v>
      </c>
      <c r="R180" s="441">
        <f t="shared" si="75"/>
        <v>0</v>
      </c>
      <c r="S180" s="430">
        <f t="shared" si="75"/>
        <v>0</v>
      </c>
      <c r="T180" s="1187">
        <f t="shared" si="74"/>
        <v>0</v>
      </c>
      <c r="U180" s="441">
        <f t="shared" si="74"/>
        <v>0</v>
      </c>
      <c r="V180" s="430">
        <f t="shared" si="74"/>
        <v>0</v>
      </c>
      <c r="W180" s="886"/>
    </row>
    <row r="181" spans="2:24" ht="26.4">
      <c r="B181" s="1269" t="s">
        <v>41</v>
      </c>
      <c r="C181" s="171" t="s">
        <v>784</v>
      </c>
      <c r="D181" s="1278" t="s">
        <v>36</v>
      </c>
      <c r="E181" s="1275">
        <f t="shared" ref="E181:V181" si="76">E48+E91</f>
        <v>8.0728645014612006</v>
      </c>
      <c r="F181" s="441">
        <f t="shared" si="76"/>
        <v>0</v>
      </c>
      <c r="G181" s="1186">
        <f t="shared" si="76"/>
        <v>8.0728645014612006</v>
      </c>
      <c r="H181" s="1275">
        <f t="shared" si="76"/>
        <v>7.3050305215916005</v>
      </c>
      <c r="I181" s="441">
        <f t="shared" si="76"/>
        <v>0</v>
      </c>
      <c r="J181" s="430">
        <f t="shared" si="76"/>
        <v>7.3050305215916005</v>
      </c>
      <c r="K181" s="1275">
        <f t="shared" si="76"/>
        <v>0.14575571808560001</v>
      </c>
      <c r="L181" s="441">
        <f t="shared" si="76"/>
        <v>0</v>
      </c>
      <c r="M181" s="430">
        <f t="shared" si="76"/>
        <v>0.14575571808560001</v>
      </c>
      <c r="N181" s="1275">
        <f t="shared" si="76"/>
        <v>0.39035087302400001</v>
      </c>
      <c r="O181" s="441">
        <f t="shared" si="76"/>
        <v>0</v>
      </c>
      <c r="P181" s="430">
        <f t="shared" si="76"/>
        <v>0.39035087302400001</v>
      </c>
      <c r="Q181" s="1275">
        <f t="shared" ref="Q181:S181" si="77">Q48+Q91</f>
        <v>0.11586369437999999</v>
      </c>
      <c r="R181" s="441">
        <f t="shared" si="77"/>
        <v>0</v>
      </c>
      <c r="S181" s="430">
        <f t="shared" si="77"/>
        <v>0.11586369437999999</v>
      </c>
      <c r="T181" s="1187">
        <f t="shared" si="76"/>
        <v>0.11586369437999999</v>
      </c>
      <c r="U181" s="441">
        <f t="shared" si="76"/>
        <v>0</v>
      </c>
      <c r="V181" s="430">
        <f t="shared" si="76"/>
        <v>0.11586369437999999</v>
      </c>
      <c r="W181" s="889"/>
    </row>
    <row r="182" spans="2:24" ht="15.6">
      <c r="B182" s="1269" t="s">
        <v>42</v>
      </c>
      <c r="C182" s="171" t="s">
        <v>533</v>
      </c>
      <c r="D182" s="1278" t="s">
        <v>36</v>
      </c>
      <c r="E182" s="1275">
        <f t="shared" ref="E182:V182" si="78">E49+E92+E132</f>
        <v>0</v>
      </c>
      <c r="F182" s="441">
        <f t="shared" si="78"/>
        <v>0</v>
      </c>
      <c r="G182" s="1186">
        <f t="shared" si="78"/>
        <v>0</v>
      </c>
      <c r="H182" s="1275">
        <f t="shared" si="78"/>
        <v>0</v>
      </c>
      <c r="I182" s="441">
        <f t="shared" si="78"/>
        <v>0</v>
      </c>
      <c r="J182" s="430">
        <f t="shared" si="78"/>
        <v>0</v>
      </c>
      <c r="K182" s="1275">
        <f t="shared" si="78"/>
        <v>0</v>
      </c>
      <c r="L182" s="441">
        <f t="shared" si="78"/>
        <v>0</v>
      </c>
      <c r="M182" s="430">
        <f t="shared" si="78"/>
        <v>0</v>
      </c>
      <c r="N182" s="1275">
        <f t="shared" si="78"/>
        <v>0</v>
      </c>
      <c r="O182" s="441">
        <f t="shared" si="78"/>
        <v>0</v>
      </c>
      <c r="P182" s="430">
        <f t="shared" si="78"/>
        <v>0</v>
      </c>
      <c r="Q182" s="1275">
        <f t="shared" ref="Q182:S182" si="79">Q49+Q92+Q132</f>
        <v>0</v>
      </c>
      <c r="R182" s="441">
        <f t="shared" si="79"/>
        <v>0</v>
      </c>
      <c r="S182" s="430">
        <f t="shared" si="79"/>
        <v>0</v>
      </c>
      <c r="T182" s="1187">
        <f t="shared" si="78"/>
        <v>0</v>
      </c>
      <c r="U182" s="441">
        <f t="shared" si="78"/>
        <v>0</v>
      </c>
      <c r="V182" s="430">
        <f t="shared" si="78"/>
        <v>0</v>
      </c>
      <c r="W182" s="889"/>
    </row>
    <row r="183" spans="2:24" ht="26.4">
      <c r="B183" s="1269" t="s">
        <v>1158</v>
      </c>
      <c r="C183" s="511" t="s">
        <v>960</v>
      </c>
      <c r="D183" s="1278" t="s">
        <v>36</v>
      </c>
      <c r="E183" s="1275">
        <f>E93</f>
        <v>0</v>
      </c>
      <c r="F183" s="441">
        <f t="shared" ref="F183:V183" si="80">F93</f>
        <v>0</v>
      </c>
      <c r="G183" s="1186">
        <f t="shared" si="80"/>
        <v>0</v>
      </c>
      <c r="H183" s="1275">
        <f t="shared" si="80"/>
        <v>0</v>
      </c>
      <c r="I183" s="441">
        <f t="shared" si="80"/>
        <v>0</v>
      </c>
      <c r="J183" s="430">
        <f t="shared" si="80"/>
        <v>0</v>
      </c>
      <c r="K183" s="1275">
        <f t="shared" si="80"/>
        <v>0</v>
      </c>
      <c r="L183" s="441">
        <f t="shared" si="80"/>
        <v>0</v>
      </c>
      <c r="M183" s="430">
        <f t="shared" si="80"/>
        <v>0</v>
      </c>
      <c r="N183" s="1275">
        <f t="shared" si="80"/>
        <v>0</v>
      </c>
      <c r="O183" s="441">
        <f t="shared" si="80"/>
        <v>0</v>
      </c>
      <c r="P183" s="430">
        <f t="shared" si="80"/>
        <v>0</v>
      </c>
      <c r="Q183" s="1275">
        <f t="shared" ref="Q183:S183" si="81">Q93</f>
        <v>0</v>
      </c>
      <c r="R183" s="441">
        <f t="shared" si="81"/>
        <v>0</v>
      </c>
      <c r="S183" s="430">
        <f t="shared" si="81"/>
        <v>0</v>
      </c>
      <c r="T183" s="1187">
        <f t="shared" si="80"/>
        <v>0</v>
      </c>
      <c r="U183" s="441">
        <f t="shared" si="80"/>
        <v>0</v>
      </c>
      <c r="V183" s="430">
        <f t="shared" si="80"/>
        <v>0</v>
      </c>
      <c r="W183" s="886"/>
    </row>
    <row r="184" spans="2:24" ht="15.6">
      <c r="B184" s="890" t="s">
        <v>23</v>
      </c>
      <c r="C184" s="171" t="s">
        <v>43</v>
      </c>
      <c r="D184" s="1278" t="s">
        <v>36</v>
      </c>
      <c r="E184" s="1275">
        <f t="shared" ref="E184:V184" si="82">E50+E94+E133</f>
        <v>360.13114754098359</v>
      </c>
      <c r="F184" s="441">
        <f t="shared" si="82"/>
        <v>0</v>
      </c>
      <c r="G184" s="1186">
        <f t="shared" si="82"/>
        <v>360.13114754098359</v>
      </c>
      <c r="H184" s="1275">
        <f t="shared" si="82"/>
        <v>272.5547712113256</v>
      </c>
      <c r="I184" s="441">
        <f t="shared" si="82"/>
        <v>0</v>
      </c>
      <c r="J184" s="430">
        <f t="shared" si="82"/>
        <v>272.5547712113256</v>
      </c>
      <c r="K184" s="1275">
        <f t="shared" si="82"/>
        <v>20.292087198335373</v>
      </c>
      <c r="L184" s="441">
        <f t="shared" si="82"/>
        <v>0</v>
      </c>
      <c r="M184" s="430">
        <f t="shared" si="82"/>
        <v>20.292087198335373</v>
      </c>
      <c r="N184" s="1275">
        <f t="shared" si="82"/>
        <v>33.67774471864081</v>
      </c>
      <c r="O184" s="441">
        <f t="shared" si="82"/>
        <v>0</v>
      </c>
      <c r="P184" s="430">
        <f t="shared" si="82"/>
        <v>33.67774471864081</v>
      </c>
      <c r="Q184" s="1275">
        <f t="shared" ref="Q184:S184" si="83">Q50+Q94+Q133</f>
        <v>16.518470982504581</v>
      </c>
      <c r="R184" s="441">
        <f t="shared" si="83"/>
        <v>0</v>
      </c>
      <c r="S184" s="430">
        <f t="shared" si="83"/>
        <v>16.518470982504581</v>
      </c>
      <c r="T184" s="1187">
        <f t="shared" si="82"/>
        <v>17.088073430177158</v>
      </c>
      <c r="U184" s="441">
        <f t="shared" si="82"/>
        <v>0</v>
      </c>
      <c r="V184" s="430">
        <f t="shared" si="82"/>
        <v>17.088073430177158</v>
      </c>
      <c r="W184" s="889"/>
    </row>
    <row r="185" spans="2:24" ht="15.6">
      <c r="B185" s="890" t="s">
        <v>44</v>
      </c>
      <c r="C185" s="171" t="s">
        <v>203</v>
      </c>
      <c r="D185" s="1278" t="s">
        <v>36</v>
      </c>
      <c r="E185" s="1275">
        <f t="shared" ref="E185:V185" si="84">E51+E95+E134</f>
        <v>224.57034754098362</v>
      </c>
      <c r="F185" s="441">
        <f t="shared" si="84"/>
        <v>0</v>
      </c>
      <c r="G185" s="1186">
        <f t="shared" si="84"/>
        <v>224.57034754098359</v>
      </c>
      <c r="H185" s="1275">
        <f t="shared" si="84"/>
        <v>169.95952755770762</v>
      </c>
      <c r="I185" s="441">
        <f t="shared" si="84"/>
        <v>0</v>
      </c>
      <c r="J185" s="430">
        <f t="shared" si="84"/>
        <v>169.95952755770762</v>
      </c>
      <c r="K185" s="1275">
        <f t="shared" si="84"/>
        <v>12.653726581490773</v>
      </c>
      <c r="L185" s="441">
        <f t="shared" si="84"/>
        <v>0</v>
      </c>
      <c r="M185" s="430">
        <f t="shared" si="84"/>
        <v>12.653726581490773</v>
      </c>
      <c r="N185" s="1275">
        <f t="shared" si="84"/>
        <v>21.000746221210996</v>
      </c>
      <c r="O185" s="441">
        <f t="shared" si="84"/>
        <v>0</v>
      </c>
      <c r="P185" s="430">
        <f t="shared" si="84"/>
        <v>21.000746221210996</v>
      </c>
      <c r="Q185" s="1275">
        <f t="shared" ref="Q185:S185" si="85">Q51+Q95+Q134</f>
        <v>10.300577427739855</v>
      </c>
      <c r="R185" s="441">
        <f t="shared" si="85"/>
        <v>0</v>
      </c>
      <c r="S185" s="430">
        <f t="shared" si="85"/>
        <v>10.300577427739855</v>
      </c>
      <c r="T185" s="1187">
        <f t="shared" si="84"/>
        <v>10.655769752834335</v>
      </c>
      <c r="U185" s="441">
        <f t="shared" si="84"/>
        <v>0</v>
      </c>
      <c r="V185" s="430">
        <f t="shared" si="84"/>
        <v>10.655769752834335</v>
      </c>
      <c r="W185" s="889"/>
    </row>
    <row r="186" spans="2:24" ht="26.4">
      <c r="B186" s="890" t="s">
        <v>45</v>
      </c>
      <c r="C186" s="483" t="s">
        <v>433</v>
      </c>
      <c r="D186" s="1278" t="s">
        <v>36</v>
      </c>
      <c r="E186" s="1275">
        <f t="shared" ref="E186:V186" si="86">E52+E96+E135</f>
        <v>17.430347540983604</v>
      </c>
      <c r="F186" s="441">
        <f t="shared" si="86"/>
        <v>0</v>
      </c>
      <c r="G186" s="1186">
        <f t="shared" si="86"/>
        <v>17.430347540983604</v>
      </c>
      <c r="H186" s="1275">
        <f t="shared" si="86"/>
        <v>13.19165092662816</v>
      </c>
      <c r="I186" s="441">
        <f t="shared" si="86"/>
        <v>0</v>
      </c>
      <c r="J186" s="430">
        <f t="shared" si="86"/>
        <v>13.19165092662816</v>
      </c>
      <c r="K186" s="1275">
        <f t="shared" si="86"/>
        <v>0.98213702039943218</v>
      </c>
      <c r="L186" s="441">
        <f t="shared" si="86"/>
        <v>0</v>
      </c>
      <c r="M186" s="430">
        <f t="shared" si="86"/>
        <v>0.98213702039943218</v>
      </c>
      <c r="N186" s="1275">
        <f t="shared" si="86"/>
        <v>1.6300028443822152</v>
      </c>
      <c r="O186" s="441">
        <f t="shared" si="86"/>
        <v>0</v>
      </c>
      <c r="P186" s="430">
        <f t="shared" si="86"/>
        <v>1.6300028443822152</v>
      </c>
      <c r="Q186" s="1275">
        <f t="shared" ref="Q186:S186" si="87">Q52+Q96+Q135</f>
        <v>0.79949399555322187</v>
      </c>
      <c r="R186" s="441">
        <f t="shared" si="87"/>
        <v>0</v>
      </c>
      <c r="S186" s="430">
        <f t="shared" si="87"/>
        <v>0.79949399555322187</v>
      </c>
      <c r="T186" s="1187">
        <f t="shared" si="86"/>
        <v>0.8270627540205745</v>
      </c>
      <c r="U186" s="441">
        <f t="shared" si="86"/>
        <v>0</v>
      </c>
      <c r="V186" s="430">
        <f t="shared" si="86"/>
        <v>0.8270627540205745</v>
      </c>
      <c r="W186" s="889"/>
    </row>
    <row r="187" spans="2:24" ht="15.6">
      <c r="B187" s="890" t="s">
        <v>46</v>
      </c>
      <c r="C187" s="140" t="s">
        <v>434</v>
      </c>
      <c r="D187" s="1278" t="s">
        <v>36</v>
      </c>
      <c r="E187" s="1275">
        <f t="shared" ref="E187:V187" si="88">E53+E97+E136</f>
        <v>0</v>
      </c>
      <c r="F187" s="441">
        <f t="shared" si="88"/>
        <v>0</v>
      </c>
      <c r="G187" s="1186">
        <f t="shared" si="88"/>
        <v>0</v>
      </c>
      <c r="H187" s="1275">
        <f t="shared" si="88"/>
        <v>0</v>
      </c>
      <c r="I187" s="441">
        <f t="shared" si="88"/>
        <v>0</v>
      </c>
      <c r="J187" s="430">
        <f t="shared" si="88"/>
        <v>0</v>
      </c>
      <c r="K187" s="1275">
        <f t="shared" si="88"/>
        <v>0</v>
      </c>
      <c r="L187" s="441">
        <f t="shared" si="88"/>
        <v>0</v>
      </c>
      <c r="M187" s="430">
        <f t="shared" si="88"/>
        <v>0</v>
      </c>
      <c r="N187" s="1275">
        <f t="shared" si="88"/>
        <v>0</v>
      </c>
      <c r="O187" s="441">
        <f t="shared" si="88"/>
        <v>0</v>
      </c>
      <c r="P187" s="430">
        <f t="shared" si="88"/>
        <v>0</v>
      </c>
      <c r="Q187" s="1275">
        <f t="shared" ref="Q187:S187" si="89">Q53+Q97+Q136</f>
        <v>0</v>
      </c>
      <c r="R187" s="441">
        <f t="shared" si="89"/>
        <v>0</v>
      </c>
      <c r="S187" s="430">
        <f t="shared" si="89"/>
        <v>0</v>
      </c>
      <c r="T187" s="1187">
        <f t="shared" si="88"/>
        <v>0</v>
      </c>
      <c r="U187" s="441">
        <f t="shared" si="88"/>
        <v>0</v>
      </c>
      <c r="V187" s="430">
        <f t="shared" si="88"/>
        <v>0</v>
      </c>
      <c r="W187" s="889"/>
    </row>
    <row r="188" spans="2:24" ht="15.6">
      <c r="B188" s="890" t="s">
        <v>47</v>
      </c>
      <c r="C188" s="140" t="s">
        <v>48</v>
      </c>
      <c r="D188" s="1278" t="s">
        <v>36</v>
      </c>
      <c r="E188" s="1275">
        <f t="shared" ref="E188:V188" si="90">E54+E98+E137</f>
        <v>207.14000000000001</v>
      </c>
      <c r="F188" s="441">
        <f t="shared" si="90"/>
        <v>0</v>
      </c>
      <c r="G188" s="1186">
        <f t="shared" si="90"/>
        <v>207.14000000000001</v>
      </c>
      <c r="H188" s="1275">
        <f t="shared" si="90"/>
        <v>156.76787663107947</v>
      </c>
      <c r="I188" s="441">
        <f t="shared" si="90"/>
        <v>0</v>
      </c>
      <c r="J188" s="430">
        <f t="shared" si="90"/>
        <v>156.76787663107947</v>
      </c>
      <c r="K188" s="1275">
        <f t="shared" si="90"/>
        <v>11.67158956109134</v>
      </c>
      <c r="L188" s="441">
        <f t="shared" si="90"/>
        <v>0</v>
      </c>
      <c r="M188" s="430">
        <f t="shared" si="90"/>
        <v>11.67158956109134</v>
      </c>
      <c r="N188" s="1275">
        <f t="shared" si="90"/>
        <v>19.370743376828781</v>
      </c>
      <c r="O188" s="441">
        <f t="shared" si="90"/>
        <v>0</v>
      </c>
      <c r="P188" s="430">
        <f t="shared" si="90"/>
        <v>19.370743376828781</v>
      </c>
      <c r="Q188" s="1275">
        <f t="shared" ref="Q188:S188" si="91">Q54+Q98+Q137</f>
        <v>9.5010834321866326</v>
      </c>
      <c r="R188" s="441">
        <f t="shared" si="91"/>
        <v>0</v>
      </c>
      <c r="S188" s="430">
        <f t="shared" si="91"/>
        <v>9.5010834321866326</v>
      </c>
      <c r="T188" s="1187">
        <f t="shared" si="90"/>
        <v>9.828706998813761</v>
      </c>
      <c r="U188" s="441">
        <f t="shared" si="90"/>
        <v>0</v>
      </c>
      <c r="V188" s="430">
        <f t="shared" si="90"/>
        <v>9.828706998813761</v>
      </c>
      <c r="W188" s="889"/>
      <c r="X188" s="2137"/>
    </row>
    <row r="189" spans="2:24" ht="15.6">
      <c r="B189" s="890" t="s">
        <v>49</v>
      </c>
      <c r="C189" s="140" t="s">
        <v>204</v>
      </c>
      <c r="D189" s="1278" t="s">
        <v>36</v>
      </c>
      <c r="E189" s="1275">
        <f t="shared" ref="E189:V189" si="92">E55+E99+E138</f>
        <v>109.48287056269906</v>
      </c>
      <c r="F189" s="441">
        <f t="shared" si="92"/>
        <v>0</v>
      </c>
      <c r="G189" s="1186">
        <f t="shared" si="92"/>
        <v>109.48287056269906</v>
      </c>
      <c r="H189" s="1275">
        <f t="shared" si="92"/>
        <v>82.85892220522183</v>
      </c>
      <c r="I189" s="441">
        <f t="shared" si="92"/>
        <v>0</v>
      </c>
      <c r="J189" s="430">
        <f t="shared" si="92"/>
        <v>82.85892220522183</v>
      </c>
      <c r="K189" s="1275">
        <f t="shared" si="92"/>
        <v>6.1689636438057001</v>
      </c>
      <c r="L189" s="441">
        <f t="shared" si="92"/>
        <v>0</v>
      </c>
      <c r="M189" s="430">
        <f t="shared" si="92"/>
        <v>6.1689636438057001</v>
      </c>
      <c r="N189" s="1275">
        <f t="shared" si="92"/>
        <v>10.238315100070512</v>
      </c>
      <c r="O189" s="441">
        <f t="shared" si="92"/>
        <v>0</v>
      </c>
      <c r="P189" s="430">
        <f t="shared" si="92"/>
        <v>10.238315100070512</v>
      </c>
      <c r="Q189" s="1275">
        <f t="shared" ref="Q189:S189" si="93">Q55+Q99+Q138</f>
        <v>5.0217528609225353</v>
      </c>
      <c r="R189" s="441">
        <f t="shared" si="93"/>
        <v>0</v>
      </c>
      <c r="S189" s="430">
        <f t="shared" si="93"/>
        <v>5.0217528609225353</v>
      </c>
      <c r="T189" s="1187">
        <f t="shared" si="92"/>
        <v>5.1949167526784858</v>
      </c>
      <c r="U189" s="441">
        <f t="shared" si="92"/>
        <v>0</v>
      </c>
      <c r="V189" s="430">
        <f t="shared" si="92"/>
        <v>5.1949167526784858</v>
      </c>
      <c r="W189" s="888"/>
    </row>
    <row r="190" spans="2:24" ht="15.6">
      <c r="B190" s="890" t="s">
        <v>50</v>
      </c>
      <c r="C190" s="140" t="s">
        <v>51</v>
      </c>
      <c r="D190" s="1278" t="s">
        <v>36</v>
      </c>
      <c r="E190" s="1275">
        <f t="shared" ref="E190:V190" si="94">E56+E100+E139</f>
        <v>103.7522519523928</v>
      </c>
      <c r="F190" s="441">
        <f t="shared" si="94"/>
        <v>0</v>
      </c>
      <c r="G190" s="1186">
        <f t="shared" si="94"/>
        <v>103.7522519523928</v>
      </c>
      <c r="H190" s="1275">
        <f t="shared" si="94"/>
        <v>78.521870398133572</v>
      </c>
      <c r="I190" s="441">
        <f t="shared" si="94"/>
        <v>0</v>
      </c>
      <c r="J190" s="430">
        <f t="shared" si="94"/>
        <v>78.521870398133572</v>
      </c>
      <c r="K190" s="1275">
        <f t="shared" si="94"/>
        <v>5.8460640186698205</v>
      </c>
      <c r="L190" s="441">
        <f t="shared" si="94"/>
        <v>0</v>
      </c>
      <c r="M190" s="430">
        <f t="shared" si="94"/>
        <v>5.8460640186698205</v>
      </c>
      <c r="N190" s="1275">
        <f t="shared" si="94"/>
        <v>9.7024150204590338</v>
      </c>
      <c r="O190" s="441">
        <f t="shared" si="94"/>
        <v>0</v>
      </c>
      <c r="P190" s="430">
        <f t="shared" si="94"/>
        <v>9.7024150204590338</v>
      </c>
      <c r="Q190" s="1275">
        <f t="shared" ref="Q190:S190" si="95">Q56+Q100+Q139</f>
        <v>4.7589012362505203</v>
      </c>
      <c r="R190" s="441">
        <f t="shared" si="95"/>
        <v>0</v>
      </c>
      <c r="S190" s="430">
        <f t="shared" si="95"/>
        <v>4.7589012362505203</v>
      </c>
      <c r="T190" s="1187">
        <f t="shared" si="94"/>
        <v>4.9230012788798492</v>
      </c>
      <c r="U190" s="441">
        <f t="shared" si="94"/>
        <v>0</v>
      </c>
      <c r="V190" s="430">
        <f t="shared" si="94"/>
        <v>4.9230012788798492</v>
      </c>
      <c r="W190" s="888"/>
    </row>
    <row r="191" spans="2:24" ht="26.4">
      <c r="B191" s="890" t="s">
        <v>52</v>
      </c>
      <c r="C191" s="483" t="s">
        <v>433</v>
      </c>
      <c r="D191" s="1278" t="s">
        <v>36</v>
      </c>
      <c r="E191" s="1275">
        <f t="shared" ref="E191:V191" si="96">E57+E101+E140</f>
        <v>5.0216089944958116</v>
      </c>
      <c r="F191" s="441">
        <f t="shared" si="96"/>
        <v>0</v>
      </c>
      <c r="G191" s="1186">
        <f t="shared" si="96"/>
        <v>5.0216089944958116</v>
      </c>
      <c r="H191" s="1275">
        <f t="shared" si="96"/>
        <v>3.8004585272696652</v>
      </c>
      <c r="I191" s="441">
        <f t="shared" si="96"/>
        <v>0</v>
      </c>
      <c r="J191" s="430">
        <f t="shared" si="96"/>
        <v>3.8004585272696652</v>
      </c>
      <c r="K191" s="1275">
        <f t="shared" si="96"/>
        <v>0.28294949850361922</v>
      </c>
      <c r="L191" s="441">
        <f t="shared" si="96"/>
        <v>0</v>
      </c>
      <c r="M191" s="430">
        <f t="shared" si="96"/>
        <v>0.28294949850361922</v>
      </c>
      <c r="N191" s="1275">
        <f t="shared" si="96"/>
        <v>0.46959688699021723</v>
      </c>
      <c r="O191" s="441">
        <f t="shared" si="96"/>
        <v>0</v>
      </c>
      <c r="P191" s="430">
        <f t="shared" si="96"/>
        <v>0.46959688699021723</v>
      </c>
      <c r="Q191" s="1275">
        <f t="shared" ref="Q191:S191" si="97">Q57+Q101+Q140</f>
        <v>0.23033081983452514</v>
      </c>
      <c r="R191" s="441">
        <f t="shared" si="97"/>
        <v>0</v>
      </c>
      <c r="S191" s="430">
        <f t="shared" si="97"/>
        <v>0.23033081983452514</v>
      </c>
      <c r="T191" s="1187">
        <f t="shared" si="96"/>
        <v>0.23827326189778464</v>
      </c>
      <c r="U191" s="441">
        <f t="shared" si="96"/>
        <v>0</v>
      </c>
      <c r="V191" s="430">
        <f t="shared" si="96"/>
        <v>0.23827326189778464</v>
      </c>
      <c r="W191" s="886"/>
    </row>
    <row r="192" spans="2:24" ht="15.6">
      <c r="B192" s="890" t="s">
        <v>53</v>
      </c>
      <c r="C192" s="140" t="s">
        <v>54</v>
      </c>
      <c r="D192" s="1278" t="s">
        <v>36</v>
      </c>
      <c r="E192" s="1275">
        <f t="shared" ref="E192:V192" si="98">E58+E102+E141</f>
        <v>0.70900961581046507</v>
      </c>
      <c r="F192" s="441">
        <f t="shared" si="98"/>
        <v>0</v>
      </c>
      <c r="G192" s="1186">
        <f t="shared" si="98"/>
        <v>0.70900961581044009</v>
      </c>
      <c r="H192" s="1275">
        <f t="shared" si="98"/>
        <v>0.53659327981858751</v>
      </c>
      <c r="I192" s="441">
        <f t="shared" si="98"/>
        <v>0</v>
      </c>
      <c r="J192" s="430">
        <f t="shared" si="98"/>
        <v>0.53659327981857741</v>
      </c>
      <c r="K192" s="1275">
        <f t="shared" si="98"/>
        <v>3.9950126632260691E-2</v>
      </c>
      <c r="L192" s="441">
        <f t="shared" si="98"/>
        <v>0</v>
      </c>
      <c r="M192" s="430">
        <f t="shared" si="98"/>
        <v>3.9950126632260864E-2</v>
      </c>
      <c r="N192" s="1275">
        <f t="shared" si="98"/>
        <v>6.6303192621260221E-2</v>
      </c>
      <c r="O192" s="441">
        <f t="shared" si="98"/>
        <v>0</v>
      </c>
      <c r="P192" s="430">
        <f t="shared" si="98"/>
        <v>6.6303192621260998E-2</v>
      </c>
      <c r="Q192" s="1275">
        <f t="shared" ref="Q192:S192" si="99">Q58+Q102+Q141</f>
        <v>3.25208048374903E-2</v>
      </c>
      <c r="R192" s="441">
        <f t="shared" si="99"/>
        <v>0</v>
      </c>
      <c r="S192" s="430">
        <f t="shared" si="99"/>
        <v>3.2520804837489543E-2</v>
      </c>
      <c r="T192" s="1187">
        <f t="shared" si="98"/>
        <v>3.364221190085185E-2</v>
      </c>
      <c r="U192" s="441">
        <f t="shared" si="98"/>
        <v>0</v>
      </c>
      <c r="V192" s="430">
        <f t="shared" si="98"/>
        <v>3.3642211900851253E-2</v>
      </c>
      <c r="W192" s="886"/>
    </row>
    <row r="193" spans="2:24" ht="15.6">
      <c r="B193" s="890">
        <v>2</v>
      </c>
      <c r="C193" s="140" t="s">
        <v>205</v>
      </c>
      <c r="D193" s="1278" t="s">
        <v>36</v>
      </c>
      <c r="E193" s="1275">
        <f t="shared" ref="E193:V193" si="100">E59+E103+E142</f>
        <v>927.71850147277996</v>
      </c>
      <c r="F193" s="441">
        <f t="shared" si="100"/>
        <v>0</v>
      </c>
      <c r="G193" s="1186">
        <f t="shared" si="100"/>
        <v>927.71850147277996</v>
      </c>
      <c r="H193" s="1275">
        <f t="shared" si="100"/>
        <v>702.11673065199727</v>
      </c>
      <c r="I193" s="441">
        <f t="shared" si="100"/>
        <v>0</v>
      </c>
      <c r="J193" s="430">
        <f t="shared" si="100"/>
        <v>702.11673065199727</v>
      </c>
      <c r="K193" s="1275">
        <f t="shared" si="100"/>
        <v>52.273581043839933</v>
      </c>
      <c r="L193" s="441">
        <f t="shared" si="100"/>
        <v>0</v>
      </c>
      <c r="M193" s="430">
        <f t="shared" si="100"/>
        <v>52.273581043839933</v>
      </c>
      <c r="N193" s="1275">
        <f t="shared" si="100"/>
        <v>86.755802925390469</v>
      </c>
      <c r="O193" s="441">
        <f t="shared" si="100"/>
        <v>0</v>
      </c>
      <c r="P193" s="430">
        <f t="shared" si="100"/>
        <v>86.755802925390469</v>
      </c>
      <c r="Q193" s="1275">
        <f t="shared" ref="Q193:S193" si="101">Q59+Q103+Q142</f>
        <v>42.55252913042407</v>
      </c>
      <c r="R193" s="441">
        <f t="shared" si="101"/>
        <v>0</v>
      </c>
      <c r="S193" s="430">
        <f t="shared" si="101"/>
        <v>42.55252913042407</v>
      </c>
      <c r="T193" s="1187">
        <f t="shared" si="100"/>
        <v>44.019857721128361</v>
      </c>
      <c r="U193" s="441">
        <f t="shared" si="100"/>
        <v>0</v>
      </c>
      <c r="V193" s="430">
        <f t="shared" si="100"/>
        <v>44.019857721128361</v>
      </c>
      <c r="W193" s="886"/>
    </row>
    <row r="194" spans="2:24" ht="15.6">
      <c r="B194" s="890" t="s">
        <v>24</v>
      </c>
      <c r="C194" s="140" t="s">
        <v>51</v>
      </c>
      <c r="D194" s="1278" t="s">
        <v>36</v>
      </c>
      <c r="E194" s="1275">
        <f t="shared" ref="E194:V194" si="102">E60+E104+E143</f>
        <v>796.80059463148564</v>
      </c>
      <c r="F194" s="441">
        <f t="shared" si="102"/>
        <v>0</v>
      </c>
      <c r="G194" s="1186">
        <f t="shared" si="102"/>
        <v>796.80059463148564</v>
      </c>
      <c r="H194" s="1275">
        <f t="shared" si="102"/>
        <v>603.03532547436271</v>
      </c>
      <c r="I194" s="441">
        <f t="shared" si="102"/>
        <v>0</v>
      </c>
      <c r="J194" s="430">
        <f t="shared" si="102"/>
        <v>603.03532547436271</v>
      </c>
      <c r="K194" s="1275">
        <f t="shared" si="102"/>
        <v>44.896830658357729</v>
      </c>
      <c r="L194" s="441">
        <f t="shared" si="102"/>
        <v>0</v>
      </c>
      <c r="M194" s="430">
        <f t="shared" si="102"/>
        <v>44.896830658357729</v>
      </c>
      <c r="N194" s="1275">
        <f t="shared" si="102"/>
        <v>74.512985618958609</v>
      </c>
      <c r="O194" s="441">
        <f t="shared" si="102"/>
        <v>0</v>
      </c>
      <c r="P194" s="430">
        <f t="shared" si="102"/>
        <v>74.512985618958609</v>
      </c>
      <c r="Q194" s="1275">
        <f t="shared" ref="Q194:S194" si="103">Q60+Q104+Q143</f>
        <v>36.547595483294707</v>
      </c>
      <c r="R194" s="441">
        <f t="shared" si="103"/>
        <v>0</v>
      </c>
      <c r="S194" s="430">
        <f t="shared" si="103"/>
        <v>36.547595483294707</v>
      </c>
      <c r="T194" s="1187">
        <f t="shared" si="102"/>
        <v>37.807857396511771</v>
      </c>
      <c r="U194" s="441">
        <f t="shared" si="102"/>
        <v>0</v>
      </c>
      <c r="V194" s="430">
        <f t="shared" si="102"/>
        <v>37.807857396511771</v>
      </c>
      <c r="W194" s="886"/>
    </row>
    <row r="195" spans="2:24" ht="29.25" customHeight="1">
      <c r="B195" s="890" t="s">
        <v>25</v>
      </c>
      <c r="C195" s="483" t="s">
        <v>433</v>
      </c>
      <c r="D195" s="1278" t="s">
        <v>36</v>
      </c>
      <c r="E195" s="1275">
        <f t="shared" ref="E195:V195" si="104">E61+E105+E144</f>
        <v>38.565148780163909</v>
      </c>
      <c r="F195" s="441">
        <f t="shared" si="104"/>
        <v>0</v>
      </c>
      <c r="G195" s="1186">
        <f t="shared" si="104"/>
        <v>38.565148780163909</v>
      </c>
      <c r="H195" s="1275">
        <f t="shared" si="104"/>
        <v>29.186909752959156</v>
      </c>
      <c r="I195" s="441">
        <f t="shared" si="104"/>
        <v>0</v>
      </c>
      <c r="J195" s="430">
        <f t="shared" si="104"/>
        <v>29.186909752959156</v>
      </c>
      <c r="K195" s="1275">
        <f t="shared" si="104"/>
        <v>2.1730066038645144</v>
      </c>
      <c r="L195" s="441">
        <f t="shared" si="104"/>
        <v>0</v>
      </c>
      <c r="M195" s="430">
        <f t="shared" si="104"/>
        <v>2.1730066038645144</v>
      </c>
      <c r="N195" s="1275">
        <f t="shared" si="104"/>
        <v>3.6064285039575967</v>
      </c>
      <c r="O195" s="441">
        <f t="shared" si="104"/>
        <v>0</v>
      </c>
      <c r="P195" s="430">
        <f t="shared" si="104"/>
        <v>3.6064285039575967</v>
      </c>
      <c r="Q195" s="1275">
        <f t="shared" ref="Q195:S195" si="105">Q61+Q105+Q144</f>
        <v>1.7689036213914642</v>
      </c>
      <c r="R195" s="441">
        <f t="shared" si="105"/>
        <v>0</v>
      </c>
      <c r="S195" s="430">
        <f t="shared" si="105"/>
        <v>1.7689036213914642</v>
      </c>
      <c r="T195" s="1187">
        <f t="shared" si="104"/>
        <v>1.8299002979911698</v>
      </c>
      <c r="U195" s="441">
        <f t="shared" si="104"/>
        <v>0</v>
      </c>
      <c r="V195" s="430">
        <f t="shared" si="104"/>
        <v>1.8299002979911698</v>
      </c>
      <c r="W195" s="886"/>
    </row>
    <row r="196" spans="2:24" ht="15.6">
      <c r="B196" s="890" t="s">
        <v>55</v>
      </c>
      <c r="C196" s="486" t="s">
        <v>54</v>
      </c>
      <c r="D196" s="1278" t="s">
        <v>36</v>
      </c>
      <c r="E196" s="1275">
        <f t="shared" ref="E196:V196" si="106">E62+E106+E145</f>
        <v>92.352758061130487</v>
      </c>
      <c r="F196" s="441">
        <f t="shared" si="106"/>
        <v>0</v>
      </c>
      <c r="G196" s="1186">
        <f t="shared" si="106"/>
        <v>92.352758061130643</v>
      </c>
      <c r="H196" s="1275">
        <f t="shared" si="106"/>
        <v>69.894495424675299</v>
      </c>
      <c r="I196" s="441">
        <f t="shared" si="106"/>
        <v>0</v>
      </c>
      <c r="J196" s="430">
        <f t="shared" si="106"/>
        <v>69.894495424675398</v>
      </c>
      <c r="K196" s="1275">
        <f t="shared" si="106"/>
        <v>5.2037437816176846</v>
      </c>
      <c r="L196" s="441">
        <f t="shared" si="106"/>
        <v>0</v>
      </c>
      <c r="M196" s="430">
        <f t="shared" si="106"/>
        <v>5.2037437816176828</v>
      </c>
      <c r="N196" s="1275">
        <f t="shared" si="106"/>
        <v>8.6363888024742579</v>
      </c>
      <c r="O196" s="441">
        <f t="shared" si="106"/>
        <v>0</v>
      </c>
      <c r="P196" s="430">
        <f t="shared" si="106"/>
        <v>8.6363888024742579</v>
      </c>
      <c r="Q196" s="1275">
        <f t="shared" ref="Q196:S196" si="107">Q62+Q106+Q145</f>
        <v>4.2360300257378993</v>
      </c>
      <c r="R196" s="441">
        <f t="shared" si="107"/>
        <v>0</v>
      </c>
      <c r="S196" s="430">
        <f t="shared" si="107"/>
        <v>4.2360300257379029</v>
      </c>
      <c r="T196" s="1187">
        <f t="shared" si="106"/>
        <v>4.3821000266254204</v>
      </c>
      <c r="U196" s="441">
        <f t="shared" si="106"/>
        <v>0</v>
      </c>
      <c r="V196" s="430">
        <f t="shared" si="106"/>
        <v>4.3821000266254169</v>
      </c>
      <c r="W196" s="886"/>
    </row>
    <row r="197" spans="2:24" ht="15.6">
      <c r="B197" s="890" t="s">
        <v>166</v>
      </c>
      <c r="C197" s="171" t="s">
        <v>206</v>
      </c>
      <c r="D197" s="1278" t="s">
        <v>36</v>
      </c>
      <c r="E197" s="1275">
        <f t="shared" ref="E197:V197" si="108">E63+E107+E146</f>
        <v>0</v>
      </c>
      <c r="F197" s="441">
        <f t="shared" si="108"/>
        <v>0</v>
      </c>
      <c r="G197" s="1186">
        <f t="shared" si="108"/>
        <v>0</v>
      </c>
      <c r="H197" s="1275">
        <f t="shared" si="108"/>
        <v>0</v>
      </c>
      <c r="I197" s="441">
        <f t="shared" si="108"/>
        <v>0</v>
      </c>
      <c r="J197" s="430">
        <f t="shared" si="108"/>
        <v>0</v>
      </c>
      <c r="K197" s="1275">
        <f t="shared" si="108"/>
        <v>0</v>
      </c>
      <c r="L197" s="441">
        <f t="shared" si="108"/>
        <v>0</v>
      </c>
      <c r="M197" s="430">
        <f t="shared" si="108"/>
        <v>0</v>
      </c>
      <c r="N197" s="1275">
        <f t="shared" si="108"/>
        <v>0</v>
      </c>
      <c r="O197" s="441">
        <f t="shared" si="108"/>
        <v>0</v>
      </c>
      <c r="P197" s="430">
        <f t="shared" si="108"/>
        <v>0</v>
      </c>
      <c r="Q197" s="1275">
        <f t="shared" ref="Q197:S197" si="109">Q63+Q107+Q146</f>
        <v>0</v>
      </c>
      <c r="R197" s="441">
        <f t="shared" si="109"/>
        <v>0</v>
      </c>
      <c r="S197" s="430">
        <f t="shared" si="109"/>
        <v>0</v>
      </c>
      <c r="T197" s="1187">
        <f t="shared" si="108"/>
        <v>0</v>
      </c>
      <c r="U197" s="441">
        <f t="shared" si="108"/>
        <v>0</v>
      </c>
      <c r="V197" s="430">
        <f t="shared" si="108"/>
        <v>0</v>
      </c>
      <c r="W197" s="886"/>
    </row>
    <row r="198" spans="2:24" ht="15.6">
      <c r="B198" s="890" t="s">
        <v>56</v>
      </c>
      <c r="C198" s="171" t="s">
        <v>51</v>
      </c>
      <c r="D198" s="1278" t="s">
        <v>36</v>
      </c>
      <c r="E198" s="1275">
        <f t="shared" ref="E198:V198" si="110">E64+E108+E147</f>
        <v>0</v>
      </c>
      <c r="F198" s="441">
        <f t="shared" si="110"/>
        <v>0</v>
      </c>
      <c r="G198" s="1186">
        <f t="shared" si="110"/>
        <v>0</v>
      </c>
      <c r="H198" s="1275">
        <f t="shared" si="110"/>
        <v>0</v>
      </c>
      <c r="I198" s="441">
        <f t="shared" si="110"/>
        <v>0</v>
      </c>
      <c r="J198" s="430">
        <f t="shared" si="110"/>
        <v>0</v>
      </c>
      <c r="K198" s="1275">
        <f t="shared" si="110"/>
        <v>0</v>
      </c>
      <c r="L198" s="441">
        <f t="shared" si="110"/>
        <v>0</v>
      </c>
      <c r="M198" s="430">
        <f t="shared" si="110"/>
        <v>0</v>
      </c>
      <c r="N198" s="1275">
        <f t="shared" si="110"/>
        <v>0</v>
      </c>
      <c r="O198" s="441">
        <f t="shared" si="110"/>
        <v>0</v>
      </c>
      <c r="P198" s="430">
        <f t="shared" si="110"/>
        <v>0</v>
      </c>
      <c r="Q198" s="1275">
        <f t="shared" ref="Q198:S198" si="111">Q64+Q108+Q147</f>
        <v>0</v>
      </c>
      <c r="R198" s="441">
        <f t="shared" si="111"/>
        <v>0</v>
      </c>
      <c r="S198" s="430">
        <f t="shared" si="111"/>
        <v>0</v>
      </c>
      <c r="T198" s="1187">
        <f t="shared" si="110"/>
        <v>0</v>
      </c>
      <c r="U198" s="441">
        <f t="shared" si="110"/>
        <v>0</v>
      </c>
      <c r="V198" s="430">
        <f t="shared" si="110"/>
        <v>0</v>
      </c>
      <c r="W198" s="886"/>
    </row>
    <row r="199" spans="2:24" ht="26.4">
      <c r="B199" s="890" t="s">
        <v>57</v>
      </c>
      <c r="C199" s="483" t="s">
        <v>433</v>
      </c>
      <c r="D199" s="1278" t="s">
        <v>36</v>
      </c>
      <c r="E199" s="1275">
        <f t="shared" ref="E199:V199" si="112">E65+E109+E148</f>
        <v>0</v>
      </c>
      <c r="F199" s="441">
        <f t="shared" si="112"/>
        <v>0</v>
      </c>
      <c r="G199" s="1186">
        <f t="shared" si="112"/>
        <v>0</v>
      </c>
      <c r="H199" s="1275">
        <f t="shared" si="112"/>
        <v>0</v>
      </c>
      <c r="I199" s="441">
        <f t="shared" si="112"/>
        <v>0</v>
      </c>
      <c r="J199" s="430">
        <f t="shared" si="112"/>
        <v>0</v>
      </c>
      <c r="K199" s="1275">
        <f t="shared" si="112"/>
        <v>0</v>
      </c>
      <c r="L199" s="441">
        <f t="shared" si="112"/>
        <v>0</v>
      </c>
      <c r="M199" s="430">
        <f t="shared" si="112"/>
        <v>0</v>
      </c>
      <c r="N199" s="1275">
        <f t="shared" si="112"/>
        <v>0</v>
      </c>
      <c r="O199" s="441">
        <f t="shared" si="112"/>
        <v>0</v>
      </c>
      <c r="P199" s="430">
        <f t="shared" si="112"/>
        <v>0</v>
      </c>
      <c r="Q199" s="1275">
        <f t="shared" ref="Q199:S199" si="113">Q65+Q109+Q148</f>
        <v>0</v>
      </c>
      <c r="R199" s="441">
        <f t="shared" si="113"/>
        <v>0</v>
      </c>
      <c r="S199" s="430">
        <f t="shared" si="113"/>
        <v>0</v>
      </c>
      <c r="T199" s="1187">
        <f t="shared" si="112"/>
        <v>0</v>
      </c>
      <c r="U199" s="441">
        <f t="shared" si="112"/>
        <v>0</v>
      </c>
      <c r="V199" s="430">
        <f t="shared" si="112"/>
        <v>0</v>
      </c>
      <c r="W199" s="886"/>
    </row>
    <row r="200" spans="2:24" ht="15.6">
      <c r="B200" s="890" t="s">
        <v>58</v>
      </c>
      <c r="C200" s="171" t="s">
        <v>54</v>
      </c>
      <c r="D200" s="1278" t="s">
        <v>36</v>
      </c>
      <c r="E200" s="1275">
        <f t="shared" ref="E200:V200" si="114">E66+E110+E149</f>
        <v>0</v>
      </c>
      <c r="F200" s="441">
        <f t="shared" si="114"/>
        <v>0</v>
      </c>
      <c r="G200" s="1186">
        <f t="shared" si="114"/>
        <v>0</v>
      </c>
      <c r="H200" s="1275">
        <f t="shared" si="114"/>
        <v>0</v>
      </c>
      <c r="I200" s="441">
        <f t="shared" si="114"/>
        <v>0</v>
      </c>
      <c r="J200" s="430">
        <f t="shared" si="114"/>
        <v>0</v>
      </c>
      <c r="K200" s="1275">
        <f t="shared" si="114"/>
        <v>0</v>
      </c>
      <c r="L200" s="441">
        <f t="shared" si="114"/>
        <v>0</v>
      </c>
      <c r="M200" s="430">
        <f t="shared" si="114"/>
        <v>0</v>
      </c>
      <c r="N200" s="1275">
        <f t="shared" si="114"/>
        <v>0</v>
      </c>
      <c r="O200" s="441">
        <f t="shared" si="114"/>
        <v>0</v>
      </c>
      <c r="P200" s="430">
        <f t="shared" si="114"/>
        <v>0</v>
      </c>
      <c r="Q200" s="1275">
        <f t="shared" ref="Q200:S200" si="115">Q66+Q110+Q149</f>
        <v>0</v>
      </c>
      <c r="R200" s="441">
        <f t="shared" si="115"/>
        <v>0</v>
      </c>
      <c r="S200" s="430">
        <f t="shared" si="115"/>
        <v>0</v>
      </c>
      <c r="T200" s="1187">
        <f t="shared" si="114"/>
        <v>0</v>
      </c>
      <c r="U200" s="441">
        <f t="shared" si="114"/>
        <v>0</v>
      </c>
      <c r="V200" s="430">
        <f t="shared" si="114"/>
        <v>0</v>
      </c>
      <c r="W200" s="886"/>
    </row>
    <row r="201" spans="2:24" ht="15.6">
      <c r="B201" s="890" t="s">
        <v>167</v>
      </c>
      <c r="C201" s="483" t="s">
        <v>168</v>
      </c>
      <c r="D201" s="1278" t="s">
        <v>36</v>
      </c>
      <c r="E201" s="1275">
        <f t="shared" ref="E201:V201" si="116">E67+E111+E150</f>
        <v>0</v>
      </c>
      <c r="F201" s="441">
        <f t="shared" si="116"/>
        <v>0</v>
      </c>
      <c r="G201" s="1186">
        <f t="shared" si="116"/>
        <v>0</v>
      </c>
      <c r="H201" s="1275">
        <f t="shared" si="116"/>
        <v>0</v>
      </c>
      <c r="I201" s="441">
        <f t="shared" si="116"/>
        <v>0</v>
      </c>
      <c r="J201" s="430">
        <f t="shared" si="116"/>
        <v>0</v>
      </c>
      <c r="K201" s="1275">
        <f t="shared" si="116"/>
        <v>0</v>
      </c>
      <c r="L201" s="441">
        <f t="shared" si="116"/>
        <v>0</v>
      </c>
      <c r="M201" s="430">
        <f t="shared" si="116"/>
        <v>0</v>
      </c>
      <c r="N201" s="1275">
        <f t="shared" si="116"/>
        <v>0</v>
      </c>
      <c r="O201" s="441">
        <f t="shared" si="116"/>
        <v>0</v>
      </c>
      <c r="P201" s="430">
        <f t="shared" si="116"/>
        <v>0</v>
      </c>
      <c r="Q201" s="1275">
        <f t="shared" ref="Q201:S201" si="117">Q67+Q111+Q150</f>
        <v>0</v>
      </c>
      <c r="R201" s="441">
        <f t="shared" si="117"/>
        <v>0</v>
      </c>
      <c r="S201" s="430">
        <f t="shared" si="117"/>
        <v>0</v>
      </c>
      <c r="T201" s="1187">
        <f t="shared" si="116"/>
        <v>0</v>
      </c>
      <c r="U201" s="441">
        <f t="shared" si="116"/>
        <v>0</v>
      </c>
      <c r="V201" s="430">
        <f t="shared" si="116"/>
        <v>0</v>
      </c>
      <c r="W201" s="886"/>
    </row>
    <row r="202" spans="2:24" ht="15.6">
      <c r="B202" s="890" t="s">
        <v>162</v>
      </c>
      <c r="C202" s="140" t="s">
        <v>5</v>
      </c>
      <c r="D202" s="1278" t="s">
        <v>36</v>
      </c>
      <c r="E202" s="1275">
        <f t="shared" ref="E202:V202" si="118">E68+E112+E151</f>
        <v>0</v>
      </c>
      <c r="F202" s="441">
        <f t="shared" si="118"/>
        <v>0</v>
      </c>
      <c r="G202" s="1186">
        <f t="shared" si="118"/>
        <v>0</v>
      </c>
      <c r="H202" s="1275">
        <f t="shared" si="118"/>
        <v>0</v>
      </c>
      <c r="I202" s="441">
        <f t="shared" si="118"/>
        <v>0</v>
      </c>
      <c r="J202" s="430">
        <f t="shared" si="118"/>
        <v>0</v>
      </c>
      <c r="K202" s="1275">
        <f t="shared" si="118"/>
        <v>0</v>
      </c>
      <c r="L202" s="441">
        <f t="shared" si="118"/>
        <v>0</v>
      </c>
      <c r="M202" s="430">
        <f t="shared" si="118"/>
        <v>0</v>
      </c>
      <c r="N202" s="1275">
        <f t="shared" si="118"/>
        <v>0</v>
      </c>
      <c r="O202" s="441">
        <f t="shared" si="118"/>
        <v>0</v>
      </c>
      <c r="P202" s="430">
        <f t="shared" si="118"/>
        <v>0</v>
      </c>
      <c r="Q202" s="1275">
        <f t="shared" ref="Q202:S202" si="119">Q68+Q112+Q151</f>
        <v>0</v>
      </c>
      <c r="R202" s="441">
        <f t="shared" si="119"/>
        <v>0</v>
      </c>
      <c r="S202" s="430">
        <f t="shared" si="119"/>
        <v>0</v>
      </c>
      <c r="T202" s="1187">
        <f t="shared" si="118"/>
        <v>0</v>
      </c>
      <c r="U202" s="441">
        <f t="shared" si="118"/>
        <v>0</v>
      </c>
      <c r="V202" s="430">
        <f t="shared" si="118"/>
        <v>0</v>
      </c>
      <c r="W202" s="886"/>
    </row>
    <row r="203" spans="2:24" ht="15.6">
      <c r="B203" s="890" t="s">
        <v>163</v>
      </c>
      <c r="C203" s="487" t="s">
        <v>169</v>
      </c>
      <c r="D203" s="1273" t="s">
        <v>36</v>
      </c>
      <c r="E203" s="875">
        <f>E202+E201+E197+E193+E170</f>
        <v>11335.931524024452</v>
      </c>
      <c r="F203" s="1177">
        <f t="shared" ref="F203:V203" si="120">F202+F201+F197+F193+F170</f>
        <v>9095.7934124055464</v>
      </c>
      <c r="G203" s="1192">
        <f t="shared" si="120"/>
        <v>2240.1381116189077</v>
      </c>
      <c r="H203" s="875">
        <f t="shared" si="120"/>
        <v>8563.2932586204533</v>
      </c>
      <c r="I203" s="1177">
        <f t="shared" si="120"/>
        <v>6902.9164964726087</v>
      </c>
      <c r="J203" s="1176">
        <f t="shared" si="120"/>
        <v>1660.3767621478439</v>
      </c>
      <c r="K203" s="875">
        <f t="shared" si="120"/>
        <v>650.96358031593161</v>
      </c>
      <c r="L203" s="1177">
        <f t="shared" si="120"/>
        <v>504.47820613037419</v>
      </c>
      <c r="M203" s="1176">
        <f t="shared" si="120"/>
        <v>146.48537418555739</v>
      </c>
      <c r="N203" s="875">
        <f t="shared" si="120"/>
        <v>1066.0981494676801</v>
      </c>
      <c r="O203" s="1177">
        <f t="shared" si="120"/>
        <v>837.25667962934335</v>
      </c>
      <c r="P203" s="1176">
        <f t="shared" si="120"/>
        <v>228.84146983833679</v>
      </c>
      <c r="Q203" s="875">
        <f t="shared" ref="Q203:S203" si="121">Q202+Q201+Q197+Q193+Q170</f>
        <v>516.11793113026499</v>
      </c>
      <c r="R203" s="1177">
        <f t="shared" si="121"/>
        <v>418.35794703429394</v>
      </c>
      <c r="S203" s="1176">
        <f t="shared" si="121"/>
        <v>97.759984095971049</v>
      </c>
      <c r="T203" s="1193">
        <f t="shared" si="120"/>
        <v>539.45860449012309</v>
      </c>
      <c r="U203" s="1177">
        <f t="shared" si="120"/>
        <v>432.78408313892481</v>
      </c>
      <c r="V203" s="1176">
        <f t="shared" si="120"/>
        <v>106.67452135119834</v>
      </c>
      <c r="W203" s="889"/>
      <c r="X203" s="2137"/>
    </row>
    <row r="204" spans="2:24" ht="18.600000000000001" customHeight="1">
      <c r="B204" s="890" t="s">
        <v>164</v>
      </c>
      <c r="C204" s="502" t="s">
        <v>1250</v>
      </c>
      <c r="D204" s="1273" t="s">
        <v>36</v>
      </c>
      <c r="E204" s="1275">
        <f t="shared" ref="E204:V204" si="122">E153+E114+E70</f>
        <v>0</v>
      </c>
      <c r="F204" s="441">
        <f t="shared" si="122"/>
        <v>0</v>
      </c>
      <c r="G204" s="1186">
        <f t="shared" si="122"/>
        <v>0</v>
      </c>
      <c r="H204" s="1275">
        <f t="shared" si="122"/>
        <v>0</v>
      </c>
      <c r="I204" s="441">
        <f t="shared" si="122"/>
        <v>0</v>
      </c>
      <c r="J204" s="430">
        <f t="shared" si="122"/>
        <v>0</v>
      </c>
      <c r="K204" s="1275">
        <f t="shared" si="122"/>
        <v>0</v>
      </c>
      <c r="L204" s="441">
        <f t="shared" si="122"/>
        <v>0</v>
      </c>
      <c r="M204" s="430">
        <f t="shared" si="122"/>
        <v>0</v>
      </c>
      <c r="N204" s="1275">
        <f t="shared" si="122"/>
        <v>0</v>
      </c>
      <c r="O204" s="441">
        <f t="shared" si="122"/>
        <v>0</v>
      </c>
      <c r="P204" s="430">
        <f t="shared" si="122"/>
        <v>0</v>
      </c>
      <c r="Q204" s="1275">
        <f t="shared" ref="Q204:S204" si="123">Q153+Q114+Q70</f>
        <v>0</v>
      </c>
      <c r="R204" s="441">
        <f t="shared" si="123"/>
        <v>0</v>
      </c>
      <c r="S204" s="430">
        <f t="shared" si="123"/>
        <v>0</v>
      </c>
      <c r="T204" s="1187">
        <f t="shared" si="122"/>
        <v>0</v>
      </c>
      <c r="U204" s="441">
        <f t="shared" si="122"/>
        <v>0</v>
      </c>
      <c r="V204" s="430">
        <f t="shared" si="122"/>
        <v>0</v>
      </c>
      <c r="W204" s="888"/>
    </row>
    <row r="205" spans="2:24" ht="15.6">
      <c r="B205" s="890" t="s">
        <v>165</v>
      </c>
      <c r="C205" s="512" t="s">
        <v>208</v>
      </c>
      <c r="D205" s="1273" t="s">
        <v>36</v>
      </c>
      <c r="E205" s="867">
        <f t="shared" ref="E205:V205" si="124">E154+E115+E71</f>
        <v>539.14796272799219</v>
      </c>
      <c r="F205" s="1164">
        <f t="shared" si="124"/>
        <v>0</v>
      </c>
      <c r="G205" s="1194">
        <f t="shared" si="124"/>
        <v>539.14796272799219</v>
      </c>
      <c r="H205" s="867">
        <f t="shared" si="124"/>
        <v>407.27858181243613</v>
      </c>
      <c r="I205" s="1164">
        <f t="shared" si="124"/>
        <v>0</v>
      </c>
      <c r="J205" s="1165">
        <f t="shared" si="124"/>
        <v>407.27858181243613</v>
      </c>
      <c r="K205" s="867">
        <f t="shared" si="124"/>
        <v>30.960462966245522</v>
      </c>
      <c r="L205" s="1164">
        <f t="shared" si="124"/>
        <v>0</v>
      </c>
      <c r="M205" s="1165">
        <f t="shared" si="124"/>
        <v>30.960462966245522</v>
      </c>
      <c r="N205" s="867">
        <f t="shared" si="124"/>
        <v>50.704668084438438</v>
      </c>
      <c r="O205" s="1164">
        <f t="shared" si="124"/>
        <v>0</v>
      </c>
      <c r="P205" s="1165">
        <f t="shared" si="124"/>
        <v>50.704668084438438</v>
      </c>
      <c r="Q205" s="867">
        <f t="shared" ref="Q205:S205" si="125">Q154+Q115+Q71</f>
        <v>24.547072334244305</v>
      </c>
      <c r="R205" s="1164">
        <f t="shared" si="125"/>
        <v>0</v>
      </c>
      <c r="S205" s="1165">
        <f t="shared" si="125"/>
        <v>24.547072334244305</v>
      </c>
      <c r="T205" s="1195">
        <f t="shared" si="124"/>
        <v>25.657177530627802</v>
      </c>
      <c r="U205" s="1164">
        <f t="shared" si="124"/>
        <v>0</v>
      </c>
      <c r="V205" s="1165">
        <f t="shared" si="124"/>
        <v>25.657177530627802</v>
      </c>
      <c r="W205" s="888"/>
    </row>
    <row r="206" spans="2:24" ht="15.6">
      <c r="B206" s="890" t="s">
        <v>109</v>
      </c>
      <c r="C206" s="140" t="s">
        <v>61</v>
      </c>
      <c r="D206" s="1278" t="s">
        <v>36</v>
      </c>
      <c r="E206" s="1275">
        <f t="shared" ref="E206:V206" si="126">E155+E116+E72</f>
        <v>97.046633291038589</v>
      </c>
      <c r="F206" s="441">
        <f t="shared" si="126"/>
        <v>0</v>
      </c>
      <c r="G206" s="1186">
        <f t="shared" si="126"/>
        <v>97.046633291038589</v>
      </c>
      <c r="H206" s="1275">
        <f t="shared" si="126"/>
        <v>73.310144726238462</v>
      </c>
      <c r="I206" s="441">
        <f t="shared" si="126"/>
        <v>0</v>
      </c>
      <c r="J206" s="430">
        <f t="shared" si="126"/>
        <v>73.310144726238462</v>
      </c>
      <c r="K206" s="1275">
        <f t="shared" si="126"/>
        <v>5.5728833339241923</v>
      </c>
      <c r="L206" s="441">
        <f t="shared" si="126"/>
        <v>0</v>
      </c>
      <c r="M206" s="430">
        <f t="shared" si="126"/>
        <v>5.5728833339241923</v>
      </c>
      <c r="N206" s="1275">
        <f t="shared" si="126"/>
        <v>9.1268402551989158</v>
      </c>
      <c r="O206" s="441">
        <f t="shared" si="126"/>
        <v>0</v>
      </c>
      <c r="P206" s="430">
        <f t="shared" si="126"/>
        <v>9.1268402551989158</v>
      </c>
      <c r="Q206" s="1275">
        <f t="shared" ref="Q206:S206" si="127">Q155+Q116+Q72</f>
        <v>4.4184730201639733</v>
      </c>
      <c r="R206" s="441">
        <f t="shared" si="127"/>
        <v>0</v>
      </c>
      <c r="S206" s="430">
        <f t="shared" si="127"/>
        <v>4.4184730201639733</v>
      </c>
      <c r="T206" s="1187">
        <f t="shared" si="126"/>
        <v>4.6182919555130022</v>
      </c>
      <c r="U206" s="441">
        <f t="shared" si="126"/>
        <v>0</v>
      </c>
      <c r="V206" s="430">
        <f t="shared" si="126"/>
        <v>4.6182919555130022</v>
      </c>
      <c r="W206" s="886"/>
    </row>
    <row r="207" spans="2:24" ht="15.6">
      <c r="B207" s="890" t="s">
        <v>111</v>
      </c>
      <c r="C207" s="140" t="s">
        <v>63</v>
      </c>
      <c r="D207" s="1278" t="s">
        <v>36</v>
      </c>
      <c r="E207" s="1275">
        <f t="shared" ref="E207:V207" si="128">E156+E117+E73</f>
        <v>0</v>
      </c>
      <c r="F207" s="441">
        <f t="shared" si="128"/>
        <v>0</v>
      </c>
      <c r="G207" s="1186">
        <f t="shared" si="128"/>
        <v>0</v>
      </c>
      <c r="H207" s="1275">
        <f t="shared" si="128"/>
        <v>0</v>
      </c>
      <c r="I207" s="441">
        <f t="shared" si="128"/>
        <v>0</v>
      </c>
      <c r="J207" s="430">
        <f t="shared" si="128"/>
        <v>0</v>
      </c>
      <c r="K207" s="1275">
        <f t="shared" si="128"/>
        <v>0</v>
      </c>
      <c r="L207" s="441">
        <f t="shared" si="128"/>
        <v>0</v>
      </c>
      <c r="M207" s="430">
        <f t="shared" si="128"/>
        <v>0</v>
      </c>
      <c r="N207" s="1275">
        <f t="shared" si="128"/>
        <v>0</v>
      </c>
      <c r="O207" s="441">
        <f t="shared" si="128"/>
        <v>0</v>
      </c>
      <c r="P207" s="430">
        <f t="shared" si="128"/>
        <v>0</v>
      </c>
      <c r="Q207" s="1275">
        <f t="shared" ref="Q207:S207" si="129">Q156+Q117+Q73</f>
        <v>0</v>
      </c>
      <c r="R207" s="441">
        <f t="shared" si="129"/>
        <v>0</v>
      </c>
      <c r="S207" s="430">
        <f t="shared" si="129"/>
        <v>0</v>
      </c>
      <c r="T207" s="1187">
        <f t="shared" si="128"/>
        <v>0</v>
      </c>
      <c r="U207" s="441">
        <f t="shared" si="128"/>
        <v>0</v>
      </c>
      <c r="V207" s="430">
        <f t="shared" si="128"/>
        <v>0</v>
      </c>
      <c r="W207" s="886"/>
    </row>
    <row r="208" spans="2:24" ht="15.6">
      <c r="B208" s="890" t="s">
        <v>113</v>
      </c>
      <c r="C208" s="140" t="s">
        <v>65</v>
      </c>
      <c r="D208" s="1278" t="s">
        <v>36</v>
      </c>
      <c r="E208" s="1275">
        <f t="shared" ref="E208:V208" si="130">E157+E118+E74</f>
        <v>0</v>
      </c>
      <c r="F208" s="441">
        <f t="shared" si="130"/>
        <v>0</v>
      </c>
      <c r="G208" s="1186">
        <f t="shared" si="130"/>
        <v>0</v>
      </c>
      <c r="H208" s="1275">
        <f t="shared" si="130"/>
        <v>0</v>
      </c>
      <c r="I208" s="441">
        <f t="shared" si="130"/>
        <v>0</v>
      </c>
      <c r="J208" s="430">
        <f t="shared" si="130"/>
        <v>0</v>
      </c>
      <c r="K208" s="1275">
        <f t="shared" si="130"/>
        <v>0</v>
      </c>
      <c r="L208" s="441">
        <f t="shared" si="130"/>
        <v>0</v>
      </c>
      <c r="M208" s="430">
        <f t="shared" si="130"/>
        <v>0</v>
      </c>
      <c r="N208" s="1275">
        <f t="shared" si="130"/>
        <v>0</v>
      </c>
      <c r="O208" s="441">
        <f t="shared" si="130"/>
        <v>0</v>
      </c>
      <c r="P208" s="430">
        <f t="shared" si="130"/>
        <v>0</v>
      </c>
      <c r="Q208" s="1275">
        <f t="shared" ref="Q208:S208" si="131">Q157+Q118+Q74</f>
        <v>0</v>
      </c>
      <c r="R208" s="441">
        <f t="shared" si="131"/>
        <v>0</v>
      </c>
      <c r="S208" s="430">
        <f t="shared" si="131"/>
        <v>0</v>
      </c>
      <c r="T208" s="1187">
        <f t="shared" si="130"/>
        <v>0</v>
      </c>
      <c r="U208" s="441">
        <f t="shared" si="130"/>
        <v>0</v>
      </c>
      <c r="V208" s="430">
        <f t="shared" si="130"/>
        <v>0</v>
      </c>
      <c r="W208" s="886"/>
    </row>
    <row r="209" spans="2:24" ht="19.8" customHeight="1">
      <c r="B209" s="890" t="s">
        <v>115</v>
      </c>
      <c r="C209" s="140" t="s">
        <v>67</v>
      </c>
      <c r="D209" s="1278" t="s">
        <v>36</v>
      </c>
      <c r="E209" s="1275">
        <f t="shared" ref="E209:V209" si="132">E158+E119+E75</f>
        <v>0</v>
      </c>
      <c r="F209" s="441">
        <f t="shared" si="132"/>
        <v>0</v>
      </c>
      <c r="G209" s="1186">
        <f t="shared" si="132"/>
        <v>0</v>
      </c>
      <c r="H209" s="1275">
        <f t="shared" si="132"/>
        <v>0</v>
      </c>
      <c r="I209" s="441">
        <f t="shared" si="132"/>
        <v>0</v>
      </c>
      <c r="J209" s="430">
        <f t="shared" si="132"/>
        <v>0</v>
      </c>
      <c r="K209" s="1275">
        <f t="shared" si="132"/>
        <v>0</v>
      </c>
      <c r="L209" s="441">
        <f t="shared" si="132"/>
        <v>0</v>
      </c>
      <c r="M209" s="430">
        <f t="shared" si="132"/>
        <v>0</v>
      </c>
      <c r="N209" s="1275">
        <f t="shared" si="132"/>
        <v>0</v>
      </c>
      <c r="O209" s="441">
        <f t="shared" si="132"/>
        <v>0</v>
      </c>
      <c r="P209" s="430">
        <f t="shared" si="132"/>
        <v>0</v>
      </c>
      <c r="Q209" s="1275">
        <f t="shared" ref="Q209:S209" si="133">Q158+Q119+Q75</f>
        <v>0</v>
      </c>
      <c r="R209" s="441">
        <f t="shared" si="133"/>
        <v>0</v>
      </c>
      <c r="S209" s="430">
        <f t="shared" si="133"/>
        <v>0</v>
      </c>
      <c r="T209" s="1187">
        <f t="shared" si="132"/>
        <v>0</v>
      </c>
      <c r="U209" s="441">
        <f t="shared" si="132"/>
        <v>0</v>
      </c>
      <c r="V209" s="430">
        <f t="shared" si="132"/>
        <v>0</v>
      </c>
      <c r="W209" s="886"/>
    </row>
    <row r="210" spans="2:24" ht="15.6">
      <c r="B210" s="890" t="s">
        <v>209</v>
      </c>
      <c r="C210" s="140" t="s">
        <v>82</v>
      </c>
      <c r="D210" s="1278" t="s">
        <v>36</v>
      </c>
      <c r="E210" s="1275">
        <f t="shared" ref="E210:V210" si="134">E159+E120+E76</f>
        <v>442.10132943695356</v>
      </c>
      <c r="F210" s="441">
        <f t="shared" si="134"/>
        <v>0</v>
      </c>
      <c r="G210" s="1186">
        <f t="shared" si="134"/>
        <v>442.10132943695356</v>
      </c>
      <c r="H210" s="1275">
        <f t="shared" si="134"/>
        <v>333.9684370861977</v>
      </c>
      <c r="I210" s="441">
        <f t="shared" si="134"/>
        <v>0</v>
      </c>
      <c r="J210" s="430">
        <f t="shared" si="134"/>
        <v>333.9684370861977</v>
      </c>
      <c r="K210" s="1275">
        <f t="shared" si="134"/>
        <v>25.387579632321334</v>
      </c>
      <c r="L210" s="441">
        <f t="shared" si="134"/>
        <v>0</v>
      </c>
      <c r="M210" s="430">
        <f t="shared" si="134"/>
        <v>25.387579632321334</v>
      </c>
      <c r="N210" s="1275">
        <f t="shared" si="134"/>
        <v>41.577827829239524</v>
      </c>
      <c r="O210" s="441">
        <f t="shared" si="134"/>
        <v>0</v>
      </c>
      <c r="P210" s="430">
        <f t="shared" si="134"/>
        <v>41.577827829239524</v>
      </c>
      <c r="Q210" s="1275">
        <f t="shared" ref="Q210:S210" si="135">Q159+Q120+Q76</f>
        <v>20.128599314080333</v>
      </c>
      <c r="R210" s="441">
        <f t="shared" si="135"/>
        <v>0</v>
      </c>
      <c r="S210" s="430">
        <f t="shared" si="135"/>
        <v>20.128599314080333</v>
      </c>
      <c r="T210" s="1187">
        <f t="shared" si="134"/>
        <v>21.038885575114801</v>
      </c>
      <c r="U210" s="441">
        <f t="shared" si="134"/>
        <v>0</v>
      </c>
      <c r="V210" s="430">
        <f t="shared" si="134"/>
        <v>21.038885575114801</v>
      </c>
      <c r="W210" s="886"/>
    </row>
    <row r="211" spans="2:24" ht="33" customHeight="1" thickBot="1">
      <c r="B211" s="890" t="s">
        <v>180</v>
      </c>
      <c r="C211" s="489" t="s">
        <v>1139</v>
      </c>
      <c r="D211" s="490" t="s">
        <v>36</v>
      </c>
      <c r="E211" s="869">
        <f>E205+E204+E203</f>
        <v>11875.079486752444</v>
      </c>
      <c r="F211" s="1166">
        <f t="shared" ref="F211:V211" si="136">F205+F204+F203</f>
        <v>9095.7934124055464</v>
      </c>
      <c r="G211" s="1196">
        <f t="shared" si="136"/>
        <v>2779.2860743469</v>
      </c>
      <c r="H211" s="869">
        <f t="shared" si="136"/>
        <v>8970.5718404328891</v>
      </c>
      <c r="I211" s="1166">
        <f t="shared" si="136"/>
        <v>6902.9164964726087</v>
      </c>
      <c r="J211" s="1167">
        <f t="shared" si="136"/>
        <v>2067.6553439602799</v>
      </c>
      <c r="K211" s="869">
        <f t="shared" si="136"/>
        <v>681.92404328217708</v>
      </c>
      <c r="L211" s="1166">
        <f t="shared" si="136"/>
        <v>504.47820613037419</v>
      </c>
      <c r="M211" s="1167">
        <f t="shared" si="136"/>
        <v>177.44583715180292</v>
      </c>
      <c r="N211" s="869">
        <f t="shared" si="136"/>
        <v>1116.8028175521185</v>
      </c>
      <c r="O211" s="1166">
        <f t="shared" si="136"/>
        <v>837.25667962934335</v>
      </c>
      <c r="P211" s="1167">
        <f t="shared" si="136"/>
        <v>279.54613792277524</v>
      </c>
      <c r="Q211" s="869">
        <f t="shared" ref="Q211:S211" si="137">Q205+Q204+Q203</f>
        <v>540.66500346450925</v>
      </c>
      <c r="R211" s="1166">
        <f t="shared" si="137"/>
        <v>418.35794703429394</v>
      </c>
      <c r="S211" s="1167">
        <f t="shared" si="137"/>
        <v>122.30705643021535</v>
      </c>
      <c r="T211" s="1197">
        <f t="shared" si="136"/>
        <v>565.11578202075088</v>
      </c>
      <c r="U211" s="1166">
        <f t="shared" si="136"/>
        <v>432.78408313892481</v>
      </c>
      <c r="V211" s="1167">
        <f t="shared" si="136"/>
        <v>132.33169888182613</v>
      </c>
      <c r="W211" s="891"/>
      <c r="X211" s="2334"/>
    </row>
    <row r="212" spans="2:24" ht="31.8" thickBot="1">
      <c r="B212" s="892" t="s">
        <v>181</v>
      </c>
      <c r="C212" s="1198" t="s">
        <v>1140</v>
      </c>
      <c r="D212" s="482" t="s">
        <v>70</v>
      </c>
      <c r="E212" s="1163">
        <f>E78+E122+E161</f>
        <v>1391.2120494657527</v>
      </c>
      <c r="F212" s="1179" t="s">
        <v>300</v>
      </c>
      <c r="G212" s="1199" t="s">
        <v>300</v>
      </c>
      <c r="H212" s="437">
        <f>H78+H122+H161-0.002</f>
        <v>1389.4189732968034</v>
      </c>
      <c r="I212" s="1179" t="s">
        <v>300</v>
      </c>
      <c r="J212" s="1180" t="s">
        <v>300</v>
      </c>
      <c r="K212" s="437">
        <f>K78+K122+K161</f>
        <v>1417.8299774683628</v>
      </c>
      <c r="L212" s="1179" t="s">
        <v>300</v>
      </c>
      <c r="M212" s="1180" t="s">
        <v>300</v>
      </c>
      <c r="N212" s="437">
        <f>N78+N122+N161</f>
        <v>1399.1071964116279</v>
      </c>
      <c r="O212" s="1179" t="s">
        <v>300</v>
      </c>
      <c r="P212" s="1180" t="s">
        <v>300</v>
      </c>
      <c r="Q212" s="437">
        <f>Q78+Q122+Q161+0.004</f>
        <v>1380.9474818735266</v>
      </c>
      <c r="R212" s="1179" t="s">
        <v>300</v>
      </c>
      <c r="S212" s="1180" t="s">
        <v>300</v>
      </c>
      <c r="T212" s="437">
        <f>T78+T122+T161+0.004</f>
        <v>1397.1140776280502</v>
      </c>
      <c r="U212" s="1179" t="s">
        <v>300</v>
      </c>
      <c r="V212" s="1180" t="s">
        <v>300</v>
      </c>
      <c r="W212" s="432"/>
    </row>
    <row r="213" spans="2:24" ht="31.2">
      <c r="B213" s="1269" t="s">
        <v>182</v>
      </c>
      <c r="C213" s="1200" t="s">
        <v>1141</v>
      </c>
      <c r="D213" s="1278" t="s">
        <v>70</v>
      </c>
      <c r="E213" s="1187">
        <f>E212*1.2</f>
        <v>1669.4544593589033</v>
      </c>
      <c r="F213" s="425" t="s">
        <v>300</v>
      </c>
      <c r="G213" s="1169" t="s">
        <v>300</v>
      </c>
      <c r="H213" s="1275">
        <f>H212*1.2</f>
        <v>1667.302767956164</v>
      </c>
      <c r="I213" s="425" t="s">
        <v>300</v>
      </c>
      <c r="J213" s="524" t="s">
        <v>300</v>
      </c>
      <c r="K213" s="437">
        <f>K79+K123+K162</f>
        <v>1701.3959729620353</v>
      </c>
      <c r="L213" s="425" t="s">
        <v>300</v>
      </c>
      <c r="M213" s="524" t="s">
        <v>300</v>
      </c>
      <c r="N213" s="1275">
        <f>N212*1.2</f>
        <v>1678.9286356939535</v>
      </c>
      <c r="O213" s="425" t="s">
        <v>300</v>
      </c>
      <c r="P213" s="524" t="s">
        <v>300</v>
      </c>
      <c r="Q213" s="1275">
        <f>Q212*1.2</f>
        <v>1657.1369782482318</v>
      </c>
      <c r="R213" s="425" t="s">
        <v>300</v>
      </c>
      <c r="S213" s="524" t="s">
        <v>300</v>
      </c>
      <c r="T213" s="1275">
        <f>T212*1.2</f>
        <v>1676.5368931536602</v>
      </c>
      <c r="U213" s="425" t="s">
        <v>300</v>
      </c>
      <c r="V213" s="524" t="s">
        <v>300</v>
      </c>
    </row>
    <row r="214" spans="2:24" ht="31.2">
      <c r="B214" s="1269" t="s">
        <v>183</v>
      </c>
      <c r="C214" s="1200" t="s">
        <v>1142</v>
      </c>
      <c r="D214" s="1272" t="s">
        <v>989</v>
      </c>
      <c r="E214" s="1201" t="s">
        <v>300</v>
      </c>
      <c r="F214" s="425" t="s">
        <v>300</v>
      </c>
      <c r="G214" s="1169" t="s">
        <v>300</v>
      </c>
      <c r="H214" s="429" t="s">
        <v>300</v>
      </c>
      <c r="I214" s="425" t="s">
        <v>300</v>
      </c>
      <c r="J214" s="524" t="s">
        <v>300</v>
      </c>
      <c r="K214" s="429" t="s">
        <v>300</v>
      </c>
      <c r="L214" s="425" t="s">
        <v>300</v>
      </c>
      <c r="M214" s="524" t="s">
        <v>300</v>
      </c>
      <c r="N214" s="429" t="s">
        <v>300</v>
      </c>
      <c r="O214" s="425" t="s">
        <v>300</v>
      </c>
      <c r="P214" s="524" t="s">
        <v>300</v>
      </c>
      <c r="Q214" s="429" t="s">
        <v>300</v>
      </c>
      <c r="R214" s="425" t="s">
        <v>300</v>
      </c>
      <c r="S214" s="524" t="s">
        <v>300</v>
      </c>
      <c r="T214" s="429" t="s">
        <v>300</v>
      </c>
      <c r="U214" s="425" t="s">
        <v>300</v>
      </c>
      <c r="V214" s="524" t="s">
        <v>300</v>
      </c>
    </row>
    <row r="215" spans="2:24" ht="15.6">
      <c r="B215" s="1269" t="s">
        <v>88</v>
      </c>
      <c r="C215" s="423" t="s">
        <v>1109</v>
      </c>
      <c r="D215" s="1272" t="s">
        <v>1126</v>
      </c>
      <c r="E215" s="1178">
        <f>F215</f>
        <v>1065.607805733554</v>
      </c>
      <c r="F215" s="1170">
        <f>F81+F125</f>
        <v>1065.607805733554</v>
      </c>
      <c r="G215" s="1169" t="s">
        <v>300</v>
      </c>
      <c r="H215" s="1276">
        <f>I215</f>
        <v>1068.5536224484338</v>
      </c>
      <c r="I215" s="1170">
        <f>I81+I125</f>
        <v>1068.5536224484338</v>
      </c>
      <c r="J215" s="524" t="s">
        <v>300</v>
      </c>
      <c r="K215" s="1276">
        <f>L215</f>
        <v>1048.897811587306</v>
      </c>
      <c r="L215" s="1170">
        <f>L81+L125</f>
        <v>1048.897811587306</v>
      </c>
      <c r="M215" s="524" t="s">
        <v>300</v>
      </c>
      <c r="N215" s="1276">
        <f>O215</f>
        <v>1048.8976454059243</v>
      </c>
      <c r="O215" s="1170">
        <f>O81+O125</f>
        <v>1048.8976454059243</v>
      </c>
      <c r="P215" s="524" t="s">
        <v>300</v>
      </c>
      <c r="Q215" s="1276">
        <f>R215</f>
        <v>1068.5520171362859</v>
      </c>
      <c r="R215" s="1170">
        <f>R81+R125</f>
        <v>1068.5520171362859</v>
      </c>
      <c r="S215" s="524" t="s">
        <v>300</v>
      </c>
      <c r="T215" s="1276">
        <f>U215</f>
        <v>1068.5520171362859</v>
      </c>
      <c r="U215" s="1170">
        <f>U81+U125</f>
        <v>1068.5520171362859</v>
      </c>
      <c r="V215" s="524" t="s">
        <v>300</v>
      </c>
    </row>
    <row r="216" spans="2:24" ht="31.2">
      <c r="B216" s="1269" t="s">
        <v>89</v>
      </c>
      <c r="C216" s="423" t="s">
        <v>1193</v>
      </c>
      <c r="D216" s="1272" t="s">
        <v>1130</v>
      </c>
      <c r="E216" s="1178">
        <f>G216</f>
        <v>47991.540170377462</v>
      </c>
      <c r="F216" s="425" t="s">
        <v>300</v>
      </c>
      <c r="G216" s="1202">
        <f>(G82+G126+G165)</f>
        <v>47991.540170377462</v>
      </c>
      <c r="H216" s="1276">
        <f>J216</f>
        <v>45011.654126617032</v>
      </c>
      <c r="I216" s="425" t="s">
        <v>300</v>
      </c>
      <c r="J216" s="525">
        <f>(J82+J126+J165)</f>
        <v>45011.654126617032</v>
      </c>
      <c r="K216" s="1276">
        <f>M216</f>
        <v>51884.747705205533</v>
      </c>
      <c r="L216" s="425" t="s">
        <v>300</v>
      </c>
      <c r="M216" s="525">
        <f>(M82+M126+M165)</f>
        <v>51884.747705205533</v>
      </c>
      <c r="N216" s="1276">
        <f>P216</f>
        <v>49250.552840517128</v>
      </c>
      <c r="O216" s="425" t="s">
        <v>300</v>
      </c>
      <c r="P216" s="525">
        <f>(P82+P126+P165)</f>
        <v>49250.552840517128</v>
      </c>
      <c r="Q216" s="1276">
        <f>S216</f>
        <v>43932.132338439427</v>
      </c>
      <c r="R216" s="425" t="s">
        <v>300</v>
      </c>
      <c r="S216" s="525">
        <f>(S82+S126+S165)</f>
        <v>43932.132338439427</v>
      </c>
      <c r="T216" s="1276">
        <f>V216</f>
        <v>45948.506556189634</v>
      </c>
      <c r="U216" s="425" t="s">
        <v>300</v>
      </c>
      <c r="V216" s="525">
        <f>(V82+V126+V165)</f>
        <v>45948.506556189634</v>
      </c>
    </row>
    <row r="217" spans="2:24" ht="31.2">
      <c r="B217" s="1269" t="s">
        <v>184</v>
      </c>
      <c r="C217" s="1200" t="s">
        <v>1143</v>
      </c>
      <c r="D217" s="1272" t="s">
        <v>989</v>
      </c>
      <c r="E217" s="1201" t="s">
        <v>300</v>
      </c>
      <c r="F217" s="425" t="s">
        <v>300</v>
      </c>
      <c r="G217" s="1169" t="s">
        <v>300</v>
      </c>
      <c r="H217" s="429" t="s">
        <v>300</v>
      </c>
      <c r="I217" s="425" t="s">
        <v>300</v>
      </c>
      <c r="J217" s="524" t="s">
        <v>300</v>
      </c>
      <c r="K217" s="429" t="s">
        <v>300</v>
      </c>
      <c r="L217" s="425" t="s">
        <v>300</v>
      </c>
      <c r="M217" s="524" t="s">
        <v>300</v>
      </c>
      <c r="N217" s="429" t="s">
        <v>300</v>
      </c>
      <c r="O217" s="425" t="s">
        <v>300</v>
      </c>
      <c r="P217" s="524" t="s">
        <v>300</v>
      </c>
      <c r="Q217" s="429" t="s">
        <v>300</v>
      </c>
      <c r="R217" s="425" t="s">
        <v>300</v>
      </c>
      <c r="S217" s="524" t="s">
        <v>300</v>
      </c>
      <c r="T217" s="429" t="s">
        <v>300</v>
      </c>
      <c r="U217" s="425" t="s">
        <v>300</v>
      </c>
      <c r="V217" s="524" t="s">
        <v>300</v>
      </c>
    </row>
    <row r="218" spans="2:24" ht="15.6">
      <c r="B218" s="1269" t="s">
        <v>222</v>
      </c>
      <c r="C218" s="423" t="s">
        <v>1109</v>
      </c>
      <c r="D218" s="1272" t="s">
        <v>1126</v>
      </c>
      <c r="E218" s="1178">
        <f>E215*1.2</f>
        <v>1278.7293668802647</v>
      </c>
      <c r="F218" s="441">
        <f>F215*1.2</f>
        <v>1278.7293668802647</v>
      </c>
      <c r="G218" s="1169" t="s">
        <v>300</v>
      </c>
      <c r="H218" s="1276">
        <f>H215*1.2</f>
        <v>1282.2643469381205</v>
      </c>
      <c r="I218" s="441">
        <f>I215*1.2</f>
        <v>1282.2643469381205</v>
      </c>
      <c r="J218" s="524" t="s">
        <v>300</v>
      </c>
      <c r="K218" s="1276">
        <f>K215*1.2</f>
        <v>1258.6773739047671</v>
      </c>
      <c r="L218" s="441">
        <f>L215*1.2</f>
        <v>1258.6773739047671</v>
      </c>
      <c r="M218" s="524" t="s">
        <v>300</v>
      </c>
      <c r="N218" s="1276">
        <f>N215*1.2</f>
        <v>1258.6771744871091</v>
      </c>
      <c r="O218" s="441">
        <f>O215*1.2</f>
        <v>1258.6771744871091</v>
      </c>
      <c r="P218" s="524" t="s">
        <v>300</v>
      </c>
      <c r="Q218" s="1276">
        <f>Q215*1.2</f>
        <v>1282.2624205635432</v>
      </c>
      <c r="R218" s="441">
        <f>R215*1.2</f>
        <v>1282.2624205635432</v>
      </c>
      <c r="S218" s="524" t="s">
        <v>300</v>
      </c>
      <c r="T218" s="1276">
        <f>T215*1.2</f>
        <v>1282.2624205635432</v>
      </c>
      <c r="U218" s="441">
        <f>U215*1.2</f>
        <v>1282.2624205635432</v>
      </c>
      <c r="V218" s="524" t="s">
        <v>300</v>
      </c>
    </row>
    <row r="219" spans="2:24" ht="31.8" thickBot="1">
      <c r="B219" s="893" t="s">
        <v>223</v>
      </c>
      <c r="C219" s="423" t="s">
        <v>1193</v>
      </c>
      <c r="D219" s="480" t="s">
        <v>1130</v>
      </c>
      <c r="E219" s="1203">
        <f>E216*1.2</f>
        <v>57589.848204452952</v>
      </c>
      <c r="F219" s="1146" t="s">
        <v>300</v>
      </c>
      <c r="G219" s="1204">
        <f>G216*1.2</f>
        <v>57589.848204452952</v>
      </c>
      <c r="H219" s="438">
        <f>H216*1.2</f>
        <v>54013.984951940438</v>
      </c>
      <c r="I219" s="1146" t="s">
        <v>300</v>
      </c>
      <c r="J219" s="443">
        <f>J216*1.2</f>
        <v>54013.984951940438</v>
      </c>
      <c r="K219" s="438">
        <f>K216*1.2</f>
        <v>62261.697246246636</v>
      </c>
      <c r="L219" s="1146" t="s">
        <v>300</v>
      </c>
      <c r="M219" s="443">
        <f>M216*1.2</f>
        <v>62261.697246246636</v>
      </c>
      <c r="N219" s="438">
        <f>N216*1.2</f>
        <v>59100.663408620552</v>
      </c>
      <c r="O219" s="1146" t="s">
        <v>300</v>
      </c>
      <c r="P219" s="443">
        <f>P216*1.2</f>
        <v>59100.663408620552</v>
      </c>
      <c r="Q219" s="438">
        <f>Q216*1.2</f>
        <v>52718.558806127308</v>
      </c>
      <c r="R219" s="1146" t="s">
        <v>300</v>
      </c>
      <c r="S219" s="443">
        <f>S216*1.2</f>
        <v>52718.558806127308</v>
      </c>
      <c r="T219" s="438">
        <f>T216*1.2</f>
        <v>55138.207867427562</v>
      </c>
      <c r="U219" s="1146" t="s">
        <v>300</v>
      </c>
      <c r="V219" s="443">
        <f>V216*1.2</f>
        <v>55138.207867427562</v>
      </c>
    </row>
    <row r="220" spans="2:24" ht="21" customHeight="1" thickBot="1">
      <c r="B220" s="894"/>
      <c r="C220" s="2629" t="s">
        <v>1113</v>
      </c>
      <c r="D220" s="2629"/>
      <c r="E220" s="2629"/>
      <c r="F220" s="2629"/>
      <c r="G220" s="2629"/>
      <c r="H220" s="2629"/>
      <c r="I220" s="2629"/>
      <c r="J220" s="2629"/>
      <c r="K220" s="2629"/>
      <c r="L220" s="2629"/>
      <c r="M220" s="2629"/>
      <c r="N220" s="2629"/>
      <c r="O220" s="2629"/>
      <c r="P220" s="2629"/>
      <c r="Q220" s="2629"/>
      <c r="R220" s="2629"/>
      <c r="S220" s="2629"/>
      <c r="T220" s="2629"/>
      <c r="U220" s="2629"/>
      <c r="V220" s="2629"/>
    </row>
    <row r="221" spans="2:24" ht="31.2">
      <c r="B221" s="892" t="s">
        <v>185</v>
      </c>
      <c r="C221" s="1205" t="s">
        <v>1147</v>
      </c>
      <c r="D221" s="1206" t="s">
        <v>70</v>
      </c>
      <c r="E221" s="437">
        <f>E212</f>
        <v>1391.2120494657527</v>
      </c>
      <c r="F221" s="439" t="str">
        <f t="shared" ref="F221:V221" si="138">F212</f>
        <v>х</v>
      </c>
      <c r="G221" s="440" t="str">
        <f t="shared" si="138"/>
        <v>х</v>
      </c>
      <c r="H221" s="437">
        <f t="shared" si="138"/>
        <v>1389.4189732968034</v>
      </c>
      <c r="I221" s="439" t="str">
        <f t="shared" si="138"/>
        <v>х</v>
      </c>
      <c r="J221" s="440" t="str">
        <f t="shared" si="138"/>
        <v>х</v>
      </c>
      <c r="K221" s="437">
        <f t="shared" si="138"/>
        <v>1417.8299774683628</v>
      </c>
      <c r="L221" s="439" t="str">
        <f t="shared" si="138"/>
        <v>х</v>
      </c>
      <c r="M221" s="440" t="str">
        <f t="shared" si="138"/>
        <v>х</v>
      </c>
      <c r="N221" s="437">
        <f t="shared" si="138"/>
        <v>1399.1071964116279</v>
      </c>
      <c r="O221" s="439" t="str">
        <f t="shared" si="138"/>
        <v>х</v>
      </c>
      <c r="P221" s="440" t="str">
        <f t="shared" si="138"/>
        <v>х</v>
      </c>
      <c r="Q221" s="437">
        <f t="shared" ref="Q221:S221" si="139">Q212</f>
        <v>1380.9474818735266</v>
      </c>
      <c r="R221" s="439" t="str">
        <f t="shared" si="139"/>
        <v>х</v>
      </c>
      <c r="S221" s="440" t="str">
        <f t="shared" si="139"/>
        <v>х</v>
      </c>
      <c r="T221" s="437">
        <f t="shared" si="138"/>
        <v>1397.1140776280502</v>
      </c>
      <c r="U221" s="439" t="str">
        <f t="shared" si="138"/>
        <v>х</v>
      </c>
      <c r="V221" s="440" t="str">
        <f t="shared" si="138"/>
        <v>х</v>
      </c>
    </row>
    <row r="222" spans="2:24" ht="31.2">
      <c r="B222" s="1269" t="s">
        <v>186</v>
      </c>
      <c r="C222" s="1207" t="s">
        <v>1148</v>
      </c>
      <c r="D222" s="1272" t="s">
        <v>70</v>
      </c>
      <c r="E222" s="1275">
        <f t="shared" ref="E222:V228" si="140">E213</f>
        <v>1669.4544593589033</v>
      </c>
      <c r="F222" s="441" t="str">
        <f t="shared" si="140"/>
        <v>х</v>
      </c>
      <c r="G222" s="430" t="str">
        <f t="shared" si="140"/>
        <v>х</v>
      </c>
      <c r="H222" s="1275">
        <f t="shared" si="140"/>
        <v>1667.302767956164</v>
      </c>
      <c r="I222" s="441" t="str">
        <f t="shared" si="140"/>
        <v>х</v>
      </c>
      <c r="J222" s="430" t="str">
        <f t="shared" si="140"/>
        <v>х</v>
      </c>
      <c r="K222" s="1275">
        <f t="shared" si="140"/>
        <v>1701.3959729620353</v>
      </c>
      <c r="L222" s="441" t="str">
        <f t="shared" si="140"/>
        <v>х</v>
      </c>
      <c r="M222" s="430" t="str">
        <f t="shared" si="140"/>
        <v>х</v>
      </c>
      <c r="N222" s="1275">
        <f t="shared" si="140"/>
        <v>1678.9286356939535</v>
      </c>
      <c r="O222" s="441" t="str">
        <f t="shared" si="140"/>
        <v>х</v>
      </c>
      <c r="P222" s="430" t="str">
        <f t="shared" si="140"/>
        <v>х</v>
      </c>
      <c r="Q222" s="1275">
        <f t="shared" ref="Q222:S222" si="141">Q213</f>
        <v>1657.1369782482318</v>
      </c>
      <c r="R222" s="441" t="str">
        <f t="shared" si="141"/>
        <v>х</v>
      </c>
      <c r="S222" s="430" t="str">
        <f t="shared" si="141"/>
        <v>х</v>
      </c>
      <c r="T222" s="1275">
        <f t="shared" si="140"/>
        <v>1676.5368931536602</v>
      </c>
      <c r="U222" s="441" t="str">
        <f t="shared" si="140"/>
        <v>х</v>
      </c>
      <c r="V222" s="430" t="str">
        <f t="shared" si="140"/>
        <v>х</v>
      </c>
    </row>
    <row r="223" spans="2:24" ht="36" customHeight="1">
      <c r="B223" s="1269" t="s">
        <v>547</v>
      </c>
      <c r="C223" s="1207" t="s">
        <v>1149</v>
      </c>
      <c r="D223" s="1272" t="s">
        <v>989</v>
      </c>
      <c r="E223" s="1275" t="str">
        <f t="shared" si="140"/>
        <v>х</v>
      </c>
      <c r="F223" s="441" t="str">
        <f t="shared" si="140"/>
        <v>х</v>
      </c>
      <c r="G223" s="430" t="str">
        <f t="shared" si="140"/>
        <v>х</v>
      </c>
      <c r="H223" s="1275" t="str">
        <f t="shared" si="140"/>
        <v>х</v>
      </c>
      <c r="I223" s="441" t="str">
        <f t="shared" si="140"/>
        <v>х</v>
      </c>
      <c r="J223" s="430" t="str">
        <f t="shared" si="140"/>
        <v>х</v>
      </c>
      <c r="K223" s="1275" t="str">
        <f t="shared" si="140"/>
        <v>х</v>
      </c>
      <c r="L223" s="441" t="str">
        <f t="shared" si="140"/>
        <v>х</v>
      </c>
      <c r="M223" s="430" t="str">
        <f t="shared" si="140"/>
        <v>х</v>
      </c>
      <c r="N223" s="1275" t="str">
        <f t="shared" si="140"/>
        <v>х</v>
      </c>
      <c r="O223" s="441" t="str">
        <f t="shared" si="140"/>
        <v>х</v>
      </c>
      <c r="P223" s="430" t="str">
        <f t="shared" si="140"/>
        <v>х</v>
      </c>
      <c r="Q223" s="1275" t="str">
        <f t="shared" ref="Q223:S223" si="142">Q214</f>
        <v>х</v>
      </c>
      <c r="R223" s="441" t="str">
        <f t="shared" si="142"/>
        <v>х</v>
      </c>
      <c r="S223" s="430" t="str">
        <f t="shared" si="142"/>
        <v>х</v>
      </c>
      <c r="T223" s="1275" t="str">
        <f t="shared" si="140"/>
        <v>х</v>
      </c>
      <c r="U223" s="441" t="str">
        <f t="shared" si="140"/>
        <v>х</v>
      </c>
      <c r="V223" s="430" t="str">
        <f t="shared" si="140"/>
        <v>х</v>
      </c>
    </row>
    <row r="224" spans="2:24" ht="15.6">
      <c r="B224" s="1269" t="s">
        <v>187</v>
      </c>
      <c r="C224" s="1183" t="s">
        <v>1109</v>
      </c>
      <c r="D224" s="1272" t="s">
        <v>1126</v>
      </c>
      <c r="E224" s="1275">
        <f t="shared" si="140"/>
        <v>1065.607805733554</v>
      </c>
      <c r="F224" s="441">
        <f t="shared" si="140"/>
        <v>1065.607805733554</v>
      </c>
      <c r="G224" s="430" t="str">
        <f t="shared" si="140"/>
        <v>х</v>
      </c>
      <c r="H224" s="1275">
        <f t="shared" si="140"/>
        <v>1068.5536224484338</v>
      </c>
      <c r="I224" s="441">
        <f t="shared" si="140"/>
        <v>1068.5536224484338</v>
      </c>
      <c r="J224" s="430" t="str">
        <f t="shared" si="140"/>
        <v>х</v>
      </c>
      <c r="K224" s="1275">
        <f t="shared" si="140"/>
        <v>1048.897811587306</v>
      </c>
      <c r="L224" s="441">
        <f t="shared" si="140"/>
        <v>1048.897811587306</v>
      </c>
      <c r="M224" s="430" t="str">
        <f t="shared" si="140"/>
        <v>х</v>
      </c>
      <c r="N224" s="1275">
        <f t="shared" si="140"/>
        <v>1048.8976454059243</v>
      </c>
      <c r="O224" s="441">
        <f t="shared" si="140"/>
        <v>1048.8976454059243</v>
      </c>
      <c r="P224" s="430" t="str">
        <f t="shared" si="140"/>
        <v>х</v>
      </c>
      <c r="Q224" s="1275">
        <f t="shared" ref="Q224:S224" si="143">Q215</f>
        <v>1068.5520171362859</v>
      </c>
      <c r="R224" s="441">
        <f t="shared" si="143"/>
        <v>1068.5520171362859</v>
      </c>
      <c r="S224" s="430" t="str">
        <f t="shared" si="143"/>
        <v>х</v>
      </c>
      <c r="T224" s="1275">
        <f t="shared" si="140"/>
        <v>1068.5520171362859</v>
      </c>
      <c r="U224" s="441">
        <f t="shared" si="140"/>
        <v>1068.5520171362859</v>
      </c>
      <c r="V224" s="430" t="str">
        <f t="shared" si="140"/>
        <v>х</v>
      </c>
    </row>
    <row r="225" spans="2:22" ht="34.950000000000003" customHeight="1">
      <c r="B225" s="1269" t="s">
        <v>188</v>
      </c>
      <c r="C225" s="423" t="s">
        <v>1192</v>
      </c>
      <c r="D225" s="1272" t="s">
        <v>1130</v>
      </c>
      <c r="E225" s="1275">
        <f t="shared" si="140"/>
        <v>47991.540170377462</v>
      </c>
      <c r="F225" s="441" t="str">
        <f t="shared" si="140"/>
        <v>х</v>
      </c>
      <c r="G225" s="430">
        <f>G216</f>
        <v>47991.540170377462</v>
      </c>
      <c r="H225" s="1275">
        <f>H216</f>
        <v>45011.654126617032</v>
      </c>
      <c r="I225" s="441" t="str">
        <f t="shared" si="140"/>
        <v>х</v>
      </c>
      <c r="J225" s="430">
        <f t="shared" si="140"/>
        <v>45011.654126617032</v>
      </c>
      <c r="K225" s="1275">
        <f t="shared" si="140"/>
        <v>51884.747705205533</v>
      </c>
      <c r="L225" s="441" t="str">
        <f t="shared" si="140"/>
        <v>х</v>
      </c>
      <c r="M225" s="430">
        <f t="shared" si="140"/>
        <v>51884.747705205533</v>
      </c>
      <c r="N225" s="1275">
        <f>N216</f>
        <v>49250.552840517128</v>
      </c>
      <c r="O225" s="441" t="str">
        <f t="shared" si="140"/>
        <v>х</v>
      </c>
      <c r="P225" s="430">
        <f t="shared" si="140"/>
        <v>49250.552840517128</v>
      </c>
      <c r="Q225" s="1275">
        <f>Q216</f>
        <v>43932.132338439427</v>
      </c>
      <c r="R225" s="441" t="str">
        <f t="shared" ref="R225:S225" si="144">R216</f>
        <v>х</v>
      </c>
      <c r="S225" s="430">
        <f t="shared" si="144"/>
        <v>43932.132338439427</v>
      </c>
      <c r="T225" s="1275">
        <f>T216</f>
        <v>45948.506556189634</v>
      </c>
      <c r="U225" s="441" t="str">
        <f t="shared" si="140"/>
        <v>х</v>
      </c>
      <c r="V225" s="430">
        <f t="shared" si="140"/>
        <v>45948.506556189634</v>
      </c>
    </row>
    <row r="226" spans="2:22" ht="33" customHeight="1">
      <c r="B226" s="1269" t="s">
        <v>548</v>
      </c>
      <c r="C226" s="1207" t="s">
        <v>1150</v>
      </c>
      <c r="D226" s="1272" t="s">
        <v>989</v>
      </c>
      <c r="E226" s="1275" t="str">
        <f t="shared" si="140"/>
        <v>х</v>
      </c>
      <c r="F226" s="441" t="str">
        <f t="shared" si="140"/>
        <v>х</v>
      </c>
      <c r="G226" s="430" t="str">
        <f t="shared" si="140"/>
        <v>х</v>
      </c>
      <c r="H226" s="1275" t="str">
        <f t="shared" si="140"/>
        <v>х</v>
      </c>
      <c r="I226" s="441" t="str">
        <f t="shared" si="140"/>
        <v>х</v>
      </c>
      <c r="J226" s="430" t="str">
        <f t="shared" si="140"/>
        <v>х</v>
      </c>
      <c r="K226" s="1275" t="str">
        <f t="shared" si="140"/>
        <v>х</v>
      </c>
      <c r="L226" s="441" t="str">
        <f t="shared" si="140"/>
        <v>х</v>
      </c>
      <c r="M226" s="430" t="str">
        <f t="shared" si="140"/>
        <v>х</v>
      </c>
      <c r="N226" s="1275" t="str">
        <f t="shared" si="140"/>
        <v>х</v>
      </c>
      <c r="O226" s="441" t="str">
        <f t="shared" si="140"/>
        <v>х</v>
      </c>
      <c r="P226" s="430" t="str">
        <f t="shared" si="140"/>
        <v>х</v>
      </c>
      <c r="Q226" s="1275" t="str">
        <f t="shared" ref="Q226:S226" si="145">Q217</f>
        <v>х</v>
      </c>
      <c r="R226" s="441" t="str">
        <f t="shared" si="145"/>
        <v>х</v>
      </c>
      <c r="S226" s="430" t="str">
        <f t="shared" si="145"/>
        <v>х</v>
      </c>
      <c r="T226" s="1275" t="str">
        <f t="shared" si="140"/>
        <v>х</v>
      </c>
      <c r="U226" s="441" t="str">
        <f t="shared" si="140"/>
        <v>х</v>
      </c>
      <c r="V226" s="430" t="str">
        <f t="shared" si="140"/>
        <v>х</v>
      </c>
    </row>
    <row r="227" spans="2:22" ht="16.95" customHeight="1">
      <c r="B227" s="1269" t="s">
        <v>1159</v>
      </c>
      <c r="C227" s="1183" t="s">
        <v>1109</v>
      </c>
      <c r="D227" s="1272" t="s">
        <v>1126</v>
      </c>
      <c r="E227" s="1275">
        <f t="shared" si="140"/>
        <v>1278.7293668802647</v>
      </c>
      <c r="F227" s="441">
        <f t="shared" si="140"/>
        <v>1278.7293668802647</v>
      </c>
      <c r="G227" s="430" t="str">
        <f t="shared" si="140"/>
        <v>х</v>
      </c>
      <c r="H227" s="1275">
        <f t="shared" si="140"/>
        <v>1282.2643469381205</v>
      </c>
      <c r="I227" s="441">
        <f t="shared" si="140"/>
        <v>1282.2643469381205</v>
      </c>
      <c r="J227" s="430" t="str">
        <f t="shared" si="140"/>
        <v>х</v>
      </c>
      <c r="K227" s="1275">
        <f t="shared" si="140"/>
        <v>1258.6773739047671</v>
      </c>
      <c r="L227" s="441">
        <f t="shared" si="140"/>
        <v>1258.6773739047671</v>
      </c>
      <c r="M227" s="430" t="str">
        <f t="shared" si="140"/>
        <v>х</v>
      </c>
      <c r="N227" s="1275">
        <f t="shared" si="140"/>
        <v>1258.6771744871091</v>
      </c>
      <c r="O227" s="441">
        <f t="shared" si="140"/>
        <v>1258.6771744871091</v>
      </c>
      <c r="P227" s="430" t="str">
        <f t="shared" si="140"/>
        <v>х</v>
      </c>
      <c r="Q227" s="1275">
        <f t="shared" ref="Q227:S227" si="146">Q218</f>
        <v>1282.2624205635432</v>
      </c>
      <c r="R227" s="441">
        <f t="shared" si="146"/>
        <v>1282.2624205635432</v>
      </c>
      <c r="S227" s="430" t="str">
        <f t="shared" si="146"/>
        <v>х</v>
      </c>
      <c r="T227" s="1275">
        <f t="shared" si="140"/>
        <v>1282.2624205635432</v>
      </c>
      <c r="U227" s="441">
        <f t="shared" si="140"/>
        <v>1282.2624205635432</v>
      </c>
      <c r="V227" s="430" t="str">
        <f t="shared" si="140"/>
        <v>х</v>
      </c>
    </row>
    <row r="228" spans="2:22" ht="21.6" customHeight="1" thickBot="1">
      <c r="B228" s="893" t="s">
        <v>1160</v>
      </c>
      <c r="C228" s="423" t="s">
        <v>1193</v>
      </c>
      <c r="D228" s="480" t="s">
        <v>1130</v>
      </c>
      <c r="E228" s="438">
        <f t="shared" si="140"/>
        <v>57589.848204452952</v>
      </c>
      <c r="F228" s="442" t="str">
        <f t="shared" si="140"/>
        <v>х</v>
      </c>
      <c r="G228" s="443">
        <f t="shared" si="140"/>
        <v>57589.848204452952</v>
      </c>
      <c r="H228" s="438">
        <f t="shared" si="140"/>
        <v>54013.984951940438</v>
      </c>
      <c r="I228" s="442" t="str">
        <f t="shared" si="140"/>
        <v>х</v>
      </c>
      <c r="J228" s="443">
        <f t="shared" si="140"/>
        <v>54013.984951940438</v>
      </c>
      <c r="K228" s="438">
        <f t="shared" si="140"/>
        <v>62261.697246246636</v>
      </c>
      <c r="L228" s="442" t="str">
        <f t="shared" si="140"/>
        <v>х</v>
      </c>
      <c r="M228" s="443">
        <f t="shared" si="140"/>
        <v>62261.697246246636</v>
      </c>
      <c r="N228" s="438">
        <f t="shared" si="140"/>
        <v>59100.663408620552</v>
      </c>
      <c r="O228" s="442" t="str">
        <f t="shared" si="140"/>
        <v>х</v>
      </c>
      <c r="P228" s="443">
        <f t="shared" si="140"/>
        <v>59100.663408620552</v>
      </c>
      <c r="Q228" s="438">
        <f t="shared" ref="Q228:S228" si="147">Q219</f>
        <v>52718.558806127308</v>
      </c>
      <c r="R228" s="442" t="str">
        <f t="shared" si="147"/>
        <v>х</v>
      </c>
      <c r="S228" s="443">
        <f t="shared" si="147"/>
        <v>52718.558806127308</v>
      </c>
      <c r="T228" s="438">
        <f t="shared" si="140"/>
        <v>55138.207867427562</v>
      </c>
      <c r="U228" s="442" t="str">
        <f t="shared" si="140"/>
        <v>х</v>
      </c>
      <c r="V228" s="443">
        <f t="shared" si="140"/>
        <v>55138.207867427562</v>
      </c>
    </row>
    <row r="229" spans="2:22" ht="15.6">
      <c r="C229" s="895"/>
      <c r="D229" s="896"/>
      <c r="E229" s="896"/>
      <c r="F229" s="896"/>
      <c r="G229" s="896"/>
      <c r="H229" s="896"/>
      <c r="I229" s="896"/>
      <c r="J229" s="896"/>
      <c r="K229" s="897"/>
      <c r="L229" s="896"/>
      <c r="M229" s="896"/>
      <c r="N229" s="897"/>
      <c r="O229" s="896"/>
      <c r="P229" s="896"/>
      <c r="Q229" s="897"/>
      <c r="R229" s="896"/>
      <c r="S229" s="896"/>
      <c r="T229" s="897"/>
      <c r="U229" s="896"/>
      <c r="V229" s="896"/>
    </row>
    <row r="230" spans="2:22" ht="25.5" hidden="1" customHeight="1">
      <c r="B230" s="898" t="s">
        <v>1114</v>
      </c>
      <c r="C230" s="2616" t="s">
        <v>1115</v>
      </c>
      <c r="D230" s="2616"/>
      <c r="E230" s="2616"/>
      <c r="F230" s="2616"/>
      <c r="G230" s="2616"/>
      <c r="H230" s="2616"/>
      <c r="I230" s="2616"/>
      <c r="J230" s="2616"/>
      <c r="K230" s="2616"/>
      <c r="L230" s="2616"/>
      <c r="M230" s="2616"/>
      <c r="N230" s="2616"/>
      <c r="O230" s="2616"/>
      <c r="P230" s="2616"/>
      <c r="Q230" s="2616"/>
      <c r="R230" s="2616"/>
      <c r="S230" s="2616"/>
      <c r="T230" s="2616"/>
      <c r="U230" s="2616"/>
      <c r="V230" s="2616"/>
    </row>
    <row r="231" spans="2:22" ht="13.5" hidden="1" customHeight="1">
      <c r="B231" s="899"/>
      <c r="C231" s="1277" t="s">
        <v>1116</v>
      </c>
      <c r="D231" s="1277"/>
      <c r="E231" s="1277"/>
      <c r="F231" s="1277"/>
      <c r="G231" s="1277"/>
      <c r="H231" s="1277"/>
      <c r="I231" s="1277"/>
      <c r="J231" s="1277"/>
      <c r="K231" s="900"/>
      <c r="L231" s="1277"/>
      <c r="M231" s="1277"/>
      <c r="N231" s="900"/>
      <c r="O231" s="1277"/>
      <c r="P231" s="1277"/>
      <c r="Q231" s="900"/>
      <c r="R231" s="1277"/>
      <c r="S231" s="1277"/>
      <c r="T231" s="900"/>
      <c r="U231" s="1277"/>
      <c r="V231" s="1277"/>
    </row>
    <row r="232" spans="2:22" ht="15.75" hidden="1" customHeight="1">
      <c r="B232" s="851" t="s">
        <v>1117</v>
      </c>
      <c r="C232" s="2614" t="s">
        <v>1118</v>
      </c>
      <c r="D232" s="2614"/>
      <c r="E232" s="856"/>
      <c r="F232" s="856"/>
      <c r="G232" s="856"/>
      <c r="H232" s="856"/>
      <c r="I232" s="856"/>
      <c r="J232" s="2615"/>
      <c r="K232" s="2615"/>
      <c r="L232" s="856"/>
      <c r="M232" s="856"/>
      <c r="N232" s="857"/>
      <c r="O232" s="856"/>
      <c r="P232" s="2614"/>
      <c r="Q232" s="2614"/>
      <c r="R232" s="2614"/>
      <c r="S232" s="2614"/>
      <c r="T232" s="2614"/>
      <c r="U232" s="2614"/>
      <c r="V232" s="2614"/>
    </row>
    <row r="233" spans="2:22" ht="15.75" customHeight="1">
      <c r="B233" s="2599" t="s">
        <v>1119</v>
      </c>
      <c r="C233" s="2599"/>
      <c r="D233" s="2599"/>
      <c r="E233" s="2599"/>
      <c r="F233" s="2599"/>
      <c r="G233" s="2599"/>
      <c r="H233" s="2599"/>
      <c r="I233" s="2599"/>
      <c r="J233" s="2599"/>
      <c r="K233" s="2599"/>
      <c r="L233" s="2599"/>
      <c r="M233" s="2599"/>
      <c r="N233" s="2599"/>
      <c r="O233" s="856"/>
      <c r="P233" s="856"/>
      <c r="Q233" s="857"/>
      <c r="R233" s="856"/>
      <c r="S233" s="856"/>
      <c r="T233" s="2619"/>
      <c r="U233" s="2619"/>
      <c r="V233" s="856"/>
    </row>
    <row r="234" spans="2:22" ht="15.75" customHeight="1">
      <c r="C234" s="1270"/>
      <c r="D234" s="1270"/>
      <c r="E234" s="856"/>
      <c r="F234" s="856"/>
      <c r="G234" s="856"/>
      <c r="H234" s="856"/>
      <c r="I234" s="856"/>
      <c r="J234" s="1270"/>
      <c r="K234" s="1270"/>
      <c r="L234" s="856"/>
      <c r="M234" s="856"/>
      <c r="N234" s="857"/>
      <c r="O234" s="856"/>
      <c r="P234" s="856"/>
      <c r="Q234" s="857"/>
      <c r="R234" s="856"/>
      <c r="S234" s="856"/>
      <c r="T234" s="1270"/>
      <c r="U234" s="1270"/>
      <c r="V234" s="856"/>
    </row>
    <row r="235" spans="2:22" ht="24" customHeight="1">
      <c r="C235" s="2330" t="str">
        <f>'Вхідні дані'!B13</f>
        <v>Директор підприємства</v>
      </c>
      <c r="D235" s="1270"/>
      <c r="E235" s="856"/>
      <c r="F235" s="856"/>
      <c r="G235" s="856"/>
      <c r="H235" s="856"/>
      <c r="I235" s="2601"/>
      <c r="J235" s="2601"/>
      <c r="K235" s="2601"/>
      <c r="L235" s="856"/>
      <c r="M235" s="856"/>
      <c r="N235" s="857"/>
      <c r="O235" s="856"/>
      <c r="P235" s="856"/>
      <c r="Q235" s="857"/>
      <c r="R235" s="2597" t="str">
        <f>'Вхідні дані'!F13</f>
        <v>Сергій НІКУЛЬЧА</v>
      </c>
      <c r="S235" s="2597"/>
      <c r="T235" s="2597"/>
      <c r="U235" s="1270"/>
      <c r="V235" s="856"/>
    </row>
    <row r="236" spans="2:22" ht="24" customHeight="1">
      <c r="C236" s="2329" t="s">
        <v>218</v>
      </c>
      <c r="D236" s="1270"/>
      <c r="E236" s="856"/>
      <c r="F236" s="856"/>
      <c r="G236" s="856"/>
      <c r="H236" s="856"/>
      <c r="I236" s="856"/>
      <c r="J236" s="2329" t="s">
        <v>196</v>
      </c>
      <c r="K236" s="1270"/>
      <c r="L236" s="856"/>
      <c r="M236" s="856"/>
      <c r="N236" s="857"/>
      <c r="O236" s="856"/>
      <c r="P236" s="856"/>
      <c r="Q236" s="857"/>
      <c r="R236" s="2598" t="s">
        <v>1120</v>
      </c>
      <c r="S236" s="2598"/>
      <c r="T236" s="2598"/>
      <c r="U236" s="1270"/>
      <c r="V236" s="856"/>
    </row>
    <row r="237" spans="2:22">
      <c r="H237" s="432"/>
      <c r="J237" s="432"/>
    </row>
    <row r="238" spans="2:22">
      <c r="H238" s="432"/>
      <c r="I238" s="432"/>
      <c r="J238" s="432"/>
    </row>
    <row r="239" spans="2:22">
      <c r="I239" s="901"/>
      <c r="J239" s="901"/>
    </row>
    <row r="240" spans="2:22">
      <c r="J240" s="901"/>
    </row>
    <row r="241" spans="2:22" s="1348" customFormat="1">
      <c r="B241" s="2370"/>
      <c r="C241" s="2371" t="s">
        <v>1967</v>
      </c>
      <c r="D241" s="2371"/>
      <c r="E241" s="2374">
        <f>E211</f>
        <v>11875.079486752444</v>
      </c>
      <c r="F241" s="2371"/>
      <c r="G241" s="2371"/>
      <c r="H241" s="2374">
        <f>H211</f>
        <v>8970.5718404328891</v>
      </c>
      <c r="I241" s="2371"/>
      <c r="J241" s="2371"/>
      <c r="K241" s="2374">
        <f>K211</f>
        <v>681.92404328217708</v>
      </c>
      <c r="L241" s="2371"/>
      <c r="M241" s="2371"/>
      <c r="N241" s="2374">
        <f>N211</f>
        <v>1116.8028175521185</v>
      </c>
      <c r="O241" s="2371"/>
      <c r="P241" s="2371"/>
      <c r="Q241" s="2374">
        <f>Q211</f>
        <v>540.66500346450925</v>
      </c>
      <c r="R241" s="2371"/>
      <c r="S241" s="2371"/>
      <c r="T241" s="2374">
        <f>T211</f>
        <v>565.11578202075088</v>
      </c>
      <c r="U241" s="2371"/>
      <c r="V241" s="2371"/>
    </row>
    <row r="242" spans="2:22">
      <c r="C242" s="2372" t="s">
        <v>1968</v>
      </c>
      <c r="D242" s="2373"/>
      <c r="E242" s="2373">
        <f>SUM(H242:T242)</f>
        <v>9095.7934124055464</v>
      </c>
      <c r="F242" s="2373"/>
      <c r="G242" s="2373"/>
      <c r="H242" s="2373">
        <f>H224*H15</f>
        <v>6902.9164964726087</v>
      </c>
      <c r="I242" s="2373"/>
      <c r="J242" s="2373"/>
      <c r="K242" s="2373">
        <f>K224*K15</f>
        <v>504.47820613037419</v>
      </c>
      <c r="L242" s="2373"/>
      <c r="M242" s="2373"/>
      <c r="N242" s="2373">
        <f>N224*N15</f>
        <v>837.25667962934335</v>
      </c>
      <c r="O242" s="2373"/>
      <c r="P242" s="2373"/>
      <c r="Q242" s="2373">
        <f>Q224*Q15</f>
        <v>418.35794703429394</v>
      </c>
      <c r="R242" s="2373"/>
      <c r="S242" s="2373"/>
      <c r="T242" s="2373">
        <f>T224*T15</f>
        <v>432.78408313892487</v>
      </c>
      <c r="U242" s="2373"/>
      <c r="V242" s="2373"/>
    </row>
    <row r="243" spans="2:22">
      <c r="C243" s="2372" t="s">
        <v>1969</v>
      </c>
      <c r="D243" s="2373"/>
      <c r="E243" s="2373">
        <f t="shared" ref="E243:E244" si="148">SUM(H243:T243)</f>
        <v>2779.2860743468996</v>
      </c>
      <c r="F243" s="2373"/>
      <c r="G243" s="2373"/>
      <c r="H243" s="2373">
        <f>H225*H18*12/1000</f>
        <v>2067.6553439602799</v>
      </c>
      <c r="I243" s="2373"/>
      <c r="J243" s="2373"/>
      <c r="K243" s="2373">
        <f>K225*K18*12/1000</f>
        <v>177.44583715180289</v>
      </c>
      <c r="L243" s="2373"/>
      <c r="M243" s="2373"/>
      <c r="N243" s="2373">
        <f>N225*N18*12/1000</f>
        <v>279.54613792277524</v>
      </c>
      <c r="O243" s="2373"/>
      <c r="P243" s="2373"/>
      <c r="Q243" s="2373">
        <f>Q225*Q18*12/1000</f>
        <v>122.30705643021538</v>
      </c>
      <c r="R243" s="2373"/>
      <c r="S243" s="2373"/>
      <c r="T243" s="2373">
        <f>T225*T18*12/1000</f>
        <v>132.33169888182613</v>
      </c>
      <c r="U243" s="2373"/>
      <c r="V243" s="2373"/>
    </row>
    <row r="244" spans="2:22">
      <c r="C244" s="2372" t="s">
        <v>1970</v>
      </c>
      <c r="D244" s="2373"/>
      <c r="E244" s="2373">
        <f t="shared" si="148"/>
        <v>11875.079486752446</v>
      </c>
      <c r="F244" s="2373"/>
      <c r="G244" s="2373"/>
      <c r="H244" s="2373">
        <f>SUM(H242:H243)</f>
        <v>8970.5718404328891</v>
      </c>
      <c r="I244" s="2373"/>
      <c r="J244" s="2373"/>
      <c r="K244" s="2373">
        <f>SUM(K242:K243)</f>
        <v>681.92404328217708</v>
      </c>
      <c r="L244" s="2373"/>
      <c r="M244" s="2373"/>
      <c r="N244" s="2373">
        <f>SUM(N242:N243)</f>
        <v>1116.8028175521185</v>
      </c>
      <c r="O244" s="2373"/>
      <c r="P244" s="2373"/>
      <c r="Q244" s="2373">
        <f>SUM(Q242:Q243)</f>
        <v>540.66500346450937</v>
      </c>
      <c r="R244" s="2373"/>
      <c r="S244" s="2373"/>
      <c r="T244" s="2373">
        <f>SUM(T242:T243)</f>
        <v>565.115782020751</v>
      </c>
      <c r="U244" s="2373"/>
      <c r="V244" s="2373"/>
    </row>
  </sheetData>
  <mergeCells count="56">
    <mergeCell ref="B9:B13"/>
    <mergeCell ref="C5:V5"/>
    <mergeCell ref="C6:V6"/>
    <mergeCell ref="M12:M13"/>
    <mergeCell ref="O12:O13"/>
    <mergeCell ref="F11:G11"/>
    <mergeCell ref="H11:H13"/>
    <mergeCell ref="G12:G13"/>
    <mergeCell ref="C130:V130"/>
    <mergeCell ref="C220:V220"/>
    <mergeCell ref="P1:V1"/>
    <mergeCell ref="I11:J11"/>
    <mergeCell ref="K11:K13"/>
    <mergeCell ref="L11:M11"/>
    <mergeCell ref="N11:N13"/>
    <mergeCell ref="H9:V9"/>
    <mergeCell ref="H10:J10"/>
    <mergeCell ref="K10:M10"/>
    <mergeCell ref="N10:P10"/>
    <mergeCell ref="T10:V10"/>
    <mergeCell ref="P12:P13"/>
    <mergeCell ref="U12:U13"/>
    <mergeCell ref="V12:V13"/>
    <mergeCell ref="P3:V3"/>
    <mergeCell ref="P232:V232"/>
    <mergeCell ref="C230:V230"/>
    <mergeCell ref="C169:V169"/>
    <mergeCell ref="T233:U233"/>
    <mergeCell ref="C7:V7"/>
    <mergeCell ref="E37:V37"/>
    <mergeCell ref="C9:C13"/>
    <mergeCell ref="D9:D13"/>
    <mergeCell ref="E9:G10"/>
    <mergeCell ref="E11:E13"/>
    <mergeCell ref="B37:D37"/>
    <mergeCell ref="B27:B28"/>
    <mergeCell ref="O11:P11"/>
    <mergeCell ref="T11:T13"/>
    <mergeCell ref="U11:V11"/>
    <mergeCell ref="F12:F13"/>
    <mergeCell ref="R235:T235"/>
    <mergeCell ref="R236:T236"/>
    <mergeCell ref="B233:N233"/>
    <mergeCell ref="P2:V2"/>
    <mergeCell ref="I235:K235"/>
    <mergeCell ref="Q10:S10"/>
    <mergeCell ref="Q11:Q13"/>
    <mergeCell ref="R11:S11"/>
    <mergeCell ref="R12:R13"/>
    <mergeCell ref="S12:S13"/>
    <mergeCell ref="I12:I13"/>
    <mergeCell ref="J12:J13"/>
    <mergeCell ref="L12:L13"/>
    <mergeCell ref="C86:V86"/>
    <mergeCell ref="C232:D232"/>
    <mergeCell ref="J232:K232"/>
  </mergeCells>
  <pageMargins left="0.31496062992125984" right="0.27559055118110237" top="0.9055118110236221" bottom="0.43307086614173229" header="0.70866141732283472" footer="0.39370078740157483"/>
  <pageSetup paperSize="9" scale="51" fitToHeight="6" orientation="landscape" r:id="rId1"/>
  <headerFooter differentFirst="1">
    <oddHeader>&amp;R&amp;"Times New Roman,обычный"&amp;10продовження додатку 14</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47">
    <tabColor rgb="FF92D050"/>
    <pageSetUpPr fitToPage="1"/>
  </sheetPr>
  <dimension ref="A1:T87"/>
  <sheetViews>
    <sheetView topLeftCell="A55" zoomScale="75" zoomScaleNormal="75" zoomScaleSheetLayoutView="75" workbookViewId="0">
      <selection activeCell="C92" sqref="C92"/>
    </sheetView>
  </sheetViews>
  <sheetFormatPr defaultColWidth="9.109375" defaultRowHeight="15.6"/>
  <cols>
    <col min="1" max="1" width="6.44140625" style="1366" customWidth="1"/>
    <col min="2" max="2" width="70" style="419" customWidth="1"/>
    <col min="3" max="3" width="12.44140625" style="419" customWidth="1"/>
    <col min="4" max="4" width="11.44140625" style="419" customWidth="1"/>
    <col min="5" max="5" width="11.33203125" style="419" customWidth="1"/>
    <col min="6" max="6" width="12.33203125" style="419" customWidth="1"/>
    <col min="7" max="10" width="14.6640625" style="419" customWidth="1"/>
    <col min="11" max="11" width="20.88671875" style="419" customWidth="1"/>
    <col min="12" max="12" width="10.44140625" style="419" bestFit="1" customWidth="1"/>
    <col min="13" max="15" width="9.109375" style="419" customWidth="1"/>
    <col min="16" max="16384" width="9.109375" style="419"/>
  </cols>
  <sheetData>
    <row r="1" spans="1:20" ht="20.399999999999999" customHeight="1">
      <c r="A1" s="1340"/>
      <c r="B1" s="856"/>
      <c r="C1" s="856"/>
      <c r="D1" s="856"/>
      <c r="E1" s="856"/>
      <c r="F1" s="2645" t="s">
        <v>1574</v>
      </c>
      <c r="G1" s="2645"/>
      <c r="H1" s="2645"/>
      <c r="I1" s="2645"/>
      <c r="J1" s="2645"/>
      <c r="K1" s="418"/>
    </row>
    <row r="2" spans="1:20">
      <c r="A2" s="1340"/>
      <c r="B2" s="856"/>
      <c r="C2" s="856"/>
      <c r="D2" s="856"/>
      <c r="E2" s="856"/>
      <c r="F2" s="856"/>
      <c r="G2" s="856"/>
      <c r="H2" s="2646"/>
      <c r="I2" s="2646"/>
      <c r="J2" s="2646"/>
    </row>
    <row r="3" spans="1:20" ht="15.6" customHeight="1">
      <c r="A3" s="1340"/>
      <c r="B3" s="856"/>
      <c r="C3" s="856"/>
      <c r="D3" s="856"/>
      <c r="E3" s="856"/>
      <c r="F3" s="856"/>
      <c r="G3" s="856"/>
      <c r="H3" s="2647"/>
      <c r="I3" s="2647"/>
      <c r="J3" s="2647"/>
    </row>
    <row r="4" spans="1:20" ht="17.399999999999999">
      <c r="A4" s="1340"/>
      <c r="B4" s="2621" t="s">
        <v>975</v>
      </c>
      <c r="C4" s="2621"/>
      <c r="D4" s="2621"/>
      <c r="E4" s="2621"/>
      <c r="F4" s="2621"/>
      <c r="G4" s="2621"/>
      <c r="H4" s="2621"/>
      <c r="I4" s="2621"/>
      <c r="J4" s="2621"/>
    </row>
    <row r="5" spans="1:20" ht="17.399999999999999">
      <c r="A5" s="1340"/>
      <c r="B5" s="2620" t="s">
        <v>976</v>
      </c>
      <c r="C5" s="2620"/>
      <c r="D5" s="2620"/>
      <c r="E5" s="2620"/>
      <c r="F5" s="2620"/>
      <c r="G5" s="2620"/>
      <c r="H5" s="2620"/>
      <c r="I5" s="2620"/>
      <c r="J5" s="2620"/>
    </row>
    <row r="6" spans="1:20" ht="16.2" thickBot="1">
      <c r="A6" s="1340"/>
      <c r="B6" s="856"/>
      <c r="C6" s="856"/>
      <c r="D6" s="856"/>
      <c r="E6" s="856"/>
      <c r="F6" s="856"/>
      <c r="G6" s="856"/>
      <c r="H6" s="856"/>
      <c r="I6" s="856"/>
      <c r="J6" s="856"/>
    </row>
    <row r="7" spans="1:20">
      <c r="A7" s="2654" t="s">
        <v>7</v>
      </c>
      <c r="B7" s="2603" t="s">
        <v>977</v>
      </c>
      <c r="C7" s="2603" t="s">
        <v>34</v>
      </c>
      <c r="D7" s="2603" t="s">
        <v>978</v>
      </c>
      <c r="E7" s="2603" t="s">
        <v>2017</v>
      </c>
      <c r="F7" s="2603" t="s">
        <v>979</v>
      </c>
      <c r="G7" s="2603"/>
      <c r="H7" s="2603"/>
      <c r="I7" s="2650"/>
      <c r="J7" s="2604"/>
    </row>
    <row r="8" spans="1:20" ht="40.799999999999997" customHeight="1">
      <c r="A8" s="2655"/>
      <c r="B8" s="2629"/>
      <c r="C8" s="2629"/>
      <c r="D8" s="2629"/>
      <c r="E8" s="2629"/>
      <c r="F8" s="2430" t="str">
        <f>Виробництво_1ст!G8</f>
        <v>котельні</v>
      </c>
      <c r="G8" s="2430" t="str">
        <f>Виробництво_1ст!H8</f>
        <v>САО Парусна, 1-А</v>
      </c>
      <c r="H8" s="2430" t="str">
        <f>Виробництво_1ст!I8</f>
        <v>САО Парусна, 1-Б</v>
      </c>
      <c r="I8" s="2430" t="str">
        <f>Виробництво_1ст!J8</f>
        <v>САО Паркова, 50</v>
      </c>
      <c r="J8" s="2430" t="str">
        <f>Виробництво_1ст!K8</f>
        <v>САО Паркова, 52</v>
      </c>
    </row>
    <row r="9" spans="1:20">
      <c r="A9" s="522" t="s">
        <v>464</v>
      </c>
      <c r="B9" s="420">
        <v>2</v>
      </c>
      <c r="C9" s="420">
        <v>3</v>
      </c>
      <c r="D9" s="420">
        <v>4</v>
      </c>
      <c r="E9" s="420">
        <v>5</v>
      </c>
      <c r="F9" s="420">
        <v>6</v>
      </c>
      <c r="G9" s="420">
        <v>7</v>
      </c>
      <c r="H9" s="420">
        <v>8</v>
      </c>
      <c r="I9" s="2429">
        <v>9</v>
      </c>
      <c r="J9" s="523">
        <v>10</v>
      </c>
    </row>
    <row r="10" spans="1:20">
      <c r="A10" s="1341" t="s">
        <v>804</v>
      </c>
      <c r="B10" s="424" t="s">
        <v>980</v>
      </c>
      <c r="C10" s="1271" t="s">
        <v>981</v>
      </c>
      <c r="D10" s="425"/>
      <c r="E10" s="425">
        <f>SUM(F10:J10)</f>
        <v>5.0580000000000007</v>
      </c>
      <c r="F10" s="425">
        <f>'Д 7_РП'!F186</f>
        <v>3.8280000000000003</v>
      </c>
      <c r="G10" s="425">
        <f>'Д 7_РП'!G186</f>
        <v>0.28499999999999998</v>
      </c>
      <c r="H10" s="425">
        <f>'Д 7_РП'!H186</f>
        <v>0.47299999999999998</v>
      </c>
      <c r="I10" s="425">
        <f>'Д 7_РП'!I186</f>
        <v>0.23200000000000001</v>
      </c>
      <c r="J10" s="425">
        <f>'Д 7_РП'!J186</f>
        <v>0.24</v>
      </c>
      <c r="L10" s="870"/>
    </row>
    <row r="11" spans="1:20">
      <c r="A11" s="1342" t="s">
        <v>22</v>
      </c>
      <c r="B11" s="1343" t="s">
        <v>982</v>
      </c>
      <c r="C11" s="1271" t="s">
        <v>983</v>
      </c>
      <c r="D11" s="425"/>
      <c r="E11" s="425">
        <f>F11+G11+H11+J11</f>
        <v>4.8260000000000005</v>
      </c>
      <c r="F11" s="425">
        <f>F10</f>
        <v>3.8280000000000003</v>
      </c>
      <c r="G11" s="425">
        <f t="shared" ref="G11:J11" si="0">G10</f>
        <v>0.28499999999999998</v>
      </c>
      <c r="H11" s="425">
        <f t="shared" si="0"/>
        <v>0.47299999999999998</v>
      </c>
      <c r="I11" s="425">
        <f t="shared" si="0"/>
        <v>0.23200000000000001</v>
      </c>
      <c r="J11" s="425">
        <f t="shared" si="0"/>
        <v>0.24</v>
      </c>
      <c r="K11" s="989"/>
      <c r="N11" s="870"/>
      <c r="O11" s="870"/>
    </row>
    <row r="12" spans="1:20">
      <c r="A12" s="1342" t="s">
        <v>23</v>
      </c>
      <c r="B12" s="1343" t="s">
        <v>984</v>
      </c>
      <c r="C12" s="1271" t="s">
        <v>983</v>
      </c>
      <c r="D12" s="425"/>
      <c r="E12" s="425">
        <v>0</v>
      </c>
      <c r="F12" s="425">
        <v>0</v>
      </c>
      <c r="G12" s="425">
        <v>0</v>
      </c>
      <c r="H12" s="425">
        <v>0</v>
      </c>
      <c r="I12" s="1169">
        <v>0</v>
      </c>
      <c r="J12" s="524">
        <v>0</v>
      </c>
      <c r="K12" s="989"/>
      <c r="N12" s="870"/>
      <c r="O12" s="870"/>
    </row>
    <row r="13" spans="1:20">
      <c r="A13" s="1342" t="s">
        <v>44</v>
      </c>
      <c r="B13" s="1343" t="s">
        <v>406</v>
      </c>
      <c r="C13" s="1271" t="s">
        <v>983</v>
      </c>
      <c r="D13" s="425"/>
      <c r="E13" s="425">
        <v>0</v>
      </c>
      <c r="F13" s="425">
        <v>0</v>
      </c>
      <c r="G13" s="425">
        <v>0</v>
      </c>
      <c r="H13" s="425">
        <v>0</v>
      </c>
      <c r="I13" s="1169">
        <v>0</v>
      </c>
      <c r="J13" s="524">
        <v>0</v>
      </c>
      <c r="K13" s="989"/>
      <c r="N13" s="870"/>
      <c r="O13" s="870"/>
    </row>
    <row r="14" spans="1:20">
      <c r="A14" s="1342" t="s">
        <v>49</v>
      </c>
      <c r="B14" s="1343" t="s">
        <v>985</v>
      </c>
      <c r="C14" s="1271" t="s">
        <v>983</v>
      </c>
      <c r="D14" s="425"/>
      <c r="E14" s="425">
        <v>0</v>
      </c>
      <c r="F14" s="425">
        <v>0</v>
      </c>
      <c r="G14" s="425">
        <v>0</v>
      </c>
      <c r="H14" s="425">
        <v>0</v>
      </c>
      <c r="I14" s="1169">
        <v>0</v>
      </c>
      <c r="J14" s="524">
        <v>0</v>
      </c>
      <c r="K14" s="989"/>
      <c r="N14" s="870"/>
      <c r="O14" s="870"/>
    </row>
    <row r="15" spans="1:20" ht="21" customHeight="1">
      <c r="A15" s="1341" t="s">
        <v>821</v>
      </c>
      <c r="B15" s="424" t="s">
        <v>986</v>
      </c>
      <c r="C15" s="1271" t="s">
        <v>987</v>
      </c>
      <c r="D15" s="441"/>
      <c r="E15" s="441">
        <f>E17+E18+E19+E20</f>
        <v>8535.7796400000007</v>
      </c>
      <c r="F15" s="441">
        <f>F17+F18+F19</f>
        <v>6460.0562399999999</v>
      </c>
      <c r="G15" s="441">
        <f>G17+G18+G19+G20</f>
        <v>480.96030000000002</v>
      </c>
      <c r="H15" s="441">
        <f>H17+H18+H19+H20</f>
        <v>798.22533999999996</v>
      </c>
      <c r="I15" s="441">
        <f>I17+I18+I19+I20</f>
        <v>391.51855999999998</v>
      </c>
      <c r="J15" s="430">
        <f>J17+J18+J19+J20</f>
        <v>405.01920000000001</v>
      </c>
      <c r="K15" s="989"/>
      <c r="M15" s="853"/>
    </row>
    <row r="16" spans="1:20" ht="18" customHeight="1">
      <c r="A16" s="1342"/>
      <c r="B16" s="1343" t="s">
        <v>988</v>
      </c>
      <c r="C16" s="2607" t="s">
        <v>989</v>
      </c>
      <c r="D16" s="2607"/>
      <c r="E16" s="2607"/>
      <c r="F16" s="2607"/>
      <c r="G16" s="2607"/>
      <c r="H16" s="2607"/>
      <c r="I16" s="2651"/>
      <c r="J16" s="2608"/>
      <c r="K16" s="989"/>
      <c r="M16" s="853"/>
      <c r="N16" s="1344"/>
      <c r="O16" s="1344"/>
      <c r="P16" s="1344"/>
      <c r="Q16" s="1344"/>
      <c r="R16" s="1344"/>
      <c r="S16" s="1344"/>
      <c r="T16" s="1344"/>
    </row>
    <row r="17" spans="1:20">
      <c r="A17" s="1342" t="s">
        <v>24</v>
      </c>
      <c r="B17" s="1343" t="s">
        <v>982</v>
      </c>
      <c r="C17" s="1271" t="s">
        <v>983</v>
      </c>
      <c r="D17" s="441"/>
      <c r="E17" s="441">
        <f>'Д 7_РП'!E184</f>
        <v>8535.7796400000007</v>
      </c>
      <c r="F17" s="441">
        <f>'Д 7_РП'!F184</f>
        <v>6460.0562399999999</v>
      </c>
      <c r="G17" s="441">
        <f>'Д 7_РП'!G184</f>
        <v>480.96030000000002</v>
      </c>
      <c r="H17" s="441">
        <f>'Д 7_РП'!H184</f>
        <v>798.22533999999996</v>
      </c>
      <c r="I17" s="441">
        <f>'Д 7_РП'!I184</f>
        <v>391.51855999999998</v>
      </c>
      <c r="J17" s="441">
        <f>'Д 7_РП'!J184</f>
        <v>405.01920000000001</v>
      </c>
      <c r="K17" s="989"/>
      <c r="M17" s="853"/>
      <c r="N17" s="1344"/>
      <c r="O17" s="1344"/>
      <c r="P17" s="1344"/>
      <c r="Q17" s="1344"/>
      <c r="R17" s="1344"/>
      <c r="S17" s="1344"/>
      <c r="T17" s="1344"/>
    </row>
    <row r="18" spans="1:20">
      <c r="A18" s="1342" t="s">
        <v>25</v>
      </c>
      <c r="B18" s="1343" t="s">
        <v>990</v>
      </c>
      <c r="C18" s="1271" t="s">
        <v>983</v>
      </c>
      <c r="D18" s="441"/>
      <c r="E18" s="441">
        <v>0</v>
      </c>
      <c r="F18" s="441">
        <v>0</v>
      </c>
      <c r="G18" s="441">
        <v>0</v>
      </c>
      <c r="H18" s="441">
        <v>0</v>
      </c>
      <c r="I18" s="1186">
        <v>0</v>
      </c>
      <c r="J18" s="430">
        <v>0</v>
      </c>
      <c r="K18" s="989"/>
      <c r="M18" s="853"/>
      <c r="N18" s="1344"/>
      <c r="O18" s="1344"/>
      <c r="P18" s="1344"/>
      <c r="Q18" s="1344"/>
      <c r="R18" s="1344"/>
      <c r="S18" s="1344"/>
      <c r="T18" s="1344"/>
    </row>
    <row r="19" spans="1:20">
      <c r="A19" s="1342" t="s">
        <v>55</v>
      </c>
      <c r="B19" s="1343" t="s">
        <v>991</v>
      </c>
      <c r="C19" s="1271" t="s">
        <v>983</v>
      </c>
      <c r="D19" s="441"/>
      <c r="E19" s="441">
        <v>0</v>
      </c>
      <c r="F19" s="441">
        <v>0</v>
      </c>
      <c r="G19" s="441">
        <v>0</v>
      </c>
      <c r="H19" s="441">
        <v>0</v>
      </c>
      <c r="I19" s="1186">
        <v>0</v>
      </c>
      <c r="J19" s="430">
        <v>0</v>
      </c>
    </row>
    <row r="20" spans="1:20">
      <c r="A20" s="1342" t="s">
        <v>992</v>
      </c>
      <c r="B20" s="1343" t="s">
        <v>985</v>
      </c>
      <c r="C20" s="1271" t="s">
        <v>983</v>
      </c>
      <c r="D20" s="441"/>
      <c r="E20" s="441">
        <v>0</v>
      </c>
      <c r="F20" s="441">
        <v>0</v>
      </c>
      <c r="G20" s="441">
        <v>0</v>
      </c>
      <c r="H20" s="441">
        <v>0</v>
      </c>
      <c r="I20" s="1186">
        <v>0</v>
      </c>
      <c r="J20" s="430">
        <v>0</v>
      </c>
    </row>
    <row r="21" spans="1:20" ht="31.95" customHeight="1">
      <c r="A21" s="1341" t="s">
        <v>823</v>
      </c>
      <c r="B21" s="424" t="s">
        <v>994</v>
      </c>
      <c r="C21" s="1271" t="s">
        <v>983</v>
      </c>
      <c r="D21" s="441"/>
      <c r="E21" s="441">
        <f>SUM(F21:J21)</f>
        <v>0</v>
      </c>
      <c r="F21" s="441">
        <v>0</v>
      </c>
      <c r="G21" s="441">
        <v>0</v>
      </c>
      <c r="H21" s="441">
        <v>0</v>
      </c>
      <c r="I21" s="1186">
        <v>0</v>
      </c>
      <c r="J21" s="430">
        <v>0</v>
      </c>
      <c r="K21" s="432"/>
      <c r="L21" s="1345"/>
    </row>
    <row r="22" spans="1:20">
      <c r="A22" s="1341" t="s">
        <v>826</v>
      </c>
      <c r="B22" s="424" t="s">
        <v>995</v>
      </c>
      <c r="C22" s="1271" t="s">
        <v>983</v>
      </c>
      <c r="D22" s="441"/>
      <c r="E22" s="441">
        <f>SUM(F22:J22)</f>
        <v>0</v>
      </c>
      <c r="F22" s="441">
        <v>0</v>
      </c>
      <c r="G22" s="441">
        <v>0</v>
      </c>
      <c r="H22" s="441">
        <v>0</v>
      </c>
      <c r="I22" s="1186">
        <v>0</v>
      </c>
      <c r="J22" s="430">
        <v>0</v>
      </c>
      <c r="K22" s="432"/>
      <c r="L22" s="432"/>
    </row>
    <row r="23" spans="1:20" ht="19.95" customHeight="1">
      <c r="A23" s="1341" t="s">
        <v>891</v>
      </c>
      <c r="B23" s="424" t="s">
        <v>996</v>
      </c>
      <c r="C23" s="1271" t="s">
        <v>983</v>
      </c>
      <c r="D23" s="441"/>
      <c r="E23" s="441">
        <f>E17</f>
        <v>8535.7796400000007</v>
      </c>
      <c r="F23" s="441">
        <f t="shared" ref="F23:J23" si="1">F17</f>
        <v>6460.0562399999999</v>
      </c>
      <c r="G23" s="441">
        <f t="shared" si="1"/>
        <v>480.96030000000002</v>
      </c>
      <c r="H23" s="441">
        <f t="shared" si="1"/>
        <v>798.22533999999996</v>
      </c>
      <c r="I23" s="441">
        <f t="shared" si="1"/>
        <v>391.51855999999998</v>
      </c>
      <c r="J23" s="441">
        <f t="shared" si="1"/>
        <v>405.01920000000001</v>
      </c>
      <c r="K23" s="432"/>
      <c r="L23" s="432"/>
    </row>
    <row r="24" spans="1:20" ht="17.399999999999999" customHeight="1">
      <c r="A24" s="1341" t="s">
        <v>897</v>
      </c>
      <c r="B24" s="424" t="s">
        <v>997</v>
      </c>
      <c r="C24" s="1271" t="s">
        <v>983</v>
      </c>
      <c r="D24" s="441"/>
      <c r="E24" s="441"/>
      <c r="F24" s="441"/>
      <c r="G24" s="441"/>
      <c r="H24" s="441"/>
      <c r="I24" s="1186"/>
      <c r="J24" s="430"/>
      <c r="K24" s="432"/>
      <c r="L24" s="432"/>
    </row>
    <row r="25" spans="1:20" ht="30.6" customHeight="1">
      <c r="A25" s="1341" t="s">
        <v>903</v>
      </c>
      <c r="B25" s="424" t="s">
        <v>998</v>
      </c>
      <c r="C25" s="1271" t="s">
        <v>983</v>
      </c>
      <c r="D25" s="441"/>
      <c r="E25" s="441">
        <f t="shared" ref="E25:J25" si="2">E15</f>
        <v>8535.7796400000007</v>
      </c>
      <c r="F25" s="441">
        <f t="shared" si="2"/>
        <v>6460.0562399999999</v>
      </c>
      <c r="G25" s="441">
        <f t="shared" si="2"/>
        <v>480.96030000000002</v>
      </c>
      <c r="H25" s="441">
        <f t="shared" si="2"/>
        <v>798.22533999999996</v>
      </c>
      <c r="I25" s="441">
        <f t="shared" si="2"/>
        <v>391.51855999999998</v>
      </c>
      <c r="J25" s="430">
        <f t="shared" si="2"/>
        <v>405.01920000000001</v>
      </c>
      <c r="K25" s="432"/>
      <c r="L25" s="432"/>
    </row>
    <row r="26" spans="1:20" ht="19.95" customHeight="1">
      <c r="A26" s="1341" t="s">
        <v>905</v>
      </c>
      <c r="B26" s="424" t="s">
        <v>999</v>
      </c>
      <c r="C26" s="1271" t="s">
        <v>983</v>
      </c>
      <c r="D26" s="441"/>
      <c r="E26" s="441">
        <f t="shared" ref="E26:J26" si="3">E23/(100%-2.2%)</f>
        <v>8727.7910429447857</v>
      </c>
      <c r="F26" s="441">
        <f t="shared" si="3"/>
        <v>6605.3744785276076</v>
      </c>
      <c r="G26" s="990">
        <f t="shared" si="3"/>
        <v>491.77944785276077</v>
      </c>
      <c r="H26" s="441">
        <f t="shared" si="3"/>
        <v>816.18132924335373</v>
      </c>
      <c r="I26" s="441">
        <f t="shared" si="3"/>
        <v>400.3257259713701</v>
      </c>
      <c r="J26" s="430">
        <f t="shared" si="3"/>
        <v>414.13006134969328</v>
      </c>
      <c r="K26" s="432"/>
      <c r="L26" s="432"/>
    </row>
    <row r="27" spans="1:20" ht="19.2" customHeight="1">
      <c r="A27" s="1341" t="s">
        <v>907</v>
      </c>
      <c r="B27" s="424" t="s">
        <v>1000</v>
      </c>
      <c r="C27" s="2651" t="s">
        <v>989</v>
      </c>
      <c r="D27" s="2652"/>
      <c r="E27" s="2652"/>
      <c r="F27" s="2652"/>
      <c r="G27" s="2652"/>
      <c r="H27" s="2652"/>
      <c r="I27" s="2652"/>
      <c r="J27" s="2653"/>
    </row>
    <row r="28" spans="1:20" ht="31.2">
      <c r="A28" s="1342" t="s">
        <v>148</v>
      </c>
      <c r="B28" s="423" t="s">
        <v>1001</v>
      </c>
      <c r="C28" s="1271" t="s">
        <v>1002</v>
      </c>
      <c r="D28" s="441"/>
      <c r="E28" s="441">
        <f>F28+G28+H28+J28</f>
        <v>1.1611786727193427</v>
      </c>
      <c r="F28" s="441">
        <f>'Д 8_Паливо'!Q9/1000</f>
        <v>0.92420678419459401</v>
      </c>
      <c r="G28" s="425">
        <f>'Д 8_Паливо'!AA9/1000</f>
        <v>6.7312643554450907E-2</v>
      </c>
      <c r="H28" s="441">
        <f>'Д 8_Паливо'!AK9/1000</f>
        <v>0.11171534883969959</v>
      </c>
      <c r="I28" s="1186">
        <f>'Д 8_Паливо'!AU9/1000</f>
        <v>5.6012432926245005E-2</v>
      </c>
      <c r="J28" s="430">
        <f>'Д 8_Паливо'!BE9/1000</f>
        <v>5.7943896130598291E-2</v>
      </c>
    </row>
    <row r="29" spans="1:20">
      <c r="A29" s="1342" t="s">
        <v>193</v>
      </c>
      <c r="B29" s="423" t="s">
        <v>1003</v>
      </c>
      <c r="C29" s="1271" t="s">
        <v>1004</v>
      </c>
      <c r="D29" s="441"/>
      <c r="E29" s="441">
        <v>0</v>
      </c>
      <c r="F29" s="441">
        <v>0</v>
      </c>
      <c r="G29" s="441">
        <v>0</v>
      </c>
      <c r="H29" s="441">
        <v>0</v>
      </c>
      <c r="I29" s="1186">
        <v>0</v>
      </c>
      <c r="J29" s="430">
        <v>0</v>
      </c>
    </row>
    <row r="30" spans="1:20">
      <c r="A30" s="1342" t="s">
        <v>339</v>
      </c>
      <c r="B30" s="423" t="s">
        <v>1005</v>
      </c>
      <c r="C30" s="1271" t="s">
        <v>983</v>
      </c>
      <c r="D30" s="441"/>
      <c r="E30" s="441">
        <v>0</v>
      </c>
      <c r="F30" s="441">
        <v>0</v>
      </c>
      <c r="G30" s="441">
        <v>0</v>
      </c>
      <c r="H30" s="441">
        <v>0</v>
      </c>
      <c r="I30" s="1186">
        <v>0</v>
      </c>
      <c r="J30" s="430">
        <v>0</v>
      </c>
    </row>
    <row r="31" spans="1:20">
      <c r="A31" s="1342" t="s">
        <v>963</v>
      </c>
      <c r="B31" s="423" t="s">
        <v>1006</v>
      </c>
      <c r="C31" s="1271" t="s">
        <v>983</v>
      </c>
      <c r="D31" s="441"/>
      <c r="E31" s="441">
        <v>0</v>
      </c>
      <c r="F31" s="441">
        <v>0</v>
      </c>
      <c r="G31" s="441">
        <v>0</v>
      </c>
      <c r="H31" s="441">
        <v>0</v>
      </c>
      <c r="I31" s="1186">
        <v>0</v>
      </c>
      <c r="J31" s="430">
        <v>0</v>
      </c>
    </row>
    <row r="32" spans="1:20" ht="22.95" customHeight="1">
      <c r="A32" s="1341" t="s">
        <v>911</v>
      </c>
      <c r="B32" s="424" t="s">
        <v>1007</v>
      </c>
      <c r="C32" s="1271" t="s">
        <v>1004</v>
      </c>
      <c r="D32" s="441"/>
      <c r="E32" s="441">
        <f>SUM(F32:J32)</f>
        <v>1437.5771183093273</v>
      </c>
      <c r="F32" s="441">
        <f>F33*F23/1000</f>
        <v>1091.544720777192</v>
      </c>
      <c r="G32" s="1346">
        <f>G33*G23/1000</f>
        <v>79.500347725155279</v>
      </c>
      <c r="H32" s="441">
        <f>H33*H23/1000</f>
        <v>131.94265757529999</v>
      </c>
      <c r="I32" s="441">
        <f>I33*I23/1000</f>
        <v>66.154108046079983</v>
      </c>
      <c r="J32" s="430">
        <f>J33*J23/1000</f>
        <v>68.435284185599997</v>
      </c>
      <c r="L32" s="432"/>
    </row>
    <row r="33" spans="1:12">
      <c r="A33" s="1341" t="s">
        <v>913</v>
      </c>
      <c r="B33" s="424" t="s">
        <v>1008</v>
      </c>
      <c r="C33" s="1271" t="s">
        <v>1009</v>
      </c>
      <c r="D33" s="1336"/>
      <c r="E33" s="1336">
        <f>'Д 8_Паливо'!D9</f>
        <v>168.41777888569882</v>
      </c>
      <c r="F33" s="1336">
        <f>'Д 8_Паливо'!N10</f>
        <v>168.9683</v>
      </c>
      <c r="G33" s="1336">
        <f>'Д 8_Паливо'!X10</f>
        <v>165.29503105590064</v>
      </c>
      <c r="H33" s="1336">
        <f>'Д 8_Паливо'!AH10</f>
        <v>165.29499999999999</v>
      </c>
      <c r="I33" s="1336">
        <f>'Д 8_Паливо'!AR10</f>
        <v>168.96799999999999</v>
      </c>
      <c r="J33" s="1347">
        <f>'Д 8_Паливо'!BB10</f>
        <v>168.96799999999999</v>
      </c>
      <c r="L33" s="1348"/>
    </row>
    <row r="34" spans="1:12" hidden="1">
      <c r="A34" s="1341" t="s">
        <v>915</v>
      </c>
      <c r="B34" s="424" t="s">
        <v>1010</v>
      </c>
      <c r="C34" s="1271" t="s">
        <v>1009</v>
      </c>
      <c r="D34" s="1271"/>
      <c r="E34" s="1271"/>
      <c r="F34" s="1271"/>
      <c r="G34" s="1271"/>
      <c r="H34" s="1271"/>
      <c r="I34" s="427"/>
      <c r="J34" s="1272"/>
    </row>
    <row r="35" spans="1:12" ht="24" customHeight="1">
      <c r="A35" s="1341" t="s">
        <v>915</v>
      </c>
      <c r="B35" s="424" t="s">
        <v>1011</v>
      </c>
      <c r="C35" s="1271" t="s">
        <v>1012</v>
      </c>
      <c r="D35" s="1349"/>
      <c r="E35" s="441">
        <f>'Д 9_ЕЕ'!D185</f>
        <v>420.13773673334168</v>
      </c>
      <c r="F35" s="441" t="s">
        <v>993</v>
      </c>
      <c r="G35" s="441" t="s">
        <v>993</v>
      </c>
      <c r="H35" s="441" t="s">
        <v>300</v>
      </c>
      <c r="I35" s="441" t="s">
        <v>300</v>
      </c>
      <c r="J35" s="430" t="s">
        <v>993</v>
      </c>
    </row>
    <row r="36" spans="1:12" ht="24" customHeight="1">
      <c r="A36" s="1341" t="s">
        <v>917</v>
      </c>
      <c r="B36" s="1200" t="s">
        <v>1013</v>
      </c>
      <c r="C36" s="1271" t="s">
        <v>1014</v>
      </c>
      <c r="D36" s="441"/>
      <c r="E36" s="441">
        <f>E35/E25</f>
        <v>4.9220780579258445E-2</v>
      </c>
      <c r="F36" s="441" t="s">
        <v>993</v>
      </c>
      <c r="G36" s="441" t="s">
        <v>993</v>
      </c>
      <c r="H36" s="441" t="s">
        <v>300</v>
      </c>
      <c r="I36" s="441" t="s">
        <v>300</v>
      </c>
      <c r="J36" s="430" t="s">
        <v>993</v>
      </c>
    </row>
    <row r="37" spans="1:12" ht="31.2">
      <c r="A37" s="1341" t="s">
        <v>919</v>
      </c>
      <c r="B37" s="424" t="s">
        <v>1016</v>
      </c>
      <c r="C37" s="1271" t="s">
        <v>1017</v>
      </c>
      <c r="D37" s="441"/>
      <c r="E37" s="1350">
        <f>ВОДА!J29/1000</f>
        <v>0.28648733313600006</v>
      </c>
      <c r="F37" s="441" t="s">
        <v>993</v>
      </c>
      <c r="G37" s="441" t="s">
        <v>993</v>
      </c>
      <c r="H37" s="441" t="s">
        <v>300</v>
      </c>
      <c r="I37" s="441" t="s">
        <v>300</v>
      </c>
      <c r="J37" s="430" t="s">
        <v>993</v>
      </c>
    </row>
    <row r="38" spans="1:12" ht="32.4" customHeight="1">
      <c r="A38" s="1341" t="s">
        <v>1015</v>
      </c>
      <c r="B38" s="424" t="s">
        <v>1019</v>
      </c>
      <c r="C38" s="1271" t="s">
        <v>1012</v>
      </c>
      <c r="D38" s="441"/>
      <c r="E38" s="441">
        <v>0</v>
      </c>
      <c r="F38" s="441">
        <v>0</v>
      </c>
      <c r="G38" s="441">
        <v>0</v>
      </c>
      <c r="H38" s="441">
        <v>0</v>
      </c>
      <c r="I38" s="1186">
        <v>0</v>
      </c>
      <c r="J38" s="430">
        <v>0</v>
      </c>
    </row>
    <row r="39" spans="1:12" ht="17.399999999999999" customHeight="1">
      <c r="A39" s="1341" t="s">
        <v>1018</v>
      </c>
      <c r="B39" s="424" t="s">
        <v>1021</v>
      </c>
      <c r="C39" s="1271" t="s">
        <v>1022</v>
      </c>
      <c r="D39" s="1335"/>
      <c r="E39" s="1335">
        <f>ВОДА!J93</f>
        <v>158</v>
      </c>
      <c r="F39" s="1335">
        <f>E39</f>
        <v>158</v>
      </c>
      <c r="G39" s="1335">
        <f>E39</f>
        <v>158</v>
      </c>
      <c r="H39" s="1335">
        <f>E39</f>
        <v>158</v>
      </c>
      <c r="I39" s="1335">
        <f>F39</f>
        <v>158</v>
      </c>
      <c r="J39" s="1351">
        <f>E39</f>
        <v>158</v>
      </c>
    </row>
    <row r="40" spans="1:12" ht="22.2" customHeight="1">
      <c r="A40" s="1341" t="s">
        <v>1023</v>
      </c>
      <c r="B40" s="424" t="s">
        <v>1024</v>
      </c>
      <c r="C40" s="1271" t="s">
        <v>983</v>
      </c>
      <c r="D40" s="1335"/>
      <c r="E40" s="1335">
        <f t="shared" ref="E40:J40" si="4">366-E39</f>
        <v>208</v>
      </c>
      <c r="F40" s="1335">
        <f t="shared" si="4"/>
        <v>208</v>
      </c>
      <c r="G40" s="1335">
        <f t="shared" si="4"/>
        <v>208</v>
      </c>
      <c r="H40" s="1335">
        <f t="shared" si="4"/>
        <v>208</v>
      </c>
      <c r="I40" s="1335">
        <f t="shared" si="4"/>
        <v>208</v>
      </c>
      <c r="J40" s="1335">
        <f t="shared" si="4"/>
        <v>208</v>
      </c>
    </row>
    <row r="41" spans="1:12" ht="33.6" customHeight="1">
      <c r="A41" s="1341" t="s">
        <v>1020</v>
      </c>
      <c r="B41" s="424" t="s">
        <v>1026</v>
      </c>
      <c r="C41" s="1271" t="s">
        <v>1027</v>
      </c>
      <c r="D41" s="1271"/>
      <c r="E41" s="1271">
        <v>18</v>
      </c>
      <c r="F41" s="1271">
        <f>E41</f>
        <v>18</v>
      </c>
      <c r="G41" s="1271">
        <f>F41</f>
        <v>18</v>
      </c>
      <c r="H41" s="1271">
        <f>G41</f>
        <v>18</v>
      </c>
      <c r="I41" s="1271">
        <f>H41</f>
        <v>18</v>
      </c>
      <c r="J41" s="1272">
        <f>H41</f>
        <v>18</v>
      </c>
    </row>
    <row r="42" spans="1:12" ht="31.2">
      <c r="A42" s="1341" t="s">
        <v>1023</v>
      </c>
      <c r="B42" s="424" t="s">
        <v>1029</v>
      </c>
      <c r="C42" s="1271" t="s">
        <v>983</v>
      </c>
      <c r="D42" s="1336"/>
      <c r="E42" s="1336">
        <f>'Вхідні дані'!D58</f>
        <v>0</v>
      </c>
      <c r="F42" s="1271" t="s">
        <v>993</v>
      </c>
      <c r="G42" s="1271" t="s">
        <v>993</v>
      </c>
      <c r="H42" s="1271" t="s">
        <v>300</v>
      </c>
      <c r="I42" s="1271" t="s">
        <v>300</v>
      </c>
      <c r="J42" s="1272" t="s">
        <v>993</v>
      </c>
    </row>
    <row r="43" spans="1:12" ht="36" customHeight="1">
      <c r="A43" s="1341" t="s">
        <v>1025</v>
      </c>
      <c r="B43" s="424" t="s">
        <v>1031</v>
      </c>
      <c r="C43" s="1271" t="s">
        <v>983</v>
      </c>
      <c r="D43" s="1271"/>
      <c r="E43" s="1271">
        <f>D43</f>
        <v>0</v>
      </c>
      <c r="F43" s="1271" t="s">
        <v>993</v>
      </c>
      <c r="G43" s="1271" t="s">
        <v>993</v>
      </c>
      <c r="H43" s="1271" t="s">
        <v>300</v>
      </c>
      <c r="I43" s="1271" t="s">
        <v>300</v>
      </c>
      <c r="J43" s="1272" t="s">
        <v>993</v>
      </c>
    </row>
    <row r="44" spans="1:12" ht="31.2" hidden="1">
      <c r="A44" s="1341" t="s">
        <v>1032</v>
      </c>
      <c r="B44" s="424" t="s">
        <v>1033</v>
      </c>
      <c r="C44" s="1271" t="s">
        <v>983</v>
      </c>
      <c r="D44" s="1271"/>
      <c r="E44" s="1271" t="s">
        <v>989</v>
      </c>
      <c r="F44" s="1271" t="s">
        <v>989</v>
      </c>
      <c r="G44" s="1271" t="s">
        <v>989</v>
      </c>
      <c r="H44" s="1271"/>
      <c r="I44" s="427"/>
      <c r="J44" s="1272" t="s">
        <v>989</v>
      </c>
    </row>
    <row r="45" spans="1:12" ht="31.2" hidden="1">
      <c r="A45" s="1341" t="s">
        <v>1034</v>
      </c>
      <c r="B45" s="424" t="s">
        <v>1035</v>
      </c>
      <c r="C45" s="1271" t="s">
        <v>989</v>
      </c>
      <c r="D45" s="1271"/>
      <c r="E45" s="1271" t="s">
        <v>989</v>
      </c>
      <c r="F45" s="1271" t="s">
        <v>989</v>
      </c>
      <c r="G45" s="1271" t="s">
        <v>989</v>
      </c>
      <c r="H45" s="1271"/>
      <c r="I45" s="427"/>
      <c r="J45" s="1272" t="s">
        <v>989</v>
      </c>
    </row>
    <row r="46" spans="1:12" hidden="1">
      <c r="A46" s="1342" t="s">
        <v>1036</v>
      </c>
      <c r="B46" s="1343" t="s">
        <v>1037</v>
      </c>
      <c r="C46" s="1271" t="s">
        <v>1038</v>
      </c>
      <c r="D46" s="1271"/>
      <c r="E46" s="1271">
        <v>0</v>
      </c>
      <c r="F46" s="1271">
        <v>0</v>
      </c>
      <c r="G46" s="1271">
        <v>0</v>
      </c>
      <c r="H46" s="1271">
        <v>0</v>
      </c>
      <c r="I46" s="427"/>
      <c r="J46" s="1272">
        <v>0</v>
      </c>
    </row>
    <row r="47" spans="1:12" hidden="1">
      <c r="A47" s="1342" t="s">
        <v>1039</v>
      </c>
      <c r="B47" s="1343" t="s">
        <v>1040</v>
      </c>
      <c r="C47" s="1271" t="s">
        <v>1022</v>
      </c>
      <c r="D47" s="1271"/>
      <c r="E47" s="1271">
        <v>0</v>
      </c>
      <c r="F47" s="1271">
        <v>0</v>
      </c>
      <c r="G47" s="1271">
        <v>0</v>
      </c>
      <c r="H47" s="1271">
        <v>0</v>
      </c>
      <c r="I47" s="427"/>
      <c r="J47" s="1272">
        <v>0</v>
      </c>
    </row>
    <row r="48" spans="1:12" hidden="1">
      <c r="A48" s="1342" t="s">
        <v>1041</v>
      </c>
      <c r="B48" s="1343" t="s">
        <v>1042</v>
      </c>
      <c r="C48" s="1271" t="s">
        <v>1043</v>
      </c>
      <c r="D48" s="1271"/>
      <c r="E48" s="1271">
        <v>0</v>
      </c>
      <c r="F48" s="1271">
        <v>0</v>
      </c>
      <c r="G48" s="1271">
        <v>0</v>
      </c>
      <c r="H48" s="1271">
        <v>0</v>
      </c>
      <c r="I48" s="427"/>
      <c r="J48" s="1272">
        <v>0</v>
      </c>
    </row>
    <row r="49" spans="1:18" ht="31.2" hidden="1">
      <c r="A49" s="1341" t="s">
        <v>1044</v>
      </c>
      <c r="B49" s="424" t="s">
        <v>1045</v>
      </c>
      <c r="C49" s="1271" t="s">
        <v>1046</v>
      </c>
      <c r="D49" s="1271"/>
      <c r="E49" s="1271">
        <v>0</v>
      </c>
      <c r="F49" s="1271">
        <v>0</v>
      </c>
      <c r="G49" s="1271">
        <v>0</v>
      </c>
      <c r="H49" s="1271">
        <v>0</v>
      </c>
      <c r="I49" s="427"/>
      <c r="J49" s="1272">
        <v>0</v>
      </c>
    </row>
    <row r="50" spans="1:18" ht="31.2" hidden="1">
      <c r="A50" s="1341" t="s">
        <v>1047</v>
      </c>
      <c r="B50" s="424" t="s">
        <v>1048</v>
      </c>
      <c r="C50" s="1271" t="s">
        <v>1049</v>
      </c>
      <c r="D50" s="1271"/>
      <c r="E50" s="1271">
        <v>0</v>
      </c>
      <c r="F50" s="1271">
        <v>0</v>
      </c>
      <c r="G50" s="1271">
        <v>0</v>
      </c>
      <c r="H50" s="1271">
        <v>0</v>
      </c>
      <c r="I50" s="427"/>
      <c r="J50" s="1272">
        <v>0</v>
      </c>
    </row>
    <row r="51" spans="1:18" hidden="1">
      <c r="A51" s="1341" t="s">
        <v>1050</v>
      </c>
      <c r="B51" s="424" t="s">
        <v>1051</v>
      </c>
      <c r="C51" s="1271" t="s">
        <v>989</v>
      </c>
      <c r="D51" s="1271"/>
      <c r="E51" s="1271">
        <v>0</v>
      </c>
      <c r="F51" s="1271">
        <v>0</v>
      </c>
      <c r="G51" s="1271">
        <v>0</v>
      </c>
      <c r="H51" s="1271">
        <v>0</v>
      </c>
      <c r="I51" s="427"/>
      <c r="J51" s="1272">
        <v>0</v>
      </c>
    </row>
    <row r="52" spans="1:18" hidden="1">
      <c r="A52" s="1342" t="s">
        <v>1052</v>
      </c>
      <c r="B52" s="423" t="s">
        <v>1053</v>
      </c>
      <c r="C52" s="1271" t="s">
        <v>1027</v>
      </c>
      <c r="D52" s="1271"/>
      <c r="E52" s="1271">
        <v>0</v>
      </c>
      <c r="F52" s="1271">
        <v>0</v>
      </c>
      <c r="G52" s="1271">
        <v>0</v>
      </c>
      <c r="H52" s="1271">
        <v>0</v>
      </c>
      <c r="I52" s="427"/>
      <c r="J52" s="1272">
        <v>0</v>
      </c>
    </row>
    <row r="53" spans="1:18" hidden="1">
      <c r="A53" s="1342" t="s">
        <v>1054</v>
      </c>
      <c r="B53" s="423" t="s">
        <v>1055</v>
      </c>
      <c r="C53" s="1271" t="s">
        <v>983</v>
      </c>
      <c r="D53" s="1271"/>
      <c r="E53" s="1271">
        <v>0</v>
      </c>
      <c r="F53" s="1271">
        <v>0</v>
      </c>
      <c r="G53" s="1271">
        <v>0</v>
      </c>
      <c r="H53" s="1271">
        <v>0</v>
      </c>
      <c r="I53" s="427"/>
      <c r="J53" s="1272">
        <v>0</v>
      </c>
    </row>
    <row r="54" spans="1:18" ht="21" customHeight="1">
      <c r="A54" s="1341" t="s">
        <v>1028</v>
      </c>
      <c r="B54" s="424" t="s">
        <v>1057</v>
      </c>
      <c r="C54" s="1271" t="s">
        <v>989</v>
      </c>
      <c r="D54" s="1271"/>
      <c r="E54" s="1271"/>
      <c r="F54" s="1271" t="s">
        <v>993</v>
      </c>
      <c r="G54" s="1271" t="s">
        <v>993</v>
      </c>
      <c r="H54" s="1271" t="s">
        <v>300</v>
      </c>
      <c r="I54" s="1271" t="s">
        <v>300</v>
      </c>
      <c r="J54" s="1272" t="s">
        <v>993</v>
      </c>
    </row>
    <row r="55" spans="1:18" ht="46.8">
      <c r="A55" s="1342" t="s">
        <v>1111</v>
      </c>
      <c r="B55" s="423" t="s">
        <v>1001</v>
      </c>
      <c r="C55" s="1271" t="s">
        <v>1058</v>
      </c>
      <c r="D55" s="441"/>
      <c r="E55" s="441">
        <f>'Д 8_Паливо'!F27</f>
        <v>8267.427595807676</v>
      </c>
      <c r="F55" s="1271" t="s">
        <v>993</v>
      </c>
      <c r="G55" s="1271" t="s">
        <v>993</v>
      </c>
      <c r="H55" s="1271" t="s">
        <v>300</v>
      </c>
      <c r="I55" s="1271" t="s">
        <v>300</v>
      </c>
      <c r="J55" s="1272" t="s">
        <v>993</v>
      </c>
    </row>
    <row r="56" spans="1:18">
      <c r="A56" s="1342" t="s">
        <v>1112</v>
      </c>
      <c r="B56" s="423" t="s">
        <v>1003</v>
      </c>
      <c r="C56" s="1271" t="s">
        <v>983</v>
      </c>
      <c r="D56" s="1271"/>
      <c r="E56" s="1271">
        <v>0</v>
      </c>
      <c r="F56" s="1271" t="s">
        <v>993</v>
      </c>
      <c r="G56" s="1271" t="s">
        <v>993</v>
      </c>
      <c r="H56" s="1271" t="s">
        <v>300</v>
      </c>
      <c r="I56" s="1271" t="s">
        <v>300</v>
      </c>
      <c r="J56" s="1272" t="s">
        <v>993</v>
      </c>
    </row>
    <row r="57" spans="1:18">
      <c r="A57" s="1342" t="s">
        <v>1122</v>
      </c>
      <c r="B57" s="423" t="s">
        <v>1005</v>
      </c>
      <c r="C57" s="1271" t="s">
        <v>983</v>
      </c>
      <c r="D57" s="1271"/>
      <c r="E57" s="1271">
        <v>0</v>
      </c>
      <c r="F57" s="1271" t="s">
        <v>993</v>
      </c>
      <c r="G57" s="1271" t="s">
        <v>993</v>
      </c>
      <c r="H57" s="1271" t="s">
        <v>993</v>
      </c>
      <c r="I57" s="1271" t="s">
        <v>993</v>
      </c>
      <c r="J57" s="1272" t="s">
        <v>993</v>
      </c>
    </row>
    <row r="58" spans="1:18">
      <c r="A58" s="1342" t="s">
        <v>1123</v>
      </c>
      <c r="B58" s="423" t="s">
        <v>1006</v>
      </c>
      <c r="C58" s="1271" t="s">
        <v>983</v>
      </c>
      <c r="D58" s="1271"/>
      <c r="E58" s="1271">
        <v>0</v>
      </c>
      <c r="F58" s="1271" t="s">
        <v>993</v>
      </c>
      <c r="G58" s="1271" t="s">
        <v>993</v>
      </c>
      <c r="H58" s="1271" t="s">
        <v>993</v>
      </c>
      <c r="I58" s="1271" t="s">
        <v>993</v>
      </c>
      <c r="J58" s="1272" t="s">
        <v>993</v>
      </c>
    </row>
    <row r="59" spans="1:18" ht="25.95" customHeight="1">
      <c r="A59" s="1342" t="s">
        <v>1030</v>
      </c>
      <c r="B59" s="424" t="s">
        <v>1060</v>
      </c>
      <c r="C59" s="2609" t="s">
        <v>1165</v>
      </c>
      <c r="D59" s="441"/>
      <c r="E59" s="1271" t="s">
        <v>993</v>
      </c>
      <c r="F59" s="1271" t="s">
        <v>993</v>
      </c>
      <c r="G59" s="1271" t="s">
        <v>993</v>
      </c>
      <c r="H59" s="1271" t="s">
        <v>993</v>
      </c>
      <c r="I59" s="1271" t="s">
        <v>993</v>
      </c>
      <c r="J59" s="1272" t="s">
        <v>993</v>
      </c>
    </row>
    <row r="60" spans="1:18">
      <c r="A60" s="1342" t="s">
        <v>1162</v>
      </c>
      <c r="B60" s="423" t="s">
        <v>1161</v>
      </c>
      <c r="C60" s="2656"/>
      <c r="D60" s="441"/>
      <c r="E60" s="441">
        <f>'Д 8_Паливо'!H9</f>
        <v>6183.33</v>
      </c>
      <c r="F60" s="441">
        <f>'Д 8_Паливо'!H10</f>
        <v>6183.33</v>
      </c>
      <c r="G60" s="441">
        <f>E60</f>
        <v>6183.33</v>
      </c>
      <c r="H60" s="441">
        <f>E60</f>
        <v>6183.33</v>
      </c>
      <c r="I60" s="1186">
        <f>E60</f>
        <v>6183.33</v>
      </c>
      <c r="J60" s="430">
        <f>'Д 8_Паливо'!H13</f>
        <v>0</v>
      </c>
      <c r="K60" s="1352"/>
    </row>
    <row r="61" spans="1:18">
      <c r="A61" s="1342" t="s">
        <v>1163</v>
      </c>
      <c r="B61" s="423" t="s">
        <v>926</v>
      </c>
      <c r="C61" s="2656"/>
      <c r="D61" s="441"/>
      <c r="E61" s="441">
        <f>'Д 8_Паливо'!H15</f>
        <v>136.57599999999999</v>
      </c>
      <c r="F61" s="441">
        <f t="shared" ref="F61:H62" si="5">E61</f>
        <v>136.57599999999999</v>
      </c>
      <c r="G61" s="441">
        <f t="shared" si="5"/>
        <v>136.57599999999999</v>
      </c>
      <c r="H61" s="441">
        <f t="shared" si="5"/>
        <v>136.57599999999999</v>
      </c>
      <c r="I61" s="1186">
        <f>H61</f>
        <v>136.57599999999999</v>
      </c>
      <c r="J61" s="430">
        <f>H61</f>
        <v>136.57599999999999</v>
      </c>
    </row>
    <row r="62" spans="1:18">
      <c r="A62" s="1342" t="s">
        <v>1164</v>
      </c>
      <c r="B62" s="423" t="s">
        <v>954</v>
      </c>
      <c r="C62" s="2657"/>
      <c r="D62" s="441"/>
      <c r="E62" s="441">
        <f>'Д 8_Паливо'!H21</f>
        <v>1090</v>
      </c>
      <c r="F62" s="441">
        <f t="shared" si="5"/>
        <v>1090</v>
      </c>
      <c r="G62" s="441">
        <f t="shared" si="5"/>
        <v>1090</v>
      </c>
      <c r="H62" s="441">
        <f t="shared" si="5"/>
        <v>1090</v>
      </c>
      <c r="I62" s="1186">
        <f>H62</f>
        <v>1090</v>
      </c>
      <c r="J62" s="430">
        <f>H62</f>
        <v>1090</v>
      </c>
    </row>
    <row r="63" spans="1:18" ht="16.8" customHeight="1">
      <c r="A63" s="1341" t="s">
        <v>1032</v>
      </c>
      <c r="B63" s="424" t="s">
        <v>1062</v>
      </c>
      <c r="C63" s="420" t="s">
        <v>1063</v>
      </c>
      <c r="D63" s="441"/>
      <c r="E63" s="441">
        <f>('Д 9_ЕЕ'!D18+'Д 9_ЕЕ'!D45+'Д 9_ЕЕ'!D76)/E35</f>
        <v>3.34</v>
      </c>
      <c r="F63" s="1271" t="s">
        <v>993</v>
      </c>
      <c r="G63" s="1271" t="s">
        <v>993</v>
      </c>
      <c r="H63" s="1271" t="s">
        <v>993</v>
      </c>
      <c r="I63" s="1271" t="s">
        <v>993</v>
      </c>
      <c r="J63" s="1272" t="s">
        <v>993</v>
      </c>
    </row>
    <row r="64" spans="1:18" ht="26.4">
      <c r="A64" s="1341" t="s">
        <v>1034</v>
      </c>
      <c r="B64" s="424" t="s">
        <v>1065</v>
      </c>
      <c r="C64" s="420" t="s">
        <v>1066</v>
      </c>
      <c r="D64" s="441"/>
      <c r="E64" s="441">
        <v>0</v>
      </c>
      <c r="F64" s="441">
        <v>0</v>
      </c>
      <c r="G64" s="441">
        <v>0</v>
      </c>
      <c r="H64" s="441">
        <v>0</v>
      </c>
      <c r="I64" s="441">
        <v>0</v>
      </c>
      <c r="J64" s="430">
        <v>0</v>
      </c>
      <c r="R64" s="1344"/>
    </row>
    <row r="65" spans="1:15">
      <c r="A65" s="1341" t="s">
        <v>1044</v>
      </c>
      <c r="B65" s="424" t="s">
        <v>1068</v>
      </c>
      <c r="C65" s="420" t="s">
        <v>1069</v>
      </c>
      <c r="D65" s="441"/>
      <c r="E65" s="441">
        <v>0</v>
      </c>
      <c r="F65" s="441">
        <v>0</v>
      </c>
      <c r="G65" s="441">
        <v>0</v>
      </c>
      <c r="H65" s="441">
        <v>0</v>
      </c>
      <c r="I65" s="441">
        <v>0</v>
      </c>
      <c r="J65" s="430">
        <v>0</v>
      </c>
    </row>
    <row r="66" spans="1:15" ht="27" thickBot="1">
      <c r="A66" s="1353" t="s">
        <v>1047</v>
      </c>
      <c r="B66" s="1354" t="s">
        <v>1166</v>
      </c>
      <c r="C66" s="1355" t="s">
        <v>1071</v>
      </c>
      <c r="D66" s="442"/>
      <c r="E66" s="442">
        <f>'Вхідні дані'!D36+'Вхідні дані'!D37</f>
        <v>34.825000000000003</v>
      </c>
      <c r="F66" s="1158" t="s">
        <v>993</v>
      </c>
      <c r="G66" s="1158" t="s">
        <v>993</v>
      </c>
      <c r="H66" s="1158" t="s">
        <v>993</v>
      </c>
      <c r="I66" s="1158" t="s">
        <v>993</v>
      </c>
      <c r="J66" s="480" t="s">
        <v>993</v>
      </c>
    </row>
    <row r="67" spans="1:15" ht="34.200000000000003" hidden="1" customHeight="1">
      <c r="A67" s="1356" t="s">
        <v>1050</v>
      </c>
      <c r="B67" s="1357" t="s">
        <v>1073</v>
      </c>
      <c r="C67" s="521" t="s">
        <v>1074</v>
      </c>
      <c r="D67" s="521"/>
      <c r="E67" s="521" t="s">
        <v>989</v>
      </c>
      <c r="F67" s="521" t="s">
        <v>989</v>
      </c>
      <c r="G67" s="521" t="s">
        <v>989</v>
      </c>
      <c r="H67" s="521"/>
      <c r="I67" s="521"/>
      <c r="J67" s="521" t="s">
        <v>989</v>
      </c>
    </row>
    <row r="68" spans="1:15" ht="31.2" hidden="1">
      <c r="A68" s="1358" t="s">
        <v>1056</v>
      </c>
      <c r="B68" s="424" t="s">
        <v>1076</v>
      </c>
      <c r="C68" s="1271" t="s">
        <v>983</v>
      </c>
      <c r="D68" s="1271">
        <v>1163.1551900000002</v>
      </c>
      <c r="E68" s="1271"/>
      <c r="F68" s="1271"/>
      <c r="G68" s="1271"/>
      <c r="H68" s="1271"/>
      <c r="I68" s="1271"/>
      <c r="J68" s="1271"/>
    </row>
    <row r="69" spans="1:15" ht="31.2" hidden="1">
      <c r="A69" s="1358" t="s">
        <v>1059</v>
      </c>
      <c r="B69" s="424" t="s">
        <v>1077</v>
      </c>
      <c r="C69" s="1271" t="s">
        <v>983</v>
      </c>
      <c r="D69" s="1271">
        <v>173.47330000000034</v>
      </c>
      <c r="E69" s="1271"/>
      <c r="F69" s="1271"/>
      <c r="G69" s="1271"/>
      <c r="H69" s="1271"/>
      <c r="I69" s="1271"/>
      <c r="J69" s="1271"/>
    </row>
    <row r="70" spans="1:15" ht="46.8" hidden="1">
      <c r="A70" s="1358" t="s">
        <v>1061</v>
      </c>
      <c r="B70" s="474" t="s">
        <v>1078</v>
      </c>
      <c r="C70" s="1271" t="s">
        <v>1079</v>
      </c>
      <c r="D70" s="1271">
        <v>989.68188999999995</v>
      </c>
      <c r="E70" s="1271"/>
      <c r="F70" s="1271"/>
      <c r="G70" s="1271"/>
      <c r="H70" s="1271"/>
      <c r="I70" s="1271"/>
      <c r="J70" s="1271"/>
      <c r="O70" s="1344"/>
    </row>
    <row r="71" spans="1:15" ht="31.2" hidden="1">
      <c r="A71" s="1358" t="s">
        <v>1064</v>
      </c>
      <c r="B71" s="424" t="s">
        <v>1080</v>
      </c>
      <c r="C71" s="1271" t="s">
        <v>1081</v>
      </c>
      <c r="D71" s="1271"/>
      <c r="E71" s="1271"/>
      <c r="F71" s="1271"/>
      <c r="G71" s="1271"/>
      <c r="H71" s="1271"/>
      <c r="I71" s="1271"/>
      <c r="J71" s="1271"/>
    </row>
    <row r="72" spans="1:15" ht="31.2" hidden="1">
      <c r="A72" s="1358" t="s">
        <v>1067</v>
      </c>
      <c r="B72" s="424" t="s">
        <v>1082</v>
      </c>
      <c r="C72" s="1271" t="s">
        <v>1083</v>
      </c>
      <c r="D72" s="1271"/>
      <c r="E72" s="1271"/>
      <c r="F72" s="1271"/>
      <c r="G72" s="1271" t="s">
        <v>993</v>
      </c>
      <c r="H72" s="1271" t="s">
        <v>993</v>
      </c>
      <c r="I72" s="1271"/>
      <c r="J72" s="1271" t="s">
        <v>993</v>
      </c>
    </row>
    <row r="73" spans="1:15" ht="31.2" hidden="1">
      <c r="A73" s="1358" t="s">
        <v>1070</v>
      </c>
      <c r="B73" s="424" t="s">
        <v>1084</v>
      </c>
      <c r="C73" s="1271" t="s">
        <v>1083</v>
      </c>
      <c r="D73" s="1271">
        <v>0</v>
      </c>
      <c r="E73" s="1271">
        <v>0</v>
      </c>
      <c r="F73" s="1271">
        <v>0</v>
      </c>
      <c r="G73" s="1271" t="s">
        <v>993</v>
      </c>
      <c r="H73" s="1271" t="s">
        <v>993</v>
      </c>
      <c r="I73" s="1271"/>
      <c r="J73" s="1271" t="s">
        <v>993</v>
      </c>
    </row>
    <row r="74" spans="1:15" ht="31.2" hidden="1">
      <c r="A74" s="1358" t="s">
        <v>1072</v>
      </c>
      <c r="B74" s="424" t="s">
        <v>1085</v>
      </c>
      <c r="C74" s="1271" t="s">
        <v>1086</v>
      </c>
      <c r="D74" s="1271">
        <v>0</v>
      </c>
      <c r="E74" s="1271">
        <f>F74+G74+H74+J74</f>
        <v>1148</v>
      </c>
      <c r="F74" s="1335">
        <f>'Д -12'!C14</f>
        <v>866</v>
      </c>
      <c r="G74" s="1335">
        <f>'Д -12'!F14</f>
        <v>88</v>
      </c>
      <c r="H74" s="1335">
        <f>'Д -12'!I14</f>
        <v>155</v>
      </c>
      <c r="I74" s="1335"/>
      <c r="J74" s="1335">
        <f>'Д -12'!P14</f>
        <v>39</v>
      </c>
    </row>
    <row r="75" spans="1:15" ht="31.2" hidden="1">
      <c r="A75" s="1358" t="s">
        <v>1075</v>
      </c>
      <c r="B75" s="424" t="s">
        <v>1121</v>
      </c>
      <c r="C75" s="1271" t="s">
        <v>1086</v>
      </c>
      <c r="D75" s="1271">
        <v>0</v>
      </c>
      <c r="E75" s="1271">
        <v>0</v>
      </c>
      <c r="F75" s="1271">
        <v>0</v>
      </c>
      <c r="G75" s="1271">
        <v>0</v>
      </c>
      <c r="H75" s="1271">
        <v>0</v>
      </c>
      <c r="I75" s="1271"/>
      <c r="J75" s="1271">
        <v>0</v>
      </c>
    </row>
    <row r="76" spans="1:15">
      <c r="A76" s="1340"/>
      <c r="B76" s="895"/>
      <c r="C76" s="896"/>
      <c r="D76" s="896"/>
      <c r="E76" s="896"/>
      <c r="F76" s="896"/>
      <c r="G76" s="896"/>
      <c r="H76" s="896"/>
      <c r="I76" s="896"/>
      <c r="J76" s="896"/>
    </row>
    <row r="77" spans="1:15">
      <c r="A77" s="1340"/>
      <c r="B77" s="895"/>
      <c r="C77" s="896"/>
      <c r="D77" s="896"/>
      <c r="E77" s="896"/>
      <c r="F77" s="896"/>
      <c r="G77" s="896"/>
      <c r="H77" s="896"/>
      <c r="I77" s="896"/>
      <c r="J77" s="896"/>
      <c r="O77" s="2642"/>
    </row>
    <row r="78" spans="1:15">
      <c r="A78" s="1340"/>
      <c r="B78" s="1359" t="str">
        <f>'Вхідні дані'!B13</f>
        <v>Директор підприємства</v>
      </c>
      <c r="C78" s="856"/>
      <c r="D78" s="856" t="s">
        <v>1087</v>
      </c>
      <c r="E78" s="1360"/>
      <c r="F78" s="856"/>
      <c r="G78" s="2643" t="str">
        <f>'Вхідні дані'!F13</f>
        <v>Сергій НІКУЛЬЧА</v>
      </c>
      <c r="H78" s="2643"/>
      <c r="I78" s="2643"/>
      <c r="J78" s="2643"/>
      <c r="O78" s="2642"/>
    </row>
    <row r="79" spans="1:15">
      <c r="A79" s="1340"/>
      <c r="B79" s="1361" t="s">
        <v>1088</v>
      </c>
      <c r="C79" s="856"/>
      <c r="D79" s="2644" t="s">
        <v>196</v>
      </c>
      <c r="E79" s="2644"/>
      <c r="F79" s="856"/>
      <c r="G79" s="2644" t="s">
        <v>1089</v>
      </c>
      <c r="H79" s="2644"/>
      <c r="I79" s="2644"/>
      <c r="J79" s="2644"/>
    </row>
    <row r="80" spans="1:15">
      <c r="A80" s="1340"/>
      <c r="B80" s="1362"/>
      <c r="C80" s="856"/>
      <c r="D80" s="856"/>
      <c r="E80" s="856"/>
      <c r="F80" s="856"/>
      <c r="G80" s="856"/>
      <c r="H80" s="856"/>
      <c r="I80" s="856"/>
      <c r="J80" s="856"/>
    </row>
    <row r="81" spans="1:10">
      <c r="A81" s="1340"/>
      <c r="B81" s="1360"/>
      <c r="C81" s="856"/>
      <c r="D81" s="856"/>
      <c r="E81" s="856"/>
      <c r="F81" s="856"/>
      <c r="G81" s="856"/>
      <c r="H81" s="856"/>
      <c r="I81" s="856"/>
      <c r="J81" s="856"/>
    </row>
    <row r="82" spans="1:10" ht="29.25" customHeight="1">
      <c r="A82" s="1363" t="s">
        <v>1090</v>
      </c>
      <c r="B82" s="1364"/>
      <c r="C82" s="1364"/>
      <c r="D82" s="1364"/>
      <c r="E82" s="1364"/>
      <c r="F82" s="1364"/>
      <c r="G82" s="1364"/>
      <c r="H82" s="1364"/>
      <c r="I82" s="1364"/>
      <c r="J82" s="1364"/>
    </row>
    <row r="83" spans="1:10" ht="13.5" customHeight="1">
      <c r="A83" s="2648" t="s">
        <v>1091</v>
      </c>
      <c r="B83" s="2648"/>
      <c r="C83" s="2648"/>
      <c r="D83" s="2648"/>
      <c r="E83" s="2648"/>
      <c r="F83" s="2648"/>
      <c r="G83" s="2648"/>
      <c r="H83" s="2648"/>
      <c r="I83" s="2648"/>
      <c r="J83" s="2648"/>
    </row>
    <row r="84" spans="1:10" ht="13.5" customHeight="1">
      <c r="A84" s="421"/>
      <c r="B84" s="421"/>
      <c r="C84" s="421"/>
      <c r="D84" s="421"/>
      <c r="E84" s="421"/>
      <c r="F84" s="421"/>
      <c r="G84" s="421"/>
      <c r="H84" s="421"/>
      <c r="I84" s="421"/>
      <c r="J84" s="421"/>
    </row>
    <row r="85" spans="1:10" ht="14.25" customHeight="1">
      <c r="A85" s="1340"/>
      <c r="B85" s="1365"/>
      <c r="C85" s="856"/>
      <c r="D85" s="856"/>
      <c r="E85" s="856"/>
      <c r="F85" s="856"/>
      <c r="G85" s="856"/>
      <c r="H85" s="856"/>
      <c r="I85" s="856"/>
      <c r="J85" s="856"/>
    </row>
    <row r="86" spans="1:10">
      <c r="A86" s="2649"/>
      <c r="B86" s="2649"/>
      <c r="C86" s="856"/>
      <c r="D86" s="856"/>
      <c r="E86" s="856"/>
      <c r="F86" s="856"/>
      <c r="G86" s="856"/>
      <c r="H86" s="856"/>
      <c r="I86" s="856"/>
      <c r="J86" s="856"/>
    </row>
    <row r="87" spans="1:10">
      <c r="A87" s="2649"/>
      <c r="B87" s="2649"/>
      <c r="C87" s="856"/>
      <c r="D87" s="856"/>
      <c r="E87" s="856"/>
      <c r="F87" s="856"/>
      <c r="G87" s="856"/>
      <c r="H87" s="1364"/>
      <c r="I87" s="1364"/>
      <c r="J87" s="856"/>
    </row>
  </sheetData>
  <mergeCells count="21">
    <mergeCell ref="A83:J83"/>
    <mergeCell ref="A86:B86"/>
    <mergeCell ref="A87:B87"/>
    <mergeCell ref="F7:J7"/>
    <mergeCell ref="C16:J16"/>
    <mergeCell ref="C27:J27"/>
    <mergeCell ref="A7:A8"/>
    <mergeCell ref="C59:C62"/>
    <mergeCell ref="O77:O78"/>
    <mergeCell ref="G78:J78"/>
    <mergeCell ref="D79:E79"/>
    <mergeCell ref="G79:J79"/>
    <mergeCell ref="F1:J1"/>
    <mergeCell ref="H2:J2"/>
    <mergeCell ref="H3:J3"/>
    <mergeCell ref="B4:J4"/>
    <mergeCell ref="B5:J5"/>
    <mergeCell ref="B7:B8"/>
    <mergeCell ref="C7:C8"/>
    <mergeCell ref="D7:D8"/>
    <mergeCell ref="E7:E8"/>
  </mergeCells>
  <pageMargins left="0.70866141732283472" right="0.2" top="0.22" bottom="0.34" header="0.31496062992125984" footer="0.31496062992125984"/>
  <pageSetup paperSize="9" scale="5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27">
    <tabColor rgb="FF7030A0"/>
    <pageSetUpPr fitToPage="1"/>
  </sheetPr>
  <dimension ref="A1:J214"/>
  <sheetViews>
    <sheetView topLeftCell="A55" zoomScaleNormal="100" zoomScaleSheetLayoutView="100" workbookViewId="0">
      <selection activeCell="C152" sqref="C152"/>
    </sheetView>
  </sheetViews>
  <sheetFormatPr defaultRowHeight="14.4"/>
  <cols>
    <col min="1" max="1" width="6.109375" style="9" customWidth="1"/>
    <col min="2" max="2" width="21.88671875" style="9" customWidth="1"/>
    <col min="3" max="3" width="18.44140625" style="9" customWidth="1"/>
    <col min="4" max="5" width="16.33203125" style="9" customWidth="1"/>
    <col min="6" max="6" width="20" style="9" customWidth="1"/>
    <col min="7" max="7" width="50.33203125" customWidth="1"/>
  </cols>
  <sheetData>
    <row r="1" spans="1:7" ht="48" customHeight="1">
      <c r="D1" s="2683" t="s">
        <v>537</v>
      </c>
      <c r="E1" s="2683"/>
      <c r="F1" s="2683"/>
      <c r="G1" s="153" t="s">
        <v>541</v>
      </c>
    </row>
    <row r="2" spans="1:7">
      <c r="B2" s="9" t="s">
        <v>6</v>
      </c>
    </row>
    <row r="3" spans="1:7" ht="31.5" customHeight="1">
      <c r="B3" s="2684" t="str">
        <f>'Вхідні дані'!F10</f>
        <v>Виконавчий комітет Чорноморської міської ради Одеського району Одеської області</v>
      </c>
      <c r="C3" s="2684"/>
    </row>
    <row r="4" spans="1:7">
      <c r="B4" s="9" t="s">
        <v>239</v>
      </c>
    </row>
    <row r="6" spans="1:7">
      <c r="A6" s="2682" t="s">
        <v>432</v>
      </c>
      <c r="B6" s="2682"/>
      <c r="C6" s="2682"/>
      <c r="D6" s="2682"/>
      <c r="E6" s="2682"/>
      <c r="F6" s="2682"/>
      <c r="G6" s="153" t="s">
        <v>541</v>
      </c>
    </row>
    <row r="7" spans="1:7">
      <c r="A7" s="2682" t="s">
        <v>539</v>
      </c>
      <c r="B7" s="2682"/>
      <c r="C7" s="2682"/>
      <c r="D7" s="2682"/>
      <c r="E7" s="2682"/>
      <c r="F7" s="2682"/>
      <c r="G7" s="153" t="s">
        <v>541</v>
      </c>
    </row>
    <row r="8" spans="1:7">
      <c r="A8" s="2674" t="str">
        <f>'Вхідні дані'!F4</f>
        <v>Товариство з обмеженою відповідальністю ДП "Моноліт- Сервіс"</v>
      </c>
      <c r="B8" s="2674"/>
      <c r="C8" s="2674"/>
      <c r="D8" s="2674"/>
      <c r="E8" s="2674"/>
      <c r="F8" s="2674"/>
      <c r="G8" s="153" t="s">
        <v>542</v>
      </c>
    </row>
    <row r="9" spans="1:7">
      <c r="A9" s="2675" t="s">
        <v>540</v>
      </c>
      <c r="B9" s="2675"/>
      <c r="C9" s="2675"/>
      <c r="D9" s="2675"/>
      <c r="E9" s="2675"/>
      <c r="F9" s="2675"/>
      <c r="G9" s="153" t="s">
        <v>542</v>
      </c>
    </row>
    <row r="10" spans="1:7">
      <c r="A10" s="2676" t="s">
        <v>543</v>
      </c>
      <c r="B10" s="2676"/>
      <c r="C10" s="2676"/>
      <c r="D10" s="2676"/>
      <c r="E10" s="2676"/>
      <c r="F10" s="2676"/>
    </row>
    <row r="11" spans="1:7">
      <c r="A11" s="2676" t="s">
        <v>1187</v>
      </c>
      <c r="B11" s="2676"/>
      <c r="C11" s="2676"/>
      <c r="D11" s="2676"/>
      <c r="E11" s="2676"/>
      <c r="F11" s="2676"/>
    </row>
    <row r="12" spans="1:7">
      <c r="A12" s="2676" t="s">
        <v>544</v>
      </c>
      <c r="B12" s="2676"/>
      <c r="C12" s="2676"/>
      <c r="D12" s="2676"/>
      <c r="E12" s="2676"/>
      <c r="F12" s="2676"/>
    </row>
    <row r="14" spans="1:7">
      <c r="A14" s="2677" t="s">
        <v>7</v>
      </c>
      <c r="B14" s="2679" t="s">
        <v>234</v>
      </c>
      <c r="C14" s="2679" t="s">
        <v>235</v>
      </c>
      <c r="D14" s="2681" t="s">
        <v>232</v>
      </c>
      <c r="E14" s="2681"/>
      <c r="F14" s="2681"/>
    </row>
    <row r="15" spans="1:7" ht="55.2">
      <c r="A15" s="2678"/>
      <c r="B15" s="2680"/>
      <c r="C15" s="2680"/>
      <c r="D15" s="3" t="s">
        <v>236</v>
      </c>
      <c r="E15" s="3" t="s">
        <v>237</v>
      </c>
      <c r="F15" s="3" t="s">
        <v>238</v>
      </c>
    </row>
    <row r="16" spans="1:7" s="541" customFormat="1" ht="10.199999999999999">
      <c r="A16" s="5">
        <v>1</v>
      </c>
      <c r="B16" s="5">
        <v>2</v>
      </c>
      <c r="C16" s="5">
        <v>3</v>
      </c>
      <c r="D16" s="5">
        <v>4</v>
      </c>
      <c r="E16" s="5">
        <v>5</v>
      </c>
      <c r="F16" s="5">
        <v>6</v>
      </c>
    </row>
    <row r="17" spans="1:10" ht="55.8">
      <c r="A17" s="8">
        <v>1</v>
      </c>
      <c r="B17" s="563" t="s">
        <v>1186</v>
      </c>
      <c r="C17" s="564"/>
      <c r="D17" s="564"/>
      <c r="E17" s="564"/>
      <c r="F17" s="10"/>
    </row>
    <row r="18" spans="1:10" ht="27.6">
      <c r="A18" s="8">
        <v>3</v>
      </c>
      <c r="B18" s="542" t="s">
        <v>931</v>
      </c>
      <c r="C18" s="543"/>
      <c r="D18" s="543"/>
      <c r="E18" s="543"/>
      <c r="F18" s="10"/>
    </row>
    <row r="19" spans="1:10" ht="26.4">
      <c r="A19" s="8"/>
      <c r="B19" s="565" t="s">
        <v>82</v>
      </c>
      <c r="C19" s="545"/>
      <c r="D19" s="545"/>
      <c r="E19" s="545"/>
      <c r="F19" s="10"/>
    </row>
    <row r="20" spans="1:10">
      <c r="A20" s="8"/>
      <c r="B20" s="544"/>
      <c r="C20" s="545"/>
      <c r="D20" s="545"/>
      <c r="E20" s="545"/>
      <c r="F20" s="10"/>
    </row>
    <row r="21" spans="1:10">
      <c r="A21" s="8"/>
      <c r="B21" s="10"/>
      <c r="C21" s="10"/>
      <c r="D21" s="10"/>
      <c r="E21" s="10"/>
      <c r="F21" s="10"/>
    </row>
    <row r="22" spans="1:10">
      <c r="A22" s="8"/>
      <c r="B22" s="10"/>
      <c r="C22" s="10"/>
      <c r="D22" s="10"/>
      <c r="E22" s="10"/>
      <c r="F22" s="10"/>
    </row>
    <row r="23" spans="1:10">
      <c r="A23" s="8"/>
      <c r="B23" s="10"/>
      <c r="C23" s="10"/>
      <c r="D23" s="10"/>
      <c r="E23" s="10"/>
      <c r="F23" s="10"/>
    </row>
    <row r="24" spans="1:10">
      <c r="A24" s="2669" t="s">
        <v>233</v>
      </c>
      <c r="B24" s="2669"/>
      <c r="C24" s="10"/>
      <c r="D24" s="10"/>
      <c r="E24" s="10"/>
      <c r="F24" s="10"/>
    </row>
    <row r="25" spans="1:10">
      <c r="C25" s="9">
        <f>SUM(C26:C36)</f>
        <v>2</v>
      </c>
    </row>
    <row r="26" spans="1:10" ht="15.6">
      <c r="B26" s="12" t="s">
        <v>240</v>
      </c>
    </row>
    <row r="28" spans="1:10" ht="15.6">
      <c r="A28" s="14"/>
      <c r="B28" s="13" t="s">
        <v>246</v>
      </c>
    </row>
    <row r="30" spans="1:10" ht="124.2">
      <c r="B30" s="8" t="s">
        <v>242</v>
      </c>
      <c r="C30" s="8" t="s">
        <v>243</v>
      </c>
      <c r="D30" s="6" t="s">
        <v>241</v>
      </c>
      <c r="E30" s="8" t="s">
        <v>244</v>
      </c>
    </row>
    <row r="31" spans="1:10" ht="15.6">
      <c r="B31" s="6">
        <v>1</v>
      </c>
      <c r="C31" s="6">
        <v>2</v>
      </c>
      <c r="D31" s="6">
        <v>3</v>
      </c>
      <c r="E31" s="6">
        <v>4</v>
      </c>
    </row>
    <row r="32" spans="1:10" ht="55.8">
      <c r="B32" s="563" t="s">
        <v>1186</v>
      </c>
      <c r="C32" s="564"/>
      <c r="D32" s="564"/>
      <c r="E32" s="564"/>
      <c r="J32" t="s">
        <v>644</v>
      </c>
    </row>
    <row r="33" spans="2:5" ht="27.6">
      <c r="B33" s="542" t="s">
        <v>931</v>
      </c>
      <c r="C33" s="543"/>
      <c r="D33" s="543"/>
      <c r="E33" s="543"/>
    </row>
    <row r="34" spans="2:5" ht="26.4">
      <c r="B34" s="565" t="s">
        <v>82</v>
      </c>
      <c r="C34" s="545"/>
      <c r="D34" s="545"/>
      <c r="E34" s="545"/>
    </row>
    <row r="35" spans="2:5">
      <c r="B35" s="544"/>
      <c r="C35" s="545"/>
      <c r="D35" s="545"/>
      <c r="E35" s="545"/>
    </row>
    <row r="37" spans="2:5" ht="15.6">
      <c r="B37" s="13" t="s">
        <v>245</v>
      </c>
    </row>
    <row r="39" spans="2:5" ht="82.5" customHeight="1">
      <c r="B39" s="8" t="s">
        <v>248</v>
      </c>
      <c r="C39" s="2670" t="s">
        <v>247</v>
      </c>
      <c r="D39" s="2671"/>
      <c r="E39" s="2672"/>
    </row>
    <row r="40" spans="2:5" ht="50.25" customHeight="1">
      <c r="B40" s="6"/>
      <c r="C40" s="8" t="s">
        <v>461</v>
      </c>
      <c r="D40" s="8" t="s">
        <v>462</v>
      </c>
      <c r="E40" s="8" t="s">
        <v>463</v>
      </c>
    </row>
    <row r="41" spans="2:5" ht="15.6">
      <c r="B41" s="6">
        <v>1</v>
      </c>
      <c r="C41" s="6">
        <v>2</v>
      </c>
      <c r="D41" s="6">
        <v>3</v>
      </c>
      <c r="E41" s="6">
        <v>4</v>
      </c>
    </row>
    <row r="42" spans="2:5" ht="55.8">
      <c r="B42" s="563" t="s">
        <v>1186</v>
      </c>
      <c r="C42" s="564"/>
      <c r="D42" s="564"/>
      <c r="E42" s="564"/>
    </row>
    <row r="43" spans="2:5" ht="27.6">
      <c r="B43" s="542" t="s">
        <v>931</v>
      </c>
      <c r="C43" s="543"/>
      <c r="D43" s="543"/>
      <c r="E43" s="543"/>
    </row>
    <row r="44" spans="2:5" ht="26.4">
      <c r="B44" s="565" t="s">
        <v>82</v>
      </c>
      <c r="C44" s="545"/>
      <c r="D44" s="545"/>
      <c r="E44" s="545"/>
    </row>
    <row r="45" spans="2:5">
      <c r="B45" s="544"/>
      <c r="C45" s="545"/>
      <c r="D45" s="545"/>
      <c r="E45" s="545"/>
    </row>
    <row r="47" spans="2:5">
      <c r="B47" s="87" t="str">
        <f>'Вхідні дані'!$B$13</f>
        <v>Директор підприємства</v>
      </c>
      <c r="C47" s="2" t="s">
        <v>249</v>
      </c>
      <c r="D47" s="2685" t="str">
        <f>'Вхідні дані'!$F$13</f>
        <v>Сергій НІКУЛЬЧА</v>
      </c>
      <c r="E47" s="2685"/>
    </row>
    <row r="48" spans="2:5">
      <c r="B48" s="2" t="s">
        <v>218</v>
      </c>
      <c r="C48" s="2" t="s">
        <v>250</v>
      </c>
      <c r="D48" s="2686" t="s">
        <v>216</v>
      </c>
      <c r="E48" s="2686"/>
    </row>
    <row r="50" spans="1:6">
      <c r="B50" s="15"/>
    </row>
    <row r="51" spans="1:6" ht="51" customHeight="1">
      <c r="A51" s="2682" t="s">
        <v>432</v>
      </c>
      <c r="B51" s="2682"/>
      <c r="C51" s="2682"/>
      <c r="D51" s="2682"/>
      <c r="E51" s="2682"/>
      <c r="F51" s="2682"/>
    </row>
    <row r="52" spans="1:6">
      <c r="A52" s="2682" t="s">
        <v>539</v>
      </c>
      <c r="B52" s="2682"/>
      <c r="C52" s="2682"/>
      <c r="D52" s="2682"/>
      <c r="E52" s="2682"/>
      <c r="F52" s="2682"/>
    </row>
    <row r="53" spans="1:6">
      <c r="A53" s="2674" t="str">
        <f>'Вхідні дані'!F4</f>
        <v>Товариство з обмеженою відповідальністю ДП "Моноліт- Сервіс"</v>
      </c>
      <c r="B53" s="2674"/>
      <c r="C53" s="2674"/>
      <c r="D53" s="2674"/>
      <c r="E53" s="2674"/>
      <c r="F53" s="2674"/>
    </row>
    <row r="54" spans="1:6">
      <c r="A54" s="2675" t="s">
        <v>540</v>
      </c>
      <c r="B54" s="2675"/>
      <c r="C54" s="2675"/>
      <c r="D54" s="2675"/>
      <c r="E54" s="2675"/>
      <c r="F54" s="2675"/>
    </row>
    <row r="55" spans="1:6" ht="16.95" customHeight="1">
      <c r="A55" s="2676" t="s">
        <v>543</v>
      </c>
      <c r="B55" s="2676"/>
      <c r="C55" s="2676"/>
      <c r="D55" s="2676"/>
      <c r="E55" s="2676"/>
      <c r="F55" s="2676"/>
    </row>
    <row r="56" spans="1:6">
      <c r="A56" s="2676" t="s">
        <v>1190</v>
      </c>
      <c r="B56" s="2676"/>
      <c r="C56" s="2676"/>
      <c r="D56" s="2676"/>
      <c r="E56" s="2676"/>
      <c r="F56" s="2676"/>
    </row>
    <row r="57" spans="1:6">
      <c r="A57" s="2676" t="s">
        <v>544</v>
      </c>
      <c r="B57" s="2676"/>
      <c r="C57" s="2676"/>
      <c r="D57" s="2676"/>
      <c r="E57" s="2676"/>
      <c r="F57" s="2676"/>
    </row>
    <row r="59" spans="1:6">
      <c r="A59" s="2677" t="s">
        <v>7</v>
      </c>
      <c r="B59" s="2679" t="s">
        <v>234</v>
      </c>
      <c r="C59" s="2679" t="s">
        <v>235</v>
      </c>
      <c r="D59" s="2681" t="s">
        <v>232</v>
      </c>
      <c r="E59" s="2681"/>
      <c r="F59" s="2681"/>
    </row>
    <row r="60" spans="1:6" ht="55.2">
      <c r="A60" s="2678"/>
      <c r="B60" s="2680"/>
      <c r="C60" s="2680"/>
      <c r="D60" s="3" t="s">
        <v>236</v>
      </c>
      <c r="E60" s="3" t="s">
        <v>237</v>
      </c>
      <c r="F60" s="3" t="s">
        <v>238</v>
      </c>
    </row>
    <row r="61" spans="1:6">
      <c r="A61" s="5">
        <v>1</v>
      </c>
      <c r="B61" s="5">
        <v>2</v>
      </c>
      <c r="C61" s="5">
        <v>3</v>
      </c>
      <c r="D61" s="5">
        <v>4</v>
      </c>
      <c r="E61" s="5">
        <v>5</v>
      </c>
      <c r="F61" s="5">
        <v>6</v>
      </c>
    </row>
    <row r="62" spans="1:6" ht="55.8">
      <c r="A62" s="8">
        <v>1</v>
      </c>
      <c r="B62" s="561" t="s">
        <v>1186</v>
      </c>
      <c r="C62" s="10"/>
      <c r="D62" s="10"/>
      <c r="E62" s="10"/>
      <c r="F62" s="10"/>
    </row>
    <row r="63" spans="1:6" ht="27.6">
      <c r="A63" s="8">
        <v>2</v>
      </c>
      <c r="B63" s="10" t="s">
        <v>931</v>
      </c>
      <c r="C63" s="10"/>
      <c r="D63" s="10"/>
      <c r="E63" s="10"/>
      <c r="F63" s="10"/>
    </row>
    <row r="64" spans="1:6" ht="26.4">
      <c r="A64" s="8">
        <v>3</v>
      </c>
      <c r="B64" s="140" t="s">
        <v>82</v>
      </c>
      <c r="C64" s="10"/>
      <c r="D64" s="10"/>
      <c r="E64" s="10"/>
      <c r="F64" s="10"/>
    </row>
    <row r="65" spans="1:6">
      <c r="A65" s="8"/>
      <c r="B65" s="10"/>
      <c r="C65" s="10"/>
      <c r="D65" s="10"/>
      <c r="E65" s="10"/>
      <c r="F65" s="10"/>
    </row>
    <row r="66" spans="1:6">
      <c r="A66" s="8"/>
      <c r="B66" s="10"/>
      <c r="C66" s="10"/>
      <c r="D66" s="10"/>
      <c r="E66" s="10"/>
      <c r="F66" s="10"/>
    </row>
    <row r="67" spans="1:6">
      <c r="A67" s="8"/>
      <c r="B67" s="10"/>
      <c r="C67" s="10"/>
      <c r="D67" s="10"/>
      <c r="E67" s="10"/>
      <c r="F67" s="10"/>
    </row>
    <row r="68" spans="1:6">
      <c r="A68" s="8"/>
      <c r="B68" s="10"/>
      <c r="C68" s="10"/>
      <c r="D68" s="10"/>
      <c r="E68" s="10"/>
      <c r="F68" s="10"/>
    </row>
    <row r="69" spans="1:6">
      <c r="A69" s="2669" t="s">
        <v>233</v>
      </c>
      <c r="B69" s="2669"/>
      <c r="C69" s="10"/>
      <c r="D69" s="10"/>
      <c r="E69" s="10"/>
      <c r="F69" s="10"/>
    </row>
    <row r="70" spans="1:6">
      <c r="C70" s="9">
        <f>SUM(C71:C81)</f>
        <v>2</v>
      </c>
    </row>
    <row r="71" spans="1:6" ht="15.6">
      <c r="B71" s="12" t="s">
        <v>240</v>
      </c>
    </row>
    <row r="73" spans="1:6" ht="15.6">
      <c r="A73" s="14"/>
      <c r="B73" s="13" t="s">
        <v>246</v>
      </c>
    </row>
    <row r="75" spans="1:6" ht="124.2">
      <c r="B75" s="8" t="s">
        <v>242</v>
      </c>
      <c r="C75" s="8" t="s">
        <v>243</v>
      </c>
      <c r="D75" s="6" t="s">
        <v>241</v>
      </c>
      <c r="E75" s="8" t="s">
        <v>244</v>
      </c>
    </row>
    <row r="76" spans="1:6" ht="15.6">
      <c r="B76" s="6">
        <v>1</v>
      </c>
      <c r="C76" s="6">
        <v>2</v>
      </c>
      <c r="D76" s="6">
        <v>3</v>
      </c>
      <c r="E76" s="6">
        <v>4</v>
      </c>
    </row>
    <row r="77" spans="1:6" ht="55.8">
      <c r="B77" s="561" t="s">
        <v>1186</v>
      </c>
      <c r="C77" s="7"/>
      <c r="D77" s="7"/>
      <c r="E77" s="7"/>
    </row>
    <row r="78" spans="1:6" ht="27.6">
      <c r="B78" s="10" t="s">
        <v>931</v>
      </c>
      <c r="C78" s="7"/>
      <c r="D78" s="7"/>
      <c r="E78" s="7"/>
    </row>
    <row r="79" spans="1:6" ht="26.4">
      <c r="B79" s="140" t="s">
        <v>82</v>
      </c>
      <c r="C79" s="11"/>
      <c r="D79" s="11"/>
      <c r="E79" s="11"/>
    </row>
    <row r="80" spans="1:6">
      <c r="B80" s="11"/>
      <c r="C80" s="11"/>
      <c r="D80" s="11"/>
      <c r="E80" s="11"/>
    </row>
    <row r="82" spans="1:6" ht="15.6">
      <c r="B82" s="13" t="s">
        <v>245</v>
      </c>
    </row>
    <row r="84" spans="1:6" ht="69">
      <c r="B84" s="8" t="s">
        <v>248</v>
      </c>
      <c r="C84" s="2670" t="s">
        <v>247</v>
      </c>
      <c r="D84" s="2671"/>
      <c r="E84" s="2672"/>
    </row>
    <row r="85" spans="1:6" ht="41.4">
      <c r="B85" s="6"/>
      <c r="C85" s="8" t="s">
        <v>461</v>
      </c>
      <c r="D85" s="8" t="s">
        <v>462</v>
      </c>
      <c r="E85" s="8" t="s">
        <v>463</v>
      </c>
    </row>
    <row r="86" spans="1:6" ht="15.6">
      <c r="B86" s="6">
        <v>1</v>
      </c>
      <c r="C86" s="6">
        <v>2</v>
      </c>
      <c r="D86" s="6">
        <v>3</v>
      </c>
      <c r="E86" s="6">
        <v>4</v>
      </c>
    </row>
    <row r="87" spans="1:6" ht="55.8">
      <c r="B87" s="561" t="s">
        <v>1186</v>
      </c>
      <c r="C87" s="7"/>
      <c r="D87" s="7"/>
      <c r="E87" s="7"/>
    </row>
    <row r="88" spans="1:6" ht="27.6">
      <c r="B88" s="10" t="s">
        <v>931</v>
      </c>
      <c r="C88" s="7"/>
      <c r="D88" s="7"/>
      <c r="E88" s="7"/>
    </row>
    <row r="89" spans="1:6" ht="26.4">
      <c r="B89" s="140" t="s">
        <v>82</v>
      </c>
      <c r="C89" s="11"/>
      <c r="D89" s="11"/>
      <c r="E89" s="11"/>
    </row>
    <row r="90" spans="1:6">
      <c r="B90" s="11"/>
      <c r="C90" s="11"/>
      <c r="D90" s="11"/>
      <c r="E90" s="11"/>
    </row>
    <row r="92" spans="1:6">
      <c r="A92" s="2682" t="s">
        <v>432</v>
      </c>
      <c r="B92" s="2682"/>
      <c r="C92" s="2682"/>
      <c r="D92" s="2682"/>
      <c r="E92" s="2682"/>
      <c r="F92" s="2682"/>
    </row>
    <row r="93" spans="1:6">
      <c r="A93" s="2682" t="s">
        <v>539</v>
      </c>
      <c r="B93" s="2682"/>
      <c r="C93" s="2682"/>
      <c r="D93" s="2682"/>
      <c r="E93" s="2682"/>
      <c r="F93" s="2682"/>
    </row>
    <row r="94" spans="1:6">
      <c r="A94" s="2674" t="str">
        <f>'Вхідні дані'!F4</f>
        <v>Товариство з обмеженою відповідальністю ДП "Моноліт- Сервіс"</v>
      </c>
      <c r="B94" s="2674"/>
      <c r="C94" s="2674"/>
      <c r="D94" s="2674"/>
      <c r="E94" s="2674"/>
      <c r="F94" s="2674"/>
    </row>
    <row r="95" spans="1:6">
      <c r="A95" s="2675" t="s">
        <v>540</v>
      </c>
      <c r="B95" s="2675"/>
      <c r="C95" s="2675"/>
      <c r="D95" s="2675"/>
      <c r="E95" s="2675"/>
      <c r="F95" s="2675"/>
    </row>
    <row r="96" spans="1:6">
      <c r="A96" s="2676" t="s">
        <v>543</v>
      </c>
      <c r="B96" s="2676"/>
      <c r="C96" s="2676"/>
      <c r="D96" s="2676"/>
      <c r="E96" s="2676"/>
      <c r="F96" s="2676"/>
    </row>
    <row r="97" spans="1:6">
      <c r="A97" s="2676" t="s">
        <v>1189</v>
      </c>
      <c r="B97" s="2676"/>
      <c r="C97" s="2676"/>
      <c r="D97" s="2676"/>
      <c r="E97" s="2676"/>
      <c r="F97" s="2676"/>
    </row>
    <row r="98" spans="1:6">
      <c r="A98" s="2676" t="s">
        <v>544</v>
      </c>
      <c r="B98" s="2676"/>
      <c r="C98" s="2676"/>
      <c r="D98" s="2676"/>
      <c r="E98" s="2676"/>
      <c r="F98" s="2676"/>
    </row>
    <row r="100" spans="1:6">
      <c r="A100" s="2677" t="s">
        <v>7</v>
      </c>
      <c r="B100" s="2679" t="s">
        <v>234</v>
      </c>
      <c r="C100" s="2679" t="s">
        <v>235</v>
      </c>
      <c r="D100" s="2681" t="s">
        <v>232</v>
      </c>
      <c r="E100" s="2681"/>
      <c r="F100" s="2681"/>
    </row>
    <row r="101" spans="1:6" ht="55.2">
      <c r="A101" s="2678"/>
      <c r="B101" s="2680"/>
      <c r="C101" s="2680"/>
      <c r="D101" s="3" t="s">
        <v>236</v>
      </c>
      <c r="E101" s="3" t="s">
        <v>237</v>
      </c>
      <c r="F101" s="3" t="s">
        <v>238</v>
      </c>
    </row>
    <row r="102" spans="1:6">
      <c r="A102" s="5">
        <v>1</v>
      </c>
      <c r="B102" s="5">
        <v>2</v>
      </c>
      <c r="C102" s="5">
        <v>3</v>
      </c>
      <c r="D102" s="5">
        <v>4</v>
      </c>
      <c r="E102" s="5">
        <v>5</v>
      </c>
      <c r="F102" s="5">
        <v>6</v>
      </c>
    </row>
    <row r="103" spans="1:6" ht="55.8">
      <c r="A103" s="8">
        <v>1</v>
      </c>
      <c r="B103" s="561" t="s">
        <v>1186</v>
      </c>
      <c r="C103" s="10"/>
      <c r="D103" s="10"/>
      <c r="E103" s="10"/>
      <c r="F103" s="10"/>
    </row>
    <row r="104" spans="1:6" ht="27.6">
      <c r="A104" s="8">
        <v>3</v>
      </c>
      <c r="B104" s="10" t="s">
        <v>931</v>
      </c>
      <c r="C104" s="10"/>
      <c r="D104" s="10"/>
      <c r="E104" s="10"/>
      <c r="F104" s="10"/>
    </row>
    <row r="105" spans="1:6" ht="26.4">
      <c r="A105" s="8"/>
      <c r="B105" s="140" t="s">
        <v>82</v>
      </c>
      <c r="C105" s="10"/>
      <c r="D105" s="10"/>
      <c r="E105" s="10"/>
      <c r="F105" s="10"/>
    </row>
    <row r="106" spans="1:6">
      <c r="A106" s="8"/>
      <c r="B106" s="10"/>
      <c r="C106" s="10"/>
      <c r="D106" s="10"/>
      <c r="E106" s="10"/>
      <c r="F106" s="10"/>
    </row>
    <row r="107" spans="1:6">
      <c r="A107" s="8"/>
      <c r="B107" s="10"/>
      <c r="C107" s="10"/>
      <c r="D107" s="10"/>
      <c r="E107" s="10"/>
      <c r="F107" s="10"/>
    </row>
    <row r="108" spans="1:6">
      <c r="A108" s="8"/>
      <c r="B108" s="10"/>
      <c r="C108" s="10"/>
      <c r="D108" s="10"/>
      <c r="E108" s="10"/>
      <c r="F108" s="10"/>
    </row>
    <row r="109" spans="1:6">
      <c r="A109" s="8"/>
      <c r="B109" s="10"/>
      <c r="C109" s="10"/>
      <c r="D109" s="10"/>
      <c r="E109" s="10"/>
      <c r="F109" s="10"/>
    </row>
    <row r="110" spans="1:6">
      <c r="A110" s="2669" t="s">
        <v>233</v>
      </c>
      <c r="B110" s="2669"/>
      <c r="C110" s="10"/>
      <c r="D110" s="10"/>
      <c r="E110" s="10"/>
      <c r="F110" s="10"/>
    </row>
    <row r="111" spans="1:6">
      <c r="C111" s="9">
        <f>SUM(C112:C122)</f>
        <v>2</v>
      </c>
    </row>
    <row r="112" spans="1:6" ht="15.6">
      <c r="B112" s="12" t="s">
        <v>240</v>
      </c>
    </row>
    <row r="114" spans="1:5" ht="15.6">
      <c r="A114" s="14"/>
      <c r="B114" s="13" t="s">
        <v>246</v>
      </c>
    </row>
    <row r="116" spans="1:5" ht="124.2">
      <c r="B116" s="8" t="s">
        <v>242</v>
      </c>
      <c r="C116" s="8" t="s">
        <v>243</v>
      </c>
      <c r="D116" s="6" t="s">
        <v>241</v>
      </c>
      <c r="E116" s="8" t="s">
        <v>244</v>
      </c>
    </row>
    <row r="117" spans="1:5" ht="15.6">
      <c r="B117" s="6">
        <v>1</v>
      </c>
      <c r="C117" s="6">
        <v>2</v>
      </c>
      <c r="D117" s="6">
        <v>3</v>
      </c>
      <c r="E117" s="6">
        <v>4</v>
      </c>
    </row>
    <row r="118" spans="1:5" ht="55.8">
      <c r="B118" s="561" t="s">
        <v>1186</v>
      </c>
      <c r="C118" s="7"/>
      <c r="D118" s="7"/>
      <c r="E118" s="7"/>
    </row>
    <row r="119" spans="1:5" ht="27.6">
      <c r="B119" s="10" t="s">
        <v>931</v>
      </c>
      <c r="C119" s="7"/>
      <c r="D119" s="7"/>
      <c r="E119" s="7"/>
    </row>
    <row r="120" spans="1:5" ht="26.4">
      <c r="B120" s="140" t="s">
        <v>82</v>
      </c>
      <c r="C120" s="11"/>
      <c r="D120" s="11"/>
      <c r="E120" s="11"/>
    </row>
    <row r="121" spans="1:5">
      <c r="B121" s="11"/>
      <c r="C121" s="11"/>
      <c r="D121" s="11"/>
      <c r="E121" s="11"/>
    </row>
    <row r="123" spans="1:5" ht="15.6">
      <c r="B123" s="13" t="s">
        <v>245</v>
      </c>
    </row>
    <row r="125" spans="1:5" ht="69">
      <c r="B125" s="8" t="s">
        <v>248</v>
      </c>
      <c r="C125" s="2670" t="s">
        <v>247</v>
      </c>
      <c r="D125" s="2671"/>
      <c r="E125" s="2672"/>
    </row>
    <row r="126" spans="1:5" ht="41.4">
      <c r="B126" s="6"/>
      <c r="C126" s="8" t="s">
        <v>461</v>
      </c>
      <c r="D126" s="8" t="s">
        <v>462</v>
      </c>
      <c r="E126" s="8" t="s">
        <v>463</v>
      </c>
    </row>
    <row r="127" spans="1:5" ht="15.6">
      <c r="B127" s="6">
        <v>1</v>
      </c>
      <c r="C127" s="6">
        <v>2</v>
      </c>
      <c r="D127" s="6">
        <v>3</v>
      </c>
      <c r="E127" s="6">
        <v>4</v>
      </c>
    </row>
    <row r="128" spans="1:5" ht="55.8">
      <c r="B128" s="561" t="s">
        <v>1186</v>
      </c>
      <c r="C128" s="7">
        <v>0</v>
      </c>
      <c r="D128" s="7">
        <v>0</v>
      </c>
      <c r="E128" s="7">
        <v>0</v>
      </c>
    </row>
    <row r="129" spans="1:6" ht="27.6">
      <c r="B129" s="10" t="s">
        <v>931</v>
      </c>
      <c r="C129" s="7"/>
      <c r="D129" s="7"/>
      <c r="E129" s="7"/>
    </row>
    <row r="130" spans="1:6" ht="26.4">
      <c r="B130" s="140" t="s">
        <v>82</v>
      </c>
      <c r="C130" s="11"/>
      <c r="D130" s="11"/>
      <c r="E130" s="11"/>
    </row>
    <row r="131" spans="1:6">
      <c r="B131" s="562"/>
    </row>
    <row r="132" spans="1:6">
      <c r="B132" s="562"/>
    </row>
    <row r="133" spans="1:6">
      <c r="A133" s="2682" t="s">
        <v>432</v>
      </c>
      <c r="B133" s="2682"/>
      <c r="C133" s="2682"/>
      <c r="D133" s="2682"/>
      <c r="E133" s="2682"/>
      <c r="F133" s="2682"/>
    </row>
    <row r="134" spans="1:6">
      <c r="A134" s="2682" t="s">
        <v>539</v>
      </c>
      <c r="B134" s="2682"/>
      <c r="C134" s="2682"/>
      <c r="D134" s="2682"/>
      <c r="E134" s="2682"/>
      <c r="F134" s="2682"/>
    </row>
    <row r="135" spans="1:6">
      <c r="A135" s="2674" t="str">
        <f>'Вхідні дані'!F4</f>
        <v>Товариство з обмеженою відповідальністю ДП "Моноліт- Сервіс"</v>
      </c>
      <c r="B135" s="2674"/>
      <c r="C135" s="2674"/>
      <c r="D135" s="2674"/>
      <c r="E135" s="2674"/>
      <c r="F135" s="2674"/>
    </row>
    <row r="136" spans="1:6">
      <c r="A136" s="2675" t="s">
        <v>540</v>
      </c>
      <c r="B136" s="2675"/>
      <c r="C136" s="2675"/>
      <c r="D136" s="2675"/>
      <c r="E136" s="2675"/>
      <c r="F136" s="2675"/>
    </row>
    <row r="137" spans="1:6">
      <c r="A137" s="2676" t="s">
        <v>543</v>
      </c>
      <c r="B137" s="2676"/>
      <c r="C137" s="2676"/>
      <c r="D137" s="2676"/>
      <c r="E137" s="2676"/>
      <c r="F137" s="2676"/>
    </row>
    <row r="138" spans="1:6">
      <c r="A138" s="2676" t="s">
        <v>1188</v>
      </c>
      <c r="B138" s="2676"/>
      <c r="C138" s="2676"/>
      <c r="D138" s="2676"/>
      <c r="E138" s="2676"/>
      <c r="F138" s="2676"/>
    </row>
    <row r="139" spans="1:6">
      <c r="A139" s="2676" t="s">
        <v>544</v>
      </c>
      <c r="B139" s="2676"/>
      <c r="C139" s="2676"/>
      <c r="D139" s="2676"/>
      <c r="E139" s="2676"/>
      <c r="F139" s="2676"/>
    </row>
    <row r="141" spans="1:6">
      <c r="A141" s="2677" t="s">
        <v>7</v>
      </c>
      <c r="B141" s="2679" t="s">
        <v>234</v>
      </c>
      <c r="C141" s="2679" t="s">
        <v>235</v>
      </c>
      <c r="D141" s="2681" t="s">
        <v>232</v>
      </c>
      <c r="E141" s="2681"/>
      <c r="F141" s="2681"/>
    </row>
    <row r="142" spans="1:6" ht="55.2">
      <c r="A142" s="2678"/>
      <c r="B142" s="2680"/>
      <c r="C142" s="2680"/>
      <c r="D142" s="3" t="s">
        <v>236</v>
      </c>
      <c r="E142" s="3" t="s">
        <v>237</v>
      </c>
      <c r="F142" s="3" t="s">
        <v>238</v>
      </c>
    </row>
    <row r="143" spans="1:6">
      <c r="A143" s="5">
        <v>1</v>
      </c>
      <c r="B143" s="5">
        <v>2</v>
      </c>
      <c r="C143" s="5">
        <v>3</v>
      </c>
      <c r="D143" s="5">
        <v>4</v>
      </c>
      <c r="E143" s="5">
        <v>5</v>
      </c>
      <c r="F143" s="5">
        <v>6</v>
      </c>
    </row>
    <row r="144" spans="1:6" ht="55.8">
      <c r="A144" s="8">
        <v>1</v>
      </c>
      <c r="B144" s="561" t="s">
        <v>1186</v>
      </c>
      <c r="C144" s="10"/>
      <c r="D144" s="10"/>
      <c r="E144" s="10"/>
      <c r="F144" s="10"/>
    </row>
    <row r="145" spans="1:6" ht="27.6">
      <c r="A145" s="8">
        <v>3</v>
      </c>
      <c r="B145" s="10" t="s">
        <v>931</v>
      </c>
      <c r="C145" s="10"/>
      <c r="D145" s="10"/>
      <c r="E145" s="10"/>
      <c r="F145" s="10"/>
    </row>
    <row r="146" spans="1:6" ht="26.4">
      <c r="A146" s="8"/>
      <c r="B146" s="140" t="s">
        <v>82</v>
      </c>
      <c r="C146" s="10"/>
      <c r="D146" s="10"/>
      <c r="E146" s="10"/>
      <c r="F146" s="10"/>
    </row>
    <row r="147" spans="1:6">
      <c r="A147" s="8"/>
      <c r="B147" s="10"/>
      <c r="C147" s="10"/>
      <c r="D147" s="10"/>
      <c r="E147" s="10"/>
      <c r="F147" s="10"/>
    </row>
    <row r="148" spans="1:6">
      <c r="A148" s="8"/>
      <c r="B148" s="10"/>
      <c r="C148" s="10"/>
      <c r="D148" s="10"/>
      <c r="E148" s="10"/>
      <c r="F148" s="10"/>
    </row>
    <row r="149" spans="1:6">
      <c r="A149" s="8"/>
      <c r="B149" s="10"/>
      <c r="C149" s="10"/>
      <c r="D149" s="10"/>
      <c r="E149" s="10"/>
      <c r="F149" s="10"/>
    </row>
    <row r="150" spans="1:6">
      <c r="A150" s="8"/>
      <c r="B150" s="10"/>
      <c r="C150" s="10"/>
      <c r="D150" s="10"/>
      <c r="E150" s="10"/>
      <c r="F150" s="10"/>
    </row>
    <row r="151" spans="1:6">
      <c r="A151" s="2669" t="s">
        <v>233</v>
      </c>
      <c r="B151" s="2669"/>
      <c r="C151" s="10"/>
      <c r="D151" s="10"/>
      <c r="E151" s="10"/>
      <c r="F151" s="10"/>
    </row>
    <row r="153" spans="1:6" ht="15.6">
      <c r="B153" s="12" t="s">
        <v>240</v>
      </c>
    </row>
    <row r="155" spans="1:6" ht="15.6">
      <c r="A155" s="14"/>
      <c r="B155" s="13" t="s">
        <v>246</v>
      </c>
    </row>
    <row r="157" spans="1:6" ht="124.2">
      <c r="B157" s="8" t="s">
        <v>242</v>
      </c>
      <c r="C157" s="8" t="s">
        <v>243</v>
      </c>
      <c r="D157" s="6" t="s">
        <v>241</v>
      </c>
      <c r="E157" s="8" t="s">
        <v>244</v>
      </c>
    </row>
    <row r="158" spans="1:6" ht="15.6">
      <c r="B158" s="6">
        <v>1</v>
      </c>
      <c r="C158" s="6">
        <v>2</v>
      </c>
      <c r="D158" s="6">
        <v>3</v>
      </c>
      <c r="E158" s="6">
        <v>4</v>
      </c>
    </row>
    <row r="159" spans="1:6" ht="55.8">
      <c r="B159" s="561" t="s">
        <v>1186</v>
      </c>
      <c r="C159" s="7"/>
      <c r="D159" s="7"/>
      <c r="E159" s="7"/>
    </row>
    <row r="160" spans="1:6" ht="27.6">
      <c r="B160" s="10" t="s">
        <v>931</v>
      </c>
      <c r="C160" s="7"/>
      <c r="D160" s="7"/>
      <c r="E160" s="7"/>
    </row>
    <row r="161" spans="1:6" ht="26.4">
      <c r="B161" s="140" t="s">
        <v>82</v>
      </c>
      <c r="C161" s="11"/>
      <c r="D161" s="11"/>
      <c r="E161" s="11"/>
    </row>
    <row r="162" spans="1:6">
      <c r="B162" s="11"/>
      <c r="C162" s="11"/>
      <c r="D162" s="11"/>
      <c r="E162" s="11"/>
    </row>
    <row r="164" spans="1:6" ht="15.6">
      <c r="B164" s="13" t="s">
        <v>245</v>
      </c>
    </row>
    <row r="166" spans="1:6" ht="69">
      <c r="B166" s="8" t="s">
        <v>248</v>
      </c>
      <c r="C166" s="2670" t="s">
        <v>247</v>
      </c>
      <c r="D166" s="2671"/>
      <c r="E166" s="2672"/>
    </row>
    <row r="167" spans="1:6" ht="41.4">
      <c r="B167" s="6"/>
      <c r="C167" s="8" t="s">
        <v>461</v>
      </c>
      <c r="D167" s="8" t="s">
        <v>462</v>
      </c>
      <c r="E167" s="8" t="s">
        <v>463</v>
      </c>
    </row>
    <row r="168" spans="1:6" ht="15.6">
      <c r="B168" s="6">
        <v>1</v>
      </c>
      <c r="C168" s="6">
        <v>2</v>
      </c>
      <c r="D168" s="6">
        <v>3</v>
      </c>
      <c r="E168" s="6">
        <v>4</v>
      </c>
    </row>
    <row r="169" spans="1:6" ht="55.8">
      <c r="B169" s="561" t="s">
        <v>1186</v>
      </c>
      <c r="C169" s="7">
        <v>0</v>
      </c>
      <c r="D169" s="7">
        <v>0</v>
      </c>
      <c r="E169" s="7">
        <v>0</v>
      </c>
    </row>
    <row r="170" spans="1:6" ht="27.6">
      <c r="B170" s="10" t="s">
        <v>931</v>
      </c>
      <c r="C170" s="7">
        <v>0</v>
      </c>
      <c r="D170" s="7">
        <v>0</v>
      </c>
      <c r="E170" s="7">
        <v>0</v>
      </c>
    </row>
    <row r="171" spans="1:6" ht="26.4">
      <c r="B171" s="140" t="s">
        <v>82</v>
      </c>
      <c r="C171" s="11"/>
      <c r="D171" s="11"/>
      <c r="E171" s="11"/>
    </row>
    <row r="176" spans="1:6">
      <c r="A176" s="2673" t="s">
        <v>432</v>
      </c>
      <c r="B176" s="2673"/>
      <c r="C176" s="2673"/>
      <c r="D176" s="2673"/>
      <c r="E176" s="2673"/>
      <c r="F176" s="2673"/>
    </row>
    <row r="177" spans="1:6">
      <c r="A177" s="2673" t="s">
        <v>539</v>
      </c>
      <c r="B177" s="2673"/>
      <c r="C177" s="2673"/>
      <c r="D177" s="2673"/>
      <c r="E177" s="2673"/>
      <c r="F177" s="2673"/>
    </row>
    <row r="178" spans="1:6">
      <c r="A178" s="2674" t="str">
        <f>'Вхідні дані'!F4</f>
        <v>Товариство з обмеженою відповідальністю ДП "Моноліт- Сервіс"</v>
      </c>
      <c r="B178" s="2674"/>
      <c r="C178" s="2674"/>
      <c r="D178" s="2674"/>
      <c r="E178" s="2674"/>
      <c r="F178" s="2674"/>
    </row>
    <row r="179" spans="1:6">
      <c r="A179" s="2663" t="s">
        <v>540</v>
      </c>
      <c r="B179" s="2663"/>
      <c r="C179" s="2663"/>
      <c r="D179" s="2663"/>
      <c r="E179" s="2663"/>
      <c r="F179" s="2663"/>
    </row>
    <row r="180" spans="1:6">
      <c r="A180" s="2664" t="s">
        <v>543</v>
      </c>
      <c r="B180" s="2664"/>
      <c r="C180" s="2664"/>
      <c r="D180" s="2664"/>
      <c r="E180" s="2664"/>
      <c r="F180" s="2664"/>
    </row>
    <row r="181" spans="1:6">
      <c r="A181" s="2664" t="s">
        <v>1191</v>
      </c>
      <c r="B181" s="2664"/>
      <c r="C181" s="2664"/>
      <c r="D181" s="2664"/>
      <c r="E181" s="2664"/>
      <c r="F181" s="2664"/>
    </row>
    <row r="182" spans="1:6">
      <c r="A182" s="2664" t="s">
        <v>544</v>
      </c>
      <c r="B182" s="2664"/>
      <c r="C182" s="2664"/>
      <c r="D182" s="2664"/>
      <c r="E182" s="2664"/>
      <c r="F182" s="2664"/>
    </row>
    <row r="183" spans="1:6">
      <c r="A183" s="538"/>
      <c r="B183" s="538"/>
      <c r="C183" s="538"/>
      <c r="D183" s="538"/>
      <c r="E183" s="538"/>
      <c r="F183" s="538"/>
    </row>
    <row r="184" spans="1:6">
      <c r="A184" s="2665" t="s">
        <v>7</v>
      </c>
      <c r="B184" s="2665" t="s">
        <v>234</v>
      </c>
      <c r="C184" s="2665" t="s">
        <v>235</v>
      </c>
      <c r="D184" s="2660" t="s">
        <v>232</v>
      </c>
      <c r="E184" s="2661"/>
      <c r="F184" s="2668"/>
    </row>
    <row r="185" spans="1:6" ht="55.2">
      <c r="A185" s="2666"/>
      <c r="B185" s="2667"/>
      <c r="C185" s="2667"/>
      <c r="D185" s="546" t="s">
        <v>236</v>
      </c>
      <c r="E185" s="546" t="s">
        <v>237</v>
      </c>
      <c r="F185" s="546" t="s">
        <v>238</v>
      </c>
    </row>
    <row r="186" spans="1:6">
      <c r="A186" s="547">
        <v>1</v>
      </c>
      <c r="B186" s="548">
        <v>2</v>
      </c>
      <c r="C186" s="548">
        <v>3</v>
      </c>
      <c r="D186" s="548">
        <v>4</v>
      </c>
      <c r="E186" s="548">
        <v>5</v>
      </c>
      <c r="F186" s="548">
        <v>6</v>
      </c>
    </row>
    <row r="187" spans="1:6" ht="55.8">
      <c r="A187" s="553">
        <v>1</v>
      </c>
      <c r="B187" s="559" t="s">
        <v>1186</v>
      </c>
      <c r="C187" s="558"/>
      <c r="D187" s="558"/>
      <c r="E187" s="558"/>
      <c r="F187" s="558"/>
    </row>
    <row r="188" spans="1:6" ht="27.6">
      <c r="A188" s="553">
        <v>2</v>
      </c>
      <c r="B188" s="558" t="s">
        <v>931</v>
      </c>
      <c r="C188" s="558"/>
      <c r="D188" s="558"/>
      <c r="E188" s="558"/>
      <c r="F188" s="558"/>
    </row>
    <row r="189" spans="1:6" ht="27.6">
      <c r="A189" s="553">
        <v>3</v>
      </c>
      <c r="B189" s="558" t="s">
        <v>82</v>
      </c>
      <c r="C189" s="558"/>
      <c r="D189" s="558"/>
      <c r="E189" s="558"/>
      <c r="F189" s="558"/>
    </row>
    <row r="190" spans="1:6">
      <c r="A190" s="553"/>
      <c r="B190" s="558"/>
      <c r="C190" s="558"/>
      <c r="D190" s="558"/>
      <c r="E190" s="558"/>
      <c r="F190" s="558"/>
    </row>
    <row r="191" spans="1:6">
      <c r="A191" s="553"/>
      <c r="B191" s="558"/>
      <c r="C191" s="558"/>
      <c r="D191" s="558"/>
      <c r="E191" s="558"/>
      <c r="F191" s="558"/>
    </row>
    <row r="192" spans="1:6">
      <c r="A192" s="553"/>
      <c r="B192" s="558"/>
      <c r="C192" s="558"/>
      <c r="D192" s="558"/>
      <c r="E192" s="558"/>
      <c r="F192" s="558"/>
    </row>
    <row r="193" spans="1:6">
      <c r="A193" s="553"/>
      <c r="B193" s="558"/>
      <c r="C193" s="558"/>
      <c r="D193" s="558"/>
      <c r="E193" s="558"/>
      <c r="F193" s="558"/>
    </row>
    <row r="194" spans="1:6">
      <c r="A194" s="2658" t="s">
        <v>233</v>
      </c>
      <c r="B194" s="2659"/>
      <c r="C194" s="549"/>
      <c r="D194" s="549"/>
      <c r="E194" s="549"/>
      <c r="F194" s="549"/>
    </row>
    <row r="195" spans="1:6">
      <c r="A195" s="538"/>
      <c r="B195" s="538"/>
      <c r="C195" s="538">
        <v>2</v>
      </c>
      <c r="D195" s="538"/>
      <c r="E195" s="538"/>
      <c r="F195" s="538"/>
    </row>
    <row r="196" spans="1:6" ht="15.6">
      <c r="A196" s="538"/>
      <c r="B196" s="550" t="s">
        <v>240</v>
      </c>
      <c r="C196" s="550"/>
      <c r="D196" s="538"/>
      <c r="E196" s="538"/>
      <c r="F196" s="538"/>
    </row>
    <row r="197" spans="1:6">
      <c r="A197" s="538"/>
      <c r="B197" s="538"/>
      <c r="C197" s="538"/>
      <c r="D197" s="538"/>
      <c r="E197" s="538"/>
      <c r="F197" s="538"/>
    </row>
    <row r="198" spans="1:6" ht="15.6">
      <c r="A198" s="551"/>
      <c r="B198" s="552" t="s">
        <v>246</v>
      </c>
      <c r="C198" s="552"/>
      <c r="D198" s="538"/>
      <c r="E198" s="538"/>
      <c r="F198" s="538"/>
    </row>
    <row r="199" spans="1:6">
      <c r="A199" s="538"/>
      <c r="B199" s="538"/>
      <c r="C199" s="538"/>
      <c r="D199" s="538"/>
      <c r="E199" s="538"/>
      <c r="F199" s="538"/>
    </row>
    <row r="200" spans="1:6" ht="124.2">
      <c r="A200" s="538"/>
      <c r="B200" s="553" t="s">
        <v>242</v>
      </c>
      <c r="C200" s="554" t="s">
        <v>243</v>
      </c>
      <c r="D200" s="555" t="s">
        <v>241</v>
      </c>
      <c r="E200" s="554" t="s">
        <v>244</v>
      </c>
      <c r="F200" s="538"/>
    </row>
    <row r="201" spans="1:6" ht="15.6">
      <c r="A201" s="538"/>
      <c r="B201" s="556">
        <v>1</v>
      </c>
      <c r="C201" s="557">
        <v>2</v>
      </c>
      <c r="D201" s="557">
        <v>3</v>
      </c>
      <c r="E201" s="557">
        <v>4</v>
      </c>
      <c r="F201" s="538"/>
    </row>
    <row r="202" spans="1:6" ht="55.8">
      <c r="A202" s="538"/>
      <c r="B202" s="559" t="s">
        <v>1186</v>
      </c>
      <c r="C202" s="560"/>
      <c r="D202" s="560"/>
      <c r="E202" s="560"/>
      <c r="F202" s="538"/>
    </row>
    <row r="203" spans="1:6" ht="27.6">
      <c r="A203" s="538"/>
      <c r="B203" s="558" t="s">
        <v>931</v>
      </c>
      <c r="C203" s="560"/>
      <c r="D203" s="560"/>
      <c r="E203" s="560"/>
      <c r="F203" s="538"/>
    </row>
    <row r="204" spans="1:6" ht="27.6">
      <c r="A204" s="538"/>
      <c r="B204" s="558" t="s">
        <v>82</v>
      </c>
      <c r="C204" s="566"/>
      <c r="D204" s="566"/>
      <c r="E204" s="566"/>
      <c r="F204" s="538"/>
    </row>
    <row r="205" spans="1:6">
      <c r="A205" s="538"/>
      <c r="B205" s="566"/>
      <c r="C205" s="566"/>
      <c r="D205" s="566"/>
      <c r="E205" s="566"/>
      <c r="F205" s="538"/>
    </row>
    <row r="206" spans="1:6">
      <c r="A206" s="538"/>
      <c r="B206" s="538"/>
      <c r="C206" s="538"/>
      <c r="D206" s="538"/>
      <c r="E206" s="538"/>
      <c r="F206" s="538"/>
    </row>
    <row r="207" spans="1:6" ht="15.6">
      <c r="A207" s="538"/>
      <c r="B207" s="552" t="s">
        <v>245</v>
      </c>
      <c r="C207" s="552"/>
      <c r="D207" s="552"/>
      <c r="E207" s="552"/>
      <c r="F207" s="538"/>
    </row>
    <row r="208" spans="1:6">
      <c r="A208" s="538"/>
      <c r="B208" s="538"/>
      <c r="C208" s="538"/>
      <c r="D208" s="538"/>
      <c r="E208" s="538"/>
      <c r="F208" s="538"/>
    </row>
    <row r="209" spans="1:6" ht="69">
      <c r="A209" s="538"/>
      <c r="B209" s="553" t="s">
        <v>248</v>
      </c>
      <c r="C209" s="2660" t="s">
        <v>247</v>
      </c>
      <c r="D209" s="2661"/>
      <c r="E209" s="2662"/>
      <c r="F209" s="538"/>
    </row>
    <row r="210" spans="1:6" ht="41.4">
      <c r="A210" s="538"/>
      <c r="B210" s="556"/>
      <c r="C210" s="546" t="s">
        <v>461</v>
      </c>
      <c r="D210" s="546" t="s">
        <v>462</v>
      </c>
      <c r="E210" s="546" t="s">
        <v>463</v>
      </c>
      <c r="F210" s="538"/>
    </row>
    <row r="211" spans="1:6" ht="15.6">
      <c r="A211" s="538"/>
      <c r="B211" s="556">
        <v>1</v>
      </c>
      <c r="C211" s="557">
        <v>2</v>
      </c>
      <c r="D211" s="557">
        <v>3</v>
      </c>
      <c r="E211" s="557">
        <v>4</v>
      </c>
      <c r="F211" s="538"/>
    </row>
    <row r="212" spans="1:6" ht="55.8">
      <c r="A212" s="538"/>
      <c r="B212" s="559" t="s">
        <v>1186</v>
      </c>
      <c r="C212" s="560">
        <v>0</v>
      </c>
      <c r="D212" s="560">
        <v>0</v>
      </c>
      <c r="E212" s="560">
        <v>0</v>
      </c>
      <c r="F212" s="538"/>
    </row>
    <row r="213" spans="1:6" ht="27.6">
      <c r="A213" s="538"/>
      <c r="B213" s="558" t="s">
        <v>931</v>
      </c>
      <c r="C213" s="560"/>
      <c r="D213" s="560"/>
      <c r="E213" s="560"/>
      <c r="F213" s="538"/>
    </row>
    <row r="214" spans="1:6" ht="27.6">
      <c r="B214" s="558" t="s">
        <v>82</v>
      </c>
      <c r="C214" s="11"/>
      <c r="D214" s="11"/>
      <c r="E214" s="11"/>
    </row>
  </sheetData>
  <mergeCells count="69">
    <mergeCell ref="D14:F14"/>
    <mergeCell ref="A24:B24"/>
    <mergeCell ref="B14:B15"/>
    <mergeCell ref="C14:C15"/>
    <mergeCell ref="A14:A15"/>
    <mergeCell ref="A56:F56"/>
    <mergeCell ref="A57:F57"/>
    <mergeCell ref="D47:E47"/>
    <mergeCell ref="D48:E48"/>
    <mergeCell ref="C39:E39"/>
    <mergeCell ref="A51:F51"/>
    <mergeCell ref="A52:F52"/>
    <mergeCell ref="A53:F53"/>
    <mergeCell ref="A54:F54"/>
    <mergeCell ref="A55:F55"/>
    <mergeCell ref="D1:F1"/>
    <mergeCell ref="A7:F7"/>
    <mergeCell ref="A10:F10"/>
    <mergeCell ref="A11:F11"/>
    <mergeCell ref="A12:F12"/>
    <mergeCell ref="A6:F6"/>
    <mergeCell ref="B3:C3"/>
    <mergeCell ref="A8:F8"/>
    <mergeCell ref="A9:F9"/>
    <mergeCell ref="A59:A60"/>
    <mergeCell ref="B59:B60"/>
    <mergeCell ref="C59:C60"/>
    <mergeCell ref="D59:F59"/>
    <mergeCell ref="A69:B69"/>
    <mergeCell ref="C84:E84"/>
    <mergeCell ref="A92:F92"/>
    <mergeCell ref="A93:F93"/>
    <mergeCell ref="A94:F94"/>
    <mergeCell ref="A95:F95"/>
    <mergeCell ref="A96:F96"/>
    <mergeCell ref="A97:F97"/>
    <mergeCell ref="A98:F98"/>
    <mergeCell ref="A100:A101"/>
    <mergeCell ref="B100:B101"/>
    <mergeCell ref="C100:C101"/>
    <mergeCell ref="D100:F100"/>
    <mergeCell ref="A110:B110"/>
    <mergeCell ref="C125:E125"/>
    <mergeCell ref="A133:F133"/>
    <mergeCell ref="A134:F134"/>
    <mergeCell ref="A135:F135"/>
    <mergeCell ref="A136:F136"/>
    <mergeCell ref="A137:F137"/>
    <mergeCell ref="A138:F138"/>
    <mergeCell ref="A139:F139"/>
    <mergeCell ref="A141:A142"/>
    <mergeCell ref="B141:B142"/>
    <mergeCell ref="C141:C142"/>
    <mergeCell ref="D141:F141"/>
    <mergeCell ref="A151:B151"/>
    <mergeCell ref="C166:E166"/>
    <mergeCell ref="A176:F176"/>
    <mergeCell ref="A177:F177"/>
    <mergeCell ref="A178:F178"/>
    <mergeCell ref="A194:B194"/>
    <mergeCell ref="C209:E209"/>
    <mergeCell ref="A179:F179"/>
    <mergeCell ref="A180:F180"/>
    <mergeCell ref="A181:F181"/>
    <mergeCell ref="A182:F182"/>
    <mergeCell ref="A184:A185"/>
    <mergeCell ref="B184:B185"/>
    <mergeCell ref="C184:C185"/>
    <mergeCell ref="D184:F184"/>
  </mergeCells>
  <pageMargins left="0.7" right="0.7" top="0.75" bottom="0.75" header="0.3" footer="0.3"/>
  <pageSetup paperSize="9" scale="89" fitToHeight="0" orientation="portrait" horizont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28">
    <tabColor rgb="FF7030A0"/>
    <pageSetUpPr fitToPage="1"/>
  </sheetPr>
  <dimension ref="A1:R187"/>
  <sheetViews>
    <sheetView topLeftCell="A172" zoomScaleNormal="100" zoomScaleSheetLayoutView="100" workbookViewId="0">
      <selection activeCell="F23" sqref="F23"/>
    </sheetView>
  </sheetViews>
  <sheetFormatPr defaultRowHeight="14.4"/>
  <cols>
    <col min="1" max="1" width="9.44140625" customWidth="1"/>
    <col min="2" max="2" width="44.6640625" customWidth="1"/>
    <col min="3" max="3" width="7.5546875" customWidth="1"/>
    <col min="4" max="4" width="10.109375" customWidth="1"/>
    <col min="5" max="5" width="9.5546875" customWidth="1"/>
    <col min="6" max="6" width="11.109375" customWidth="1"/>
    <col min="7" max="7" width="10.33203125" customWidth="1"/>
    <col min="8" max="8" width="10.109375" customWidth="1"/>
    <col min="9" max="9" width="9.5546875" customWidth="1"/>
    <col min="10" max="12" width="9.6640625" customWidth="1"/>
    <col min="13" max="13" width="9.44140625" customWidth="1"/>
    <col min="14" max="14" width="10" customWidth="1"/>
    <col min="15" max="15" width="9.33203125" customWidth="1"/>
    <col min="16" max="16" width="9.109375" customWidth="1"/>
    <col min="17" max="18" width="9.33203125" customWidth="1"/>
  </cols>
  <sheetData>
    <row r="1" spans="1:18" ht="13.5" customHeight="1">
      <c r="B1" s="1908" t="s">
        <v>1811</v>
      </c>
      <c r="C1" s="2707"/>
      <c r="D1" s="2707"/>
      <c r="H1" s="1909"/>
      <c r="K1" s="1910">
        <v>0</v>
      </c>
      <c r="L1" s="1911" t="s">
        <v>1423</v>
      </c>
      <c r="M1" s="1911"/>
    </row>
    <row r="2" spans="1:18" ht="13.5" customHeight="1">
      <c r="B2" s="1912"/>
      <c r="C2" s="1908"/>
      <c r="D2" s="1908"/>
      <c r="E2" s="1908"/>
      <c r="F2" s="1908" t="s">
        <v>1812</v>
      </c>
      <c r="G2" s="1908"/>
      <c r="H2" s="1913"/>
      <c r="I2" s="1908"/>
      <c r="J2" s="1913"/>
      <c r="K2" s="1914">
        <f>G97*((18-K1)/(18--18))*161*24</f>
        <v>9772.0560000000005</v>
      </c>
    </row>
    <row r="3" spans="1:18" ht="13.5" customHeight="1">
      <c r="B3" s="1915"/>
      <c r="C3" s="1908" t="s">
        <v>1813</v>
      </c>
      <c r="D3" s="1908"/>
      <c r="E3" s="1908"/>
      <c r="F3" s="1908"/>
      <c r="G3" s="1908"/>
      <c r="H3" s="1908"/>
      <c r="I3" s="1908"/>
      <c r="J3" s="1908"/>
      <c r="K3" s="1908"/>
    </row>
    <row r="4" spans="1:18" ht="13.5" customHeight="1">
      <c r="B4" t="s">
        <v>1814</v>
      </c>
      <c r="D4" s="1908" t="s">
        <v>1815</v>
      </c>
      <c r="E4" s="1908"/>
      <c r="F4" s="1908"/>
      <c r="G4" s="1908"/>
      <c r="H4" s="1908"/>
      <c r="I4" s="1908"/>
      <c r="J4" s="1908"/>
      <c r="K4" s="1908"/>
      <c r="L4" s="1916"/>
      <c r="M4" s="1916"/>
      <c r="N4" s="1916"/>
    </row>
    <row r="5" spans="1:18" ht="13.5" customHeight="1">
      <c r="B5" s="1917" t="s">
        <v>190</v>
      </c>
      <c r="C5" s="2708" t="s">
        <v>1816</v>
      </c>
      <c r="D5" s="2708"/>
      <c r="E5" s="2708"/>
      <c r="F5" s="2708"/>
      <c r="G5" s="2708"/>
      <c r="H5" s="2708"/>
      <c r="I5" s="2708"/>
      <c r="J5" s="2708"/>
      <c r="K5" s="1908"/>
      <c r="L5" s="1916"/>
      <c r="M5" s="1916"/>
      <c r="N5" s="1916"/>
    </row>
    <row r="6" spans="1:18" ht="13.5" customHeight="1">
      <c r="E6" s="1904"/>
      <c r="F6" s="1904"/>
      <c r="L6" s="1916"/>
      <c r="M6" s="1916"/>
      <c r="N6" s="1916"/>
    </row>
    <row r="7" spans="1:18" ht="13.5" customHeight="1" thickBot="1"/>
    <row r="8" spans="1:18" ht="15" customHeight="1">
      <c r="A8" s="2709" t="s">
        <v>1817</v>
      </c>
      <c r="B8" s="2712" t="s">
        <v>8</v>
      </c>
      <c r="C8" s="2715" t="s">
        <v>9</v>
      </c>
      <c r="D8" s="2718" t="s">
        <v>1818</v>
      </c>
      <c r="E8" s="2721" t="s">
        <v>1819</v>
      </c>
      <c r="F8" s="2715" t="s">
        <v>1820</v>
      </c>
      <c r="G8" s="2712" t="s">
        <v>1821</v>
      </c>
      <c r="H8" s="2712"/>
      <c r="I8" s="2712"/>
      <c r="J8" s="2712"/>
      <c r="K8" s="2712"/>
      <c r="L8" s="2712"/>
      <c r="M8" s="2712"/>
      <c r="N8" s="2712"/>
      <c r="O8" s="2712"/>
      <c r="P8" s="2712"/>
      <c r="Q8" s="2712"/>
      <c r="R8" s="2724"/>
    </row>
    <row r="9" spans="1:18" ht="16.5" customHeight="1">
      <c r="A9" s="2710"/>
      <c r="B9" s="2713"/>
      <c r="C9" s="2716"/>
      <c r="D9" s="2719"/>
      <c r="E9" s="2722"/>
      <c r="F9" s="2716"/>
      <c r="G9" s="2703" t="s">
        <v>18</v>
      </c>
      <c r="H9" s="2703" t="s">
        <v>19</v>
      </c>
      <c r="I9" s="2703" t="s">
        <v>20</v>
      </c>
      <c r="J9" s="2703" t="s">
        <v>10</v>
      </c>
      <c r="K9" s="2703" t="s">
        <v>11</v>
      </c>
      <c r="L9" s="2703" t="s">
        <v>12</v>
      </c>
      <c r="M9" s="2703" t="s">
        <v>13</v>
      </c>
      <c r="N9" s="2703" t="s">
        <v>127</v>
      </c>
      <c r="O9" s="2703" t="s">
        <v>14</v>
      </c>
      <c r="P9" s="2703" t="s">
        <v>15</v>
      </c>
      <c r="Q9" s="2703" t="s">
        <v>16</v>
      </c>
      <c r="R9" s="2705" t="s">
        <v>17</v>
      </c>
    </row>
    <row r="10" spans="1:18" ht="3.75" customHeight="1">
      <c r="A10" s="2710"/>
      <c r="B10" s="2713"/>
      <c r="C10" s="2716"/>
      <c r="D10" s="2719"/>
      <c r="E10" s="2722"/>
      <c r="F10" s="2716"/>
      <c r="G10" s="2704"/>
      <c r="H10" s="2704"/>
      <c r="I10" s="2704"/>
      <c r="J10" s="2704"/>
      <c r="K10" s="2704"/>
      <c r="L10" s="2704"/>
      <c r="M10" s="2704"/>
      <c r="N10" s="2704"/>
      <c r="O10" s="2704"/>
      <c r="P10" s="2704"/>
      <c r="Q10" s="2704"/>
      <c r="R10" s="2706"/>
    </row>
    <row r="11" spans="1:18" ht="24" customHeight="1" thickBot="1">
      <c r="A11" s="2711"/>
      <c r="B11" s="2714"/>
      <c r="C11" s="2717"/>
      <c r="D11" s="2720"/>
      <c r="E11" s="2723"/>
      <c r="F11" s="2717"/>
      <c r="G11" s="1918" t="s">
        <v>191</v>
      </c>
      <c r="H11" s="1918" t="s">
        <v>191</v>
      </c>
      <c r="I11" s="1918" t="s">
        <v>191</v>
      </c>
      <c r="J11" s="1919" t="s">
        <v>191</v>
      </c>
      <c r="K11" s="1919" t="s">
        <v>191</v>
      </c>
      <c r="L11" s="1919" t="s">
        <v>191</v>
      </c>
      <c r="M11" s="1918" t="s">
        <v>191</v>
      </c>
      <c r="N11" s="1918" t="s">
        <v>191</v>
      </c>
      <c r="O11" s="1918" t="s">
        <v>191</v>
      </c>
      <c r="P11" s="1918" t="s">
        <v>191</v>
      </c>
      <c r="Q11" s="1918" t="s">
        <v>191</v>
      </c>
      <c r="R11" s="1920" t="s">
        <v>191</v>
      </c>
    </row>
    <row r="12" spans="1:18" ht="17.25" customHeight="1">
      <c r="A12" s="1921">
        <v>1</v>
      </c>
      <c r="B12" s="1922">
        <v>2</v>
      </c>
      <c r="C12" s="1923">
        <v>3</v>
      </c>
      <c r="D12" s="1924">
        <v>4</v>
      </c>
      <c r="E12" s="1925">
        <v>5</v>
      </c>
      <c r="F12" s="1926">
        <v>6</v>
      </c>
      <c r="G12" s="1926">
        <v>7</v>
      </c>
      <c r="H12" s="1926">
        <v>8</v>
      </c>
      <c r="I12" s="1926">
        <v>9</v>
      </c>
      <c r="J12" s="1927">
        <v>10</v>
      </c>
      <c r="K12" s="1927">
        <v>11</v>
      </c>
      <c r="L12" s="1926">
        <v>12</v>
      </c>
      <c r="M12" s="1926">
        <v>13</v>
      </c>
      <c r="N12" s="1926">
        <v>14</v>
      </c>
      <c r="O12" s="1926">
        <v>15</v>
      </c>
      <c r="P12" s="1926">
        <v>16</v>
      </c>
      <c r="Q12" s="1926">
        <v>17</v>
      </c>
      <c r="R12" s="1928">
        <v>18</v>
      </c>
    </row>
    <row r="13" spans="1:18" ht="30.75" customHeight="1">
      <c r="A13" s="1592" t="s">
        <v>464</v>
      </c>
      <c r="B13" s="1593" t="s">
        <v>1724</v>
      </c>
      <c r="C13" s="1594" t="s">
        <v>21</v>
      </c>
      <c r="D13" s="1595">
        <f>D15</f>
        <v>0</v>
      </c>
      <c r="E13" s="1595">
        <f>E15</f>
        <v>0</v>
      </c>
      <c r="F13" s="1596">
        <f t="shared" ref="F13:F19" si="0">SUM(G13:R13)</f>
        <v>8727.7910429447857</v>
      </c>
      <c r="G13" s="1596">
        <f>G15</f>
        <v>114.81349693251533</v>
      </c>
      <c r="H13" s="1596">
        <f t="shared" ref="H13:Q13" si="1">H15</f>
        <v>1257.7766871165645</v>
      </c>
      <c r="I13" s="1596">
        <f t="shared" si="1"/>
        <v>1802.0547239263803</v>
      </c>
      <c r="J13" s="1596">
        <f t="shared" si="1"/>
        <v>2057.5061349693256</v>
      </c>
      <c r="K13" s="1596">
        <f t="shared" si="1"/>
        <v>1855.77226993865</v>
      </c>
      <c r="L13" s="1596">
        <f t="shared" si="1"/>
        <v>1609.6645398773005</v>
      </c>
      <c r="M13" s="1596">
        <f t="shared" si="1"/>
        <v>30.203190184049078</v>
      </c>
      <c r="N13" s="1596">
        <f t="shared" si="1"/>
        <v>0</v>
      </c>
      <c r="O13" s="1596">
        <f t="shared" si="1"/>
        <v>0</v>
      </c>
      <c r="P13" s="1596">
        <f t="shared" si="1"/>
        <v>0</v>
      </c>
      <c r="Q13" s="1596">
        <f t="shared" si="1"/>
        <v>0</v>
      </c>
      <c r="R13" s="1597">
        <v>0</v>
      </c>
    </row>
    <row r="14" spans="1:18" ht="27" customHeight="1">
      <c r="A14" s="1691" t="s">
        <v>22</v>
      </c>
      <c r="B14" s="1598" t="s">
        <v>465</v>
      </c>
      <c r="C14" s="1594" t="s">
        <v>21</v>
      </c>
      <c r="D14" s="1599">
        <v>0</v>
      </c>
      <c r="E14" s="1600">
        <v>0</v>
      </c>
      <c r="F14" s="1600">
        <f t="shared" si="0"/>
        <v>0</v>
      </c>
      <c r="G14" s="1600">
        <v>0</v>
      </c>
      <c r="H14" s="1600">
        <v>0</v>
      </c>
      <c r="I14" s="1600">
        <v>0</v>
      </c>
      <c r="J14" s="1600">
        <v>0</v>
      </c>
      <c r="K14" s="1600">
        <v>0</v>
      </c>
      <c r="L14" s="1600">
        <v>0</v>
      </c>
      <c r="M14" s="1600">
        <v>0</v>
      </c>
      <c r="N14" s="1600">
        <v>0</v>
      </c>
      <c r="O14" s="1600">
        <v>0</v>
      </c>
      <c r="P14" s="1600">
        <v>0</v>
      </c>
      <c r="Q14" s="1600">
        <v>0</v>
      </c>
      <c r="R14" s="1601">
        <v>0</v>
      </c>
    </row>
    <row r="15" spans="1:18" ht="17.25" customHeight="1">
      <c r="A15" s="1691" t="s">
        <v>23</v>
      </c>
      <c r="B15" s="1598" t="s">
        <v>466</v>
      </c>
      <c r="C15" s="1594" t="s">
        <v>21</v>
      </c>
      <c r="D15" s="1600">
        <f>D16+D17</f>
        <v>0</v>
      </c>
      <c r="E15" s="1600">
        <f>E16+E17</f>
        <v>0</v>
      </c>
      <c r="F15" s="1600">
        <f t="shared" si="0"/>
        <v>8727.7910429447857</v>
      </c>
      <c r="G15" s="1600">
        <f>G16+G17</f>
        <v>114.81349693251533</v>
      </c>
      <c r="H15" s="1600">
        <f t="shared" ref="H15:Q15" si="2">H16+H17</f>
        <v>1257.7766871165645</v>
      </c>
      <c r="I15" s="1600">
        <f t="shared" si="2"/>
        <v>1802.0547239263803</v>
      </c>
      <c r="J15" s="1600">
        <f t="shared" si="2"/>
        <v>2057.5061349693256</v>
      </c>
      <c r="K15" s="1600">
        <f t="shared" si="2"/>
        <v>1855.77226993865</v>
      </c>
      <c r="L15" s="1600">
        <f t="shared" si="2"/>
        <v>1609.6645398773005</v>
      </c>
      <c r="M15" s="1600">
        <f t="shared" si="2"/>
        <v>30.203190184049078</v>
      </c>
      <c r="N15" s="1600">
        <f t="shared" si="2"/>
        <v>0</v>
      </c>
      <c r="O15" s="1600">
        <f t="shared" si="2"/>
        <v>0</v>
      </c>
      <c r="P15" s="1600">
        <f t="shared" si="2"/>
        <v>0</v>
      </c>
      <c r="Q15" s="1600">
        <f t="shared" si="2"/>
        <v>0</v>
      </c>
      <c r="R15" s="1601">
        <v>0</v>
      </c>
    </row>
    <row r="16" spans="1:18" ht="17.25" customHeight="1">
      <c r="A16" s="1691" t="s">
        <v>612</v>
      </c>
      <c r="B16" s="1598" t="s">
        <v>1725</v>
      </c>
      <c r="C16" s="1594" t="s">
        <v>21</v>
      </c>
      <c r="D16" s="1600">
        <v>0</v>
      </c>
      <c r="E16" s="1600">
        <f>E21+E27+E30+E33+E36+E39</f>
        <v>0</v>
      </c>
      <c r="F16" s="1599">
        <f t="shared" si="0"/>
        <v>6605.3744785276067</v>
      </c>
      <c r="G16" s="1600">
        <f t="shared" ref="G16:Q17" si="3">G21+G27+G30+G33+G36+G39</f>
        <v>86.89325153374233</v>
      </c>
      <c r="H16" s="1600">
        <f t="shared" si="3"/>
        <v>951.91165644171781</v>
      </c>
      <c r="I16" s="1600">
        <f t="shared" si="3"/>
        <v>1363.8326380368098</v>
      </c>
      <c r="J16" s="1600">
        <f t="shared" si="3"/>
        <v>1557.163599182004</v>
      </c>
      <c r="K16" s="1600">
        <f t="shared" si="3"/>
        <v>1404.487198364008</v>
      </c>
      <c r="L16" s="1600">
        <f t="shared" si="3"/>
        <v>1218.2277300613496</v>
      </c>
      <c r="M16" s="1600">
        <f t="shared" si="3"/>
        <v>22.858404907975459</v>
      </c>
      <c r="N16" s="1600">
        <f t="shared" si="3"/>
        <v>0</v>
      </c>
      <c r="O16" s="1600">
        <f t="shared" si="3"/>
        <v>0</v>
      </c>
      <c r="P16" s="1600">
        <f t="shared" si="3"/>
        <v>0</v>
      </c>
      <c r="Q16" s="1600">
        <f t="shared" si="3"/>
        <v>0</v>
      </c>
      <c r="R16" s="1601">
        <v>0</v>
      </c>
    </row>
    <row r="17" spans="1:18" ht="17.25" customHeight="1" thickBot="1">
      <c r="A17" s="1602" t="s">
        <v>613</v>
      </c>
      <c r="B17" s="1603" t="s">
        <v>1726</v>
      </c>
      <c r="C17" s="1604" t="s">
        <v>21</v>
      </c>
      <c r="D17" s="1605">
        <v>0</v>
      </c>
      <c r="E17" s="1605">
        <f>E22+E28+E31+E34+E37+E40</f>
        <v>0</v>
      </c>
      <c r="F17" s="1605">
        <f t="shared" si="0"/>
        <v>2122.4165644171781</v>
      </c>
      <c r="G17" s="1605">
        <f t="shared" si="3"/>
        <v>27.920245398773009</v>
      </c>
      <c r="H17" s="1605">
        <f t="shared" si="3"/>
        <v>305.86503067484665</v>
      </c>
      <c r="I17" s="1605">
        <f t="shared" si="3"/>
        <v>438.22208588957056</v>
      </c>
      <c r="J17" s="1605">
        <f t="shared" si="3"/>
        <v>500.34253578732142</v>
      </c>
      <c r="K17" s="1605">
        <f t="shared" si="3"/>
        <v>451.28507157464185</v>
      </c>
      <c r="L17" s="1605">
        <f t="shared" si="3"/>
        <v>391.43680981595094</v>
      </c>
      <c r="M17" s="1605">
        <f t="shared" si="3"/>
        <v>7.344785276073619</v>
      </c>
      <c r="N17" s="1605">
        <f t="shared" si="3"/>
        <v>0</v>
      </c>
      <c r="O17" s="1605">
        <f t="shared" si="3"/>
        <v>0</v>
      </c>
      <c r="P17" s="1605">
        <f t="shared" si="3"/>
        <v>0</v>
      </c>
      <c r="Q17" s="1605">
        <f t="shared" si="3"/>
        <v>0</v>
      </c>
      <c r="R17" s="1606">
        <v>0</v>
      </c>
    </row>
    <row r="18" spans="1:18" ht="28.5" customHeight="1">
      <c r="A18" s="1607" t="s">
        <v>821</v>
      </c>
      <c r="B18" s="1608" t="s">
        <v>1727</v>
      </c>
      <c r="C18" s="1609" t="s">
        <v>21</v>
      </c>
      <c r="D18" s="1610">
        <v>0</v>
      </c>
      <c r="E18" s="1611">
        <v>0</v>
      </c>
      <c r="F18" s="1612">
        <f t="shared" si="0"/>
        <v>192.01140294478546</v>
      </c>
      <c r="G18" s="1612">
        <f>G20</f>
        <v>2.5258969325153373</v>
      </c>
      <c r="H18" s="1612">
        <f t="shared" ref="H18:R18" si="4">H20</f>
        <v>27.671087116564422</v>
      </c>
      <c r="I18" s="1612">
        <f t="shared" si="4"/>
        <v>39.645203926380418</v>
      </c>
      <c r="J18" s="1612">
        <f t="shared" si="4"/>
        <v>45.265134969325345</v>
      </c>
      <c r="K18" s="1612">
        <f t="shared" si="4"/>
        <v>40.826989938650286</v>
      </c>
      <c r="L18" s="1612">
        <f t="shared" si="4"/>
        <v>35.412619877300585</v>
      </c>
      <c r="M18" s="1612">
        <f t="shared" si="4"/>
        <v>0.66447018404907965</v>
      </c>
      <c r="N18" s="1612">
        <f t="shared" si="4"/>
        <v>0</v>
      </c>
      <c r="O18" s="1612">
        <f t="shared" si="4"/>
        <v>0</v>
      </c>
      <c r="P18" s="1612">
        <f t="shared" si="4"/>
        <v>0</v>
      </c>
      <c r="Q18" s="1612">
        <f t="shared" si="4"/>
        <v>0</v>
      </c>
      <c r="R18" s="1613">
        <f t="shared" si="4"/>
        <v>0</v>
      </c>
    </row>
    <row r="19" spans="1:18" ht="18.75" customHeight="1">
      <c r="A19" s="1691" t="s">
        <v>1302</v>
      </c>
      <c r="B19" s="1614" t="s">
        <v>465</v>
      </c>
      <c r="C19" s="1594" t="s">
        <v>21</v>
      </c>
      <c r="D19" s="1599">
        <v>0</v>
      </c>
      <c r="E19" s="1600">
        <v>0</v>
      </c>
      <c r="F19" s="1600">
        <f t="shared" si="0"/>
        <v>0</v>
      </c>
      <c r="G19" s="1600">
        <v>0</v>
      </c>
      <c r="H19" s="1600">
        <v>0</v>
      </c>
      <c r="I19" s="1600">
        <v>0</v>
      </c>
      <c r="J19" s="1600">
        <v>0</v>
      </c>
      <c r="K19" s="1600">
        <v>0</v>
      </c>
      <c r="L19" s="1600">
        <v>0</v>
      </c>
      <c r="M19" s="1600">
        <v>0</v>
      </c>
      <c r="N19" s="1600">
        <v>0</v>
      </c>
      <c r="O19" s="1600">
        <v>0</v>
      </c>
      <c r="P19" s="1600">
        <v>0</v>
      </c>
      <c r="Q19" s="1600">
        <v>0</v>
      </c>
      <c r="R19" s="1601">
        <v>0</v>
      </c>
    </row>
    <row r="20" spans="1:18" ht="17.25" customHeight="1">
      <c r="A20" s="1691" t="s">
        <v>1303</v>
      </c>
      <c r="B20" s="1598" t="s">
        <v>466</v>
      </c>
      <c r="C20" s="1594" t="s">
        <v>21</v>
      </c>
      <c r="D20" s="1599">
        <v>0</v>
      </c>
      <c r="E20" s="1600">
        <v>0</v>
      </c>
      <c r="F20" s="1600">
        <f>SUM(G20:R20)</f>
        <v>192.01140294478546</v>
      </c>
      <c r="G20" s="1600">
        <f t="shared" ref="G20:M20" si="5">G25/(1-0.022)-G25</f>
        <v>2.5258969325153373</v>
      </c>
      <c r="H20" s="1600">
        <f t="shared" si="5"/>
        <v>27.671087116564422</v>
      </c>
      <c r="I20" s="1600">
        <f t="shared" si="5"/>
        <v>39.645203926380418</v>
      </c>
      <c r="J20" s="1600">
        <f t="shared" si="5"/>
        <v>45.265134969325345</v>
      </c>
      <c r="K20" s="1600">
        <f t="shared" si="5"/>
        <v>40.826989938650286</v>
      </c>
      <c r="L20" s="1600">
        <f t="shared" si="5"/>
        <v>35.412619877300585</v>
      </c>
      <c r="M20" s="1600">
        <f t="shared" si="5"/>
        <v>0.66447018404907965</v>
      </c>
      <c r="N20" s="1600">
        <f>N25/(1-0.022)-N23</f>
        <v>0</v>
      </c>
      <c r="O20" s="1600">
        <f>O25/(1-0.022)-O23</f>
        <v>0</v>
      </c>
      <c r="P20" s="1600">
        <f>P25/(1-0.022)-P23</f>
        <v>0</v>
      </c>
      <c r="Q20" s="1600">
        <f>Q25/(1-0.022)-Q23</f>
        <v>0</v>
      </c>
      <c r="R20" s="1601">
        <f>R25/(1-0.022)-R23</f>
        <v>0</v>
      </c>
    </row>
    <row r="21" spans="1:18" ht="17.25" customHeight="1">
      <c r="A21" s="1691" t="s">
        <v>1728</v>
      </c>
      <c r="B21" s="1598" t="s">
        <v>1725</v>
      </c>
      <c r="C21" s="1594" t="s">
        <v>21</v>
      </c>
      <c r="D21" s="1599">
        <v>0</v>
      </c>
      <c r="E21" s="1600">
        <f>((E27+E30+E33+E36+E39)/(1-0.022))-(E27+E30+E33+E36+E39)</f>
        <v>0</v>
      </c>
      <c r="F21" s="1600">
        <f>SUM(G21:R21)</f>
        <v>145.31823852760712</v>
      </c>
      <c r="G21" s="1600">
        <f>((G27+G30+G33+G36+G39)/(1-0.022))-(G27+G30+G33+G36+G39)</f>
        <v>1.9116515337423294</v>
      </c>
      <c r="H21" s="1600">
        <f>((H27+H30+H33+H36+H39)/(1-0.022))-(H27+H30+H33+H36+H39)</f>
        <v>20.942056441717796</v>
      </c>
      <c r="I21" s="1600">
        <f t="shared" ref="I21:R22" si="6">((I27+I30+I33+I36+I39)/(1-0.022))-(I27+I30+I33+I36+I39)</f>
        <v>30.004318036809764</v>
      </c>
      <c r="J21" s="1600">
        <f t="shared" si="6"/>
        <v>34.257599182004014</v>
      </c>
      <c r="K21" s="1600">
        <f t="shared" si="6"/>
        <v>30.898718364008118</v>
      </c>
      <c r="L21" s="1600">
        <f t="shared" si="6"/>
        <v>26.801010061349643</v>
      </c>
      <c r="M21" s="1600">
        <f t="shared" si="6"/>
        <v>0.50288490797546004</v>
      </c>
      <c r="N21" s="1600">
        <f t="shared" si="6"/>
        <v>0</v>
      </c>
      <c r="O21" s="1600">
        <f t="shared" si="6"/>
        <v>0</v>
      </c>
      <c r="P21" s="1600">
        <f t="shared" si="6"/>
        <v>0</v>
      </c>
      <c r="Q21" s="1600">
        <f t="shared" si="6"/>
        <v>0</v>
      </c>
      <c r="R21" s="1601">
        <f t="shared" si="6"/>
        <v>0</v>
      </c>
    </row>
    <row r="22" spans="1:18" ht="17.25" customHeight="1">
      <c r="A22" s="1719" t="s">
        <v>1729</v>
      </c>
      <c r="B22" s="1615" t="s">
        <v>1726</v>
      </c>
      <c r="C22" s="1616" t="s">
        <v>21</v>
      </c>
      <c r="D22" s="1617">
        <v>0</v>
      </c>
      <c r="E22" s="1618">
        <f>((E28+E31+E34+E37+E40)/(1-0.022))-(E28+E31+E34+E37+E40)</f>
        <v>0</v>
      </c>
      <c r="F22" s="1600">
        <f>SUM(G22:R22)</f>
        <v>46.693164417177954</v>
      </c>
      <c r="G22" s="1618">
        <f>((G28+G31+G34+G37+G40)/(1-0.022))-(G28+G31+G34+G37+G40)</f>
        <v>0.61424539877300788</v>
      </c>
      <c r="H22" s="1618">
        <f>((H28+H31+H34+H37+H40)/(1-0.022))-(H28+H31+H34+H37+H40)</f>
        <v>6.7290306748466264</v>
      </c>
      <c r="I22" s="1618">
        <f t="shared" si="6"/>
        <v>9.6408858895705407</v>
      </c>
      <c r="J22" s="1618">
        <f t="shared" si="6"/>
        <v>11.007535787321103</v>
      </c>
      <c r="K22" s="1618">
        <f t="shared" si="6"/>
        <v>9.9282715746421104</v>
      </c>
      <c r="L22" s="1618">
        <f t="shared" si="6"/>
        <v>8.611609815950942</v>
      </c>
      <c r="M22" s="1618">
        <f t="shared" si="6"/>
        <v>0.16158527607361961</v>
      </c>
      <c r="N22" s="1618">
        <f t="shared" si="6"/>
        <v>0</v>
      </c>
      <c r="O22" s="1618">
        <f t="shared" si="6"/>
        <v>0</v>
      </c>
      <c r="P22" s="1618">
        <f t="shared" si="6"/>
        <v>0</v>
      </c>
      <c r="Q22" s="1618">
        <f t="shared" si="6"/>
        <v>0</v>
      </c>
      <c r="R22" s="1601">
        <f t="shared" si="6"/>
        <v>0</v>
      </c>
    </row>
    <row r="23" spans="1:18" ht="32.25" customHeight="1">
      <c r="A23" s="1720" t="s">
        <v>166</v>
      </c>
      <c r="B23" s="1619" t="s">
        <v>1730</v>
      </c>
      <c r="C23" s="1620" t="s">
        <v>21</v>
      </c>
      <c r="D23" s="1621">
        <f>D25</f>
        <v>0</v>
      </c>
      <c r="E23" s="1621">
        <f t="shared" ref="E23:R23" si="7">E25</f>
        <v>0</v>
      </c>
      <c r="F23" s="1621">
        <f t="shared" si="7"/>
        <v>8535.7796400000007</v>
      </c>
      <c r="G23" s="1621">
        <f t="shared" si="7"/>
        <v>112.2876</v>
      </c>
      <c r="H23" s="1621">
        <f t="shared" si="7"/>
        <v>1230.1056000000001</v>
      </c>
      <c r="I23" s="1621">
        <f t="shared" si="7"/>
        <v>1762.4095200000002</v>
      </c>
      <c r="J23" s="1621">
        <f t="shared" si="7"/>
        <v>2012.2410000000002</v>
      </c>
      <c r="K23" s="1621">
        <f t="shared" si="7"/>
        <v>1814.9452799999997</v>
      </c>
      <c r="L23" s="1621">
        <f t="shared" si="7"/>
        <v>1574.2519199999999</v>
      </c>
      <c r="M23" s="1621">
        <f t="shared" si="7"/>
        <v>29.538719999999998</v>
      </c>
      <c r="N23" s="1621">
        <f t="shared" si="7"/>
        <v>0</v>
      </c>
      <c r="O23" s="1621">
        <f t="shared" si="7"/>
        <v>0</v>
      </c>
      <c r="P23" s="1621">
        <f t="shared" si="7"/>
        <v>0</v>
      </c>
      <c r="Q23" s="1621">
        <f t="shared" si="7"/>
        <v>0</v>
      </c>
      <c r="R23" s="1622">
        <f t="shared" si="7"/>
        <v>0</v>
      </c>
    </row>
    <row r="24" spans="1:18" ht="18" customHeight="1" thickBot="1">
      <c r="A24" s="1685" t="s">
        <v>56</v>
      </c>
      <c r="B24" s="1623" t="s">
        <v>465</v>
      </c>
      <c r="C24" s="1624" t="s">
        <v>21</v>
      </c>
      <c r="D24" s="1625">
        <v>0</v>
      </c>
      <c r="E24" s="1625">
        <v>0</v>
      </c>
      <c r="F24" s="1625">
        <v>0</v>
      </c>
      <c r="G24" s="1626">
        <v>0</v>
      </c>
      <c r="H24" s="1625">
        <v>0</v>
      </c>
      <c r="I24" s="1625">
        <v>0</v>
      </c>
      <c r="J24" s="1625">
        <v>0</v>
      </c>
      <c r="K24" s="1625">
        <v>0</v>
      </c>
      <c r="L24" s="1625">
        <v>0</v>
      </c>
      <c r="M24" s="1625">
        <v>0</v>
      </c>
      <c r="N24" s="1625">
        <v>0</v>
      </c>
      <c r="O24" s="1625">
        <v>0</v>
      </c>
      <c r="P24" s="1625">
        <v>0</v>
      </c>
      <c r="Q24" s="1625">
        <v>0</v>
      </c>
      <c r="R24" s="1627">
        <v>0</v>
      </c>
    </row>
    <row r="25" spans="1:18" ht="17.25" customHeight="1">
      <c r="A25" s="1628" t="s">
        <v>1731</v>
      </c>
      <c r="B25" s="1629" t="s">
        <v>1732</v>
      </c>
      <c r="C25" s="1630" t="s">
        <v>21</v>
      </c>
      <c r="D25" s="1631">
        <f>D26+D29+D32+D35+D38</f>
        <v>0</v>
      </c>
      <c r="E25" s="1631">
        <f>E26+E29+E32+E35+E38</f>
        <v>0</v>
      </c>
      <c r="F25" s="1631">
        <f>F26+F29+F32+F35+F38</f>
        <v>8535.7796400000007</v>
      </c>
      <c r="G25" s="1632">
        <f>G26+G29+G32+G35+G38</f>
        <v>112.2876</v>
      </c>
      <c r="H25" s="1631">
        <f t="shared" ref="H25:R25" si="8">H26+H29+H32+H35+H38</f>
        <v>1230.1056000000001</v>
      </c>
      <c r="I25" s="1631">
        <f t="shared" si="8"/>
        <v>1762.4095200000002</v>
      </c>
      <c r="J25" s="1631">
        <f t="shared" si="8"/>
        <v>2012.2410000000002</v>
      </c>
      <c r="K25" s="1631">
        <f t="shared" si="8"/>
        <v>1814.9452799999997</v>
      </c>
      <c r="L25" s="1631">
        <f t="shared" si="8"/>
        <v>1574.2519199999999</v>
      </c>
      <c r="M25" s="1631">
        <f t="shared" si="8"/>
        <v>29.538719999999998</v>
      </c>
      <c r="N25" s="1631">
        <f t="shared" si="8"/>
        <v>0</v>
      </c>
      <c r="O25" s="1631">
        <f t="shared" si="8"/>
        <v>0</v>
      </c>
      <c r="P25" s="1631">
        <f t="shared" si="8"/>
        <v>0</v>
      </c>
      <c r="Q25" s="1631">
        <f t="shared" si="8"/>
        <v>0</v>
      </c>
      <c r="R25" s="1633">
        <f t="shared" si="8"/>
        <v>0</v>
      </c>
    </row>
    <row r="26" spans="1:18" ht="17.25" customHeight="1">
      <c r="A26" s="1691" t="s">
        <v>1733</v>
      </c>
      <c r="B26" s="1598" t="s">
        <v>1734</v>
      </c>
      <c r="C26" s="1594" t="s">
        <v>21</v>
      </c>
      <c r="D26" s="1634">
        <f>D27+D28</f>
        <v>0</v>
      </c>
      <c r="E26" s="1634">
        <f>E27+E28</f>
        <v>0</v>
      </c>
      <c r="F26" s="1635">
        <f>SUM(G26:R26)</f>
        <v>8535.7796400000007</v>
      </c>
      <c r="G26" s="1599">
        <f>G27+G28</f>
        <v>112.2876</v>
      </c>
      <c r="H26" s="1635">
        <f t="shared" ref="H26:R26" si="9">H27+H28</f>
        <v>1230.1056000000001</v>
      </c>
      <c r="I26" s="1635">
        <f t="shared" si="9"/>
        <v>1762.4095200000002</v>
      </c>
      <c r="J26" s="1635">
        <f t="shared" si="9"/>
        <v>2012.2410000000002</v>
      </c>
      <c r="K26" s="1635">
        <f t="shared" si="9"/>
        <v>1814.9452799999997</v>
      </c>
      <c r="L26" s="1635">
        <f t="shared" si="9"/>
        <v>1574.2519199999999</v>
      </c>
      <c r="M26" s="1635">
        <f t="shared" si="9"/>
        <v>29.538719999999998</v>
      </c>
      <c r="N26" s="1635">
        <f t="shared" si="9"/>
        <v>0</v>
      </c>
      <c r="O26" s="1635">
        <f t="shared" si="9"/>
        <v>0</v>
      </c>
      <c r="P26" s="1635">
        <f t="shared" si="9"/>
        <v>0</v>
      </c>
      <c r="Q26" s="1635">
        <f t="shared" si="9"/>
        <v>0</v>
      </c>
      <c r="R26" s="1636">
        <f t="shared" si="9"/>
        <v>0</v>
      </c>
    </row>
    <row r="27" spans="1:18" ht="17.25" customHeight="1">
      <c r="A27" s="1691" t="s">
        <v>1735</v>
      </c>
      <c r="B27" s="1598" t="s">
        <v>1725</v>
      </c>
      <c r="C27" s="1594" t="s">
        <v>21</v>
      </c>
      <c r="D27" s="1634">
        <v>0</v>
      </c>
      <c r="E27" s="1634">
        <f>E54+E78</f>
        <v>0</v>
      </c>
      <c r="F27" s="1635">
        <f>SUM(G27:R27)</f>
        <v>6460.056239999999</v>
      </c>
      <c r="G27" s="1599">
        <f>G54+G79</f>
        <v>84.9816</v>
      </c>
      <c r="H27" s="1635">
        <f t="shared" ref="H27:Q27" si="10">H54+H78</f>
        <v>930.96960000000001</v>
      </c>
      <c r="I27" s="1635">
        <f t="shared" si="10"/>
        <v>1333.8283200000001</v>
      </c>
      <c r="J27" s="1635">
        <f t="shared" si="10"/>
        <v>1522.9059999999999</v>
      </c>
      <c r="K27" s="1635">
        <f t="shared" si="10"/>
        <v>1373.5884799999999</v>
      </c>
      <c r="L27" s="1635">
        <f t="shared" si="10"/>
        <v>1191.4267199999999</v>
      </c>
      <c r="M27" s="1635">
        <f t="shared" si="10"/>
        <v>22.355519999999999</v>
      </c>
      <c r="N27" s="1635">
        <f t="shared" si="10"/>
        <v>0</v>
      </c>
      <c r="O27" s="1635">
        <f t="shared" si="10"/>
        <v>0</v>
      </c>
      <c r="P27" s="1635">
        <f t="shared" si="10"/>
        <v>0</v>
      </c>
      <c r="Q27" s="1635">
        <f t="shared" si="10"/>
        <v>0</v>
      </c>
      <c r="R27" s="1636">
        <v>0</v>
      </c>
    </row>
    <row r="28" spans="1:18" ht="17.25" customHeight="1" thickBot="1">
      <c r="A28" s="1691" t="s">
        <v>1736</v>
      </c>
      <c r="B28" s="1603" t="s">
        <v>1726</v>
      </c>
      <c r="C28" s="1624" t="s">
        <v>21</v>
      </c>
      <c r="D28" s="1625">
        <v>0</v>
      </c>
      <c r="E28" s="1625">
        <f>E60+E81</f>
        <v>0</v>
      </c>
      <c r="F28" s="1637">
        <f>SUM(G28:R28)</f>
        <v>2075.7234000000003</v>
      </c>
      <c r="G28" s="1638">
        <f>G52+G84</f>
        <v>27.306000000000001</v>
      </c>
      <c r="H28" s="1638">
        <f t="shared" ref="H28:O28" si="11">H52+H84</f>
        <v>299.13600000000002</v>
      </c>
      <c r="I28" s="1638">
        <f t="shared" si="11"/>
        <v>428.58120000000002</v>
      </c>
      <c r="J28" s="1638">
        <f t="shared" si="11"/>
        <v>489.33500000000032</v>
      </c>
      <c r="K28" s="1638">
        <f t="shared" si="11"/>
        <v>441.35679999999974</v>
      </c>
      <c r="L28" s="1638">
        <f t="shared" si="11"/>
        <v>382.8252</v>
      </c>
      <c r="M28" s="1638">
        <f t="shared" si="11"/>
        <v>7.1831999999999994</v>
      </c>
      <c r="N28" s="1638">
        <f t="shared" si="11"/>
        <v>0</v>
      </c>
      <c r="O28" s="1638">
        <f t="shared" si="11"/>
        <v>0</v>
      </c>
      <c r="P28" s="1638">
        <f t="shared" ref="P28:R28" si="12">O52+O84</f>
        <v>0</v>
      </c>
      <c r="Q28" s="1638">
        <f t="shared" si="12"/>
        <v>0</v>
      </c>
      <c r="R28" s="1639">
        <f t="shared" si="12"/>
        <v>0</v>
      </c>
    </row>
    <row r="29" spans="1:18" ht="17.25" customHeight="1">
      <c r="A29" s="1691" t="s">
        <v>1737</v>
      </c>
      <c r="B29" s="1598" t="s">
        <v>1738</v>
      </c>
      <c r="C29" s="1630" t="s">
        <v>21</v>
      </c>
      <c r="D29" s="1626">
        <f>D30+D31</f>
        <v>0</v>
      </c>
      <c r="E29" s="1626">
        <f>E30+E31</f>
        <v>0</v>
      </c>
      <c r="F29" s="1640">
        <f t="shared" ref="F29:F40" si="13">SUM(G29:R29)</f>
        <v>0</v>
      </c>
      <c r="G29" s="1641">
        <f>G30+G31</f>
        <v>0</v>
      </c>
      <c r="H29" s="1640">
        <f t="shared" ref="H29:R29" si="14">H30+H31</f>
        <v>0</v>
      </c>
      <c r="I29" s="1640">
        <f t="shared" si="14"/>
        <v>0</v>
      </c>
      <c r="J29" s="1640">
        <f t="shared" si="14"/>
        <v>0</v>
      </c>
      <c r="K29" s="1640">
        <f t="shared" si="14"/>
        <v>0</v>
      </c>
      <c r="L29" s="1640">
        <f t="shared" si="14"/>
        <v>0</v>
      </c>
      <c r="M29" s="1640">
        <f t="shared" si="14"/>
        <v>0</v>
      </c>
      <c r="N29" s="1640">
        <f t="shared" si="14"/>
        <v>0</v>
      </c>
      <c r="O29" s="1640">
        <f t="shared" si="14"/>
        <v>0</v>
      </c>
      <c r="P29" s="1640">
        <f t="shared" si="14"/>
        <v>0</v>
      </c>
      <c r="Q29" s="1640">
        <f t="shared" si="14"/>
        <v>0</v>
      </c>
      <c r="R29" s="1642">
        <f t="shared" si="14"/>
        <v>0</v>
      </c>
    </row>
    <row r="30" spans="1:18" ht="17.25" customHeight="1">
      <c r="A30" s="1691" t="s">
        <v>587</v>
      </c>
      <c r="B30" s="1598" t="s">
        <v>1739</v>
      </c>
      <c r="C30" s="1594" t="s">
        <v>21</v>
      </c>
      <c r="D30" s="1599">
        <f>D55+D87</f>
        <v>0</v>
      </c>
      <c r="E30" s="1599">
        <f>E55+E87</f>
        <v>0</v>
      </c>
      <c r="F30" s="1635">
        <f t="shared" si="13"/>
        <v>0</v>
      </c>
      <c r="G30" s="1599">
        <f t="shared" ref="G30:R30" si="15">G55+G87</f>
        <v>0</v>
      </c>
      <c r="H30" s="1635">
        <f t="shared" si="15"/>
        <v>0</v>
      </c>
      <c r="I30" s="1635">
        <f t="shared" si="15"/>
        <v>0</v>
      </c>
      <c r="J30" s="1635">
        <f t="shared" si="15"/>
        <v>0</v>
      </c>
      <c r="K30" s="1635">
        <f t="shared" si="15"/>
        <v>0</v>
      </c>
      <c r="L30" s="1635">
        <f t="shared" si="15"/>
        <v>0</v>
      </c>
      <c r="M30" s="1635">
        <f t="shared" si="15"/>
        <v>0</v>
      </c>
      <c r="N30" s="1635">
        <f t="shared" si="15"/>
        <v>0</v>
      </c>
      <c r="O30" s="1635">
        <f t="shared" si="15"/>
        <v>0</v>
      </c>
      <c r="P30" s="1635">
        <f t="shared" si="15"/>
        <v>0</v>
      </c>
      <c r="Q30" s="1635">
        <f t="shared" si="15"/>
        <v>0</v>
      </c>
      <c r="R30" s="1636">
        <f t="shared" si="15"/>
        <v>0</v>
      </c>
    </row>
    <row r="31" spans="1:18" ht="17.25" customHeight="1" thickBot="1">
      <c r="A31" s="1691" t="s">
        <v>1740</v>
      </c>
      <c r="B31" s="1603" t="s">
        <v>1741</v>
      </c>
      <c r="C31" s="1624" t="s">
        <v>21</v>
      </c>
      <c r="D31" s="1625">
        <v>0</v>
      </c>
      <c r="E31" s="1625">
        <f>E61+E88</f>
        <v>0</v>
      </c>
      <c r="F31" s="1637">
        <f t="shared" si="13"/>
        <v>0</v>
      </c>
      <c r="G31" s="1638">
        <f t="shared" ref="G31:R31" si="16">G61+G88</f>
        <v>0</v>
      </c>
      <c r="H31" s="1637">
        <f t="shared" si="16"/>
        <v>0</v>
      </c>
      <c r="I31" s="1637">
        <f t="shared" si="16"/>
        <v>0</v>
      </c>
      <c r="J31" s="1637">
        <f t="shared" si="16"/>
        <v>0</v>
      </c>
      <c r="K31" s="1637">
        <f t="shared" si="16"/>
        <v>0</v>
      </c>
      <c r="L31" s="1637">
        <f t="shared" si="16"/>
        <v>0</v>
      </c>
      <c r="M31" s="1637">
        <f t="shared" si="16"/>
        <v>0</v>
      </c>
      <c r="N31" s="1637">
        <f t="shared" si="16"/>
        <v>0</v>
      </c>
      <c r="O31" s="1637">
        <f t="shared" si="16"/>
        <v>0</v>
      </c>
      <c r="P31" s="1637">
        <f t="shared" si="16"/>
        <v>0</v>
      </c>
      <c r="Q31" s="1637">
        <f t="shared" si="16"/>
        <v>0</v>
      </c>
      <c r="R31" s="1643">
        <f t="shared" si="16"/>
        <v>0</v>
      </c>
    </row>
    <row r="32" spans="1:18" ht="17.25" customHeight="1">
      <c r="A32" s="1691" t="s">
        <v>586</v>
      </c>
      <c r="B32" s="1598" t="s">
        <v>92</v>
      </c>
      <c r="C32" s="1630" t="s">
        <v>21</v>
      </c>
      <c r="D32" s="1626">
        <f>D33+D34</f>
        <v>0</v>
      </c>
      <c r="E32" s="1626">
        <f>E33+E34</f>
        <v>0</v>
      </c>
      <c r="F32" s="1640">
        <f t="shared" si="13"/>
        <v>0</v>
      </c>
      <c r="G32" s="1641">
        <f>G33+G34</f>
        <v>0</v>
      </c>
      <c r="H32" s="1640">
        <f t="shared" ref="H32:R32" si="17">H33+H34</f>
        <v>0</v>
      </c>
      <c r="I32" s="1640">
        <f t="shared" si="17"/>
        <v>0</v>
      </c>
      <c r="J32" s="1640">
        <f t="shared" si="17"/>
        <v>0</v>
      </c>
      <c r="K32" s="1640">
        <f t="shared" si="17"/>
        <v>0</v>
      </c>
      <c r="L32" s="1640">
        <f t="shared" si="17"/>
        <v>0</v>
      </c>
      <c r="M32" s="1640">
        <f t="shared" si="17"/>
        <v>0</v>
      </c>
      <c r="N32" s="1640">
        <f t="shared" si="17"/>
        <v>0</v>
      </c>
      <c r="O32" s="1640">
        <f t="shared" si="17"/>
        <v>0</v>
      </c>
      <c r="P32" s="1640">
        <f t="shared" si="17"/>
        <v>0</v>
      </c>
      <c r="Q32" s="1640">
        <f t="shared" si="17"/>
        <v>0</v>
      </c>
      <c r="R32" s="1642">
        <f t="shared" si="17"/>
        <v>0</v>
      </c>
    </row>
    <row r="33" spans="1:18" ht="17.25" customHeight="1">
      <c r="A33" s="1691" t="s">
        <v>588</v>
      </c>
      <c r="B33" s="1598" t="s">
        <v>1739</v>
      </c>
      <c r="C33" s="1594" t="s">
        <v>21</v>
      </c>
      <c r="D33" s="1599">
        <v>0</v>
      </c>
      <c r="E33" s="1599">
        <f>E56+E91</f>
        <v>0</v>
      </c>
      <c r="F33" s="1635">
        <f t="shared" si="13"/>
        <v>0</v>
      </c>
      <c r="G33" s="1599">
        <f t="shared" ref="G33:R33" si="18">G56+G91</f>
        <v>0</v>
      </c>
      <c r="H33" s="1635">
        <f t="shared" si="18"/>
        <v>0</v>
      </c>
      <c r="I33" s="1635">
        <f t="shared" si="18"/>
        <v>0</v>
      </c>
      <c r="J33" s="1635">
        <f t="shared" si="18"/>
        <v>0</v>
      </c>
      <c r="K33" s="1635">
        <f t="shared" si="18"/>
        <v>0</v>
      </c>
      <c r="L33" s="1635">
        <f t="shared" si="18"/>
        <v>0</v>
      </c>
      <c r="M33" s="1635">
        <f t="shared" si="18"/>
        <v>0</v>
      </c>
      <c r="N33" s="1635">
        <f t="shared" si="18"/>
        <v>0</v>
      </c>
      <c r="O33" s="1635">
        <f t="shared" si="18"/>
        <v>0</v>
      </c>
      <c r="P33" s="1635">
        <f t="shared" si="18"/>
        <v>0</v>
      </c>
      <c r="Q33" s="1635">
        <f t="shared" si="18"/>
        <v>0</v>
      </c>
      <c r="R33" s="1636">
        <f t="shared" si="18"/>
        <v>0</v>
      </c>
    </row>
    <row r="34" spans="1:18" ht="17.25" customHeight="1" thickBot="1">
      <c r="A34" s="1691" t="s">
        <v>589</v>
      </c>
      <c r="B34" s="1644" t="s">
        <v>1741</v>
      </c>
      <c r="C34" s="1624" t="s">
        <v>21</v>
      </c>
      <c r="D34" s="1625">
        <v>0</v>
      </c>
      <c r="E34" s="1625">
        <f>E62+E92</f>
        <v>0</v>
      </c>
      <c r="F34" s="1637">
        <f t="shared" si="13"/>
        <v>0</v>
      </c>
      <c r="G34" s="1638">
        <f t="shared" ref="G34:R34" si="19">G62+G92</f>
        <v>0</v>
      </c>
      <c r="H34" s="1637">
        <f t="shared" si="19"/>
        <v>0</v>
      </c>
      <c r="I34" s="1637">
        <f t="shared" si="19"/>
        <v>0</v>
      </c>
      <c r="J34" s="1637">
        <f t="shared" si="19"/>
        <v>0</v>
      </c>
      <c r="K34" s="1637">
        <f t="shared" si="19"/>
        <v>0</v>
      </c>
      <c r="L34" s="1637">
        <f t="shared" si="19"/>
        <v>0</v>
      </c>
      <c r="M34" s="1637">
        <f t="shared" si="19"/>
        <v>0</v>
      </c>
      <c r="N34" s="1637">
        <f t="shared" si="19"/>
        <v>0</v>
      </c>
      <c r="O34" s="1637">
        <f t="shared" si="19"/>
        <v>0</v>
      </c>
      <c r="P34" s="1637">
        <f t="shared" si="19"/>
        <v>0</v>
      </c>
      <c r="Q34" s="1637">
        <f t="shared" si="19"/>
        <v>0</v>
      </c>
      <c r="R34" s="1643">
        <f t="shared" si="19"/>
        <v>0</v>
      </c>
    </row>
    <row r="35" spans="1:18" ht="17.25" customHeight="1">
      <c r="A35" s="1691" t="s">
        <v>1742</v>
      </c>
      <c r="B35" s="1619" t="s">
        <v>1743</v>
      </c>
      <c r="C35" s="1645" t="s">
        <v>21</v>
      </c>
      <c r="D35" s="1641">
        <f>D36+D37</f>
        <v>0</v>
      </c>
      <c r="E35" s="1641">
        <f>E36+E37</f>
        <v>0</v>
      </c>
      <c r="F35" s="1646">
        <f t="shared" si="13"/>
        <v>0</v>
      </c>
      <c r="G35" s="1641">
        <f>G36+G37</f>
        <v>0</v>
      </c>
      <c r="H35" s="1646">
        <f t="shared" ref="H35:R35" si="20">H36+H37</f>
        <v>0</v>
      </c>
      <c r="I35" s="1646">
        <f t="shared" si="20"/>
        <v>0</v>
      </c>
      <c r="J35" s="1646">
        <f t="shared" si="20"/>
        <v>0</v>
      </c>
      <c r="K35" s="1646">
        <f t="shared" si="20"/>
        <v>0</v>
      </c>
      <c r="L35" s="1646">
        <f t="shared" si="20"/>
        <v>0</v>
      </c>
      <c r="M35" s="1646">
        <f t="shared" si="20"/>
        <v>0</v>
      </c>
      <c r="N35" s="1646">
        <f t="shared" si="20"/>
        <v>0</v>
      </c>
      <c r="O35" s="1646">
        <f t="shared" si="20"/>
        <v>0</v>
      </c>
      <c r="P35" s="1646">
        <f t="shared" si="20"/>
        <v>0</v>
      </c>
      <c r="Q35" s="1646">
        <f t="shared" si="20"/>
        <v>0</v>
      </c>
      <c r="R35" s="1647">
        <f t="shared" si="20"/>
        <v>0</v>
      </c>
    </row>
    <row r="36" spans="1:18" ht="17.25" customHeight="1">
      <c r="A36" s="1719" t="s">
        <v>1744</v>
      </c>
      <c r="B36" s="1619" t="s">
        <v>1739</v>
      </c>
      <c r="C36" s="1630" t="s">
        <v>21</v>
      </c>
      <c r="D36" s="1648">
        <v>0</v>
      </c>
      <c r="E36" s="1648">
        <f>E57+E95</f>
        <v>0</v>
      </c>
      <c r="F36" s="1640">
        <f t="shared" si="13"/>
        <v>0</v>
      </c>
      <c r="G36" s="1626">
        <f t="shared" ref="G36:R36" si="21">G57+G95</f>
        <v>0</v>
      </c>
      <c r="H36" s="1640">
        <f t="shared" si="21"/>
        <v>0</v>
      </c>
      <c r="I36" s="1640">
        <f t="shared" si="21"/>
        <v>0</v>
      </c>
      <c r="J36" s="1640">
        <f t="shared" si="21"/>
        <v>0</v>
      </c>
      <c r="K36" s="1640">
        <f t="shared" si="21"/>
        <v>0</v>
      </c>
      <c r="L36" s="1640">
        <f t="shared" si="21"/>
        <v>0</v>
      </c>
      <c r="M36" s="1640">
        <f t="shared" si="21"/>
        <v>0</v>
      </c>
      <c r="N36" s="1640">
        <f t="shared" si="21"/>
        <v>0</v>
      </c>
      <c r="O36" s="1640">
        <f t="shared" si="21"/>
        <v>0</v>
      </c>
      <c r="P36" s="1640">
        <f t="shared" si="21"/>
        <v>0</v>
      </c>
      <c r="Q36" s="1640">
        <f t="shared" si="21"/>
        <v>0</v>
      </c>
      <c r="R36" s="1642">
        <f t="shared" si="21"/>
        <v>0</v>
      </c>
    </row>
    <row r="37" spans="1:18" ht="17.25" customHeight="1" thickBot="1">
      <c r="A37" s="1719" t="s">
        <v>1745</v>
      </c>
      <c r="B37" s="1644" t="s">
        <v>1741</v>
      </c>
      <c r="C37" s="1624" t="s">
        <v>21</v>
      </c>
      <c r="D37" s="1649">
        <v>0</v>
      </c>
      <c r="E37" s="1649">
        <f>E63+E96</f>
        <v>0</v>
      </c>
      <c r="F37" s="1637">
        <f t="shared" si="13"/>
        <v>0</v>
      </c>
      <c r="G37" s="1638">
        <f t="shared" ref="G37:R37" si="22">G63+G96</f>
        <v>0</v>
      </c>
      <c r="H37" s="1637">
        <f t="shared" si="22"/>
        <v>0</v>
      </c>
      <c r="I37" s="1637">
        <f t="shared" si="22"/>
        <v>0</v>
      </c>
      <c r="J37" s="1637">
        <f t="shared" si="22"/>
        <v>0</v>
      </c>
      <c r="K37" s="1637">
        <f t="shared" si="22"/>
        <v>0</v>
      </c>
      <c r="L37" s="1637">
        <f t="shared" si="22"/>
        <v>0</v>
      </c>
      <c r="M37" s="1637">
        <f t="shared" si="22"/>
        <v>0</v>
      </c>
      <c r="N37" s="1637">
        <f t="shared" si="22"/>
        <v>0</v>
      </c>
      <c r="O37" s="1637">
        <f t="shared" si="22"/>
        <v>0</v>
      </c>
      <c r="P37" s="1637">
        <f t="shared" si="22"/>
        <v>0</v>
      </c>
      <c r="Q37" s="1637">
        <f t="shared" si="22"/>
        <v>0</v>
      </c>
      <c r="R37" s="1643">
        <f t="shared" si="22"/>
        <v>0</v>
      </c>
    </row>
    <row r="38" spans="1:18" ht="16.5" customHeight="1">
      <c r="A38" s="1691" t="s">
        <v>1746</v>
      </c>
      <c r="B38" s="1619" t="s">
        <v>591</v>
      </c>
      <c r="C38" s="1630" t="s">
        <v>21</v>
      </c>
      <c r="D38" s="1626">
        <f>D39+D40</f>
        <v>0</v>
      </c>
      <c r="E38" s="1626">
        <f>E39+E40</f>
        <v>0</v>
      </c>
      <c r="F38" s="1640">
        <f t="shared" si="13"/>
        <v>0</v>
      </c>
      <c r="G38" s="1641">
        <f>G39+G40</f>
        <v>0</v>
      </c>
      <c r="H38" s="1640">
        <f t="shared" ref="H38:R38" si="23">H39+H40</f>
        <v>0</v>
      </c>
      <c r="I38" s="1640">
        <f t="shared" si="23"/>
        <v>0</v>
      </c>
      <c r="J38" s="1640">
        <f t="shared" si="23"/>
        <v>0</v>
      </c>
      <c r="K38" s="1640">
        <f t="shared" si="23"/>
        <v>0</v>
      </c>
      <c r="L38" s="1640">
        <f t="shared" si="23"/>
        <v>0</v>
      </c>
      <c r="M38" s="1640">
        <f t="shared" si="23"/>
        <v>0</v>
      </c>
      <c r="N38" s="1640">
        <f t="shared" si="23"/>
        <v>0</v>
      </c>
      <c r="O38" s="1640">
        <f t="shared" si="23"/>
        <v>0</v>
      </c>
      <c r="P38" s="1640">
        <f t="shared" si="23"/>
        <v>0</v>
      </c>
      <c r="Q38" s="1640">
        <f t="shared" si="23"/>
        <v>0</v>
      </c>
      <c r="R38" s="1642">
        <f t="shared" si="23"/>
        <v>0</v>
      </c>
    </row>
    <row r="39" spans="1:18" ht="16.5" customHeight="1">
      <c r="A39" s="1691" t="s">
        <v>1747</v>
      </c>
      <c r="B39" s="1598" t="s">
        <v>1739</v>
      </c>
      <c r="C39" s="1594" t="s">
        <v>21</v>
      </c>
      <c r="D39" s="1599">
        <v>0</v>
      </c>
      <c r="E39" s="1599">
        <f>E58+E73</f>
        <v>0</v>
      </c>
      <c r="F39" s="1635">
        <f t="shared" si="13"/>
        <v>0</v>
      </c>
      <c r="G39" s="1599">
        <f t="shared" ref="G39:R39" si="24">G58+G73</f>
        <v>0</v>
      </c>
      <c r="H39" s="1635">
        <f t="shared" si="24"/>
        <v>0</v>
      </c>
      <c r="I39" s="1635">
        <f t="shared" si="24"/>
        <v>0</v>
      </c>
      <c r="J39" s="1635">
        <f t="shared" si="24"/>
        <v>0</v>
      </c>
      <c r="K39" s="1635">
        <f t="shared" si="24"/>
        <v>0</v>
      </c>
      <c r="L39" s="1635">
        <f t="shared" si="24"/>
        <v>0</v>
      </c>
      <c r="M39" s="1635">
        <f t="shared" si="24"/>
        <v>0</v>
      </c>
      <c r="N39" s="1635">
        <f t="shared" si="24"/>
        <v>0</v>
      </c>
      <c r="O39" s="1635">
        <f t="shared" si="24"/>
        <v>0</v>
      </c>
      <c r="P39" s="1635">
        <f t="shared" si="24"/>
        <v>0</v>
      </c>
      <c r="Q39" s="1635">
        <f t="shared" si="24"/>
        <v>0</v>
      </c>
      <c r="R39" s="1636">
        <f t="shared" si="24"/>
        <v>0</v>
      </c>
    </row>
    <row r="40" spans="1:18" ht="18.75" customHeight="1" thickBot="1">
      <c r="A40" s="1602" t="s">
        <v>1748</v>
      </c>
      <c r="B40" s="1603" t="s">
        <v>1741</v>
      </c>
      <c r="C40" s="1594" t="s">
        <v>21</v>
      </c>
      <c r="D40" s="1650">
        <f>D64+D74</f>
        <v>0</v>
      </c>
      <c r="E40" s="1650">
        <f>E64+E74</f>
        <v>0</v>
      </c>
      <c r="F40" s="1635">
        <f t="shared" si="13"/>
        <v>0</v>
      </c>
      <c r="G40" s="1638">
        <f t="shared" ref="G40:R40" si="25">0+G74</f>
        <v>0</v>
      </c>
      <c r="H40" s="1651">
        <f t="shared" si="25"/>
        <v>0</v>
      </c>
      <c r="I40" s="1651">
        <f t="shared" si="25"/>
        <v>0</v>
      </c>
      <c r="J40" s="1651">
        <f t="shared" si="25"/>
        <v>0</v>
      </c>
      <c r="K40" s="1651">
        <f t="shared" si="25"/>
        <v>0</v>
      </c>
      <c r="L40" s="1651">
        <f t="shared" si="25"/>
        <v>0</v>
      </c>
      <c r="M40" s="1651">
        <f t="shared" si="25"/>
        <v>0</v>
      </c>
      <c r="N40" s="1651">
        <f t="shared" si="25"/>
        <v>0</v>
      </c>
      <c r="O40" s="1651">
        <f t="shared" si="25"/>
        <v>0</v>
      </c>
      <c r="P40" s="1651">
        <f t="shared" si="25"/>
        <v>0</v>
      </c>
      <c r="Q40" s="1651">
        <f t="shared" si="25"/>
        <v>0</v>
      </c>
      <c r="R40" s="1652">
        <f t="shared" si="25"/>
        <v>0</v>
      </c>
    </row>
    <row r="41" spans="1:18" ht="24.75" customHeight="1">
      <c r="A41" s="1628" t="s">
        <v>167</v>
      </c>
      <c r="B41" s="1653" t="s">
        <v>1749</v>
      </c>
      <c r="C41" s="1654" t="s">
        <v>21</v>
      </c>
      <c r="D41" s="1641">
        <f t="shared" ref="D41:R41" si="26">D42+D43</f>
        <v>0</v>
      </c>
      <c r="E41" s="1641">
        <f t="shared" si="26"/>
        <v>0</v>
      </c>
      <c r="F41" s="1641">
        <f t="shared" si="26"/>
        <v>0</v>
      </c>
      <c r="G41" s="1641">
        <f t="shared" si="26"/>
        <v>0</v>
      </c>
      <c r="H41" s="1641">
        <f t="shared" si="26"/>
        <v>0</v>
      </c>
      <c r="I41" s="1641">
        <f t="shared" si="26"/>
        <v>0</v>
      </c>
      <c r="J41" s="1641">
        <f t="shared" si="26"/>
        <v>0</v>
      </c>
      <c r="K41" s="1641">
        <f t="shared" si="26"/>
        <v>0</v>
      </c>
      <c r="L41" s="1641">
        <f t="shared" si="26"/>
        <v>0</v>
      </c>
      <c r="M41" s="1641">
        <f t="shared" si="26"/>
        <v>0</v>
      </c>
      <c r="N41" s="1641">
        <f t="shared" si="26"/>
        <v>0</v>
      </c>
      <c r="O41" s="1641">
        <f t="shared" si="26"/>
        <v>0</v>
      </c>
      <c r="P41" s="1641">
        <f t="shared" si="26"/>
        <v>0</v>
      </c>
      <c r="Q41" s="1641">
        <f t="shared" si="26"/>
        <v>0</v>
      </c>
      <c r="R41" s="1655">
        <f t="shared" si="26"/>
        <v>0</v>
      </c>
    </row>
    <row r="42" spans="1:18" ht="27.75" customHeight="1">
      <c r="A42" s="1691" t="s">
        <v>828</v>
      </c>
      <c r="B42" s="1656" t="s">
        <v>1750</v>
      </c>
      <c r="C42" s="1594" t="s">
        <v>21</v>
      </c>
      <c r="D42" s="1599">
        <v>0</v>
      </c>
      <c r="E42" s="1600">
        <v>0</v>
      </c>
      <c r="F42" s="1600">
        <v>0</v>
      </c>
      <c r="G42" s="1600">
        <v>0</v>
      </c>
      <c r="H42" s="1600">
        <v>0</v>
      </c>
      <c r="I42" s="1600">
        <v>0</v>
      </c>
      <c r="J42" s="1600">
        <v>0</v>
      </c>
      <c r="K42" s="1600">
        <v>0</v>
      </c>
      <c r="L42" s="1600">
        <v>0</v>
      </c>
      <c r="M42" s="1600">
        <v>0</v>
      </c>
      <c r="N42" s="1600">
        <v>0</v>
      </c>
      <c r="O42" s="1600">
        <v>0</v>
      </c>
      <c r="P42" s="1600">
        <v>0</v>
      </c>
      <c r="Q42" s="1600">
        <v>0</v>
      </c>
      <c r="R42" s="1601">
        <v>0</v>
      </c>
    </row>
    <row r="43" spans="1:18" ht="33.75" customHeight="1">
      <c r="A43" s="1691" t="s">
        <v>831</v>
      </c>
      <c r="B43" s="1656" t="s">
        <v>1751</v>
      </c>
      <c r="C43" s="1594" t="s">
        <v>21</v>
      </c>
      <c r="D43" s="1657">
        <f>D44+D45</f>
        <v>0</v>
      </c>
      <c r="E43" s="1657">
        <f>E44+E45</f>
        <v>0</v>
      </c>
      <c r="F43" s="1657">
        <f>F44+F45</f>
        <v>0</v>
      </c>
      <c r="G43" s="1657">
        <f>G44+G45</f>
        <v>0</v>
      </c>
      <c r="H43" s="1657">
        <f t="shared" ref="H43:R43" si="27">H44+H45</f>
        <v>0</v>
      </c>
      <c r="I43" s="1657">
        <f t="shared" si="27"/>
        <v>0</v>
      </c>
      <c r="J43" s="1657">
        <f t="shared" si="27"/>
        <v>0</v>
      </c>
      <c r="K43" s="1657">
        <f t="shared" si="27"/>
        <v>0</v>
      </c>
      <c r="L43" s="1657">
        <f t="shared" si="27"/>
        <v>0</v>
      </c>
      <c r="M43" s="1657">
        <f t="shared" si="27"/>
        <v>0</v>
      </c>
      <c r="N43" s="1657">
        <f t="shared" si="27"/>
        <v>0</v>
      </c>
      <c r="O43" s="1657">
        <f t="shared" si="27"/>
        <v>0</v>
      </c>
      <c r="P43" s="1657">
        <f t="shared" si="27"/>
        <v>0</v>
      </c>
      <c r="Q43" s="1657">
        <f t="shared" si="27"/>
        <v>0</v>
      </c>
      <c r="R43" s="1658">
        <f t="shared" si="27"/>
        <v>0</v>
      </c>
    </row>
    <row r="44" spans="1:18" ht="14.25" customHeight="1">
      <c r="A44" s="1691" t="s">
        <v>1752</v>
      </c>
      <c r="B44" s="1656" t="s">
        <v>1739</v>
      </c>
      <c r="C44" s="1594" t="s">
        <v>21</v>
      </c>
      <c r="D44" s="1657">
        <v>0</v>
      </c>
      <c r="E44" s="1657">
        <v>0</v>
      </c>
      <c r="F44" s="1657">
        <v>0</v>
      </c>
      <c r="G44" s="1657">
        <v>0</v>
      </c>
      <c r="H44" s="1657">
        <v>0</v>
      </c>
      <c r="I44" s="1657">
        <v>0</v>
      </c>
      <c r="J44" s="1657">
        <v>0</v>
      </c>
      <c r="K44" s="1657">
        <v>0</v>
      </c>
      <c r="L44" s="1657">
        <v>0</v>
      </c>
      <c r="M44" s="1657">
        <v>0</v>
      </c>
      <c r="N44" s="1657">
        <v>0</v>
      </c>
      <c r="O44" s="1657">
        <v>0</v>
      </c>
      <c r="P44" s="1657">
        <v>0</v>
      </c>
      <c r="Q44" s="1657">
        <v>0</v>
      </c>
      <c r="R44" s="1658">
        <v>0</v>
      </c>
    </row>
    <row r="45" spans="1:18" ht="14.25" customHeight="1" thickBot="1">
      <c r="A45" s="1659" t="s">
        <v>1753</v>
      </c>
      <c r="B45" s="1660" t="s">
        <v>1741</v>
      </c>
      <c r="C45" s="1624" t="s">
        <v>21</v>
      </c>
      <c r="D45" s="1661">
        <v>0</v>
      </c>
      <c r="E45" s="1661">
        <v>0</v>
      </c>
      <c r="F45" s="1662">
        <v>0</v>
      </c>
      <c r="G45" s="1662">
        <v>0</v>
      </c>
      <c r="H45" s="1662">
        <v>0</v>
      </c>
      <c r="I45" s="1662">
        <v>0</v>
      </c>
      <c r="J45" s="1662">
        <v>0</v>
      </c>
      <c r="K45" s="1662">
        <v>0</v>
      </c>
      <c r="L45" s="1662">
        <v>0</v>
      </c>
      <c r="M45" s="1662">
        <v>0</v>
      </c>
      <c r="N45" s="1662">
        <v>0</v>
      </c>
      <c r="O45" s="1662">
        <v>0</v>
      </c>
      <c r="P45" s="1662">
        <v>0</v>
      </c>
      <c r="Q45" s="1662">
        <v>0</v>
      </c>
      <c r="R45" s="1663">
        <v>0</v>
      </c>
    </row>
    <row r="46" spans="1:18" ht="30.75" customHeight="1" thickBot="1">
      <c r="A46" s="1664" t="s">
        <v>162</v>
      </c>
      <c r="B46" s="1665" t="s">
        <v>1754</v>
      </c>
      <c r="C46" s="1666" t="s">
        <v>21</v>
      </c>
      <c r="D46" s="1667">
        <f t="shared" ref="D46:E48" si="28">D50+D56</f>
        <v>0</v>
      </c>
      <c r="E46" s="1667">
        <f t="shared" si="28"/>
        <v>0</v>
      </c>
      <c r="F46" s="1668">
        <f t="shared" ref="F46:R46" si="29">F49+F70</f>
        <v>8535.7796400000007</v>
      </c>
      <c r="G46" s="1669">
        <f t="shared" si="29"/>
        <v>112.2876</v>
      </c>
      <c r="H46" s="1668">
        <f t="shared" si="29"/>
        <v>1230.1056000000001</v>
      </c>
      <c r="I46" s="1668">
        <f t="shared" si="29"/>
        <v>1762.4095200000002</v>
      </c>
      <c r="J46" s="1668">
        <f t="shared" si="29"/>
        <v>2012.2410000000002</v>
      </c>
      <c r="K46" s="1668">
        <f t="shared" si="29"/>
        <v>1814.9452799999997</v>
      </c>
      <c r="L46" s="1668">
        <f t="shared" si="29"/>
        <v>1574.2519199999999</v>
      </c>
      <c r="M46" s="1668">
        <f t="shared" si="29"/>
        <v>29.538719999999998</v>
      </c>
      <c r="N46" s="1670">
        <f t="shared" si="29"/>
        <v>0</v>
      </c>
      <c r="O46" s="1671">
        <f t="shared" si="29"/>
        <v>0</v>
      </c>
      <c r="P46" s="1671">
        <f t="shared" si="29"/>
        <v>0</v>
      </c>
      <c r="Q46" s="1671">
        <f t="shared" si="29"/>
        <v>0</v>
      </c>
      <c r="R46" s="1672">
        <f t="shared" si="29"/>
        <v>0</v>
      </c>
    </row>
    <row r="47" spans="1:18" ht="18" customHeight="1">
      <c r="A47" s="1628"/>
      <c r="B47" s="1673" t="s">
        <v>1755</v>
      </c>
      <c r="C47" s="1654" t="s">
        <v>21</v>
      </c>
      <c r="D47" s="1674">
        <f t="shared" si="28"/>
        <v>0</v>
      </c>
      <c r="E47" s="1674">
        <f t="shared" si="28"/>
        <v>0</v>
      </c>
      <c r="F47" s="1675">
        <f>SUM(G47:R47)</f>
        <v>6460.056239999999</v>
      </c>
      <c r="G47" s="1675">
        <f>G54+G79</f>
        <v>84.9816</v>
      </c>
      <c r="H47" s="1675">
        <f t="shared" ref="H47:M47" si="30">H54+H79</f>
        <v>930.96960000000001</v>
      </c>
      <c r="I47" s="1675">
        <f t="shared" si="30"/>
        <v>1333.8283200000001</v>
      </c>
      <c r="J47" s="1675">
        <f t="shared" si="30"/>
        <v>1522.9059999999999</v>
      </c>
      <c r="K47" s="1675">
        <f t="shared" si="30"/>
        <v>1373.5884799999999</v>
      </c>
      <c r="L47" s="1675">
        <f t="shared" si="30"/>
        <v>1191.4267199999999</v>
      </c>
      <c r="M47" s="1675">
        <f t="shared" si="30"/>
        <v>22.355519999999999</v>
      </c>
      <c r="N47" s="1675">
        <f>N54+N79</f>
        <v>0</v>
      </c>
      <c r="O47" s="1676">
        <f>O54+O79</f>
        <v>0</v>
      </c>
      <c r="P47" s="1676">
        <f>P54+P79</f>
        <v>0</v>
      </c>
      <c r="Q47" s="1676">
        <f>Q54+Q79</f>
        <v>0</v>
      </c>
      <c r="R47" s="1677">
        <f>R54+R79</f>
        <v>0</v>
      </c>
    </row>
    <row r="48" spans="1:18" ht="16.5" customHeight="1">
      <c r="A48" s="1678"/>
      <c r="B48" s="1679" t="s">
        <v>1756</v>
      </c>
      <c r="C48" s="1680" t="s">
        <v>21</v>
      </c>
      <c r="D48" s="1681">
        <f t="shared" si="28"/>
        <v>0</v>
      </c>
      <c r="E48" s="1681">
        <f t="shared" si="28"/>
        <v>0</v>
      </c>
      <c r="F48" s="1682">
        <f>SUM(G48:R48)</f>
        <v>2075.7234000000003</v>
      </c>
      <c r="G48" s="1682">
        <f>G65+G84</f>
        <v>27.306000000000001</v>
      </c>
      <c r="H48" s="1682">
        <f t="shared" ref="H48:R48" si="31">H65+H84</f>
        <v>299.13600000000002</v>
      </c>
      <c r="I48" s="1682">
        <f t="shared" si="31"/>
        <v>428.58120000000002</v>
      </c>
      <c r="J48" s="1682">
        <f t="shared" si="31"/>
        <v>489.33500000000032</v>
      </c>
      <c r="K48" s="1682">
        <f t="shared" si="31"/>
        <v>441.35679999999974</v>
      </c>
      <c r="L48" s="1682">
        <f t="shared" si="31"/>
        <v>382.8252</v>
      </c>
      <c r="M48" s="1682">
        <f t="shared" si="31"/>
        <v>7.1831999999999994</v>
      </c>
      <c r="N48" s="1682">
        <f t="shared" si="31"/>
        <v>0</v>
      </c>
      <c r="O48" s="1683">
        <f t="shared" si="31"/>
        <v>0</v>
      </c>
      <c r="P48" s="1683">
        <f t="shared" si="31"/>
        <v>0</v>
      </c>
      <c r="Q48" s="1683">
        <f t="shared" si="31"/>
        <v>0</v>
      </c>
      <c r="R48" s="1684">
        <f t="shared" si="31"/>
        <v>0</v>
      </c>
    </row>
    <row r="49" spans="1:18" ht="17.25" customHeight="1">
      <c r="A49" s="2696" t="s">
        <v>163</v>
      </c>
      <c r="B49" s="2698" t="s">
        <v>1757</v>
      </c>
      <c r="C49" s="1630" t="s">
        <v>21</v>
      </c>
      <c r="D49" s="1686">
        <f>D53+D59</f>
        <v>0</v>
      </c>
      <c r="E49" s="1686">
        <f>E53+E59</f>
        <v>0</v>
      </c>
      <c r="F49" s="1687">
        <f>SUM(G49:R49)</f>
        <v>0</v>
      </c>
      <c r="G49" s="1688">
        <f t="shared" ref="G49:R49" si="32">G53+G59</f>
        <v>0</v>
      </c>
      <c r="H49" s="1686">
        <f t="shared" si="32"/>
        <v>0</v>
      </c>
      <c r="I49" s="1686">
        <f t="shared" si="32"/>
        <v>0</v>
      </c>
      <c r="J49" s="1686">
        <f t="shared" si="32"/>
        <v>0</v>
      </c>
      <c r="K49" s="1686">
        <f t="shared" si="32"/>
        <v>0</v>
      </c>
      <c r="L49" s="1686">
        <f t="shared" si="32"/>
        <v>0</v>
      </c>
      <c r="M49" s="1686">
        <f t="shared" si="32"/>
        <v>0</v>
      </c>
      <c r="N49" s="1689">
        <f t="shared" si="32"/>
        <v>0</v>
      </c>
      <c r="O49" s="1689">
        <f t="shared" si="32"/>
        <v>0</v>
      </c>
      <c r="P49" s="1689">
        <f t="shared" si="32"/>
        <v>0</v>
      </c>
      <c r="Q49" s="1689">
        <f t="shared" si="32"/>
        <v>0</v>
      </c>
      <c r="R49" s="1690">
        <f t="shared" si="32"/>
        <v>0</v>
      </c>
    </row>
    <row r="50" spans="1:18" ht="17.25" customHeight="1">
      <c r="A50" s="2697"/>
      <c r="B50" s="2699"/>
      <c r="C50" s="1620" t="s">
        <v>4</v>
      </c>
      <c r="D50" s="1692">
        <v>0</v>
      </c>
      <c r="E50" s="1692">
        <v>0</v>
      </c>
      <c r="F50" s="1693">
        <f>F49/F46*100</f>
        <v>0</v>
      </c>
      <c r="G50" s="1693">
        <f t="shared" ref="G50:M50" si="33">G49/G46*100</f>
        <v>0</v>
      </c>
      <c r="H50" s="1693">
        <f t="shared" si="33"/>
        <v>0</v>
      </c>
      <c r="I50" s="1693">
        <f t="shared" si="33"/>
        <v>0</v>
      </c>
      <c r="J50" s="1693">
        <f t="shared" si="33"/>
        <v>0</v>
      </c>
      <c r="K50" s="1693">
        <f t="shared" si="33"/>
        <v>0</v>
      </c>
      <c r="L50" s="1693">
        <f t="shared" si="33"/>
        <v>0</v>
      </c>
      <c r="M50" s="1693">
        <f t="shared" si="33"/>
        <v>0</v>
      </c>
      <c r="N50" s="1694">
        <f t="shared" ref="N50:R52" si="34">IFERROR(N46/N49,0)</f>
        <v>0</v>
      </c>
      <c r="O50" s="1694">
        <f t="shared" si="34"/>
        <v>0</v>
      </c>
      <c r="P50" s="1694">
        <f t="shared" si="34"/>
        <v>0</v>
      </c>
      <c r="Q50" s="1694">
        <f t="shared" si="34"/>
        <v>0</v>
      </c>
      <c r="R50" s="1695">
        <f t="shared" si="34"/>
        <v>0</v>
      </c>
    </row>
    <row r="51" spans="1:18" ht="28.5" customHeight="1">
      <c r="A51" s="1691"/>
      <c r="B51" s="1696" t="s">
        <v>1758</v>
      </c>
      <c r="C51" s="1620" t="s">
        <v>4</v>
      </c>
      <c r="D51" s="1692">
        <v>0</v>
      </c>
      <c r="E51" s="1692">
        <v>0</v>
      </c>
      <c r="F51" s="1697">
        <f>F54/F47*100</f>
        <v>0</v>
      </c>
      <c r="G51" s="1697">
        <f t="shared" ref="G51:M51" si="35">G54/G47*100</f>
        <v>0</v>
      </c>
      <c r="H51" s="1697">
        <f t="shared" si="35"/>
        <v>0</v>
      </c>
      <c r="I51" s="1697">
        <f t="shared" si="35"/>
        <v>0</v>
      </c>
      <c r="J51" s="1697">
        <f t="shared" si="35"/>
        <v>0</v>
      </c>
      <c r="K51" s="1697">
        <f t="shared" si="35"/>
        <v>0</v>
      </c>
      <c r="L51" s="1697">
        <f t="shared" si="35"/>
        <v>0</v>
      </c>
      <c r="M51" s="1697">
        <f t="shared" si="35"/>
        <v>0</v>
      </c>
      <c r="N51" s="1694">
        <f t="shared" si="34"/>
        <v>0</v>
      </c>
      <c r="O51" s="1694">
        <f t="shared" si="34"/>
        <v>0</v>
      </c>
      <c r="P51" s="1694">
        <f t="shared" si="34"/>
        <v>0</v>
      </c>
      <c r="Q51" s="1694">
        <f t="shared" si="34"/>
        <v>0</v>
      </c>
      <c r="R51" s="1695">
        <f t="shared" si="34"/>
        <v>0</v>
      </c>
    </row>
    <row r="52" spans="1:18" ht="28.5" customHeight="1">
      <c r="A52" s="1691"/>
      <c r="B52" s="1696" t="s">
        <v>1759</v>
      </c>
      <c r="C52" s="1620" t="s">
        <v>4</v>
      </c>
      <c r="D52" s="1692">
        <v>0</v>
      </c>
      <c r="E52" s="1692">
        <v>0</v>
      </c>
      <c r="F52" s="1697">
        <f>F65/F48*100</f>
        <v>0</v>
      </c>
      <c r="G52" s="1697">
        <f t="shared" ref="G52:M52" si="36">G65/G48*100</f>
        <v>0</v>
      </c>
      <c r="H52" s="1697">
        <f t="shared" si="36"/>
        <v>0</v>
      </c>
      <c r="I52" s="1697">
        <f t="shared" si="36"/>
        <v>0</v>
      </c>
      <c r="J52" s="1697">
        <f t="shared" si="36"/>
        <v>0</v>
      </c>
      <c r="K52" s="1697">
        <f t="shared" si="36"/>
        <v>0</v>
      </c>
      <c r="L52" s="1697">
        <f t="shared" si="36"/>
        <v>0</v>
      </c>
      <c r="M52" s="1697">
        <f t="shared" si="36"/>
        <v>0</v>
      </c>
      <c r="N52" s="1694">
        <f t="shared" si="34"/>
        <v>0</v>
      </c>
      <c r="O52" s="1694">
        <f t="shared" si="34"/>
        <v>0</v>
      </c>
      <c r="P52" s="1694">
        <f t="shared" si="34"/>
        <v>0</v>
      </c>
      <c r="Q52" s="1694">
        <f t="shared" si="34"/>
        <v>0</v>
      </c>
      <c r="R52" s="1695">
        <f t="shared" si="34"/>
        <v>0</v>
      </c>
    </row>
    <row r="53" spans="1:18" ht="17.25" customHeight="1">
      <c r="A53" s="1691" t="s">
        <v>31</v>
      </c>
      <c r="B53" s="1593" t="s">
        <v>1739</v>
      </c>
      <c r="C53" s="1620" t="s">
        <v>21</v>
      </c>
      <c r="D53" s="1693">
        <f>SUM(D54:D58)</f>
        <v>0</v>
      </c>
      <c r="E53" s="1693">
        <f>SUM(E54:E58)</f>
        <v>0</v>
      </c>
      <c r="F53" s="1697">
        <f t="shared" ref="F53:F58" si="37">SUM(G53:R53)</f>
        <v>0</v>
      </c>
      <c r="G53" s="1698">
        <f>G54+G55+G56+G57+G58</f>
        <v>0</v>
      </c>
      <c r="H53" s="1693">
        <f t="shared" ref="H53:R53" si="38">H54+H55+H56+H57+H58</f>
        <v>0</v>
      </c>
      <c r="I53" s="1693">
        <f t="shared" si="38"/>
        <v>0</v>
      </c>
      <c r="J53" s="1693">
        <f t="shared" si="38"/>
        <v>0</v>
      </c>
      <c r="K53" s="1693">
        <f t="shared" si="38"/>
        <v>0</v>
      </c>
      <c r="L53" s="1693">
        <f t="shared" si="38"/>
        <v>0</v>
      </c>
      <c r="M53" s="1693">
        <f t="shared" si="38"/>
        <v>0</v>
      </c>
      <c r="N53" s="1694">
        <f t="shared" si="38"/>
        <v>0</v>
      </c>
      <c r="O53" s="1694">
        <f t="shared" si="38"/>
        <v>0</v>
      </c>
      <c r="P53" s="1694">
        <f t="shared" si="38"/>
        <v>0</v>
      </c>
      <c r="Q53" s="1694">
        <f t="shared" si="38"/>
        <v>0</v>
      </c>
      <c r="R53" s="1695">
        <f t="shared" si="38"/>
        <v>0</v>
      </c>
    </row>
    <row r="54" spans="1:18" ht="17.25" customHeight="1">
      <c r="A54" s="1691" t="s">
        <v>1376</v>
      </c>
      <c r="B54" s="1699" t="s">
        <v>1760</v>
      </c>
      <c r="C54" s="1700" t="s">
        <v>21</v>
      </c>
      <c r="D54" s="1701">
        <v>0</v>
      </c>
      <c r="E54" s="1702">
        <v>0</v>
      </c>
      <c r="F54" s="1702">
        <f t="shared" si="37"/>
        <v>0</v>
      </c>
      <c r="G54" s="1703">
        <v>0</v>
      </c>
      <c r="H54" s="1703">
        <v>0</v>
      </c>
      <c r="I54" s="1703">
        <v>0</v>
      </c>
      <c r="J54" s="1701">
        <v>0</v>
      </c>
      <c r="K54" s="1701">
        <v>0</v>
      </c>
      <c r="L54" s="1701">
        <v>0</v>
      </c>
      <c r="M54" s="1701">
        <v>0</v>
      </c>
      <c r="N54" s="1704">
        <v>0</v>
      </c>
      <c r="O54" s="1704">
        <v>0</v>
      </c>
      <c r="P54" s="1704">
        <v>0</v>
      </c>
      <c r="Q54" s="1704">
        <v>0</v>
      </c>
      <c r="R54" s="1695">
        <v>0</v>
      </c>
    </row>
    <row r="55" spans="1:18" ht="17.25" customHeight="1">
      <c r="A55" s="1691" t="s">
        <v>1377</v>
      </c>
      <c r="B55" s="1696" t="s">
        <v>157</v>
      </c>
      <c r="C55" s="1620" t="s">
        <v>21</v>
      </c>
      <c r="D55" s="1705">
        <v>0</v>
      </c>
      <c r="E55" s="1706">
        <v>0</v>
      </c>
      <c r="F55" s="1706">
        <f t="shared" si="37"/>
        <v>0</v>
      </c>
      <c r="G55" s="1707">
        <v>0</v>
      </c>
      <c r="H55" s="1708">
        <v>0</v>
      </c>
      <c r="I55" s="1708">
        <v>0</v>
      </c>
      <c r="J55" s="1708">
        <v>0</v>
      </c>
      <c r="K55" s="1708">
        <v>0</v>
      </c>
      <c r="L55" s="1708">
        <v>0</v>
      </c>
      <c r="M55" s="1708">
        <v>0</v>
      </c>
      <c r="N55" s="1704">
        <v>0</v>
      </c>
      <c r="O55" s="1704">
        <v>0</v>
      </c>
      <c r="P55" s="1704">
        <v>0</v>
      </c>
      <c r="Q55" s="1704">
        <v>0</v>
      </c>
      <c r="R55" s="1695">
        <v>0</v>
      </c>
    </row>
    <row r="56" spans="1:18" ht="17.25" customHeight="1">
      <c r="A56" s="1691" t="s">
        <v>592</v>
      </c>
      <c r="B56" s="1696" t="s">
        <v>590</v>
      </c>
      <c r="C56" s="1666" t="s">
        <v>21</v>
      </c>
      <c r="D56" s="1708">
        <v>0</v>
      </c>
      <c r="E56" s="1706">
        <v>0</v>
      </c>
      <c r="F56" s="1706">
        <f t="shared" si="37"/>
        <v>0</v>
      </c>
      <c r="G56" s="1707">
        <v>0</v>
      </c>
      <c r="H56" s="1708">
        <v>0</v>
      </c>
      <c r="I56" s="1708">
        <v>0</v>
      </c>
      <c r="J56" s="1708">
        <v>0</v>
      </c>
      <c r="K56" s="1708">
        <v>0</v>
      </c>
      <c r="L56" s="1708">
        <v>0</v>
      </c>
      <c r="M56" s="1708">
        <v>0</v>
      </c>
      <c r="N56" s="1704">
        <v>0</v>
      </c>
      <c r="O56" s="1704">
        <v>0</v>
      </c>
      <c r="P56" s="1704">
        <v>0</v>
      </c>
      <c r="Q56" s="1704">
        <v>0</v>
      </c>
      <c r="R56" s="1695">
        <v>0</v>
      </c>
    </row>
    <row r="57" spans="1:18" ht="17.25" customHeight="1">
      <c r="A57" s="1691" t="s">
        <v>1761</v>
      </c>
      <c r="B57" s="1696" t="s">
        <v>150</v>
      </c>
      <c r="C57" s="1620" t="s">
        <v>21</v>
      </c>
      <c r="D57" s="1708">
        <v>0</v>
      </c>
      <c r="E57" s="1706">
        <v>0</v>
      </c>
      <c r="F57" s="1706">
        <f t="shared" si="37"/>
        <v>0</v>
      </c>
      <c r="G57" s="1707">
        <v>0</v>
      </c>
      <c r="H57" s="1708">
        <v>0</v>
      </c>
      <c r="I57" s="1708">
        <v>0</v>
      </c>
      <c r="J57" s="1708">
        <v>0</v>
      </c>
      <c r="K57" s="1708">
        <v>0</v>
      </c>
      <c r="L57" s="1708">
        <v>0</v>
      </c>
      <c r="M57" s="1708">
        <v>0</v>
      </c>
      <c r="N57" s="1704">
        <v>0</v>
      </c>
      <c r="O57" s="1704">
        <v>0</v>
      </c>
      <c r="P57" s="1704">
        <v>0</v>
      </c>
      <c r="Q57" s="1704">
        <v>0</v>
      </c>
      <c r="R57" s="1695">
        <v>0</v>
      </c>
    </row>
    <row r="58" spans="1:18" ht="15.75" customHeight="1">
      <c r="A58" s="1691" t="s">
        <v>1762</v>
      </c>
      <c r="B58" s="1696" t="s">
        <v>1763</v>
      </c>
      <c r="C58" s="1630" t="s">
        <v>21</v>
      </c>
      <c r="D58" s="1708">
        <v>0</v>
      </c>
      <c r="E58" s="1706">
        <v>0</v>
      </c>
      <c r="F58" s="1706">
        <f t="shared" si="37"/>
        <v>0</v>
      </c>
      <c r="G58" s="1707">
        <v>0</v>
      </c>
      <c r="H58" s="1708">
        <v>0</v>
      </c>
      <c r="I58" s="1708">
        <v>0</v>
      </c>
      <c r="J58" s="1708">
        <v>0</v>
      </c>
      <c r="K58" s="1708">
        <v>0</v>
      </c>
      <c r="L58" s="1708">
        <v>0</v>
      </c>
      <c r="M58" s="1708">
        <v>0</v>
      </c>
      <c r="N58" s="1704">
        <v>0</v>
      </c>
      <c r="O58" s="1704">
        <v>0</v>
      </c>
      <c r="P58" s="1704">
        <v>0</v>
      </c>
      <c r="Q58" s="1704">
        <v>0</v>
      </c>
      <c r="R58" s="1695">
        <v>0</v>
      </c>
    </row>
    <row r="59" spans="1:18" ht="17.25" customHeight="1">
      <c r="A59" s="1691" t="s">
        <v>32</v>
      </c>
      <c r="B59" s="1709" t="s">
        <v>1741</v>
      </c>
      <c r="C59" s="1620" t="s">
        <v>21</v>
      </c>
      <c r="D59" s="1693">
        <f>SUM(D60:D64)</f>
        <v>0</v>
      </c>
      <c r="E59" s="1693">
        <f>SUM(E60:E64)</f>
        <v>0</v>
      </c>
      <c r="F59" s="1697">
        <f t="shared" ref="F59:F64" si="39">SUM(G59:R59)</f>
        <v>0</v>
      </c>
      <c r="G59" s="1692">
        <f>G60+G61+G62+G63+G64+G65</f>
        <v>0</v>
      </c>
      <c r="H59" s="1693">
        <f t="shared" ref="H59:R59" si="40">H60+H61+H62+H63+H64</f>
        <v>0</v>
      </c>
      <c r="I59" s="1693">
        <f t="shared" si="40"/>
        <v>0</v>
      </c>
      <c r="J59" s="1693">
        <f t="shared" si="40"/>
        <v>0</v>
      </c>
      <c r="K59" s="1693">
        <f t="shared" si="40"/>
        <v>0</v>
      </c>
      <c r="L59" s="1693">
        <f t="shared" si="40"/>
        <v>0</v>
      </c>
      <c r="M59" s="1693">
        <f t="shared" si="40"/>
        <v>0</v>
      </c>
      <c r="N59" s="1710">
        <f t="shared" si="40"/>
        <v>0</v>
      </c>
      <c r="O59" s="1711">
        <f t="shared" si="40"/>
        <v>0</v>
      </c>
      <c r="P59" s="1711">
        <f t="shared" si="40"/>
        <v>0</v>
      </c>
      <c r="Q59" s="1711">
        <f t="shared" si="40"/>
        <v>0</v>
      </c>
      <c r="R59" s="1712">
        <f t="shared" si="40"/>
        <v>0</v>
      </c>
    </row>
    <row r="60" spans="1:18" ht="17.25" customHeight="1">
      <c r="A60" s="1691" t="s">
        <v>585</v>
      </c>
      <c r="B60" s="1713" t="s">
        <v>3</v>
      </c>
      <c r="C60" s="1620" t="s">
        <v>21</v>
      </c>
      <c r="D60" s="1708">
        <v>0</v>
      </c>
      <c r="E60" s="1706">
        <v>0</v>
      </c>
      <c r="F60" s="1706">
        <f t="shared" si="39"/>
        <v>0</v>
      </c>
      <c r="G60" s="1714">
        <v>0</v>
      </c>
      <c r="H60" s="1714">
        <v>0</v>
      </c>
      <c r="I60" s="1714">
        <v>0</v>
      </c>
      <c r="J60" s="1714">
        <v>0</v>
      </c>
      <c r="K60" s="1714">
        <v>0</v>
      </c>
      <c r="L60" s="1714">
        <v>0</v>
      </c>
      <c r="M60" s="1714">
        <v>0</v>
      </c>
      <c r="N60" s="1714">
        <v>0</v>
      </c>
      <c r="O60" s="1714">
        <v>0</v>
      </c>
      <c r="P60" s="1714">
        <v>0</v>
      </c>
      <c r="Q60" s="1714">
        <v>0</v>
      </c>
      <c r="R60" s="1715">
        <v>0</v>
      </c>
    </row>
    <row r="61" spans="1:18" ht="17.25" customHeight="1">
      <c r="A61" s="1691" t="s">
        <v>1764</v>
      </c>
      <c r="B61" s="1696" t="s">
        <v>157</v>
      </c>
      <c r="C61" s="1620" t="s">
        <v>21</v>
      </c>
      <c r="D61" s="1708">
        <v>0</v>
      </c>
      <c r="E61" s="1706">
        <v>0</v>
      </c>
      <c r="F61" s="1706">
        <f t="shared" si="39"/>
        <v>0</v>
      </c>
      <c r="G61" s="1714">
        <v>0</v>
      </c>
      <c r="H61" s="1708">
        <v>0</v>
      </c>
      <c r="I61" s="1708">
        <v>0</v>
      </c>
      <c r="J61" s="1708">
        <v>0</v>
      </c>
      <c r="K61" s="1708">
        <v>0</v>
      </c>
      <c r="L61" s="1708">
        <v>0</v>
      </c>
      <c r="M61" s="1708">
        <v>0</v>
      </c>
      <c r="N61" s="1714">
        <v>0</v>
      </c>
      <c r="O61" s="1714">
        <v>0</v>
      </c>
      <c r="P61" s="1714">
        <v>0</v>
      </c>
      <c r="Q61" s="1714">
        <v>0</v>
      </c>
      <c r="R61" s="1715">
        <v>0</v>
      </c>
    </row>
    <row r="62" spans="1:18" ht="17.25" customHeight="1">
      <c r="A62" s="1691" t="s">
        <v>1765</v>
      </c>
      <c r="B62" s="1696" t="s">
        <v>590</v>
      </c>
      <c r="C62" s="1620" t="s">
        <v>21</v>
      </c>
      <c r="D62" s="1708">
        <v>0</v>
      </c>
      <c r="E62" s="1706">
        <v>0</v>
      </c>
      <c r="F62" s="1706">
        <f t="shared" si="39"/>
        <v>0</v>
      </c>
      <c r="G62" s="1714">
        <v>0</v>
      </c>
      <c r="H62" s="1708">
        <v>0</v>
      </c>
      <c r="I62" s="1708">
        <v>0</v>
      </c>
      <c r="J62" s="1708">
        <v>0</v>
      </c>
      <c r="K62" s="1708">
        <v>0</v>
      </c>
      <c r="L62" s="1708">
        <v>0</v>
      </c>
      <c r="M62" s="1708">
        <v>0</v>
      </c>
      <c r="N62" s="1714">
        <v>0</v>
      </c>
      <c r="O62" s="1714">
        <v>0</v>
      </c>
      <c r="P62" s="1714">
        <v>0</v>
      </c>
      <c r="Q62" s="1714">
        <v>0</v>
      </c>
      <c r="R62" s="1715">
        <v>0</v>
      </c>
    </row>
    <row r="63" spans="1:18" ht="17.25" customHeight="1">
      <c r="A63" s="1691" t="s">
        <v>1766</v>
      </c>
      <c r="B63" s="1696" t="s">
        <v>150</v>
      </c>
      <c r="C63" s="1620" t="s">
        <v>21</v>
      </c>
      <c r="D63" s="1708">
        <v>0</v>
      </c>
      <c r="E63" s="1706">
        <v>0</v>
      </c>
      <c r="F63" s="1706">
        <f t="shared" si="39"/>
        <v>0</v>
      </c>
      <c r="G63" s="1714">
        <v>0</v>
      </c>
      <c r="H63" s="1708">
        <v>0</v>
      </c>
      <c r="I63" s="1708">
        <v>0</v>
      </c>
      <c r="J63" s="1708">
        <v>0</v>
      </c>
      <c r="K63" s="1708">
        <v>0</v>
      </c>
      <c r="L63" s="1708">
        <v>0</v>
      </c>
      <c r="M63" s="1708">
        <v>0</v>
      </c>
      <c r="N63" s="1714">
        <v>0</v>
      </c>
      <c r="O63" s="1714">
        <v>0</v>
      </c>
      <c r="P63" s="1714">
        <v>0</v>
      </c>
      <c r="Q63" s="1714">
        <v>0</v>
      </c>
      <c r="R63" s="1715">
        <v>0</v>
      </c>
    </row>
    <row r="64" spans="1:18" ht="15.75" customHeight="1">
      <c r="A64" s="1691" t="s">
        <v>1767</v>
      </c>
      <c r="B64" s="1696" t="s">
        <v>1763</v>
      </c>
      <c r="C64" s="1630" t="s">
        <v>21</v>
      </c>
      <c r="D64" s="1693">
        <v>0</v>
      </c>
      <c r="E64" s="1697">
        <v>0</v>
      </c>
      <c r="F64" s="1716">
        <f t="shared" si="39"/>
        <v>0</v>
      </c>
      <c r="G64" s="1692">
        <v>0</v>
      </c>
      <c r="H64" s="1693">
        <v>0</v>
      </c>
      <c r="I64" s="1693">
        <v>0</v>
      </c>
      <c r="J64" s="1693">
        <v>0</v>
      </c>
      <c r="K64" s="1693">
        <v>0</v>
      </c>
      <c r="L64" s="1693">
        <v>0</v>
      </c>
      <c r="M64" s="1693">
        <v>0</v>
      </c>
      <c r="N64" s="1693">
        <v>0</v>
      </c>
      <c r="O64" s="1693">
        <v>0</v>
      </c>
      <c r="P64" s="1693">
        <v>0</v>
      </c>
      <c r="Q64" s="1693">
        <v>0</v>
      </c>
      <c r="R64" s="1717">
        <v>0</v>
      </c>
    </row>
    <row r="65" spans="1:18" ht="15.75" customHeight="1">
      <c r="A65" s="1691" t="s">
        <v>1768</v>
      </c>
      <c r="B65" s="1718" t="s">
        <v>1756</v>
      </c>
      <c r="C65" s="1630" t="s">
        <v>21</v>
      </c>
      <c r="D65" s="1693">
        <v>0</v>
      </c>
      <c r="E65" s="1693">
        <v>0</v>
      </c>
      <c r="F65" s="1693">
        <v>0</v>
      </c>
      <c r="G65" s="1693">
        <v>0</v>
      </c>
      <c r="H65" s="1693">
        <v>0</v>
      </c>
      <c r="I65" s="1693">
        <v>0</v>
      </c>
      <c r="J65" s="1693">
        <v>0</v>
      </c>
      <c r="K65" s="1693">
        <v>0</v>
      </c>
      <c r="L65" s="1693">
        <v>0</v>
      </c>
      <c r="M65" s="1693">
        <v>0</v>
      </c>
      <c r="N65" s="1693">
        <v>0</v>
      </c>
      <c r="O65" s="1693">
        <v>0</v>
      </c>
      <c r="P65" s="1693">
        <v>0</v>
      </c>
      <c r="Q65" s="1693">
        <v>0</v>
      </c>
      <c r="R65" s="1717">
        <v>0</v>
      </c>
    </row>
    <row r="66" spans="1:18" ht="14.25" customHeight="1">
      <c r="A66" s="2697" t="s">
        <v>164</v>
      </c>
      <c r="B66" s="2701" t="s">
        <v>1769</v>
      </c>
      <c r="C66" s="2693" t="s">
        <v>21</v>
      </c>
      <c r="D66" s="2693">
        <v>0</v>
      </c>
      <c r="E66" s="2693">
        <v>0</v>
      </c>
      <c r="F66" s="2693">
        <v>0</v>
      </c>
      <c r="G66" s="2693">
        <v>0</v>
      </c>
      <c r="H66" s="2693">
        <v>0</v>
      </c>
      <c r="I66" s="2693">
        <v>0</v>
      </c>
      <c r="J66" s="2693">
        <v>0</v>
      </c>
      <c r="K66" s="2693">
        <v>0</v>
      </c>
      <c r="L66" s="2693">
        <v>0</v>
      </c>
      <c r="M66" s="2693">
        <v>0</v>
      </c>
      <c r="N66" s="2693">
        <v>0</v>
      </c>
      <c r="O66" s="2693">
        <v>0</v>
      </c>
      <c r="P66" s="2693">
        <v>0</v>
      </c>
      <c r="Q66" s="2693">
        <v>0</v>
      </c>
      <c r="R66" s="2731">
        <v>0</v>
      </c>
    </row>
    <row r="67" spans="1:18" ht="12" customHeight="1">
      <c r="A67" s="2700"/>
      <c r="B67" s="2702"/>
      <c r="C67" s="2694"/>
      <c r="D67" s="2695"/>
      <c r="E67" s="2694"/>
      <c r="F67" s="2694"/>
      <c r="G67" s="2694"/>
      <c r="H67" s="2694"/>
      <c r="I67" s="2694"/>
      <c r="J67" s="2694"/>
      <c r="K67" s="2694"/>
      <c r="L67" s="2694"/>
      <c r="M67" s="2694"/>
      <c r="N67" s="2694"/>
      <c r="O67" s="2694"/>
      <c r="P67" s="2694"/>
      <c r="Q67" s="2694"/>
      <c r="R67" s="2732"/>
    </row>
    <row r="68" spans="1:18" ht="14.25" customHeight="1">
      <c r="A68" s="2733" t="s">
        <v>165</v>
      </c>
      <c r="B68" s="2734" t="s">
        <v>1770</v>
      </c>
      <c r="C68" s="1620" t="s">
        <v>21</v>
      </c>
      <c r="D68" s="1694">
        <v>0</v>
      </c>
      <c r="E68" s="1694">
        <v>0</v>
      </c>
      <c r="F68" s="1694">
        <v>0</v>
      </c>
      <c r="G68" s="1694">
        <v>0</v>
      </c>
      <c r="H68" s="1694">
        <v>0</v>
      </c>
      <c r="I68" s="1694">
        <v>0</v>
      </c>
      <c r="J68" s="1694">
        <v>0</v>
      </c>
      <c r="K68" s="1694">
        <v>0</v>
      </c>
      <c r="L68" s="1694">
        <v>0</v>
      </c>
      <c r="M68" s="1694">
        <v>0</v>
      </c>
      <c r="N68" s="1694">
        <v>0</v>
      </c>
      <c r="O68" s="1694">
        <v>0</v>
      </c>
      <c r="P68" s="1694">
        <v>0</v>
      </c>
      <c r="Q68" s="1694">
        <v>0</v>
      </c>
      <c r="R68" s="1695">
        <v>0</v>
      </c>
    </row>
    <row r="69" spans="1:18" ht="13.5" customHeight="1">
      <c r="A69" s="2733"/>
      <c r="B69" s="2734"/>
      <c r="C69" s="1620" t="s">
        <v>4</v>
      </c>
      <c r="D69" s="1694">
        <v>0</v>
      </c>
      <c r="E69" s="1694">
        <v>0</v>
      </c>
      <c r="F69" s="1694">
        <v>0</v>
      </c>
      <c r="G69" s="1694">
        <v>0</v>
      </c>
      <c r="H69" s="1694">
        <v>0</v>
      </c>
      <c r="I69" s="1694">
        <v>0</v>
      </c>
      <c r="J69" s="1694">
        <v>0</v>
      </c>
      <c r="K69" s="1694">
        <v>0</v>
      </c>
      <c r="L69" s="1694">
        <v>0</v>
      </c>
      <c r="M69" s="1694">
        <v>0</v>
      </c>
      <c r="N69" s="1694">
        <v>0</v>
      </c>
      <c r="O69" s="1694">
        <v>0</v>
      </c>
      <c r="P69" s="1694">
        <v>0</v>
      </c>
      <c r="Q69" s="1694">
        <v>0</v>
      </c>
      <c r="R69" s="1695">
        <v>0</v>
      </c>
    </row>
    <row r="70" spans="1:18" ht="30.75" customHeight="1">
      <c r="A70" s="1721" t="s">
        <v>907</v>
      </c>
      <c r="B70" s="1593" t="s">
        <v>1771</v>
      </c>
      <c r="C70" s="1680" t="s">
        <v>21</v>
      </c>
      <c r="D70" s="1686">
        <f>D72+D75</f>
        <v>0</v>
      </c>
      <c r="E70" s="1722">
        <f>E72+E75</f>
        <v>0</v>
      </c>
      <c r="F70" s="1686">
        <f>SUM(G70:R70)</f>
        <v>8535.7796400000007</v>
      </c>
      <c r="G70" s="1686">
        <f>G72+G75</f>
        <v>112.2876</v>
      </c>
      <c r="H70" s="1722">
        <f t="shared" ref="H70:R70" si="41">H72+H75</f>
        <v>1230.1056000000001</v>
      </c>
      <c r="I70" s="1722">
        <f t="shared" si="41"/>
        <v>1762.4095200000002</v>
      </c>
      <c r="J70" s="1722">
        <f t="shared" si="41"/>
        <v>2012.2410000000002</v>
      </c>
      <c r="K70" s="1722">
        <f t="shared" si="41"/>
        <v>1814.9452799999997</v>
      </c>
      <c r="L70" s="1722">
        <f t="shared" si="41"/>
        <v>1574.2519199999999</v>
      </c>
      <c r="M70" s="1722">
        <f t="shared" si="41"/>
        <v>29.538719999999998</v>
      </c>
      <c r="N70" s="1686">
        <f t="shared" si="41"/>
        <v>0</v>
      </c>
      <c r="O70" s="1686">
        <f t="shared" si="41"/>
        <v>0</v>
      </c>
      <c r="P70" s="1686">
        <f t="shared" si="41"/>
        <v>0</v>
      </c>
      <c r="Q70" s="1686">
        <f t="shared" si="41"/>
        <v>0</v>
      </c>
      <c r="R70" s="1717">
        <f t="shared" si="41"/>
        <v>0</v>
      </c>
    </row>
    <row r="71" spans="1:18" ht="29.25" customHeight="1">
      <c r="A71" s="1723" t="s">
        <v>735</v>
      </c>
      <c r="B71" s="1724" t="s">
        <v>1772</v>
      </c>
      <c r="C71" s="1620" t="s">
        <v>21</v>
      </c>
      <c r="D71" s="1725">
        <v>0</v>
      </c>
      <c r="E71" s="1725">
        <v>0</v>
      </c>
      <c r="F71" s="1657">
        <v>0</v>
      </c>
      <c r="G71" s="1657">
        <v>0</v>
      </c>
      <c r="H71" s="1657">
        <v>0</v>
      </c>
      <c r="I71" s="1657">
        <v>0</v>
      </c>
      <c r="J71" s="1657">
        <v>0</v>
      </c>
      <c r="K71" s="1657">
        <v>0</v>
      </c>
      <c r="L71" s="1657">
        <v>0</v>
      </c>
      <c r="M71" s="1657">
        <v>0</v>
      </c>
      <c r="N71" s="1657">
        <v>0</v>
      </c>
      <c r="O71" s="1657">
        <v>0</v>
      </c>
      <c r="P71" s="1657">
        <v>0</v>
      </c>
      <c r="Q71" s="1657">
        <v>0</v>
      </c>
      <c r="R71" s="1658">
        <v>0</v>
      </c>
    </row>
    <row r="72" spans="1:18" ht="20.25" customHeight="1">
      <c r="A72" s="1685" t="s">
        <v>736</v>
      </c>
      <c r="B72" s="1726" t="s">
        <v>1773</v>
      </c>
      <c r="C72" s="1727" t="s">
        <v>21</v>
      </c>
      <c r="D72" s="1722">
        <f>D73+D74</f>
        <v>0</v>
      </c>
      <c r="E72" s="1722">
        <f>E73+E74</f>
        <v>0</v>
      </c>
      <c r="F72" s="1728">
        <f>F73+F74</f>
        <v>0</v>
      </c>
      <c r="G72" s="1729">
        <f>G73+G74</f>
        <v>0</v>
      </c>
      <c r="H72" s="1728">
        <f t="shared" ref="H72:R72" si="42">H73+H74</f>
        <v>0</v>
      </c>
      <c r="I72" s="1728">
        <f t="shared" si="42"/>
        <v>0</v>
      </c>
      <c r="J72" s="1728">
        <f t="shared" si="42"/>
        <v>0</v>
      </c>
      <c r="K72" s="1728">
        <f t="shared" si="42"/>
        <v>0</v>
      </c>
      <c r="L72" s="1728">
        <f t="shared" si="42"/>
        <v>0</v>
      </c>
      <c r="M72" s="1728">
        <f t="shared" si="42"/>
        <v>0</v>
      </c>
      <c r="N72" s="1728">
        <f t="shared" si="42"/>
        <v>0</v>
      </c>
      <c r="O72" s="1728">
        <f t="shared" si="42"/>
        <v>0</v>
      </c>
      <c r="P72" s="1728">
        <f t="shared" si="42"/>
        <v>0</v>
      </c>
      <c r="Q72" s="1728">
        <f t="shared" si="42"/>
        <v>0</v>
      </c>
      <c r="R72" s="1730">
        <f t="shared" si="42"/>
        <v>0</v>
      </c>
    </row>
    <row r="73" spans="1:18" ht="15.75" customHeight="1">
      <c r="A73" s="1723" t="s">
        <v>1774</v>
      </c>
      <c r="B73" s="1731" t="s">
        <v>1739</v>
      </c>
      <c r="C73" s="1732" t="s">
        <v>21</v>
      </c>
      <c r="D73" s="1733">
        <v>0</v>
      </c>
      <c r="E73" s="1733">
        <v>0</v>
      </c>
      <c r="F73" s="1734">
        <f>SUM(G73:R73)</f>
        <v>0</v>
      </c>
      <c r="G73" s="1735">
        <v>0</v>
      </c>
      <c r="H73" s="1735">
        <v>0</v>
      </c>
      <c r="I73" s="1735">
        <v>0</v>
      </c>
      <c r="J73" s="1735">
        <v>0</v>
      </c>
      <c r="K73" s="1735">
        <v>0</v>
      </c>
      <c r="L73" s="1735">
        <v>0</v>
      </c>
      <c r="M73" s="1735">
        <v>0</v>
      </c>
      <c r="N73" s="1735">
        <v>0</v>
      </c>
      <c r="O73" s="1736">
        <v>0</v>
      </c>
      <c r="P73" s="1736">
        <v>0</v>
      </c>
      <c r="Q73" s="1736">
        <v>0</v>
      </c>
      <c r="R73" s="1737">
        <v>0</v>
      </c>
    </row>
    <row r="74" spans="1:18" ht="15" customHeight="1" thickBot="1">
      <c r="A74" s="1738" t="s">
        <v>1775</v>
      </c>
      <c r="B74" s="1739" t="s">
        <v>1741</v>
      </c>
      <c r="C74" s="1732" t="s">
        <v>21</v>
      </c>
      <c r="D74" s="1740">
        <v>0</v>
      </c>
      <c r="E74" s="1740">
        <v>0</v>
      </c>
      <c r="F74" s="1732">
        <v>0</v>
      </c>
      <c r="G74" s="1741">
        <v>0</v>
      </c>
      <c r="H74" s="1741">
        <v>0</v>
      </c>
      <c r="I74" s="1741">
        <v>0</v>
      </c>
      <c r="J74" s="1741">
        <v>0</v>
      </c>
      <c r="K74" s="1741">
        <v>0</v>
      </c>
      <c r="L74" s="1741">
        <v>0</v>
      </c>
      <c r="M74" s="1741">
        <v>0</v>
      </c>
      <c r="N74" s="1661">
        <v>0</v>
      </c>
      <c r="O74" s="1661">
        <v>0</v>
      </c>
      <c r="P74" s="1661">
        <v>0</v>
      </c>
      <c r="Q74" s="1661">
        <v>0</v>
      </c>
      <c r="R74" s="1639">
        <v>0</v>
      </c>
    </row>
    <row r="75" spans="1:18" ht="42.6" customHeight="1">
      <c r="A75" s="1790" t="s">
        <v>737</v>
      </c>
      <c r="B75" s="1742" t="s">
        <v>1776</v>
      </c>
      <c r="C75" s="1743" t="s">
        <v>21</v>
      </c>
      <c r="D75" s="1744">
        <f>D76+D89+D93+D85</f>
        <v>0</v>
      </c>
      <c r="E75" s="1744">
        <f>E76+E89+E93+E85</f>
        <v>0</v>
      </c>
      <c r="F75" s="1745">
        <f>F76+F89+F93+F85</f>
        <v>8535.7796400000007</v>
      </c>
      <c r="G75" s="1746">
        <f>G76</f>
        <v>112.2876</v>
      </c>
      <c r="H75" s="1746">
        <f t="shared" ref="H75:R75" si="43">H76</f>
        <v>1230.1056000000001</v>
      </c>
      <c r="I75" s="1746">
        <f t="shared" si="43"/>
        <v>1762.4095200000002</v>
      </c>
      <c r="J75" s="1746">
        <f t="shared" si="43"/>
        <v>2012.2410000000002</v>
      </c>
      <c r="K75" s="1746">
        <f t="shared" si="43"/>
        <v>1814.9452799999997</v>
      </c>
      <c r="L75" s="1746">
        <f t="shared" si="43"/>
        <v>1574.2519199999999</v>
      </c>
      <c r="M75" s="1746">
        <f t="shared" si="43"/>
        <v>29.538719999999998</v>
      </c>
      <c r="N75" s="1746">
        <f t="shared" si="43"/>
        <v>0</v>
      </c>
      <c r="O75" s="1746">
        <f t="shared" si="43"/>
        <v>0</v>
      </c>
      <c r="P75" s="1746">
        <f t="shared" si="43"/>
        <v>0</v>
      </c>
      <c r="Q75" s="1746">
        <f t="shared" si="43"/>
        <v>0</v>
      </c>
      <c r="R75" s="1747">
        <f t="shared" si="43"/>
        <v>0</v>
      </c>
    </row>
    <row r="76" spans="1:18" ht="17.25" customHeight="1">
      <c r="A76" s="1723" t="s">
        <v>472</v>
      </c>
      <c r="B76" s="1748" t="s">
        <v>1777</v>
      </c>
      <c r="C76" s="1594" t="s">
        <v>21</v>
      </c>
      <c r="D76" s="1749">
        <f>D78+D81</f>
        <v>0</v>
      </c>
      <c r="E76" s="1749">
        <f>E78+E81</f>
        <v>0</v>
      </c>
      <c r="F76" s="1750">
        <f>SUM(G76:M76)</f>
        <v>8535.7796400000007</v>
      </c>
      <c r="G76" s="1751">
        <f>G78+G81+G84</f>
        <v>112.2876</v>
      </c>
      <c r="H76" s="1751">
        <f t="shared" ref="H76:M76" si="44">H78+H81+H84</f>
        <v>1230.1056000000001</v>
      </c>
      <c r="I76" s="1751">
        <f t="shared" si="44"/>
        <v>1762.4095200000002</v>
      </c>
      <c r="J76" s="1751">
        <f t="shared" si="44"/>
        <v>2012.2410000000002</v>
      </c>
      <c r="K76" s="1751">
        <f t="shared" si="44"/>
        <v>1814.9452799999997</v>
      </c>
      <c r="L76" s="1751">
        <f t="shared" si="44"/>
        <v>1574.2519199999999</v>
      </c>
      <c r="M76" s="1751">
        <f t="shared" si="44"/>
        <v>29.538719999999998</v>
      </c>
      <c r="N76" s="1752">
        <v>0</v>
      </c>
      <c r="O76" s="1752">
        <v>0</v>
      </c>
      <c r="P76" s="1752">
        <v>0</v>
      </c>
      <c r="Q76" s="1753">
        <v>0</v>
      </c>
      <c r="R76" s="1754">
        <v>0</v>
      </c>
    </row>
    <row r="77" spans="1:18" ht="15" customHeight="1">
      <c r="A77" s="1723"/>
      <c r="B77" s="1755"/>
      <c r="C77" s="1620" t="s">
        <v>4</v>
      </c>
      <c r="D77" s="1756">
        <v>0</v>
      </c>
      <c r="E77" s="1756">
        <v>0</v>
      </c>
      <c r="F77" s="1756">
        <f t="shared" ref="F77:M77" si="45">F76/F75</f>
        <v>1</v>
      </c>
      <c r="G77" s="1756">
        <f t="shared" si="45"/>
        <v>1</v>
      </c>
      <c r="H77" s="1756">
        <f t="shared" si="45"/>
        <v>1</v>
      </c>
      <c r="I77" s="1756">
        <f t="shared" si="45"/>
        <v>1</v>
      </c>
      <c r="J77" s="1756">
        <f t="shared" si="45"/>
        <v>1</v>
      </c>
      <c r="K77" s="1756">
        <f t="shared" si="45"/>
        <v>1</v>
      </c>
      <c r="L77" s="1756">
        <f t="shared" si="45"/>
        <v>1</v>
      </c>
      <c r="M77" s="1756">
        <f t="shared" si="45"/>
        <v>1</v>
      </c>
      <c r="N77" s="1635">
        <v>0</v>
      </c>
      <c r="O77" s="1635">
        <v>0</v>
      </c>
      <c r="P77" s="1626">
        <v>0</v>
      </c>
      <c r="Q77" s="1626">
        <v>0</v>
      </c>
      <c r="R77" s="1757">
        <v>0</v>
      </c>
    </row>
    <row r="78" spans="1:18" ht="15" customHeight="1">
      <c r="A78" s="1723" t="s">
        <v>579</v>
      </c>
      <c r="B78" s="1598" t="s">
        <v>1739</v>
      </c>
      <c r="C78" s="1594" t="s">
        <v>21</v>
      </c>
      <c r="D78" s="1758">
        <f>D79+D80</f>
        <v>0</v>
      </c>
      <c r="E78" s="1758">
        <f>E79+E80</f>
        <v>0</v>
      </c>
      <c r="F78" s="1759">
        <f>F79+F80</f>
        <v>6460.056239999999</v>
      </c>
      <c r="G78" s="1760">
        <f>G79+G80</f>
        <v>84.9816</v>
      </c>
      <c r="H78" s="1759">
        <f t="shared" ref="H78:R78" si="46">H79+H80</f>
        <v>930.96960000000001</v>
      </c>
      <c r="I78" s="1759">
        <f t="shared" si="46"/>
        <v>1333.8283200000001</v>
      </c>
      <c r="J78" s="1759">
        <f t="shared" si="46"/>
        <v>1522.9059999999999</v>
      </c>
      <c r="K78" s="1759">
        <f t="shared" si="46"/>
        <v>1373.5884799999999</v>
      </c>
      <c r="L78" s="1759">
        <f t="shared" si="46"/>
        <v>1191.4267199999999</v>
      </c>
      <c r="M78" s="1759">
        <f t="shared" si="46"/>
        <v>22.355519999999999</v>
      </c>
      <c r="N78" s="1760">
        <f t="shared" si="46"/>
        <v>0</v>
      </c>
      <c r="O78" s="1761">
        <f t="shared" si="46"/>
        <v>0</v>
      </c>
      <c r="P78" s="1761">
        <f t="shared" si="46"/>
        <v>0</v>
      </c>
      <c r="Q78" s="1761">
        <f t="shared" si="46"/>
        <v>0</v>
      </c>
      <c r="R78" s="1762">
        <f t="shared" si="46"/>
        <v>0</v>
      </c>
    </row>
    <row r="79" spans="1:18" ht="27.6" customHeight="1">
      <c r="A79" s="1723" t="s">
        <v>581</v>
      </c>
      <c r="B79" s="1946" t="s">
        <v>1778</v>
      </c>
      <c r="C79" s="1764" t="s">
        <v>21</v>
      </c>
      <c r="D79" s="1749">
        <v>0</v>
      </c>
      <c r="E79" s="1749">
        <v>0</v>
      </c>
      <c r="F79" s="1765">
        <f>SUM(G79:R79)</f>
        <v>6460.056239999999</v>
      </c>
      <c r="G79" s="1766">
        <f>G152+G159</f>
        <v>84.9816</v>
      </c>
      <c r="H79" s="1766">
        <f t="shared" ref="H79:M79" si="47">H152+H159</f>
        <v>930.96960000000001</v>
      </c>
      <c r="I79" s="1766">
        <f t="shared" si="47"/>
        <v>1333.8283200000001</v>
      </c>
      <c r="J79" s="1766">
        <f t="shared" si="47"/>
        <v>1522.9059999999999</v>
      </c>
      <c r="K79" s="1766">
        <f t="shared" si="47"/>
        <v>1373.5884799999999</v>
      </c>
      <c r="L79" s="1766">
        <f t="shared" si="47"/>
        <v>1191.4267199999999</v>
      </c>
      <c r="M79" s="1766">
        <f t="shared" si="47"/>
        <v>22.355519999999999</v>
      </c>
      <c r="N79" s="1767">
        <v>0</v>
      </c>
      <c r="O79" s="1767">
        <v>0</v>
      </c>
      <c r="P79" s="1766">
        <v>0</v>
      </c>
      <c r="Q79" s="1766">
        <v>0</v>
      </c>
      <c r="R79" s="1658">
        <v>0</v>
      </c>
    </row>
    <row r="80" spans="1:18" ht="17.25" customHeight="1">
      <c r="A80" s="1723" t="s">
        <v>582</v>
      </c>
      <c r="B80" s="1768" t="s">
        <v>1779</v>
      </c>
      <c r="C80" s="1620" t="s">
        <v>21</v>
      </c>
      <c r="D80" s="1769">
        <v>0</v>
      </c>
      <c r="E80" s="1769">
        <v>0</v>
      </c>
      <c r="F80" s="1599">
        <f>SUM(G80:R80)</f>
        <v>0</v>
      </c>
      <c r="G80" s="1599">
        <v>0</v>
      </c>
      <c r="H80" s="1599">
        <v>0</v>
      </c>
      <c r="I80" s="1599">
        <v>0</v>
      </c>
      <c r="J80" s="1599">
        <v>0</v>
      </c>
      <c r="K80" s="1599">
        <v>0</v>
      </c>
      <c r="L80" s="1599">
        <v>0</v>
      </c>
      <c r="M80" s="1599">
        <v>0</v>
      </c>
      <c r="N80" s="1635">
        <v>0</v>
      </c>
      <c r="O80" s="1635">
        <v>0</v>
      </c>
      <c r="P80" s="1634">
        <v>0</v>
      </c>
      <c r="Q80" s="1634">
        <v>0</v>
      </c>
      <c r="R80" s="1770">
        <v>0</v>
      </c>
    </row>
    <row r="81" spans="1:18" ht="15" customHeight="1">
      <c r="A81" s="1723" t="s">
        <v>580</v>
      </c>
      <c r="B81" s="1615" t="s">
        <v>1741</v>
      </c>
      <c r="C81" s="1594" t="s">
        <v>21</v>
      </c>
      <c r="D81" s="1771">
        <f>D82+D83</f>
        <v>0</v>
      </c>
      <c r="E81" s="1771">
        <f>E82+E83</f>
        <v>0</v>
      </c>
      <c r="F81" s="1759">
        <f>SUM(G81:R81)</f>
        <v>0</v>
      </c>
      <c r="G81" s="1759">
        <f>G82+G83</f>
        <v>0</v>
      </c>
      <c r="H81" s="1759">
        <f t="shared" ref="H81:R81" si="48">H82+H83</f>
        <v>0</v>
      </c>
      <c r="I81" s="1759">
        <f t="shared" si="48"/>
        <v>0</v>
      </c>
      <c r="J81" s="1759">
        <f t="shared" si="48"/>
        <v>0</v>
      </c>
      <c r="K81" s="1759">
        <f t="shared" si="48"/>
        <v>0</v>
      </c>
      <c r="L81" s="1759">
        <f t="shared" si="48"/>
        <v>0</v>
      </c>
      <c r="M81" s="1759">
        <f t="shared" si="48"/>
        <v>0</v>
      </c>
      <c r="N81" s="1761">
        <f t="shared" si="48"/>
        <v>0</v>
      </c>
      <c r="O81" s="1761">
        <f t="shared" si="48"/>
        <v>0</v>
      </c>
      <c r="P81" s="1761">
        <f t="shared" si="48"/>
        <v>0</v>
      </c>
      <c r="Q81" s="1761">
        <f t="shared" si="48"/>
        <v>0</v>
      </c>
      <c r="R81" s="1762">
        <f t="shared" si="48"/>
        <v>0</v>
      </c>
    </row>
    <row r="82" spans="1:18" ht="12.75" customHeight="1">
      <c r="A82" s="1780" t="s">
        <v>583</v>
      </c>
      <c r="B82" s="1772" t="s">
        <v>561</v>
      </c>
      <c r="C82" s="1594" t="s">
        <v>21</v>
      </c>
      <c r="D82" s="1758">
        <v>0</v>
      </c>
      <c r="E82" s="1758">
        <v>0</v>
      </c>
      <c r="F82" s="1773">
        <f>SUM(G82:R82)</f>
        <v>0</v>
      </c>
      <c r="G82" s="1759">
        <v>0</v>
      </c>
      <c r="H82" s="1759">
        <v>0</v>
      </c>
      <c r="I82" s="1759">
        <v>0</v>
      </c>
      <c r="J82" s="1759">
        <v>0</v>
      </c>
      <c r="K82" s="1759">
        <v>0</v>
      </c>
      <c r="L82" s="1759">
        <v>0</v>
      </c>
      <c r="M82" s="1759">
        <v>0</v>
      </c>
      <c r="N82" s="1635">
        <v>0</v>
      </c>
      <c r="O82" s="1635">
        <v>0</v>
      </c>
      <c r="P82" s="1626">
        <v>0</v>
      </c>
      <c r="Q82" s="1626">
        <v>0</v>
      </c>
      <c r="R82" s="1757">
        <v>0</v>
      </c>
    </row>
    <row r="83" spans="1:18" ht="17.25" customHeight="1">
      <c r="A83" s="1780" t="s">
        <v>583</v>
      </c>
      <c r="B83" s="1768" t="s">
        <v>1779</v>
      </c>
      <c r="C83" s="1594" t="s">
        <v>21</v>
      </c>
      <c r="D83" s="1758">
        <v>0</v>
      </c>
      <c r="E83" s="1758">
        <v>0</v>
      </c>
      <c r="F83" s="1773">
        <f>SUM(G83:R83)</f>
        <v>0</v>
      </c>
      <c r="G83" s="1774">
        <v>0</v>
      </c>
      <c r="H83" s="1774">
        <v>0</v>
      </c>
      <c r="I83" s="1774">
        <v>0</v>
      </c>
      <c r="J83" s="1774">
        <v>0</v>
      </c>
      <c r="K83" s="1774">
        <v>0</v>
      </c>
      <c r="L83" s="1774">
        <v>0</v>
      </c>
      <c r="M83" s="1774">
        <v>0</v>
      </c>
      <c r="N83" s="1648">
        <v>0</v>
      </c>
      <c r="O83" s="1648">
        <v>0</v>
      </c>
      <c r="P83" s="1648">
        <v>0</v>
      </c>
      <c r="Q83" s="1648">
        <v>0</v>
      </c>
      <c r="R83" s="1775">
        <v>0</v>
      </c>
    </row>
    <row r="84" spans="1:18" ht="17.25" customHeight="1">
      <c r="A84" s="1780" t="s">
        <v>584</v>
      </c>
      <c r="B84" s="1776" t="s">
        <v>1756</v>
      </c>
      <c r="C84" s="1764" t="s">
        <v>21</v>
      </c>
      <c r="D84" s="1749">
        <v>0</v>
      </c>
      <c r="E84" s="1749">
        <v>0</v>
      </c>
      <c r="F84" s="1765">
        <f>SUM(G84:M84)</f>
        <v>2075.7234000000003</v>
      </c>
      <c r="G84" s="1777">
        <f>G167+G170+G173+G176</f>
        <v>27.306000000000001</v>
      </c>
      <c r="H84" s="1777">
        <f t="shared" ref="H84:M84" si="49">H167+H170+H173+H176</f>
        <v>299.13600000000002</v>
      </c>
      <c r="I84" s="1777">
        <f t="shared" si="49"/>
        <v>428.58120000000002</v>
      </c>
      <c r="J84" s="1777">
        <f t="shared" si="49"/>
        <v>489.33500000000032</v>
      </c>
      <c r="K84" s="1777">
        <f t="shared" si="49"/>
        <v>441.35679999999974</v>
      </c>
      <c r="L84" s="1777">
        <f t="shared" si="49"/>
        <v>382.8252</v>
      </c>
      <c r="M84" s="1777">
        <f t="shared" si="49"/>
        <v>7.1831999999999994</v>
      </c>
      <c r="N84" s="1778">
        <v>0</v>
      </c>
      <c r="O84" s="1778">
        <v>0</v>
      </c>
      <c r="P84" s="1778">
        <v>0</v>
      </c>
      <c r="Q84" s="1778">
        <v>0</v>
      </c>
      <c r="R84" s="1779">
        <v>0</v>
      </c>
    </row>
    <row r="85" spans="1:18" ht="17.25" customHeight="1">
      <c r="A85" s="2687" t="s">
        <v>473</v>
      </c>
      <c r="B85" s="1781" t="s">
        <v>1738</v>
      </c>
      <c r="C85" s="1594" t="s">
        <v>21</v>
      </c>
      <c r="D85" s="1749">
        <f>D87+D88</f>
        <v>0</v>
      </c>
      <c r="E85" s="1749">
        <f>E87+E88</f>
        <v>0</v>
      </c>
      <c r="F85" s="1765">
        <f>F87+F88</f>
        <v>0</v>
      </c>
      <c r="G85" s="1765">
        <v>0</v>
      </c>
      <c r="H85" s="1765">
        <v>0</v>
      </c>
      <c r="I85" s="1765">
        <v>0</v>
      </c>
      <c r="J85" s="1765">
        <v>0</v>
      </c>
      <c r="K85" s="1765">
        <v>0</v>
      </c>
      <c r="L85" s="1765">
        <v>0</v>
      </c>
      <c r="M85" s="1765">
        <v>0</v>
      </c>
      <c r="N85" s="1752">
        <v>0</v>
      </c>
      <c r="O85" s="1752">
        <v>0</v>
      </c>
      <c r="P85" s="1752">
        <v>0</v>
      </c>
      <c r="Q85" s="1752">
        <v>0</v>
      </c>
      <c r="R85" s="1782">
        <v>0</v>
      </c>
    </row>
    <row r="86" spans="1:18" ht="15.75" customHeight="1">
      <c r="A86" s="2688"/>
      <c r="B86" s="1783" t="s">
        <v>1780</v>
      </c>
      <c r="C86" s="1594" t="s">
        <v>4</v>
      </c>
      <c r="D86" s="1784">
        <v>0</v>
      </c>
      <c r="E86" s="1784">
        <v>0</v>
      </c>
      <c r="F86" s="1784">
        <f>F85/F75</f>
        <v>0</v>
      </c>
      <c r="G86" s="1784">
        <v>0</v>
      </c>
      <c r="H86" s="1784">
        <f t="shared" ref="H86:M86" si="50">H85/H75</f>
        <v>0</v>
      </c>
      <c r="I86" s="1784">
        <f t="shared" si="50"/>
        <v>0</v>
      </c>
      <c r="J86" s="1784">
        <f t="shared" si="50"/>
        <v>0</v>
      </c>
      <c r="K86" s="1784">
        <f t="shared" si="50"/>
        <v>0</v>
      </c>
      <c r="L86" s="1784">
        <f t="shared" si="50"/>
        <v>0</v>
      </c>
      <c r="M86" s="1784">
        <f t="shared" si="50"/>
        <v>0</v>
      </c>
      <c r="N86" s="1634">
        <v>0</v>
      </c>
      <c r="O86" s="1634">
        <v>0</v>
      </c>
      <c r="P86" s="1634">
        <v>0</v>
      </c>
      <c r="Q86" s="1634">
        <v>0</v>
      </c>
      <c r="R86" s="1770">
        <v>0</v>
      </c>
    </row>
    <row r="87" spans="1:18" ht="17.25" customHeight="1">
      <c r="A87" s="1723" t="s">
        <v>578</v>
      </c>
      <c r="B87" s="1598" t="s">
        <v>1739</v>
      </c>
      <c r="C87" s="1594" t="s">
        <v>21</v>
      </c>
      <c r="D87" s="1785">
        <v>0</v>
      </c>
      <c r="E87" s="1785">
        <v>0</v>
      </c>
      <c r="F87" s="1786">
        <v>0</v>
      </c>
      <c r="G87" s="1786">
        <v>0</v>
      </c>
      <c r="H87" s="1786">
        <v>0</v>
      </c>
      <c r="I87" s="1786">
        <v>0</v>
      </c>
      <c r="J87" s="1786">
        <v>0</v>
      </c>
      <c r="K87" s="1786">
        <v>0</v>
      </c>
      <c r="L87" s="1786">
        <v>0</v>
      </c>
      <c r="M87" s="1786">
        <v>0</v>
      </c>
      <c r="N87" s="1786">
        <v>0</v>
      </c>
      <c r="O87" s="1786">
        <v>0</v>
      </c>
      <c r="P87" s="1786">
        <v>0</v>
      </c>
      <c r="Q87" s="1786">
        <v>0</v>
      </c>
      <c r="R87" s="1787">
        <v>0</v>
      </c>
    </row>
    <row r="88" spans="1:18" ht="17.25" customHeight="1">
      <c r="A88" s="1723" t="s">
        <v>1781</v>
      </c>
      <c r="B88" s="1615" t="s">
        <v>1741</v>
      </c>
      <c r="C88" s="1594" t="s">
        <v>21</v>
      </c>
      <c r="D88" s="1785">
        <v>0</v>
      </c>
      <c r="E88" s="1788">
        <v>0</v>
      </c>
      <c r="F88" s="1599">
        <f>SUM(G88:R88)</f>
        <v>0</v>
      </c>
      <c r="G88" s="1634">
        <v>0</v>
      </c>
      <c r="H88" s="1634">
        <v>0</v>
      </c>
      <c r="I88" s="1634">
        <v>0</v>
      </c>
      <c r="J88" s="1634">
        <v>0</v>
      </c>
      <c r="K88" s="1634">
        <v>0</v>
      </c>
      <c r="L88" s="1634">
        <v>0</v>
      </c>
      <c r="M88" s="1634">
        <v>0</v>
      </c>
      <c r="N88" s="1635">
        <v>0</v>
      </c>
      <c r="O88" s="1635">
        <v>0</v>
      </c>
      <c r="P88" s="1635">
        <v>0</v>
      </c>
      <c r="Q88" s="1635">
        <v>0</v>
      </c>
      <c r="R88" s="1636">
        <v>0</v>
      </c>
    </row>
    <row r="89" spans="1:18" ht="17.25" customHeight="1">
      <c r="A89" s="2687" t="s">
        <v>1782</v>
      </c>
      <c r="B89" s="1789" t="s">
        <v>92</v>
      </c>
      <c r="C89" s="1594" t="s">
        <v>21</v>
      </c>
      <c r="D89" s="1749">
        <f>D91+D92</f>
        <v>0</v>
      </c>
      <c r="E89" s="1749">
        <f>E91+E92</f>
        <v>0</v>
      </c>
      <c r="F89" s="1752">
        <f>SUM(G89:R89)</f>
        <v>0</v>
      </c>
      <c r="G89" s="1751">
        <v>0</v>
      </c>
      <c r="H89" s="1751">
        <v>0</v>
      </c>
      <c r="I89" s="1751">
        <v>0</v>
      </c>
      <c r="J89" s="1751">
        <v>0</v>
      </c>
      <c r="K89" s="1751">
        <v>0</v>
      </c>
      <c r="L89" s="1751">
        <v>0</v>
      </c>
      <c r="M89" s="1751">
        <v>0</v>
      </c>
      <c r="N89" s="1752">
        <f>N91+N92</f>
        <v>0</v>
      </c>
      <c r="O89" s="1752">
        <f>O91+O92</f>
        <v>0</v>
      </c>
      <c r="P89" s="1752">
        <f>P91+P92</f>
        <v>0</v>
      </c>
      <c r="Q89" s="1752">
        <f>Q91+Q92</f>
        <v>0</v>
      </c>
      <c r="R89" s="1782">
        <f>R91+R92</f>
        <v>0</v>
      </c>
    </row>
    <row r="90" spans="1:18" ht="17.25" customHeight="1">
      <c r="A90" s="2689"/>
      <c r="B90" s="1791" t="s">
        <v>1780</v>
      </c>
      <c r="C90" s="1594" t="s">
        <v>4</v>
      </c>
      <c r="D90" s="1756">
        <v>0</v>
      </c>
      <c r="E90" s="1756">
        <v>0</v>
      </c>
      <c r="F90" s="1756">
        <f>F89/F75</f>
        <v>0</v>
      </c>
      <c r="G90" s="1756">
        <v>0</v>
      </c>
      <c r="H90" s="1756">
        <f t="shared" ref="H90:M90" si="51">H89/H75</f>
        <v>0</v>
      </c>
      <c r="I90" s="1756">
        <f t="shared" si="51"/>
        <v>0</v>
      </c>
      <c r="J90" s="1756">
        <f t="shared" si="51"/>
        <v>0</v>
      </c>
      <c r="K90" s="1756">
        <f t="shared" si="51"/>
        <v>0</v>
      </c>
      <c r="L90" s="1756">
        <f t="shared" si="51"/>
        <v>0</v>
      </c>
      <c r="M90" s="1756">
        <f t="shared" si="51"/>
        <v>0</v>
      </c>
      <c r="N90" s="1756">
        <v>0</v>
      </c>
      <c r="O90" s="1635">
        <v>0</v>
      </c>
      <c r="P90" s="1599">
        <v>0</v>
      </c>
      <c r="Q90" s="1599">
        <v>0</v>
      </c>
      <c r="R90" s="1737">
        <v>0</v>
      </c>
    </row>
    <row r="91" spans="1:18" ht="17.25" customHeight="1">
      <c r="A91" s="1723" t="s">
        <v>576</v>
      </c>
      <c r="B91" s="1598" t="s">
        <v>1739</v>
      </c>
      <c r="C91" s="1594" t="s">
        <v>21</v>
      </c>
      <c r="D91" s="1749">
        <v>0</v>
      </c>
      <c r="E91" s="1749">
        <v>0</v>
      </c>
      <c r="F91" s="1752">
        <f>SUM(G91:R91)</f>
        <v>0</v>
      </c>
      <c r="G91" s="1599">
        <v>0</v>
      </c>
      <c r="H91" s="1599">
        <v>0</v>
      </c>
      <c r="I91" s="1599">
        <v>0</v>
      </c>
      <c r="J91" s="1599">
        <v>0</v>
      </c>
      <c r="K91" s="1599">
        <v>0</v>
      </c>
      <c r="L91" s="1599">
        <v>0</v>
      </c>
      <c r="M91" s="1599">
        <v>0</v>
      </c>
      <c r="N91" s="1599">
        <v>0</v>
      </c>
      <c r="O91" s="1599">
        <v>0</v>
      </c>
      <c r="P91" s="1599">
        <v>0</v>
      </c>
      <c r="Q91" s="1599">
        <v>0</v>
      </c>
      <c r="R91" s="1601">
        <v>0</v>
      </c>
    </row>
    <row r="92" spans="1:18" ht="15.75" customHeight="1">
      <c r="A92" s="1723" t="s">
        <v>577</v>
      </c>
      <c r="B92" s="1615" t="s">
        <v>1741</v>
      </c>
      <c r="C92" s="1594" t="s">
        <v>21</v>
      </c>
      <c r="D92" s="1749">
        <v>0</v>
      </c>
      <c r="E92" s="1749">
        <v>0</v>
      </c>
      <c r="F92" s="1752">
        <f>SUM(G92:R92)</f>
        <v>0</v>
      </c>
      <c r="G92" s="1599">
        <v>0</v>
      </c>
      <c r="H92" s="1599">
        <v>0</v>
      </c>
      <c r="I92" s="1599">
        <v>0</v>
      </c>
      <c r="J92" s="1599">
        <v>0</v>
      </c>
      <c r="K92" s="1599">
        <v>0</v>
      </c>
      <c r="L92" s="1599">
        <v>0</v>
      </c>
      <c r="M92" s="1599">
        <v>0</v>
      </c>
      <c r="N92" s="1635">
        <v>0</v>
      </c>
      <c r="O92" s="1635">
        <v>0</v>
      </c>
      <c r="P92" s="1599">
        <v>0</v>
      </c>
      <c r="Q92" s="1599">
        <v>0</v>
      </c>
      <c r="R92" s="1601">
        <v>0</v>
      </c>
    </row>
    <row r="93" spans="1:18" ht="17.25" customHeight="1">
      <c r="A93" s="2687" t="s">
        <v>474</v>
      </c>
      <c r="B93" s="1792" t="s">
        <v>1783</v>
      </c>
      <c r="C93" s="1594" t="s">
        <v>21</v>
      </c>
      <c r="D93" s="1749">
        <f>D95+D96</f>
        <v>0</v>
      </c>
      <c r="E93" s="1749">
        <f>E95+E96</f>
        <v>0</v>
      </c>
      <c r="F93" s="1752">
        <f>SUM(G93:R93)</f>
        <v>0</v>
      </c>
      <c r="G93" s="1751">
        <f>G95+G96</f>
        <v>0</v>
      </c>
      <c r="H93" s="1752">
        <f t="shared" ref="H93:R93" si="52">H95+H96</f>
        <v>0</v>
      </c>
      <c r="I93" s="1752">
        <f t="shared" si="52"/>
        <v>0</v>
      </c>
      <c r="J93" s="1752">
        <f t="shared" si="52"/>
        <v>0</v>
      </c>
      <c r="K93" s="1752">
        <f t="shared" si="52"/>
        <v>0</v>
      </c>
      <c r="L93" s="1752">
        <f t="shared" si="52"/>
        <v>0</v>
      </c>
      <c r="M93" s="1752">
        <f t="shared" si="52"/>
        <v>0</v>
      </c>
      <c r="N93" s="1752">
        <f t="shared" si="52"/>
        <v>0</v>
      </c>
      <c r="O93" s="1752">
        <f t="shared" si="52"/>
        <v>0</v>
      </c>
      <c r="P93" s="1752">
        <f t="shared" si="52"/>
        <v>0</v>
      </c>
      <c r="Q93" s="1752">
        <f t="shared" si="52"/>
        <v>0</v>
      </c>
      <c r="R93" s="1782">
        <f t="shared" si="52"/>
        <v>0</v>
      </c>
    </row>
    <row r="94" spans="1:18" ht="13.5" customHeight="1">
      <c r="A94" s="2689"/>
      <c r="B94" s="1791" t="s">
        <v>1780</v>
      </c>
      <c r="C94" s="1616" t="s">
        <v>4</v>
      </c>
      <c r="D94" s="1793">
        <v>0</v>
      </c>
      <c r="E94" s="1793">
        <v>0</v>
      </c>
      <c r="F94" s="1793">
        <f>F93/F75</f>
        <v>0</v>
      </c>
      <c r="G94" s="1793">
        <v>0</v>
      </c>
      <c r="H94" s="1793">
        <f t="shared" ref="H94:M94" si="53">H93/H75</f>
        <v>0</v>
      </c>
      <c r="I94" s="1793">
        <f t="shared" si="53"/>
        <v>0</v>
      </c>
      <c r="J94" s="1793">
        <f t="shared" si="53"/>
        <v>0</v>
      </c>
      <c r="K94" s="1793">
        <f t="shared" si="53"/>
        <v>0</v>
      </c>
      <c r="L94" s="1793">
        <f t="shared" si="53"/>
        <v>0</v>
      </c>
      <c r="M94" s="1793">
        <f t="shared" si="53"/>
        <v>0</v>
      </c>
      <c r="N94" s="1635">
        <v>0</v>
      </c>
      <c r="O94" s="1635">
        <v>0</v>
      </c>
      <c r="P94" s="1635">
        <v>0</v>
      </c>
      <c r="Q94" s="1635">
        <v>0</v>
      </c>
      <c r="R94" s="1636">
        <v>0</v>
      </c>
    </row>
    <row r="95" spans="1:18" ht="17.25" customHeight="1">
      <c r="A95" s="1723" t="s">
        <v>574</v>
      </c>
      <c r="B95" s="1598" t="s">
        <v>1739</v>
      </c>
      <c r="C95" s="1594" t="s">
        <v>21</v>
      </c>
      <c r="D95" s="1749">
        <v>0</v>
      </c>
      <c r="E95" s="1749">
        <v>0</v>
      </c>
      <c r="F95" s="1794">
        <f>SUM(G95:R95)</f>
        <v>0</v>
      </c>
      <c r="G95" s="1766">
        <v>0</v>
      </c>
      <c r="H95" s="1766">
        <v>0</v>
      </c>
      <c r="I95" s="1766">
        <v>0</v>
      </c>
      <c r="J95" s="1766">
        <v>0</v>
      </c>
      <c r="K95" s="1766">
        <v>0</v>
      </c>
      <c r="L95" s="1766">
        <v>0</v>
      </c>
      <c r="M95" s="1766">
        <v>0</v>
      </c>
      <c r="N95" s="1635">
        <v>0</v>
      </c>
      <c r="O95" s="1635">
        <v>0</v>
      </c>
      <c r="P95" s="1599">
        <v>0</v>
      </c>
      <c r="Q95" s="1599">
        <v>0</v>
      </c>
      <c r="R95" s="1737">
        <v>0</v>
      </c>
    </row>
    <row r="96" spans="1:18" ht="17.25" customHeight="1" thickBot="1">
      <c r="A96" s="1738" t="s">
        <v>575</v>
      </c>
      <c r="B96" s="1603" t="s">
        <v>1741</v>
      </c>
      <c r="C96" s="1795" t="s">
        <v>21</v>
      </c>
      <c r="D96" s="1796">
        <v>0</v>
      </c>
      <c r="E96" s="1797">
        <v>0</v>
      </c>
      <c r="F96" s="1798">
        <f>SUM(G96:R96)</f>
        <v>0</v>
      </c>
      <c r="G96" s="1799">
        <v>0</v>
      </c>
      <c r="H96" s="1799">
        <v>0</v>
      </c>
      <c r="I96" s="1799">
        <v>0</v>
      </c>
      <c r="J96" s="1799">
        <v>0</v>
      </c>
      <c r="K96" s="1799">
        <v>0</v>
      </c>
      <c r="L96" s="1799">
        <v>0</v>
      </c>
      <c r="M96" s="1799">
        <v>0</v>
      </c>
      <c r="N96" s="1637">
        <v>0</v>
      </c>
      <c r="O96" s="1637">
        <v>0</v>
      </c>
      <c r="P96" s="1625">
        <v>0</v>
      </c>
      <c r="Q96" s="1625">
        <v>0</v>
      </c>
      <c r="R96" s="1627">
        <v>0</v>
      </c>
    </row>
    <row r="97" spans="1:18" ht="41.25" customHeight="1">
      <c r="A97" s="1800" t="s">
        <v>911</v>
      </c>
      <c r="B97" s="1801" t="s">
        <v>1784</v>
      </c>
      <c r="C97" s="1802" t="s">
        <v>30</v>
      </c>
      <c r="D97" s="1803">
        <f>D98+D106+D109+D112+D115</f>
        <v>0</v>
      </c>
      <c r="E97" s="1777">
        <f>E98+E106+E109+E112+E115</f>
        <v>0</v>
      </c>
      <c r="F97" s="1804">
        <f t="shared" ref="F97:R97" si="54">F98+F105+F106+F109+F112+F115</f>
        <v>5.0579999999999998</v>
      </c>
      <c r="G97" s="1804">
        <f t="shared" si="54"/>
        <v>5.0579999999999998</v>
      </c>
      <c r="H97" s="1804">
        <f t="shared" si="54"/>
        <v>5.0579999999999998</v>
      </c>
      <c r="I97" s="1804">
        <f t="shared" si="54"/>
        <v>5.0579999999999998</v>
      </c>
      <c r="J97" s="1804">
        <f t="shared" si="54"/>
        <v>5.0579999999999998</v>
      </c>
      <c r="K97" s="1804">
        <f t="shared" si="54"/>
        <v>5.0579999999999998</v>
      </c>
      <c r="L97" s="1804">
        <f t="shared" si="54"/>
        <v>5.0579999999999998</v>
      </c>
      <c r="M97" s="1804">
        <f t="shared" si="54"/>
        <v>5.0579999999999998</v>
      </c>
      <c r="N97" s="1804">
        <f t="shared" si="54"/>
        <v>5.0579999999999998</v>
      </c>
      <c r="O97" s="1804">
        <f t="shared" si="54"/>
        <v>5.0579999999999998</v>
      </c>
      <c r="P97" s="1804">
        <f t="shared" si="54"/>
        <v>5.0579999999999998</v>
      </c>
      <c r="Q97" s="1804">
        <f t="shared" si="54"/>
        <v>5.0579999999999998</v>
      </c>
      <c r="R97" s="1805">
        <f t="shared" si="54"/>
        <v>5.0579999999999998</v>
      </c>
    </row>
    <row r="98" spans="1:18" ht="17.25" customHeight="1">
      <c r="A98" s="1806" t="s">
        <v>83</v>
      </c>
      <c r="B98" s="1748" t="s">
        <v>3</v>
      </c>
      <c r="C98" s="1620" t="s">
        <v>30</v>
      </c>
      <c r="D98" s="1773"/>
      <c r="E98" s="1807">
        <f>E99+E102</f>
        <v>0</v>
      </c>
      <c r="F98" s="1808">
        <f>F99+F102</f>
        <v>3.8280000000000003</v>
      </c>
      <c r="G98" s="1809">
        <f>$F$98</f>
        <v>3.8280000000000003</v>
      </c>
      <c r="H98" s="1809">
        <f t="shared" ref="H98:R98" si="55">$F$98</f>
        <v>3.8280000000000003</v>
      </c>
      <c r="I98" s="1809">
        <f t="shared" si="55"/>
        <v>3.8280000000000003</v>
      </c>
      <c r="J98" s="1809">
        <f t="shared" si="55"/>
        <v>3.8280000000000003</v>
      </c>
      <c r="K98" s="1809">
        <f t="shared" si="55"/>
        <v>3.8280000000000003</v>
      </c>
      <c r="L98" s="1809">
        <f t="shared" si="55"/>
        <v>3.8280000000000003</v>
      </c>
      <c r="M98" s="1809">
        <f t="shared" si="55"/>
        <v>3.8280000000000003</v>
      </c>
      <c r="N98" s="1809">
        <f t="shared" si="55"/>
        <v>3.8280000000000003</v>
      </c>
      <c r="O98" s="1809">
        <f t="shared" si="55"/>
        <v>3.8280000000000003</v>
      </c>
      <c r="P98" s="1809">
        <f t="shared" si="55"/>
        <v>3.8280000000000003</v>
      </c>
      <c r="Q98" s="1809">
        <f t="shared" si="55"/>
        <v>3.8280000000000003</v>
      </c>
      <c r="R98" s="1810">
        <f t="shared" si="55"/>
        <v>3.8280000000000003</v>
      </c>
    </row>
    <row r="99" spans="1:18" ht="13.5" customHeight="1">
      <c r="A99" s="1811" t="s">
        <v>1785</v>
      </c>
      <c r="B99" s="1598" t="s">
        <v>1739</v>
      </c>
      <c r="C99" s="1620" t="s">
        <v>30</v>
      </c>
      <c r="D99" s="1634">
        <f>D100+D101</f>
        <v>0</v>
      </c>
      <c r="E99" s="1809">
        <f>E100+E101</f>
        <v>0</v>
      </c>
      <c r="F99" s="1809">
        <f>F100+F101</f>
        <v>3.8280000000000003</v>
      </c>
      <c r="G99" s="1809">
        <f>$F$99</f>
        <v>3.8280000000000003</v>
      </c>
      <c r="H99" s="1809">
        <f t="shared" ref="H99:R99" si="56">$F$99</f>
        <v>3.8280000000000003</v>
      </c>
      <c r="I99" s="1809">
        <f t="shared" si="56"/>
        <v>3.8280000000000003</v>
      </c>
      <c r="J99" s="1809">
        <f t="shared" si="56"/>
        <v>3.8280000000000003</v>
      </c>
      <c r="K99" s="1809">
        <f t="shared" si="56"/>
        <v>3.8280000000000003</v>
      </c>
      <c r="L99" s="1809">
        <f t="shared" si="56"/>
        <v>3.8280000000000003</v>
      </c>
      <c r="M99" s="1809">
        <f t="shared" si="56"/>
        <v>3.8280000000000003</v>
      </c>
      <c r="N99" s="1809">
        <f t="shared" si="56"/>
        <v>3.8280000000000003</v>
      </c>
      <c r="O99" s="1809">
        <f t="shared" si="56"/>
        <v>3.8280000000000003</v>
      </c>
      <c r="P99" s="1809">
        <f t="shared" si="56"/>
        <v>3.8280000000000003</v>
      </c>
      <c r="Q99" s="1809">
        <f t="shared" si="56"/>
        <v>3.8280000000000003</v>
      </c>
      <c r="R99" s="1812">
        <f t="shared" si="56"/>
        <v>3.8280000000000003</v>
      </c>
    </row>
    <row r="100" spans="1:18" ht="17.25" customHeight="1">
      <c r="A100" s="1811" t="s">
        <v>569</v>
      </c>
      <c r="B100" s="1763" t="s">
        <v>1778</v>
      </c>
      <c r="C100" s="1620" t="s">
        <v>30</v>
      </c>
      <c r="D100" s="1634">
        <v>0</v>
      </c>
      <c r="E100" s="1813">
        <v>0</v>
      </c>
      <c r="F100" s="1634">
        <f>F155+F162</f>
        <v>3.8280000000000003</v>
      </c>
      <c r="G100" s="1809">
        <f>$F$100</f>
        <v>3.8280000000000003</v>
      </c>
      <c r="H100" s="1809">
        <f t="shared" ref="H100:R100" si="57">$F$100</f>
        <v>3.8280000000000003</v>
      </c>
      <c r="I100" s="1809">
        <f t="shared" si="57"/>
        <v>3.8280000000000003</v>
      </c>
      <c r="J100" s="1809">
        <f t="shared" si="57"/>
        <v>3.8280000000000003</v>
      </c>
      <c r="K100" s="1809">
        <f t="shared" si="57"/>
        <v>3.8280000000000003</v>
      </c>
      <c r="L100" s="1809">
        <f t="shared" si="57"/>
        <v>3.8280000000000003</v>
      </c>
      <c r="M100" s="1809">
        <f t="shared" si="57"/>
        <v>3.8280000000000003</v>
      </c>
      <c r="N100" s="1809">
        <f t="shared" si="57"/>
        <v>3.8280000000000003</v>
      </c>
      <c r="O100" s="1809">
        <f t="shared" si="57"/>
        <v>3.8280000000000003</v>
      </c>
      <c r="P100" s="1809">
        <f t="shared" si="57"/>
        <v>3.8280000000000003</v>
      </c>
      <c r="Q100" s="1809">
        <f t="shared" si="57"/>
        <v>3.8280000000000003</v>
      </c>
      <c r="R100" s="1814">
        <f t="shared" si="57"/>
        <v>3.8280000000000003</v>
      </c>
    </row>
    <row r="101" spans="1:18" ht="17.25" customHeight="1">
      <c r="A101" s="1811" t="s">
        <v>1786</v>
      </c>
      <c r="B101" s="1768" t="s">
        <v>1779</v>
      </c>
      <c r="C101" s="1620" t="s">
        <v>30</v>
      </c>
      <c r="D101" s="1634">
        <v>0</v>
      </c>
      <c r="E101" s="1813">
        <v>0</v>
      </c>
      <c r="F101" s="1815">
        <v>0</v>
      </c>
      <c r="G101" s="1634">
        <f>$F$101</f>
        <v>0</v>
      </c>
      <c r="H101" s="1634">
        <f t="shared" ref="H101:R101" si="58">$F$101</f>
        <v>0</v>
      </c>
      <c r="I101" s="1634">
        <f t="shared" si="58"/>
        <v>0</v>
      </c>
      <c r="J101" s="1634">
        <f t="shared" si="58"/>
        <v>0</v>
      </c>
      <c r="K101" s="1634">
        <f t="shared" si="58"/>
        <v>0</v>
      </c>
      <c r="L101" s="1634">
        <f t="shared" si="58"/>
        <v>0</v>
      </c>
      <c r="M101" s="1634">
        <f t="shared" si="58"/>
        <v>0</v>
      </c>
      <c r="N101" s="1634">
        <f t="shared" si="58"/>
        <v>0</v>
      </c>
      <c r="O101" s="1634">
        <f t="shared" si="58"/>
        <v>0</v>
      </c>
      <c r="P101" s="1634">
        <f t="shared" si="58"/>
        <v>0</v>
      </c>
      <c r="Q101" s="1634">
        <f t="shared" si="58"/>
        <v>0</v>
      </c>
      <c r="R101" s="1770">
        <f t="shared" si="58"/>
        <v>0</v>
      </c>
    </row>
    <row r="102" spans="1:18" ht="16.5" customHeight="1">
      <c r="A102" s="1806" t="s">
        <v>1787</v>
      </c>
      <c r="B102" s="1615" t="s">
        <v>1741</v>
      </c>
      <c r="C102" s="1620" t="s">
        <v>30</v>
      </c>
      <c r="D102" s="1634">
        <f>D103+D104</f>
        <v>0</v>
      </c>
      <c r="E102" s="1816">
        <f>E103+E104</f>
        <v>0</v>
      </c>
      <c r="F102" s="1816">
        <f>F103+F104</f>
        <v>0</v>
      </c>
      <c r="G102" s="1816">
        <f>$F$102</f>
        <v>0</v>
      </c>
      <c r="H102" s="1816">
        <f t="shared" ref="H102:R102" si="59">$F$102</f>
        <v>0</v>
      </c>
      <c r="I102" s="1816">
        <f t="shared" si="59"/>
        <v>0</v>
      </c>
      <c r="J102" s="1816">
        <f t="shared" si="59"/>
        <v>0</v>
      </c>
      <c r="K102" s="1816">
        <f t="shared" si="59"/>
        <v>0</v>
      </c>
      <c r="L102" s="1816">
        <f t="shared" si="59"/>
        <v>0</v>
      </c>
      <c r="M102" s="1816">
        <f t="shared" si="59"/>
        <v>0</v>
      </c>
      <c r="N102" s="1816">
        <f t="shared" si="59"/>
        <v>0</v>
      </c>
      <c r="O102" s="1816">
        <f t="shared" si="59"/>
        <v>0</v>
      </c>
      <c r="P102" s="1816">
        <f t="shared" si="59"/>
        <v>0</v>
      </c>
      <c r="Q102" s="1816">
        <f t="shared" si="59"/>
        <v>0</v>
      </c>
      <c r="R102" s="1817">
        <f t="shared" si="59"/>
        <v>0</v>
      </c>
    </row>
    <row r="103" spans="1:18" ht="16.5" customHeight="1">
      <c r="A103" s="1806" t="s">
        <v>570</v>
      </c>
      <c r="B103" s="1772" t="s">
        <v>561</v>
      </c>
      <c r="C103" s="1620" t="s">
        <v>30</v>
      </c>
      <c r="D103" s="1634">
        <v>0</v>
      </c>
      <c r="E103" s="1813">
        <v>0</v>
      </c>
      <c r="F103" s="1818">
        <v>0</v>
      </c>
      <c r="G103" s="1809">
        <f>$F$103</f>
        <v>0</v>
      </c>
      <c r="H103" s="1809">
        <f t="shared" ref="H103:R103" si="60">$F$103</f>
        <v>0</v>
      </c>
      <c r="I103" s="1809">
        <f t="shared" si="60"/>
        <v>0</v>
      </c>
      <c r="J103" s="1809">
        <f t="shared" si="60"/>
        <v>0</v>
      </c>
      <c r="K103" s="1809">
        <f t="shared" si="60"/>
        <v>0</v>
      </c>
      <c r="L103" s="1809">
        <f t="shared" si="60"/>
        <v>0</v>
      </c>
      <c r="M103" s="1809">
        <f t="shared" si="60"/>
        <v>0</v>
      </c>
      <c r="N103" s="1809">
        <f t="shared" si="60"/>
        <v>0</v>
      </c>
      <c r="O103" s="1809">
        <f t="shared" si="60"/>
        <v>0</v>
      </c>
      <c r="P103" s="1809">
        <f t="shared" si="60"/>
        <v>0</v>
      </c>
      <c r="Q103" s="1809">
        <f t="shared" si="60"/>
        <v>0</v>
      </c>
      <c r="R103" s="1814">
        <f t="shared" si="60"/>
        <v>0</v>
      </c>
    </row>
    <row r="104" spans="1:18" ht="17.25" customHeight="1">
      <c r="A104" s="1806" t="s">
        <v>571</v>
      </c>
      <c r="B104" s="1768" t="s">
        <v>1779</v>
      </c>
      <c r="C104" s="1620" t="s">
        <v>30</v>
      </c>
      <c r="D104" s="1816">
        <v>0</v>
      </c>
      <c r="E104" s="1819">
        <v>0</v>
      </c>
      <c r="F104" s="1820">
        <v>0</v>
      </c>
      <c r="G104" s="1809">
        <f>$F$104</f>
        <v>0</v>
      </c>
      <c r="H104" s="1809">
        <f t="shared" ref="H104:R104" si="61">$F$104</f>
        <v>0</v>
      </c>
      <c r="I104" s="1809">
        <f t="shared" si="61"/>
        <v>0</v>
      </c>
      <c r="J104" s="1809">
        <f t="shared" si="61"/>
        <v>0</v>
      </c>
      <c r="K104" s="1809">
        <f t="shared" si="61"/>
        <v>0</v>
      </c>
      <c r="L104" s="1809">
        <f t="shared" si="61"/>
        <v>0</v>
      </c>
      <c r="M104" s="1809">
        <f t="shared" si="61"/>
        <v>0</v>
      </c>
      <c r="N104" s="1809">
        <f t="shared" si="61"/>
        <v>0</v>
      </c>
      <c r="O104" s="1809">
        <f t="shared" si="61"/>
        <v>0</v>
      </c>
      <c r="P104" s="1809">
        <f t="shared" si="61"/>
        <v>0</v>
      </c>
      <c r="Q104" s="1809">
        <f t="shared" si="61"/>
        <v>0</v>
      </c>
      <c r="R104" s="1814">
        <f t="shared" si="61"/>
        <v>0</v>
      </c>
    </row>
    <row r="105" spans="1:18" ht="17.25" customHeight="1">
      <c r="A105" s="1806" t="s">
        <v>1788</v>
      </c>
      <c r="B105" s="1763" t="s">
        <v>1756</v>
      </c>
      <c r="C105" s="1620" t="s">
        <v>30</v>
      </c>
      <c r="D105" s="1816">
        <v>0</v>
      </c>
      <c r="E105" s="1819">
        <v>0</v>
      </c>
      <c r="F105" s="1634">
        <f>$F$168+$F$171+$F$174+$F$177</f>
        <v>1.23</v>
      </c>
      <c r="G105" s="1634">
        <f t="shared" ref="G105:R105" si="62">$F$168+$F$171+$F$174+$F$177</f>
        <v>1.23</v>
      </c>
      <c r="H105" s="1634">
        <f t="shared" si="62"/>
        <v>1.23</v>
      </c>
      <c r="I105" s="1634">
        <f t="shared" si="62"/>
        <v>1.23</v>
      </c>
      <c r="J105" s="1634">
        <f t="shared" si="62"/>
        <v>1.23</v>
      </c>
      <c r="K105" s="1634">
        <f t="shared" si="62"/>
        <v>1.23</v>
      </c>
      <c r="L105" s="1634">
        <f t="shared" si="62"/>
        <v>1.23</v>
      </c>
      <c r="M105" s="1634">
        <f t="shared" si="62"/>
        <v>1.23</v>
      </c>
      <c r="N105" s="1634">
        <f t="shared" si="62"/>
        <v>1.23</v>
      </c>
      <c r="O105" s="1634">
        <f t="shared" si="62"/>
        <v>1.23</v>
      </c>
      <c r="P105" s="1634">
        <f t="shared" si="62"/>
        <v>1.23</v>
      </c>
      <c r="Q105" s="1634">
        <f t="shared" si="62"/>
        <v>1.23</v>
      </c>
      <c r="R105" s="1770">
        <f t="shared" si="62"/>
        <v>1.23</v>
      </c>
    </row>
    <row r="106" spans="1:18" ht="17.25" customHeight="1">
      <c r="A106" s="1806" t="s">
        <v>85</v>
      </c>
      <c r="B106" s="1821" t="s">
        <v>1789</v>
      </c>
      <c r="C106" s="1620" t="s">
        <v>30</v>
      </c>
      <c r="D106" s="1822">
        <f>D107+D108</f>
        <v>0</v>
      </c>
      <c r="E106" s="1822">
        <f>E107+E108</f>
        <v>0</v>
      </c>
      <c r="F106" s="1823">
        <v>0</v>
      </c>
      <c r="G106" s="1823">
        <f>F106</f>
        <v>0</v>
      </c>
      <c r="H106" s="1823">
        <f t="shared" ref="H106:R106" si="63">G106</f>
        <v>0</v>
      </c>
      <c r="I106" s="1823">
        <f t="shared" si="63"/>
        <v>0</v>
      </c>
      <c r="J106" s="1823">
        <f t="shared" si="63"/>
        <v>0</v>
      </c>
      <c r="K106" s="1823">
        <f t="shared" si="63"/>
        <v>0</v>
      </c>
      <c r="L106" s="1823">
        <f t="shared" si="63"/>
        <v>0</v>
      </c>
      <c r="M106" s="1823">
        <f t="shared" si="63"/>
        <v>0</v>
      </c>
      <c r="N106" s="1823">
        <f t="shared" si="63"/>
        <v>0</v>
      </c>
      <c r="O106" s="1823">
        <f t="shared" si="63"/>
        <v>0</v>
      </c>
      <c r="P106" s="1823">
        <f t="shared" si="63"/>
        <v>0</v>
      </c>
      <c r="Q106" s="1823">
        <f t="shared" si="63"/>
        <v>0</v>
      </c>
      <c r="R106" s="1824">
        <f t="shared" si="63"/>
        <v>0</v>
      </c>
    </row>
    <row r="107" spans="1:18" ht="17.25" customHeight="1">
      <c r="A107" s="1723" t="s">
        <v>572</v>
      </c>
      <c r="B107" s="1598" t="s">
        <v>1739</v>
      </c>
      <c r="C107" s="1620" t="s">
        <v>30</v>
      </c>
      <c r="D107" s="1786">
        <v>0</v>
      </c>
      <c r="E107" s="1825">
        <v>0</v>
      </c>
      <c r="F107" s="1786">
        <v>0</v>
      </c>
      <c r="G107" s="1786">
        <f>$F$107</f>
        <v>0</v>
      </c>
      <c r="H107" s="1786">
        <f t="shared" ref="H107:R107" si="64">$F$107</f>
        <v>0</v>
      </c>
      <c r="I107" s="1786">
        <f t="shared" si="64"/>
        <v>0</v>
      </c>
      <c r="J107" s="1786">
        <f t="shared" si="64"/>
        <v>0</v>
      </c>
      <c r="K107" s="1786">
        <f t="shared" si="64"/>
        <v>0</v>
      </c>
      <c r="L107" s="1786">
        <f t="shared" si="64"/>
        <v>0</v>
      </c>
      <c r="M107" s="1786">
        <f t="shared" si="64"/>
        <v>0</v>
      </c>
      <c r="N107" s="1786">
        <f t="shared" si="64"/>
        <v>0</v>
      </c>
      <c r="O107" s="1786">
        <f t="shared" si="64"/>
        <v>0</v>
      </c>
      <c r="P107" s="1786">
        <f t="shared" si="64"/>
        <v>0</v>
      </c>
      <c r="Q107" s="1786">
        <f t="shared" si="64"/>
        <v>0</v>
      </c>
      <c r="R107" s="1826">
        <f t="shared" si="64"/>
        <v>0</v>
      </c>
    </row>
    <row r="108" spans="1:18" ht="17.25" customHeight="1">
      <c r="A108" s="1723" t="s">
        <v>573</v>
      </c>
      <c r="B108" s="1615" t="s">
        <v>1741</v>
      </c>
      <c r="C108" s="1620" t="s">
        <v>30</v>
      </c>
      <c r="D108" s="1815">
        <v>0</v>
      </c>
      <c r="E108" s="1827">
        <v>0</v>
      </c>
      <c r="F108" s="1634">
        <v>0</v>
      </c>
      <c r="G108" s="1634">
        <f>$F$108</f>
        <v>0</v>
      </c>
      <c r="H108" s="1634">
        <f t="shared" ref="H108:R108" si="65">$F$108</f>
        <v>0</v>
      </c>
      <c r="I108" s="1634">
        <f t="shared" si="65"/>
        <v>0</v>
      </c>
      <c r="J108" s="1634">
        <f t="shared" si="65"/>
        <v>0</v>
      </c>
      <c r="K108" s="1634">
        <f t="shared" si="65"/>
        <v>0</v>
      </c>
      <c r="L108" s="1634">
        <f t="shared" si="65"/>
        <v>0</v>
      </c>
      <c r="M108" s="1634">
        <f t="shared" si="65"/>
        <v>0</v>
      </c>
      <c r="N108" s="1634">
        <f t="shared" si="65"/>
        <v>0</v>
      </c>
      <c r="O108" s="1634">
        <f t="shared" si="65"/>
        <v>0</v>
      </c>
      <c r="P108" s="1634">
        <f t="shared" si="65"/>
        <v>0</v>
      </c>
      <c r="Q108" s="1634">
        <f t="shared" si="65"/>
        <v>0</v>
      </c>
      <c r="R108" s="1828">
        <f t="shared" si="65"/>
        <v>0</v>
      </c>
    </row>
    <row r="109" spans="1:18" ht="17.25" customHeight="1">
      <c r="A109" s="1723" t="s">
        <v>103</v>
      </c>
      <c r="B109" s="1801" t="s">
        <v>1790</v>
      </c>
      <c r="C109" s="1620" t="s">
        <v>30</v>
      </c>
      <c r="D109" s="1823">
        <f>D110+D111</f>
        <v>0</v>
      </c>
      <c r="E109" s="1822">
        <f>E110+E111</f>
        <v>0</v>
      </c>
      <c r="F109" s="1823">
        <f>F110+F111</f>
        <v>0</v>
      </c>
      <c r="G109" s="1823">
        <f>G110+G111</f>
        <v>0</v>
      </c>
      <c r="H109" s="1823">
        <f t="shared" ref="H109:R109" si="66">H110+H111</f>
        <v>0</v>
      </c>
      <c r="I109" s="1823">
        <f t="shared" si="66"/>
        <v>0</v>
      </c>
      <c r="J109" s="1823">
        <f t="shared" si="66"/>
        <v>0</v>
      </c>
      <c r="K109" s="1823">
        <f t="shared" si="66"/>
        <v>0</v>
      </c>
      <c r="L109" s="1823">
        <f t="shared" si="66"/>
        <v>0</v>
      </c>
      <c r="M109" s="1823">
        <f t="shared" si="66"/>
        <v>0</v>
      </c>
      <c r="N109" s="1823">
        <f t="shared" si="66"/>
        <v>0</v>
      </c>
      <c r="O109" s="1823">
        <f t="shared" si="66"/>
        <v>0</v>
      </c>
      <c r="P109" s="1823">
        <f t="shared" si="66"/>
        <v>0</v>
      </c>
      <c r="Q109" s="1823">
        <f t="shared" si="66"/>
        <v>0</v>
      </c>
      <c r="R109" s="1824">
        <f t="shared" si="66"/>
        <v>0</v>
      </c>
    </row>
    <row r="110" spans="1:18" ht="17.25" customHeight="1">
      <c r="A110" s="1780" t="s">
        <v>565</v>
      </c>
      <c r="B110" s="1598" t="s">
        <v>1739</v>
      </c>
      <c r="C110" s="1829" t="s">
        <v>30</v>
      </c>
      <c r="D110" s="1830">
        <v>0</v>
      </c>
      <c r="E110" s="1831">
        <v>0</v>
      </c>
      <c r="F110" s="1830">
        <v>0</v>
      </c>
      <c r="G110" s="1830">
        <f>$F$110</f>
        <v>0</v>
      </c>
      <c r="H110" s="1830">
        <f t="shared" ref="H110:R110" si="67">$F$110</f>
        <v>0</v>
      </c>
      <c r="I110" s="1830">
        <f t="shared" si="67"/>
        <v>0</v>
      </c>
      <c r="J110" s="1830">
        <f t="shared" si="67"/>
        <v>0</v>
      </c>
      <c r="K110" s="1830">
        <f t="shared" si="67"/>
        <v>0</v>
      </c>
      <c r="L110" s="1830">
        <f t="shared" si="67"/>
        <v>0</v>
      </c>
      <c r="M110" s="1830">
        <f t="shared" si="67"/>
        <v>0</v>
      </c>
      <c r="N110" s="1830">
        <f t="shared" si="67"/>
        <v>0</v>
      </c>
      <c r="O110" s="1830">
        <f t="shared" si="67"/>
        <v>0</v>
      </c>
      <c r="P110" s="1830">
        <f t="shared" si="67"/>
        <v>0</v>
      </c>
      <c r="Q110" s="1830">
        <f t="shared" si="67"/>
        <v>0</v>
      </c>
      <c r="R110" s="1832">
        <f t="shared" si="67"/>
        <v>0</v>
      </c>
    </row>
    <row r="111" spans="1:18" ht="17.25" customHeight="1">
      <c r="A111" s="1780" t="s">
        <v>566</v>
      </c>
      <c r="B111" s="1615" t="s">
        <v>1741</v>
      </c>
      <c r="C111" s="1829" t="s">
        <v>30</v>
      </c>
      <c r="D111" s="1830">
        <v>0</v>
      </c>
      <c r="E111" s="1831">
        <v>0</v>
      </c>
      <c r="F111" s="1830">
        <v>0</v>
      </c>
      <c r="G111" s="1830">
        <f>$F$111</f>
        <v>0</v>
      </c>
      <c r="H111" s="1830">
        <f t="shared" ref="H111:R111" si="68">$F$111</f>
        <v>0</v>
      </c>
      <c r="I111" s="1830">
        <f t="shared" si="68"/>
        <v>0</v>
      </c>
      <c r="J111" s="1830">
        <f t="shared" si="68"/>
        <v>0</v>
      </c>
      <c r="K111" s="1830">
        <f t="shared" si="68"/>
        <v>0</v>
      </c>
      <c r="L111" s="1830">
        <f t="shared" si="68"/>
        <v>0</v>
      </c>
      <c r="M111" s="1830">
        <f t="shared" si="68"/>
        <v>0</v>
      </c>
      <c r="N111" s="1830">
        <f t="shared" si="68"/>
        <v>0</v>
      </c>
      <c r="O111" s="1830">
        <f t="shared" si="68"/>
        <v>0</v>
      </c>
      <c r="P111" s="1830">
        <f t="shared" si="68"/>
        <v>0</v>
      </c>
      <c r="Q111" s="1830">
        <f t="shared" si="68"/>
        <v>0</v>
      </c>
      <c r="R111" s="1812">
        <f t="shared" si="68"/>
        <v>0</v>
      </c>
    </row>
    <row r="112" spans="1:18" ht="13.5" customHeight="1">
      <c r="A112" s="1780" t="s">
        <v>475</v>
      </c>
      <c r="B112" s="1833" t="s">
        <v>1791</v>
      </c>
      <c r="C112" s="1829" t="s">
        <v>30</v>
      </c>
      <c r="D112" s="1834">
        <f>D113+D114</f>
        <v>0</v>
      </c>
      <c r="E112" s="1834">
        <f>E113+E114</f>
        <v>0</v>
      </c>
      <c r="F112" s="1835">
        <f>F113+F114</f>
        <v>0</v>
      </c>
      <c r="G112" s="1835">
        <f t="shared" ref="G112:R112" si="69">G113+G114</f>
        <v>0</v>
      </c>
      <c r="H112" s="1835">
        <f t="shared" si="69"/>
        <v>0</v>
      </c>
      <c r="I112" s="1835">
        <f t="shared" si="69"/>
        <v>0</v>
      </c>
      <c r="J112" s="1835">
        <f t="shared" si="69"/>
        <v>0</v>
      </c>
      <c r="K112" s="1835">
        <f t="shared" si="69"/>
        <v>0</v>
      </c>
      <c r="L112" s="1835">
        <f t="shared" si="69"/>
        <v>0</v>
      </c>
      <c r="M112" s="1835">
        <f t="shared" si="69"/>
        <v>0</v>
      </c>
      <c r="N112" s="1835">
        <f t="shared" si="69"/>
        <v>0</v>
      </c>
      <c r="O112" s="1835">
        <f t="shared" si="69"/>
        <v>0</v>
      </c>
      <c r="P112" s="1835">
        <f t="shared" si="69"/>
        <v>0</v>
      </c>
      <c r="Q112" s="1835">
        <f t="shared" si="69"/>
        <v>0</v>
      </c>
      <c r="R112" s="1836">
        <f t="shared" si="69"/>
        <v>0</v>
      </c>
    </row>
    <row r="113" spans="1:18" ht="17.25" customHeight="1">
      <c r="A113" s="1723" t="s">
        <v>563</v>
      </c>
      <c r="B113" s="1598" t="s">
        <v>1739</v>
      </c>
      <c r="C113" s="1829" t="s">
        <v>30</v>
      </c>
      <c r="D113" s="1837">
        <v>0</v>
      </c>
      <c r="E113" s="1837">
        <v>0</v>
      </c>
      <c r="F113" s="1838">
        <v>0</v>
      </c>
      <c r="G113" s="1838">
        <v>0</v>
      </c>
      <c r="H113" s="1838">
        <f t="shared" ref="H113:R113" si="70">$F$113</f>
        <v>0</v>
      </c>
      <c r="I113" s="1838">
        <f t="shared" si="70"/>
        <v>0</v>
      </c>
      <c r="J113" s="1838">
        <f t="shared" si="70"/>
        <v>0</v>
      </c>
      <c r="K113" s="1838">
        <f t="shared" si="70"/>
        <v>0</v>
      </c>
      <c r="L113" s="1838">
        <f t="shared" si="70"/>
        <v>0</v>
      </c>
      <c r="M113" s="1838">
        <f t="shared" si="70"/>
        <v>0</v>
      </c>
      <c r="N113" s="1838">
        <f t="shared" si="70"/>
        <v>0</v>
      </c>
      <c r="O113" s="1838">
        <f t="shared" si="70"/>
        <v>0</v>
      </c>
      <c r="P113" s="1838">
        <f t="shared" si="70"/>
        <v>0</v>
      </c>
      <c r="Q113" s="1838">
        <f t="shared" si="70"/>
        <v>0</v>
      </c>
      <c r="R113" s="1839">
        <f t="shared" si="70"/>
        <v>0</v>
      </c>
    </row>
    <row r="114" spans="1:18" ht="17.25" customHeight="1">
      <c r="A114" s="1780" t="s">
        <v>564</v>
      </c>
      <c r="B114" s="1615" t="s">
        <v>1741</v>
      </c>
      <c r="C114" s="1829" t="s">
        <v>30</v>
      </c>
      <c r="D114" s="1840">
        <v>0</v>
      </c>
      <c r="E114" s="1840">
        <v>0</v>
      </c>
      <c r="F114" s="1841">
        <v>0</v>
      </c>
      <c r="G114" s="1841">
        <f>$F$114</f>
        <v>0</v>
      </c>
      <c r="H114" s="1841">
        <f t="shared" ref="H114:R114" si="71">$F$114</f>
        <v>0</v>
      </c>
      <c r="I114" s="1841">
        <f t="shared" si="71"/>
        <v>0</v>
      </c>
      <c r="J114" s="1841">
        <f t="shared" si="71"/>
        <v>0</v>
      </c>
      <c r="K114" s="1841">
        <f t="shared" si="71"/>
        <v>0</v>
      </c>
      <c r="L114" s="1841">
        <f t="shared" si="71"/>
        <v>0</v>
      </c>
      <c r="M114" s="1841">
        <f t="shared" si="71"/>
        <v>0</v>
      </c>
      <c r="N114" s="1841">
        <f t="shared" si="71"/>
        <v>0</v>
      </c>
      <c r="O114" s="1841">
        <f t="shared" si="71"/>
        <v>0</v>
      </c>
      <c r="P114" s="1841">
        <f t="shared" si="71"/>
        <v>0</v>
      </c>
      <c r="Q114" s="1841">
        <f t="shared" si="71"/>
        <v>0</v>
      </c>
      <c r="R114" s="1842">
        <f t="shared" si="71"/>
        <v>0</v>
      </c>
    </row>
    <row r="115" spans="1:18" ht="15.75" customHeight="1">
      <c r="A115" s="1723" t="s">
        <v>562</v>
      </c>
      <c r="B115" s="1843" t="s">
        <v>1792</v>
      </c>
      <c r="C115" s="1620" t="s">
        <v>30</v>
      </c>
      <c r="D115" s="1844">
        <f>D116+D117</f>
        <v>0</v>
      </c>
      <c r="E115" s="1844">
        <f>E116+E117</f>
        <v>0</v>
      </c>
      <c r="F115" s="1844">
        <f>F116+F117</f>
        <v>0</v>
      </c>
      <c r="G115" s="1844">
        <f>G116+G117</f>
        <v>0</v>
      </c>
      <c r="H115" s="1844">
        <f t="shared" ref="H115:R115" si="72">H116+H117</f>
        <v>0</v>
      </c>
      <c r="I115" s="1844">
        <f t="shared" si="72"/>
        <v>0</v>
      </c>
      <c r="J115" s="1844">
        <f t="shared" si="72"/>
        <v>0</v>
      </c>
      <c r="K115" s="1844">
        <f t="shared" si="72"/>
        <v>0</v>
      </c>
      <c r="L115" s="1844">
        <f t="shared" si="72"/>
        <v>0</v>
      </c>
      <c r="M115" s="1844">
        <f t="shared" si="72"/>
        <v>0</v>
      </c>
      <c r="N115" s="1844">
        <f t="shared" si="72"/>
        <v>0</v>
      </c>
      <c r="O115" s="1844">
        <f t="shared" si="72"/>
        <v>0</v>
      </c>
      <c r="P115" s="1844">
        <f t="shared" si="72"/>
        <v>0</v>
      </c>
      <c r="Q115" s="1844">
        <f t="shared" si="72"/>
        <v>0</v>
      </c>
      <c r="R115" s="1845">
        <f t="shared" si="72"/>
        <v>0</v>
      </c>
    </row>
    <row r="116" spans="1:18" ht="17.25" customHeight="1">
      <c r="A116" s="1846" t="s">
        <v>567</v>
      </c>
      <c r="B116" s="1598" t="s">
        <v>1739</v>
      </c>
      <c r="C116" s="1620" t="s">
        <v>30</v>
      </c>
      <c r="D116" s="1847">
        <v>0</v>
      </c>
      <c r="E116" s="1847">
        <v>0</v>
      </c>
      <c r="F116" s="1847">
        <f>SUM(G116:R116)</f>
        <v>0</v>
      </c>
      <c r="G116" s="1847">
        <v>0</v>
      </c>
      <c r="H116" s="1847">
        <f>$G$116</f>
        <v>0</v>
      </c>
      <c r="I116" s="1847">
        <f t="shared" ref="I116:R116" si="73">$G$116</f>
        <v>0</v>
      </c>
      <c r="J116" s="1847">
        <f t="shared" si="73"/>
        <v>0</v>
      </c>
      <c r="K116" s="1847">
        <f t="shared" si="73"/>
        <v>0</v>
      </c>
      <c r="L116" s="1847">
        <f t="shared" si="73"/>
        <v>0</v>
      </c>
      <c r="M116" s="1847">
        <f t="shared" si="73"/>
        <v>0</v>
      </c>
      <c r="N116" s="1847">
        <f t="shared" si="73"/>
        <v>0</v>
      </c>
      <c r="O116" s="1847">
        <f t="shared" si="73"/>
        <v>0</v>
      </c>
      <c r="P116" s="1847">
        <f t="shared" si="73"/>
        <v>0</v>
      </c>
      <c r="Q116" s="1847">
        <f t="shared" si="73"/>
        <v>0</v>
      </c>
      <c r="R116" s="1848">
        <f t="shared" si="73"/>
        <v>0</v>
      </c>
    </row>
    <row r="117" spans="1:18" ht="17.25" customHeight="1" thickBot="1">
      <c r="A117" s="1738" t="s">
        <v>568</v>
      </c>
      <c r="B117" s="1603" t="s">
        <v>1741</v>
      </c>
      <c r="C117" s="1624" t="s">
        <v>30</v>
      </c>
      <c r="D117" s="1849">
        <v>0</v>
      </c>
      <c r="E117" s="1849">
        <v>0</v>
      </c>
      <c r="F117" s="1849">
        <v>0</v>
      </c>
      <c r="G117" s="1849">
        <v>0</v>
      </c>
      <c r="H117" s="1849">
        <v>0</v>
      </c>
      <c r="I117" s="1849">
        <v>0</v>
      </c>
      <c r="J117" s="1849">
        <v>0</v>
      </c>
      <c r="K117" s="1849">
        <v>0</v>
      </c>
      <c r="L117" s="1849">
        <v>0</v>
      </c>
      <c r="M117" s="1849">
        <v>0</v>
      </c>
      <c r="N117" s="1849">
        <v>0</v>
      </c>
      <c r="O117" s="1849">
        <v>0</v>
      </c>
      <c r="P117" s="1849">
        <v>0</v>
      </c>
      <c r="Q117" s="1849">
        <v>0</v>
      </c>
      <c r="R117" s="1850">
        <v>0</v>
      </c>
    </row>
    <row r="118" spans="1:18" ht="45.6" customHeight="1" thickBot="1">
      <c r="A118" s="1851" t="s">
        <v>913</v>
      </c>
      <c r="B118" s="1852" t="s">
        <v>1793</v>
      </c>
      <c r="C118" s="1853" t="s">
        <v>21</v>
      </c>
      <c r="D118" s="1854">
        <f>D119</f>
        <v>0</v>
      </c>
      <c r="E118" s="1854">
        <f t="shared" ref="E118:R118" si="74">E119</f>
        <v>0</v>
      </c>
      <c r="F118" s="1854">
        <f t="shared" si="74"/>
        <v>8535.7796400000007</v>
      </c>
      <c r="G118" s="1854">
        <f t="shared" si="74"/>
        <v>112.2876</v>
      </c>
      <c r="H118" s="1854">
        <f t="shared" si="74"/>
        <v>1230.1056000000001</v>
      </c>
      <c r="I118" s="1854">
        <f t="shared" si="74"/>
        <v>1762.4095200000002</v>
      </c>
      <c r="J118" s="1854">
        <f t="shared" si="74"/>
        <v>2012.2410000000002</v>
      </c>
      <c r="K118" s="1854">
        <f t="shared" si="74"/>
        <v>1814.9452799999997</v>
      </c>
      <c r="L118" s="1854">
        <f t="shared" si="74"/>
        <v>1574.2519199999999</v>
      </c>
      <c r="M118" s="1854">
        <f t="shared" si="74"/>
        <v>29.538719999999998</v>
      </c>
      <c r="N118" s="1854">
        <f t="shared" si="74"/>
        <v>0</v>
      </c>
      <c r="O118" s="1854">
        <f t="shared" si="74"/>
        <v>0</v>
      </c>
      <c r="P118" s="1854">
        <f t="shared" si="74"/>
        <v>0</v>
      </c>
      <c r="Q118" s="1854">
        <f t="shared" si="74"/>
        <v>0</v>
      </c>
      <c r="R118" s="1855">
        <f t="shared" si="74"/>
        <v>0</v>
      </c>
    </row>
    <row r="119" spans="1:18" ht="17.25" customHeight="1">
      <c r="A119" s="1856" t="s">
        <v>86</v>
      </c>
      <c r="B119" s="1843" t="s">
        <v>194</v>
      </c>
      <c r="C119" s="1802" t="s">
        <v>21</v>
      </c>
      <c r="D119" s="1857">
        <f>D120+D128+D131+D134</f>
        <v>0</v>
      </c>
      <c r="E119" s="1857">
        <v>0</v>
      </c>
      <c r="F119" s="1858">
        <f>SUM(G119:R119)</f>
        <v>8535.7796400000007</v>
      </c>
      <c r="G119" s="1857">
        <f t="shared" ref="G119:M119" si="75">G120+G128+G131+G134</f>
        <v>112.2876</v>
      </c>
      <c r="H119" s="1858">
        <f t="shared" si="75"/>
        <v>1230.1056000000001</v>
      </c>
      <c r="I119" s="1858">
        <f t="shared" si="75"/>
        <v>1762.4095200000002</v>
      </c>
      <c r="J119" s="1858">
        <f t="shared" si="75"/>
        <v>2012.2410000000002</v>
      </c>
      <c r="K119" s="1858">
        <f t="shared" si="75"/>
        <v>1814.9452799999997</v>
      </c>
      <c r="L119" s="1858">
        <f t="shared" si="75"/>
        <v>1574.2519199999999</v>
      </c>
      <c r="M119" s="1858">
        <f t="shared" si="75"/>
        <v>29.538719999999998</v>
      </c>
      <c r="N119" s="1858">
        <v>0</v>
      </c>
      <c r="O119" s="1858">
        <v>0</v>
      </c>
      <c r="P119" s="1858">
        <v>0</v>
      </c>
      <c r="Q119" s="1858">
        <v>0</v>
      </c>
      <c r="R119" s="1859">
        <v>0</v>
      </c>
    </row>
    <row r="120" spans="1:18" ht="17.25" customHeight="1">
      <c r="A120" s="1811" t="s">
        <v>1794</v>
      </c>
      <c r="B120" s="1748" t="s">
        <v>3</v>
      </c>
      <c r="C120" s="1620" t="s">
        <v>21</v>
      </c>
      <c r="D120" s="1753">
        <f>D76</f>
        <v>0</v>
      </c>
      <c r="E120" s="1753">
        <v>0</v>
      </c>
      <c r="F120" s="1860">
        <f>SUM(G120:R120)</f>
        <v>8535.7796400000007</v>
      </c>
      <c r="G120" s="1753">
        <f>G121+G124+G127</f>
        <v>112.2876</v>
      </c>
      <c r="H120" s="1753">
        <f t="shared" ref="H120:M120" si="76">H121+H124+H127</f>
        <v>1230.1056000000001</v>
      </c>
      <c r="I120" s="1753">
        <f t="shared" si="76"/>
        <v>1762.4095200000002</v>
      </c>
      <c r="J120" s="1753">
        <f t="shared" si="76"/>
        <v>2012.2410000000002</v>
      </c>
      <c r="K120" s="1753">
        <f t="shared" si="76"/>
        <v>1814.9452799999997</v>
      </c>
      <c r="L120" s="1753">
        <f t="shared" si="76"/>
        <v>1574.2519199999999</v>
      </c>
      <c r="M120" s="1753">
        <f t="shared" si="76"/>
        <v>29.538719999999998</v>
      </c>
      <c r="N120" s="1861">
        <f>N121+N124+N133+N136</f>
        <v>0</v>
      </c>
      <c r="O120" s="1861">
        <f>O121+O124+O133+O136</f>
        <v>0</v>
      </c>
      <c r="P120" s="1861">
        <f>P121+P124+P133+P136</f>
        <v>0</v>
      </c>
      <c r="Q120" s="1861">
        <f>Q121+Q124+Q133+Q136</f>
        <v>0</v>
      </c>
      <c r="R120" s="1862">
        <f>R121+R124+R133+R136</f>
        <v>0</v>
      </c>
    </row>
    <row r="121" spans="1:18" ht="17.25" customHeight="1">
      <c r="A121" s="1811" t="s">
        <v>555</v>
      </c>
      <c r="B121" s="1598" t="s">
        <v>1739</v>
      </c>
      <c r="C121" s="1620" t="s">
        <v>21</v>
      </c>
      <c r="D121" s="1753">
        <f t="shared" ref="D121:D123" si="77">D78</f>
        <v>0</v>
      </c>
      <c r="E121" s="1753">
        <v>0</v>
      </c>
      <c r="F121" s="1860">
        <f>SUM(G121:R121)</f>
        <v>6460.056239999999</v>
      </c>
      <c r="G121" s="1753">
        <f>G122+G123</f>
        <v>84.9816</v>
      </c>
      <c r="H121" s="1752">
        <f t="shared" ref="H121:M121" si="78">H122+H123</f>
        <v>930.96960000000001</v>
      </c>
      <c r="I121" s="1752">
        <f t="shared" si="78"/>
        <v>1333.8283200000001</v>
      </c>
      <c r="J121" s="1752">
        <f t="shared" si="78"/>
        <v>1522.9059999999999</v>
      </c>
      <c r="K121" s="1752">
        <f t="shared" si="78"/>
        <v>1373.5884799999999</v>
      </c>
      <c r="L121" s="1752">
        <f t="shared" si="78"/>
        <v>1191.4267199999999</v>
      </c>
      <c r="M121" s="1752">
        <f t="shared" si="78"/>
        <v>22.355519999999999</v>
      </c>
      <c r="N121" s="1752">
        <v>0</v>
      </c>
      <c r="O121" s="1752">
        <v>0</v>
      </c>
      <c r="P121" s="1752">
        <v>0</v>
      </c>
      <c r="Q121" s="1752">
        <v>0</v>
      </c>
      <c r="R121" s="1782">
        <v>0</v>
      </c>
    </row>
    <row r="122" spans="1:18" ht="17.25" customHeight="1">
      <c r="A122" s="1811" t="s">
        <v>557</v>
      </c>
      <c r="B122" s="1763" t="s">
        <v>1778</v>
      </c>
      <c r="C122" s="1620" t="s">
        <v>21</v>
      </c>
      <c r="D122" s="1753">
        <f t="shared" si="77"/>
        <v>0</v>
      </c>
      <c r="E122" s="1753">
        <v>0</v>
      </c>
      <c r="F122" s="1860">
        <f>SUM(G122:R122)</f>
        <v>6460.056239999999</v>
      </c>
      <c r="G122" s="1753">
        <f>G153+G160</f>
        <v>84.9816</v>
      </c>
      <c r="H122" s="1753">
        <f t="shared" ref="H122:M122" si="79">H153+H160</f>
        <v>930.96960000000001</v>
      </c>
      <c r="I122" s="1753">
        <f t="shared" si="79"/>
        <v>1333.8283200000001</v>
      </c>
      <c r="J122" s="1753">
        <f t="shared" si="79"/>
        <v>1522.9059999999999</v>
      </c>
      <c r="K122" s="1753">
        <f t="shared" si="79"/>
        <v>1373.5884799999999</v>
      </c>
      <c r="L122" s="1753">
        <f t="shared" si="79"/>
        <v>1191.4267199999999</v>
      </c>
      <c r="M122" s="1753">
        <f t="shared" si="79"/>
        <v>22.355519999999999</v>
      </c>
      <c r="N122" s="1753">
        <f>N123+N124</f>
        <v>0</v>
      </c>
      <c r="O122" s="1753">
        <f>O123+O124</f>
        <v>0</v>
      </c>
      <c r="P122" s="1753">
        <f>P123+P124</f>
        <v>0</v>
      </c>
      <c r="Q122" s="1753">
        <f>Q123+Q124</f>
        <v>0</v>
      </c>
      <c r="R122" s="1863">
        <f>R123+R124</f>
        <v>0</v>
      </c>
    </row>
    <row r="123" spans="1:18" ht="17.25" customHeight="1">
      <c r="A123" s="1811" t="s">
        <v>558</v>
      </c>
      <c r="B123" s="1768" t="s">
        <v>1779</v>
      </c>
      <c r="C123" s="1620" t="s">
        <v>21</v>
      </c>
      <c r="D123" s="1753">
        <f t="shared" si="77"/>
        <v>0</v>
      </c>
      <c r="E123" s="1753">
        <v>0</v>
      </c>
      <c r="F123" s="1752">
        <f t="shared" ref="F123:F130" si="80">SUM(G123:R123)</f>
        <v>0</v>
      </c>
      <c r="G123" s="1753">
        <v>0</v>
      </c>
      <c r="H123" s="1753">
        <v>0</v>
      </c>
      <c r="I123" s="1753">
        <v>0</v>
      </c>
      <c r="J123" s="1753">
        <v>0</v>
      </c>
      <c r="K123" s="1753">
        <v>0</v>
      </c>
      <c r="L123" s="1753">
        <v>0</v>
      </c>
      <c r="M123" s="1753">
        <v>0</v>
      </c>
      <c r="N123" s="1753">
        <v>0</v>
      </c>
      <c r="O123" s="1753">
        <v>0</v>
      </c>
      <c r="P123" s="1753">
        <v>0</v>
      </c>
      <c r="Q123" s="1753">
        <v>0</v>
      </c>
      <c r="R123" s="1863">
        <v>0</v>
      </c>
    </row>
    <row r="124" spans="1:18" ht="17.25" customHeight="1">
      <c r="A124" s="1811" t="s">
        <v>556</v>
      </c>
      <c r="B124" s="1615" t="s">
        <v>1741</v>
      </c>
      <c r="C124" s="1620" t="s">
        <v>21</v>
      </c>
      <c r="D124" s="1753">
        <f>D81</f>
        <v>0</v>
      </c>
      <c r="E124" s="1753">
        <v>0</v>
      </c>
      <c r="F124" s="1752">
        <f t="shared" si="80"/>
        <v>0</v>
      </c>
      <c r="G124" s="1753">
        <f>G125+G126</f>
        <v>0</v>
      </c>
      <c r="H124" s="1752">
        <f t="shared" ref="H124:M124" si="81">H125+H126</f>
        <v>0</v>
      </c>
      <c r="I124" s="1752">
        <f t="shared" si="81"/>
        <v>0</v>
      </c>
      <c r="J124" s="1752">
        <f t="shared" si="81"/>
        <v>0</v>
      </c>
      <c r="K124" s="1752">
        <f t="shared" si="81"/>
        <v>0</v>
      </c>
      <c r="L124" s="1752">
        <f t="shared" si="81"/>
        <v>0</v>
      </c>
      <c r="M124" s="1752">
        <f t="shared" si="81"/>
        <v>0</v>
      </c>
      <c r="N124" s="1753">
        <v>0</v>
      </c>
      <c r="O124" s="1753">
        <v>0</v>
      </c>
      <c r="P124" s="1753">
        <v>0</v>
      </c>
      <c r="Q124" s="1753">
        <v>0</v>
      </c>
      <c r="R124" s="1863">
        <v>0</v>
      </c>
    </row>
    <row r="125" spans="1:18" ht="17.25" customHeight="1">
      <c r="A125" s="1811" t="s">
        <v>559</v>
      </c>
      <c r="B125" s="1772" t="s">
        <v>561</v>
      </c>
      <c r="C125" s="1620" t="s">
        <v>21</v>
      </c>
      <c r="D125" s="1753">
        <f>D82</f>
        <v>0</v>
      </c>
      <c r="E125" s="1753">
        <v>0</v>
      </c>
      <c r="F125" s="1752">
        <f t="shared" si="80"/>
        <v>0</v>
      </c>
      <c r="G125" s="1753">
        <v>0</v>
      </c>
      <c r="H125" s="1753">
        <v>0</v>
      </c>
      <c r="I125" s="1753">
        <v>0</v>
      </c>
      <c r="J125" s="1753">
        <v>0</v>
      </c>
      <c r="K125" s="1753">
        <v>0</v>
      </c>
      <c r="L125" s="1753">
        <v>0</v>
      </c>
      <c r="M125" s="1753">
        <v>0</v>
      </c>
      <c r="N125" s="1753">
        <v>0</v>
      </c>
      <c r="O125" s="1753">
        <v>0</v>
      </c>
      <c r="P125" s="1753">
        <v>0</v>
      </c>
      <c r="Q125" s="1753">
        <v>0</v>
      </c>
      <c r="R125" s="1863">
        <v>0</v>
      </c>
    </row>
    <row r="126" spans="1:18" ht="17.25" customHeight="1">
      <c r="A126" s="1811" t="s">
        <v>560</v>
      </c>
      <c r="B126" s="1768" t="s">
        <v>1779</v>
      </c>
      <c r="C126" s="1620" t="s">
        <v>21</v>
      </c>
      <c r="D126" s="1753">
        <f>D83</f>
        <v>0</v>
      </c>
      <c r="E126" s="1753">
        <f>E83</f>
        <v>0</v>
      </c>
      <c r="F126" s="1860">
        <f t="shared" si="80"/>
        <v>0</v>
      </c>
      <c r="G126" s="1753">
        <v>0</v>
      </c>
      <c r="H126" s="1753">
        <v>0</v>
      </c>
      <c r="I126" s="1753">
        <v>0</v>
      </c>
      <c r="J126" s="1753">
        <v>0</v>
      </c>
      <c r="K126" s="1753">
        <v>0</v>
      </c>
      <c r="L126" s="1753">
        <v>0</v>
      </c>
      <c r="M126" s="1753">
        <v>0</v>
      </c>
      <c r="N126" s="1753">
        <v>0</v>
      </c>
      <c r="O126" s="1753">
        <v>0</v>
      </c>
      <c r="P126" s="1753">
        <v>0</v>
      </c>
      <c r="Q126" s="1753">
        <v>0</v>
      </c>
      <c r="R126" s="1863">
        <v>0</v>
      </c>
    </row>
    <row r="127" spans="1:18" ht="17.25" customHeight="1">
      <c r="A127" s="1811" t="s">
        <v>1795</v>
      </c>
      <c r="B127" s="1763" t="s">
        <v>1778</v>
      </c>
      <c r="C127" s="1620" t="s">
        <v>21</v>
      </c>
      <c r="D127" s="1753">
        <f>D85</f>
        <v>0</v>
      </c>
      <c r="E127" s="1753">
        <f>E85</f>
        <v>0</v>
      </c>
      <c r="F127" s="1752">
        <f>SUM(G127:M127)</f>
        <v>2075.7234000000003</v>
      </c>
      <c r="G127" s="1752">
        <f>G167+G170+G173+G176</f>
        <v>27.306000000000001</v>
      </c>
      <c r="H127" s="1752">
        <f t="shared" ref="H127:R127" si="82">H167+H170+H173+H176</f>
        <v>299.13600000000002</v>
      </c>
      <c r="I127" s="1752">
        <f t="shared" si="82"/>
        <v>428.58120000000002</v>
      </c>
      <c r="J127" s="1752">
        <f t="shared" si="82"/>
        <v>489.33500000000032</v>
      </c>
      <c r="K127" s="1752">
        <f t="shared" si="82"/>
        <v>441.35679999999974</v>
      </c>
      <c r="L127" s="1752">
        <f t="shared" si="82"/>
        <v>382.8252</v>
      </c>
      <c r="M127" s="1752">
        <f t="shared" si="82"/>
        <v>7.1831999999999994</v>
      </c>
      <c r="N127" s="1753">
        <f>N167+N170+N173+N176</f>
        <v>0</v>
      </c>
      <c r="O127" s="1753">
        <f t="shared" si="82"/>
        <v>0</v>
      </c>
      <c r="P127" s="1753">
        <f t="shared" si="82"/>
        <v>0</v>
      </c>
      <c r="Q127" s="1753">
        <f t="shared" si="82"/>
        <v>0</v>
      </c>
      <c r="R127" s="1863">
        <f t="shared" si="82"/>
        <v>0</v>
      </c>
    </row>
    <row r="128" spans="1:18" ht="17.25" customHeight="1">
      <c r="A128" s="1811" t="s">
        <v>1796</v>
      </c>
      <c r="B128" s="1763" t="s">
        <v>157</v>
      </c>
      <c r="C128" s="1620" t="s">
        <v>21</v>
      </c>
      <c r="D128" s="1752">
        <v>0</v>
      </c>
      <c r="E128" s="1752">
        <v>0</v>
      </c>
      <c r="F128" s="1860">
        <f t="shared" si="80"/>
        <v>0</v>
      </c>
      <c r="G128" s="1753">
        <f>G129+G130</f>
        <v>0</v>
      </c>
      <c r="H128" s="1860">
        <f t="shared" ref="H128:M128" si="83">H129+H130</f>
        <v>0</v>
      </c>
      <c r="I128" s="1860">
        <f t="shared" si="83"/>
        <v>0</v>
      </c>
      <c r="J128" s="1860">
        <f t="shared" si="83"/>
        <v>0</v>
      </c>
      <c r="K128" s="1860">
        <f t="shared" si="83"/>
        <v>0</v>
      </c>
      <c r="L128" s="1860">
        <f t="shared" si="83"/>
        <v>0</v>
      </c>
      <c r="M128" s="1860">
        <f t="shared" si="83"/>
        <v>0</v>
      </c>
      <c r="N128" s="1753">
        <v>0</v>
      </c>
      <c r="O128" s="1753">
        <v>0</v>
      </c>
      <c r="P128" s="1753">
        <v>0</v>
      </c>
      <c r="Q128" s="1753">
        <v>0</v>
      </c>
      <c r="R128" s="1863">
        <v>0</v>
      </c>
    </row>
    <row r="129" spans="1:18" ht="17.25" customHeight="1">
      <c r="A129" s="1811" t="s">
        <v>1797</v>
      </c>
      <c r="B129" s="1598" t="s">
        <v>1739</v>
      </c>
      <c r="C129" s="1620" t="s">
        <v>21</v>
      </c>
      <c r="D129" s="1753">
        <f t="shared" ref="D129:D131" si="84">D87</f>
        <v>0</v>
      </c>
      <c r="E129" s="1753">
        <v>0</v>
      </c>
      <c r="F129" s="1752">
        <f t="shared" si="80"/>
        <v>0</v>
      </c>
      <c r="G129" s="1753">
        <v>0</v>
      </c>
      <c r="H129" s="1753">
        <v>0</v>
      </c>
      <c r="I129" s="1753">
        <v>0</v>
      </c>
      <c r="J129" s="1753">
        <v>0</v>
      </c>
      <c r="K129" s="1753">
        <v>0</v>
      </c>
      <c r="L129" s="1753">
        <v>0</v>
      </c>
      <c r="M129" s="1753">
        <v>0</v>
      </c>
      <c r="N129" s="1753">
        <v>0</v>
      </c>
      <c r="O129" s="1753">
        <v>0</v>
      </c>
      <c r="P129" s="1753">
        <v>0</v>
      </c>
      <c r="Q129" s="1753">
        <v>0</v>
      </c>
      <c r="R129" s="1863">
        <v>0</v>
      </c>
    </row>
    <row r="130" spans="1:18" ht="17.25" customHeight="1">
      <c r="A130" s="1811" t="s">
        <v>1798</v>
      </c>
      <c r="B130" s="1615" t="s">
        <v>1741</v>
      </c>
      <c r="C130" s="1620" t="s">
        <v>21</v>
      </c>
      <c r="D130" s="1753">
        <v>0</v>
      </c>
      <c r="E130" s="1753">
        <v>0</v>
      </c>
      <c r="F130" s="1752">
        <f t="shared" si="80"/>
        <v>0</v>
      </c>
      <c r="G130" s="1753">
        <v>0</v>
      </c>
      <c r="H130" s="1753">
        <v>0</v>
      </c>
      <c r="I130" s="1753">
        <v>0</v>
      </c>
      <c r="J130" s="1753">
        <v>0</v>
      </c>
      <c r="K130" s="1753">
        <v>0</v>
      </c>
      <c r="L130" s="1753">
        <v>0</v>
      </c>
      <c r="M130" s="1753">
        <v>0</v>
      </c>
      <c r="N130" s="1753">
        <v>0</v>
      </c>
      <c r="O130" s="1753">
        <v>0</v>
      </c>
      <c r="P130" s="1753">
        <v>0</v>
      </c>
      <c r="Q130" s="1753">
        <v>0</v>
      </c>
      <c r="R130" s="1863">
        <v>0</v>
      </c>
    </row>
    <row r="131" spans="1:18" ht="17.25" customHeight="1">
      <c r="A131" s="1811" t="s">
        <v>553</v>
      </c>
      <c r="B131" s="1843" t="s">
        <v>1799</v>
      </c>
      <c r="C131" s="1620" t="s">
        <v>21</v>
      </c>
      <c r="D131" s="1753">
        <f t="shared" si="84"/>
        <v>0</v>
      </c>
      <c r="E131" s="1753">
        <v>0</v>
      </c>
      <c r="F131" s="1752">
        <f>F132+F133</f>
        <v>0</v>
      </c>
      <c r="G131" s="1753">
        <f t="shared" ref="G131:R131" si="85">G132+G133</f>
        <v>0</v>
      </c>
      <c r="H131" s="1752">
        <f t="shared" si="85"/>
        <v>0</v>
      </c>
      <c r="I131" s="1752">
        <f t="shared" si="85"/>
        <v>0</v>
      </c>
      <c r="J131" s="1752">
        <f t="shared" si="85"/>
        <v>0</v>
      </c>
      <c r="K131" s="1752">
        <f t="shared" si="85"/>
        <v>0</v>
      </c>
      <c r="L131" s="1752">
        <f t="shared" si="85"/>
        <v>0</v>
      </c>
      <c r="M131" s="1752">
        <f t="shared" si="85"/>
        <v>0</v>
      </c>
      <c r="N131" s="1753">
        <f t="shared" si="85"/>
        <v>0</v>
      </c>
      <c r="O131" s="1753">
        <f t="shared" si="85"/>
        <v>0</v>
      </c>
      <c r="P131" s="1753">
        <f t="shared" si="85"/>
        <v>0</v>
      </c>
      <c r="Q131" s="1753">
        <f t="shared" si="85"/>
        <v>0</v>
      </c>
      <c r="R131" s="1863">
        <f t="shared" si="85"/>
        <v>0</v>
      </c>
    </row>
    <row r="132" spans="1:18" ht="17.25" customHeight="1">
      <c r="A132" s="1806" t="s">
        <v>476</v>
      </c>
      <c r="B132" s="1598" t="s">
        <v>1739</v>
      </c>
      <c r="C132" s="1620" t="s">
        <v>21</v>
      </c>
      <c r="D132" s="1753">
        <f>D91</f>
        <v>0</v>
      </c>
      <c r="E132" s="1753">
        <v>0</v>
      </c>
      <c r="F132" s="1752">
        <f>SUM(G132:R132)</f>
        <v>0</v>
      </c>
      <c r="G132" s="1753">
        <v>0</v>
      </c>
      <c r="H132" s="1753">
        <v>0</v>
      </c>
      <c r="I132" s="1753">
        <v>0</v>
      </c>
      <c r="J132" s="1753">
        <v>0</v>
      </c>
      <c r="K132" s="1753">
        <v>0</v>
      </c>
      <c r="L132" s="1753">
        <v>0</v>
      </c>
      <c r="M132" s="1753">
        <v>0</v>
      </c>
      <c r="N132" s="1753">
        <v>0</v>
      </c>
      <c r="O132" s="1753">
        <v>0</v>
      </c>
      <c r="P132" s="1753">
        <v>0</v>
      </c>
      <c r="Q132" s="1753">
        <v>0</v>
      </c>
      <c r="R132" s="1863">
        <v>0</v>
      </c>
    </row>
    <row r="133" spans="1:18" ht="17.25" customHeight="1">
      <c r="A133" s="1864" t="s">
        <v>1800</v>
      </c>
      <c r="B133" s="1615" t="s">
        <v>1741</v>
      </c>
      <c r="C133" s="1620" t="s">
        <v>21</v>
      </c>
      <c r="D133" s="1753">
        <f>D92</f>
        <v>0</v>
      </c>
      <c r="E133" s="1753">
        <v>0</v>
      </c>
      <c r="F133" s="1752">
        <f>SUM(G133:R133)</f>
        <v>0</v>
      </c>
      <c r="G133" s="1753">
        <v>0</v>
      </c>
      <c r="H133" s="1753">
        <v>0</v>
      </c>
      <c r="I133" s="1753">
        <v>0</v>
      </c>
      <c r="J133" s="1753">
        <v>0</v>
      </c>
      <c r="K133" s="1753">
        <v>0</v>
      </c>
      <c r="L133" s="1753">
        <v>0</v>
      </c>
      <c r="M133" s="1753">
        <v>0</v>
      </c>
      <c r="N133" s="1753">
        <v>0</v>
      </c>
      <c r="O133" s="1753">
        <v>0</v>
      </c>
      <c r="P133" s="1753">
        <v>0</v>
      </c>
      <c r="Q133" s="1753">
        <v>0</v>
      </c>
      <c r="R133" s="1863">
        <v>0</v>
      </c>
    </row>
    <row r="134" spans="1:18" ht="17.25" customHeight="1">
      <c r="A134" s="1864" t="s">
        <v>1801</v>
      </c>
      <c r="B134" s="1699" t="s">
        <v>1197</v>
      </c>
      <c r="C134" s="1620" t="s">
        <v>21</v>
      </c>
      <c r="D134" s="1753">
        <f>D135+D136</f>
        <v>0</v>
      </c>
      <c r="E134" s="1753">
        <v>0</v>
      </c>
      <c r="F134" s="1752">
        <f>SUM(G134:R134)</f>
        <v>0</v>
      </c>
      <c r="G134" s="1753">
        <f t="shared" ref="G134:R134" si="86">G135+G136</f>
        <v>0</v>
      </c>
      <c r="H134" s="1752">
        <f t="shared" si="86"/>
        <v>0</v>
      </c>
      <c r="I134" s="1752">
        <f t="shared" si="86"/>
        <v>0</v>
      </c>
      <c r="J134" s="1752">
        <f t="shared" si="86"/>
        <v>0</v>
      </c>
      <c r="K134" s="1752">
        <f t="shared" si="86"/>
        <v>0</v>
      </c>
      <c r="L134" s="1752">
        <f t="shared" si="86"/>
        <v>0</v>
      </c>
      <c r="M134" s="1752">
        <f t="shared" si="86"/>
        <v>0</v>
      </c>
      <c r="N134" s="1753">
        <f t="shared" si="86"/>
        <v>0</v>
      </c>
      <c r="O134" s="1753">
        <f t="shared" si="86"/>
        <v>0</v>
      </c>
      <c r="P134" s="1753">
        <f t="shared" si="86"/>
        <v>0</v>
      </c>
      <c r="Q134" s="1753">
        <f t="shared" si="86"/>
        <v>0</v>
      </c>
      <c r="R134" s="1863">
        <f t="shared" si="86"/>
        <v>0</v>
      </c>
    </row>
    <row r="135" spans="1:18" ht="17.25" customHeight="1">
      <c r="A135" s="1806" t="s">
        <v>1802</v>
      </c>
      <c r="B135" s="1598" t="s">
        <v>1739</v>
      </c>
      <c r="C135" s="1620" t="s">
        <v>21</v>
      </c>
      <c r="D135" s="1753">
        <f>D95</f>
        <v>0</v>
      </c>
      <c r="E135" s="1753">
        <v>0</v>
      </c>
      <c r="F135" s="1752">
        <f>SUM(G135:R135)</f>
        <v>0</v>
      </c>
      <c r="G135" s="1753">
        <v>0</v>
      </c>
      <c r="H135" s="1753">
        <v>0</v>
      </c>
      <c r="I135" s="1753">
        <v>0</v>
      </c>
      <c r="J135" s="1753">
        <v>0</v>
      </c>
      <c r="K135" s="1753">
        <v>0</v>
      </c>
      <c r="L135" s="1753">
        <v>0</v>
      </c>
      <c r="M135" s="1753">
        <v>0</v>
      </c>
      <c r="N135" s="1753">
        <v>0</v>
      </c>
      <c r="O135" s="1753">
        <v>0</v>
      </c>
      <c r="P135" s="1753">
        <v>0</v>
      </c>
      <c r="Q135" s="1753">
        <v>0</v>
      </c>
      <c r="R135" s="1863">
        <v>0</v>
      </c>
    </row>
    <row r="136" spans="1:18" ht="17.25" customHeight="1" thickBot="1">
      <c r="A136" s="1865" t="s">
        <v>554</v>
      </c>
      <c r="B136" s="1603" t="s">
        <v>1741</v>
      </c>
      <c r="C136" s="1624" t="s">
        <v>21</v>
      </c>
      <c r="D136" s="1849">
        <f>D96</f>
        <v>0</v>
      </c>
      <c r="E136" s="1849">
        <v>0</v>
      </c>
      <c r="F136" s="1866">
        <f>SUM(G136:R136)</f>
        <v>0</v>
      </c>
      <c r="G136" s="1849">
        <v>0</v>
      </c>
      <c r="H136" s="1849">
        <v>0</v>
      </c>
      <c r="I136" s="1849">
        <v>0</v>
      </c>
      <c r="J136" s="1849">
        <v>0</v>
      </c>
      <c r="K136" s="1849">
        <v>0</v>
      </c>
      <c r="L136" s="1849">
        <v>0</v>
      </c>
      <c r="M136" s="1849">
        <v>0</v>
      </c>
      <c r="N136" s="1849">
        <v>0</v>
      </c>
      <c r="O136" s="1849">
        <v>0</v>
      </c>
      <c r="P136" s="1849">
        <v>0</v>
      </c>
      <c r="Q136" s="1849">
        <v>0</v>
      </c>
      <c r="R136" s="1850">
        <v>0</v>
      </c>
    </row>
    <row r="137" spans="1:18" ht="18.75" customHeight="1">
      <c r="A137" s="1867" t="s">
        <v>87</v>
      </c>
      <c r="B137" s="1868" t="s">
        <v>195</v>
      </c>
      <c r="C137" s="1680" t="s">
        <v>21</v>
      </c>
      <c r="D137" s="1869">
        <v>0</v>
      </c>
      <c r="E137" s="1869">
        <v>0</v>
      </c>
      <c r="F137" s="1869">
        <v>0</v>
      </c>
      <c r="G137" s="1869">
        <v>0</v>
      </c>
      <c r="H137" s="1869">
        <v>0</v>
      </c>
      <c r="I137" s="1869">
        <v>0</v>
      </c>
      <c r="J137" s="1869">
        <v>0</v>
      </c>
      <c r="K137" s="1869">
        <v>0</v>
      </c>
      <c r="L137" s="1869">
        <v>0</v>
      </c>
      <c r="M137" s="1869">
        <v>0</v>
      </c>
      <c r="N137" s="1869">
        <v>0</v>
      </c>
      <c r="O137" s="1869">
        <v>0</v>
      </c>
      <c r="P137" s="1869">
        <v>0</v>
      </c>
      <c r="Q137" s="1869">
        <v>0</v>
      </c>
      <c r="R137" s="1870">
        <v>0</v>
      </c>
    </row>
    <row r="138" spans="1:18" ht="14.25" customHeight="1">
      <c r="A138" s="1871" t="s">
        <v>1803</v>
      </c>
      <c r="B138" s="1872" t="s">
        <v>3</v>
      </c>
      <c r="C138" s="1620" t="s">
        <v>21</v>
      </c>
      <c r="D138" s="1751">
        <v>0</v>
      </c>
      <c r="E138" s="1751">
        <v>0</v>
      </c>
      <c r="F138" s="1751">
        <v>0</v>
      </c>
      <c r="G138" s="1751">
        <v>0</v>
      </c>
      <c r="H138" s="1751">
        <v>0</v>
      </c>
      <c r="I138" s="1751">
        <v>0</v>
      </c>
      <c r="J138" s="1751">
        <v>0</v>
      </c>
      <c r="K138" s="1751">
        <v>0</v>
      </c>
      <c r="L138" s="1751">
        <v>0</v>
      </c>
      <c r="M138" s="1751">
        <v>0</v>
      </c>
      <c r="N138" s="1751">
        <v>0</v>
      </c>
      <c r="O138" s="1751">
        <v>0</v>
      </c>
      <c r="P138" s="1751">
        <v>0</v>
      </c>
      <c r="Q138" s="1751">
        <v>0</v>
      </c>
      <c r="R138" s="1873">
        <v>0</v>
      </c>
    </row>
    <row r="139" spans="1:18" ht="13.5" customHeight="1">
      <c r="A139" s="1871" t="s">
        <v>550</v>
      </c>
      <c r="B139" s="1731" t="s">
        <v>1739</v>
      </c>
      <c r="C139" s="1620" t="s">
        <v>21</v>
      </c>
      <c r="D139" s="1751">
        <v>0</v>
      </c>
      <c r="E139" s="1751">
        <v>0</v>
      </c>
      <c r="F139" s="1751">
        <v>0</v>
      </c>
      <c r="G139" s="1751">
        <v>0</v>
      </c>
      <c r="H139" s="1751">
        <v>0</v>
      </c>
      <c r="I139" s="1751">
        <v>0</v>
      </c>
      <c r="J139" s="1751">
        <v>0</v>
      </c>
      <c r="K139" s="1751">
        <v>0</v>
      </c>
      <c r="L139" s="1751">
        <v>0</v>
      </c>
      <c r="M139" s="1751">
        <v>0</v>
      </c>
      <c r="N139" s="1751">
        <v>0</v>
      </c>
      <c r="O139" s="1751">
        <v>0</v>
      </c>
      <c r="P139" s="1751">
        <v>0</v>
      </c>
      <c r="Q139" s="1751">
        <v>0</v>
      </c>
      <c r="R139" s="1873">
        <v>0</v>
      </c>
    </row>
    <row r="140" spans="1:18" ht="12.75" customHeight="1">
      <c r="A140" s="1871" t="s">
        <v>551</v>
      </c>
      <c r="B140" s="1874" t="s">
        <v>1741</v>
      </c>
      <c r="C140" s="1620" t="s">
        <v>21</v>
      </c>
      <c r="D140" s="1751">
        <v>0</v>
      </c>
      <c r="E140" s="1751">
        <v>0</v>
      </c>
      <c r="F140" s="1751">
        <v>0</v>
      </c>
      <c r="G140" s="1751">
        <v>0</v>
      </c>
      <c r="H140" s="1751">
        <v>0</v>
      </c>
      <c r="I140" s="1751">
        <v>0</v>
      </c>
      <c r="J140" s="1751">
        <v>0</v>
      </c>
      <c r="K140" s="1751">
        <v>0</v>
      </c>
      <c r="L140" s="1751">
        <v>0</v>
      </c>
      <c r="M140" s="1751">
        <v>0</v>
      </c>
      <c r="N140" s="1751">
        <v>0</v>
      </c>
      <c r="O140" s="1751">
        <v>0</v>
      </c>
      <c r="P140" s="1751">
        <v>0</v>
      </c>
      <c r="Q140" s="1751">
        <v>0</v>
      </c>
      <c r="R140" s="1873">
        <v>0</v>
      </c>
    </row>
    <row r="141" spans="1:18" ht="13.5" customHeight="1">
      <c r="A141" s="1871" t="s">
        <v>1804</v>
      </c>
      <c r="B141" s="1875" t="s">
        <v>159</v>
      </c>
      <c r="C141" s="1620" t="s">
        <v>21</v>
      </c>
      <c r="D141" s="1751">
        <v>0</v>
      </c>
      <c r="E141" s="1751">
        <v>0</v>
      </c>
      <c r="F141" s="1751">
        <v>0</v>
      </c>
      <c r="G141" s="1751">
        <v>0</v>
      </c>
      <c r="H141" s="1751">
        <v>0</v>
      </c>
      <c r="I141" s="1751">
        <v>0</v>
      </c>
      <c r="J141" s="1751">
        <v>0</v>
      </c>
      <c r="K141" s="1751">
        <v>0</v>
      </c>
      <c r="L141" s="1751">
        <v>0</v>
      </c>
      <c r="M141" s="1751">
        <v>0</v>
      </c>
      <c r="N141" s="1751">
        <v>0</v>
      </c>
      <c r="O141" s="1751">
        <v>0</v>
      </c>
      <c r="P141" s="1751">
        <v>0</v>
      </c>
      <c r="Q141" s="1751">
        <v>0</v>
      </c>
      <c r="R141" s="1873">
        <v>0</v>
      </c>
    </row>
    <row r="142" spans="1:18" ht="11.25" customHeight="1">
      <c r="A142" s="1871" t="s">
        <v>552</v>
      </c>
      <c r="B142" s="1731" t="s">
        <v>1739</v>
      </c>
      <c r="C142" s="1620" t="s">
        <v>21</v>
      </c>
      <c r="D142" s="1751">
        <v>0</v>
      </c>
      <c r="E142" s="1751">
        <v>0</v>
      </c>
      <c r="F142" s="1751">
        <v>0</v>
      </c>
      <c r="G142" s="1751">
        <v>0</v>
      </c>
      <c r="H142" s="1751">
        <v>0</v>
      </c>
      <c r="I142" s="1751">
        <v>0</v>
      </c>
      <c r="J142" s="1751">
        <v>0</v>
      </c>
      <c r="K142" s="1751">
        <v>0</v>
      </c>
      <c r="L142" s="1751">
        <v>0</v>
      </c>
      <c r="M142" s="1751">
        <v>0</v>
      </c>
      <c r="N142" s="1751">
        <v>0</v>
      </c>
      <c r="O142" s="1751">
        <v>0</v>
      </c>
      <c r="P142" s="1751">
        <v>0</v>
      </c>
      <c r="Q142" s="1751">
        <v>0</v>
      </c>
      <c r="R142" s="1873">
        <v>0</v>
      </c>
    </row>
    <row r="143" spans="1:18" ht="14.25" customHeight="1">
      <c r="A143" s="1871" t="s">
        <v>553</v>
      </c>
      <c r="B143" s="1874" t="s">
        <v>1741</v>
      </c>
      <c r="C143" s="1620" t="s">
        <v>21</v>
      </c>
      <c r="D143" s="1751">
        <v>0</v>
      </c>
      <c r="E143" s="1751">
        <v>0</v>
      </c>
      <c r="F143" s="1751">
        <v>0</v>
      </c>
      <c r="G143" s="1751">
        <v>0</v>
      </c>
      <c r="H143" s="1751">
        <v>0</v>
      </c>
      <c r="I143" s="1751">
        <v>0</v>
      </c>
      <c r="J143" s="1751">
        <v>0</v>
      </c>
      <c r="K143" s="1751">
        <v>0</v>
      </c>
      <c r="L143" s="1751">
        <v>0</v>
      </c>
      <c r="M143" s="1751">
        <v>0</v>
      </c>
      <c r="N143" s="1751">
        <v>0</v>
      </c>
      <c r="O143" s="1751">
        <v>0</v>
      </c>
      <c r="P143" s="1751">
        <v>0</v>
      </c>
      <c r="Q143" s="1751">
        <v>0</v>
      </c>
      <c r="R143" s="1873">
        <v>0</v>
      </c>
    </row>
    <row r="144" spans="1:18" ht="15" customHeight="1">
      <c r="A144" s="1876" t="s">
        <v>476</v>
      </c>
      <c r="B144" s="1875" t="s">
        <v>1805</v>
      </c>
      <c r="C144" s="1620" t="s">
        <v>21</v>
      </c>
      <c r="D144" s="1751">
        <v>0</v>
      </c>
      <c r="E144" s="1751">
        <v>0</v>
      </c>
      <c r="F144" s="1751">
        <v>0</v>
      </c>
      <c r="G144" s="1751">
        <v>0</v>
      </c>
      <c r="H144" s="1751">
        <v>0</v>
      </c>
      <c r="I144" s="1751">
        <v>0</v>
      </c>
      <c r="J144" s="1751">
        <v>0</v>
      </c>
      <c r="K144" s="1751">
        <v>0</v>
      </c>
      <c r="L144" s="1751">
        <v>0</v>
      </c>
      <c r="M144" s="1751">
        <v>0</v>
      </c>
      <c r="N144" s="1751">
        <v>0</v>
      </c>
      <c r="O144" s="1751">
        <v>0</v>
      </c>
      <c r="P144" s="1751">
        <v>0</v>
      </c>
      <c r="Q144" s="1751">
        <v>0</v>
      </c>
      <c r="R144" s="1873">
        <v>0</v>
      </c>
    </row>
    <row r="145" spans="1:18" ht="14.25" customHeight="1">
      <c r="A145" s="1877" t="s">
        <v>1800</v>
      </c>
      <c r="B145" s="1878" t="s">
        <v>1739</v>
      </c>
      <c r="C145" s="1620" t="s">
        <v>21</v>
      </c>
      <c r="D145" s="1751">
        <v>0</v>
      </c>
      <c r="E145" s="1751">
        <v>0</v>
      </c>
      <c r="F145" s="1751">
        <v>0</v>
      </c>
      <c r="G145" s="1751">
        <v>0</v>
      </c>
      <c r="H145" s="1751">
        <v>0</v>
      </c>
      <c r="I145" s="1751">
        <v>0</v>
      </c>
      <c r="J145" s="1751">
        <v>0</v>
      </c>
      <c r="K145" s="1751">
        <v>0</v>
      </c>
      <c r="L145" s="1751">
        <v>0</v>
      </c>
      <c r="M145" s="1751">
        <v>0</v>
      </c>
      <c r="N145" s="1751">
        <v>0</v>
      </c>
      <c r="O145" s="1751">
        <v>0</v>
      </c>
      <c r="P145" s="1751">
        <v>0</v>
      </c>
      <c r="Q145" s="1751">
        <v>0</v>
      </c>
      <c r="R145" s="1873">
        <v>0</v>
      </c>
    </row>
    <row r="146" spans="1:18" ht="12.75" customHeight="1">
      <c r="A146" s="1877" t="s">
        <v>1801</v>
      </c>
      <c r="B146" s="1874" t="s">
        <v>1741</v>
      </c>
      <c r="C146" s="1620" t="s">
        <v>21</v>
      </c>
      <c r="D146" s="1751">
        <v>0</v>
      </c>
      <c r="E146" s="1751">
        <v>0</v>
      </c>
      <c r="F146" s="1751">
        <v>0</v>
      </c>
      <c r="G146" s="1751">
        <v>0</v>
      </c>
      <c r="H146" s="1751">
        <v>0</v>
      </c>
      <c r="I146" s="1751">
        <v>0</v>
      </c>
      <c r="J146" s="1751">
        <v>0</v>
      </c>
      <c r="K146" s="1751">
        <v>0</v>
      </c>
      <c r="L146" s="1751">
        <v>0</v>
      </c>
      <c r="M146" s="1751">
        <v>0</v>
      </c>
      <c r="N146" s="1751">
        <v>0</v>
      </c>
      <c r="O146" s="1751">
        <v>0</v>
      </c>
      <c r="P146" s="1751">
        <v>0</v>
      </c>
      <c r="Q146" s="1751">
        <v>0</v>
      </c>
      <c r="R146" s="1873">
        <v>0</v>
      </c>
    </row>
    <row r="147" spans="1:18" ht="14.25" customHeight="1">
      <c r="A147" s="1876" t="s">
        <v>1802</v>
      </c>
      <c r="B147" s="1875" t="s">
        <v>93</v>
      </c>
      <c r="C147" s="1620" t="s">
        <v>21</v>
      </c>
      <c r="D147" s="1751">
        <v>0</v>
      </c>
      <c r="E147" s="1751">
        <v>0</v>
      </c>
      <c r="F147" s="1751">
        <v>0</v>
      </c>
      <c r="G147" s="1751">
        <v>0</v>
      </c>
      <c r="H147" s="1751">
        <v>0</v>
      </c>
      <c r="I147" s="1751">
        <v>0</v>
      </c>
      <c r="J147" s="1751">
        <v>0</v>
      </c>
      <c r="K147" s="1751">
        <v>0</v>
      </c>
      <c r="L147" s="1751">
        <v>0</v>
      </c>
      <c r="M147" s="1751">
        <v>0</v>
      </c>
      <c r="N147" s="1751">
        <v>0</v>
      </c>
      <c r="O147" s="1751">
        <v>0</v>
      </c>
      <c r="P147" s="1751">
        <v>0</v>
      </c>
      <c r="Q147" s="1751">
        <v>0</v>
      </c>
      <c r="R147" s="1873">
        <v>0</v>
      </c>
    </row>
    <row r="148" spans="1:18" ht="12" customHeight="1">
      <c r="A148" s="1876" t="s">
        <v>554</v>
      </c>
      <c r="B148" s="1731" t="s">
        <v>1739</v>
      </c>
      <c r="C148" s="1620" t="s">
        <v>21</v>
      </c>
      <c r="D148" s="1751">
        <v>0</v>
      </c>
      <c r="E148" s="1751">
        <v>0</v>
      </c>
      <c r="F148" s="1751">
        <v>0</v>
      </c>
      <c r="G148" s="1751">
        <v>0</v>
      </c>
      <c r="H148" s="1751">
        <v>0</v>
      </c>
      <c r="I148" s="1751">
        <v>0</v>
      </c>
      <c r="J148" s="1751">
        <v>0</v>
      </c>
      <c r="K148" s="1751">
        <v>0</v>
      </c>
      <c r="L148" s="1751">
        <v>0</v>
      </c>
      <c r="M148" s="1751">
        <v>0</v>
      </c>
      <c r="N148" s="1751">
        <v>0</v>
      </c>
      <c r="O148" s="1751">
        <v>0</v>
      </c>
      <c r="P148" s="1751">
        <v>0</v>
      </c>
      <c r="Q148" s="1751">
        <v>0</v>
      </c>
      <c r="R148" s="1873">
        <v>0</v>
      </c>
    </row>
    <row r="149" spans="1:18" ht="15" customHeight="1" thickBot="1">
      <c r="A149" s="1879" t="s">
        <v>1806</v>
      </c>
      <c r="B149" s="1739" t="s">
        <v>1741</v>
      </c>
      <c r="C149" s="1624" t="s">
        <v>21</v>
      </c>
      <c r="D149" s="1880">
        <v>0</v>
      </c>
      <c r="E149" s="1880">
        <v>0</v>
      </c>
      <c r="F149" s="1880">
        <v>0</v>
      </c>
      <c r="G149" s="1880">
        <v>0</v>
      </c>
      <c r="H149" s="1880">
        <v>0</v>
      </c>
      <c r="I149" s="1880">
        <v>0</v>
      </c>
      <c r="J149" s="1880">
        <v>0</v>
      </c>
      <c r="K149" s="1880">
        <v>0</v>
      </c>
      <c r="L149" s="1880">
        <v>0</v>
      </c>
      <c r="M149" s="1880">
        <v>0</v>
      </c>
      <c r="N149" s="1880">
        <v>0</v>
      </c>
      <c r="O149" s="1880">
        <v>0</v>
      </c>
      <c r="P149" s="1880">
        <v>0</v>
      </c>
      <c r="Q149" s="1880"/>
      <c r="R149" s="1881">
        <v>0</v>
      </c>
    </row>
    <row r="150" spans="1:18" ht="15" thickBot="1">
      <c r="A150" s="1865" t="s">
        <v>183</v>
      </c>
      <c r="B150" s="1882" t="s">
        <v>1807</v>
      </c>
      <c r="C150" s="1882"/>
      <c r="D150" s="1882"/>
      <c r="E150" s="1882"/>
      <c r="F150" s="1882"/>
      <c r="G150" s="1882"/>
      <c r="H150" s="1882"/>
      <c r="I150" s="1882"/>
      <c r="J150" s="1882"/>
      <c r="K150" s="1882"/>
      <c r="L150" s="1882"/>
      <c r="M150" s="1882"/>
      <c r="N150" s="1882"/>
      <c r="O150" s="1882"/>
      <c r="P150" s="1882"/>
      <c r="Q150" s="1882"/>
      <c r="R150" s="1883"/>
    </row>
    <row r="151" spans="1:18">
      <c r="A151" s="2690" t="s">
        <v>88</v>
      </c>
      <c r="B151" s="1884" t="str">
        <f>[32]Списки!D3</f>
        <v>Автономна котельня Парусна, 1В</v>
      </c>
      <c r="C151" s="1885"/>
      <c r="D151" s="1885"/>
      <c r="E151" s="1885"/>
      <c r="F151" s="1885"/>
      <c r="G151" s="1885"/>
      <c r="H151" s="1885"/>
      <c r="I151" s="1885"/>
      <c r="J151" s="1885"/>
      <c r="K151" s="1885"/>
      <c r="L151" s="1885"/>
      <c r="M151" s="1885"/>
      <c r="N151" s="1885"/>
      <c r="O151" s="1885"/>
      <c r="P151" s="1885"/>
      <c r="Q151" s="1885"/>
      <c r="R151" s="1883"/>
    </row>
    <row r="152" spans="1:18">
      <c r="A152" s="2691"/>
      <c r="B152" s="1886" t="s">
        <v>1528</v>
      </c>
      <c r="C152" s="1620" t="s">
        <v>21</v>
      </c>
      <c r="D152" s="1887"/>
      <c r="E152" s="1887"/>
      <c r="F152" s="1811">
        <f>SUM(G152:M152)</f>
        <v>2126.3508000000002</v>
      </c>
      <c r="G152" s="1811">
        <f>G153+G154</f>
        <v>27.972000000000001</v>
      </c>
      <c r="H152" s="1811">
        <f t="shared" ref="H152:M152" si="87">H153+H154</f>
        <v>306.43200000000002</v>
      </c>
      <c r="I152" s="1811">
        <f t="shared" si="87"/>
        <v>439.03440000000001</v>
      </c>
      <c r="J152" s="1811">
        <f t="shared" si="87"/>
        <v>501.27</v>
      </c>
      <c r="K152" s="1811">
        <f t="shared" si="87"/>
        <v>452.1216</v>
      </c>
      <c r="L152" s="1811">
        <f t="shared" si="87"/>
        <v>392.16239999999999</v>
      </c>
      <c r="M152" s="1811">
        <f t="shared" si="87"/>
        <v>7.3583999999999996</v>
      </c>
      <c r="N152" s="1888">
        <v>0</v>
      </c>
      <c r="O152" s="1888">
        <v>0</v>
      </c>
      <c r="P152" s="1888">
        <v>0</v>
      </c>
      <c r="Q152" s="1888">
        <v>0</v>
      </c>
      <c r="R152" s="1889">
        <v>0</v>
      </c>
    </row>
    <row r="153" spans="1:18">
      <c r="A153" s="2691"/>
      <c r="B153" s="1598" t="s">
        <v>1739</v>
      </c>
      <c r="C153" s="1620" t="s">
        <v>21</v>
      </c>
      <c r="D153" s="1887"/>
      <c r="E153" s="1887"/>
      <c r="F153" s="1811">
        <f t="shared" ref="F153:F154" si="88">SUM(G153:M153)</f>
        <v>2126.3508000000002</v>
      </c>
      <c r="G153" s="1811">
        <f>'[32]Корисний м2'!AC19</f>
        <v>27.972000000000001</v>
      </c>
      <c r="H153" s="1811">
        <f>'[32]Корисний м2'!AD19</f>
        <v>306.43200000000002</v>
      </c>
      <c r="I153" s="1811">
        <f>'[32]Корисний м2'!AE19</f>
        <v>439.03440000000001</v>
      </c>
      <c r="J153" s="1811">
        <f>'[32]Корисний м2'!Y19</f>
        <v>501.27</v>
      </c>
      <c r="K153" s="1811">
        <f>'[32]Корисний м2'!Z19</f>
        <v>452.1216</v>
      </c>
      <c r="L153" s="1811">
        <f>'[32]Корисний м2'!AA19</f>
        <v>392.16239999999999</v>
      </c>
      <c r="M153" s="1811">
        <f>'[32]Корисний м2'!AB19</f>
        <v>7.3583999999999996</v>
      </c>
      <c r="N153" s="1888">
        <v>0</v>
      </c>
      <c r="O153" s="1888">
        <v>0</v>
      </c>
      <c r="P153" s="1888">
        <v>0</v>
      </c>
      <c r="Q153" s="1888">
        <v>0</v>
      </c>
      <c r="R153" s="1889">
        <v>0</v>
      </c>
    </row>
    <row r="154" spans="1:18">
      <c r="A154" s="2691"/>
      <c r="B154" s="1615" t="s">
        <v>1741</v>
      </c>
      <c r="C154" s="1620" t="s">
        <v>21</v>
      </c>
      <c r="D154" s="1887"/>
      <c r="E154" s="1887"/>
      <c r="F154" s="1888">
        <f t="shared" si="88"/>
        <v>0</v>
      </c>
      <c r="G154" s="1888">
        <v>0</v>
      </c>
      <c r="H154" s="1888">
        <v>0</v>
      </c>
      <c r="I154" s="1888">
        <v>0</v>
      </c>
      <c r="J154" s="1888">
        <v>0</v>
      </c>
      <c r="K154" s="1888">
        <v>0</v>
      </c>
      <c r="L154" s="1888">
        <v>0</v>
      </c>
      <c r="M154" s="1888">
        <v>0</v>
      </c>
      <c r="N154" s="1888">
        <v>0</v>
      </c>
      <c r="O154" s="1888">
        <v>0</v>
      </c>
      <c r="P154" s="1888">
        <v>0</v>
      </c>
      <c r="Q154" s="1888">
        <v>0</v>
      </c>
      <c r="R154" s="1889">
        <v>0</v>
      </c>
    </row>
    <row r="155" spans="1:18">
      <c r="A155" s="2691"/>
      <c r="B155" s="1886" t="s">
        <v>1808</v>
      </c>
      <c r="C155" s="1886" t="s">
        <v>30</v>
      </c>
      <c r="D155" s="1887"/>
      <c r="E155" s="1887"/>
      <c r="F155" s="1890">
        <f>F156+F157</f>
        <v>1.26</v>
      </c>
      <c r="G155" s="1890">
        <f t="shared" ref="G155:R155" si="89">G156+G157</f>
        <v>1.26</v>
      </c>
      <c r="H155" s="1890">
        <f t="shared" si="89"/>
        <v>1.26</v>
      </c>
      <c r="I155" s="1890">
        <f t="shared" si="89"/>
        <v>1.26</v>
      </c>
      <c r="J155" s="1890">
        <f t="shared" si="89"/>
        <v>1.26</v>
      </c>
      <c r="K155" s="1890">
        <f t="shared" si="89"/>
        <v>1.26</v>
      </c>
      <c r="L155" s="1890">
        <f t="shared" si="89"/>
        <v>1.26</v>
      </c>
      <c r="M155" s="1890">
        <f t="shared" si="89"/>
        <v>1.26</v>
      </c>
      <c r="N155" s="1890">
        <f t="shared" si="89"/>
        <v>1.26</v>
      </c>
      <c r="O155" s="1890">
        <f t="shared" si="89"/>
        <v>1.26</v>
      </c>
      <c r="P155" s="1890">
        <f t="shared" si="89"/>
        <v>1.26</v>
      </c>
      <c r="Q155" s="1890">
        <f t="shared" si="89"/>
        <v>1.26</v>
      </c>
      <c r="R155" s="1891">
        <f t="shared" si="89"/>
        <v>1.26</v>
      </c>
    </row>
    <row r="156" spans="1:18">
      <c r="A156" s="2691"/>
      <c r="B156" s="1598" t="s">
        <v>1739</v>
      </c>
      <c r="C156" s="1886" t="s">
        <v>30</v>
      </c>
      <c r="D156" s="1887"/>
      <c r="E156" s="1887"/>
      <c r="F156" s="1890">
        <f>'[32]Корисний м2'!$T$19</f>
        <v>1.26</v>
      </c>
      <c r="G156" s="1890">
        <f>'[32]Корисний м2'!$T$19</f>
        <v>1.26</v>
      </c>
      <c r="H156" s="1890">
        <f>'[32]Корисний м2'!$T$19</f>
        <v>1.26</v>
      </c>
      <c r="I156" s="1890">
        <f>'[32]Корисний м2'!$T$19</f>
        <v>1.26</v>
      </c>
      <c r="J156" s="1890">
        <f>'[32]Корисний м2'!$T$19</f>
        <v>1.26</v>
      </c>
      <c r="K156" s="1890">
        <f>'[32]Корисний м2'!$T$19</f>
        <v>1.26</v>
      </c>
      <c r="L156" s="1890">
        <f>'[32]Корисний м2'!$T$19</f>
        <v>1.26</v>
      </c>
      <c r="M156" s="1890">
        <f>'[32]Корисний м2'!$T$19</f>
        <v>1.26</v>
      </c>
      <c r="N156" s="1890">
        <f>'[32]Корисний м2'!$T$19</f>
        <v>1.26</v>
      </c>
      <c r="O156" s="1890">
        <f>'[32]Корисний м2'!$T$19</f>
        <v>1.26</v>
      </c>
      <c r="P156" s="1890">
        <f>'[32]Корисний м2'!$T$19</f>
        <v>1.26</v>
      </c>
      <c r="Q156" s="1890">
        <f>'[32]Корисний м2'!$T$19</f>
        <v>1.26</v>
      </c>
      <c r="R156" s="1891">
        <f>'[32]Корисний м2'!$T$19</f>
        <v>1.26</v>
      </c>
    </row>
    <row r="157" spans="1:18" ht="15" thickBot="1">
      <c r="A157" s="2692"/>
      <c r="B157" s="1644" t="s">
        <v>1741</v>
      </c>
      <c r="C157" s="1892" t="s">
        <v>30</v>
      </c>
      <c r="D157" s="1893"/>
      <c r="E157" s="1893"/>
      <c r="F157" s="1894">
        <v>0</v>
      </c>
      <c r="G157" s="1894">
        <v>0</v>
      </c>
      <c r="H157" s="1894">
        <v>0</v>
      </c>
      <c r="I157" s="1894">
        <v>0</v>
      </c>
      <c r="J157" s="1894">
        <v>0</v>
      </c>
      <c r="K157" s="1894">
        <v>0</v>
      </c>
      <c r="L157" s="1894">
        <v>0</v>
      </c>
      <c r="M157" s="1894">
        <v>0</v>
      </c>
      <c r="N157" s="1894">
        <v>0</v>
      </c>
      <c r="O157" s="1894">
        <v>0</v>
      </c>
      <c r="P157" s="1894">
        <v>0</v>
      </c>
      <c r="Q157" s="1894">
        <v>0</v>
      </c>
      <c r="R157" s="1895">
        <v>0</v>
      </c>
    </row>
    <row r="158" spans="1:18">
      <c r="A158" s="2690" t="s">
        <v>89</v>
      </c>
      <c r="B158" s="2728" t="str">
        <f>[32]Списки!D6</f>
        <v>Автономна котельня Парусна, 1Г</v>
      </c>
      <c r="C158" s="2729"/>
      <c r="D158" s="2729"/>
      <c r="E158" s="2729"/>
      <c r="F158" s="2729"/>
      <c r="G158" s="2729"/>
      <c r="H158" s="2729"/>
      <c r="I158" s="2729"/>
      <c r="J158" s="2729"/>
      <c r="K158" s="2729"/>
      <c r="L158" s="2729"/>
      <c r="M158" s="2729"/>
      <c r="N158" s="2729"/>
      <c r="O158" s="2729"/>
      <c r="P158" s="2729"/>
      <c r="Q158" s="2729"/>
      <c r="R158" s="2730"/>
    </row>
    <row r="159" spans="1:18">
      <c r="A159" s="2691"/>
      <c r="B159" s="1886" t="s">
        <v>1528</v>
      </c>
      <c r="C159" s="1620" t="s">
        <v>21</v>
      </c>
      <c r="D159" s="1887"/>
      <c r="E159" s="1887"/>
      <c r="F159" s="1811">
        <f>SUM(G159:M159)</f>
        <v>4333.7054399999997</v>
      </c>
      <c r="G159" s="1811">
        <f>G160+G161</f>
        <v>57.009599999999999</v>
      </c>
      <c r="H159" s="1811">
        <f t="shared" ref="H159:R159" si="90">H160+H161</f>
        <v>624.5376</v>
      </c>
      <c r="I159" s="1811">
        <f t="shared" si="90"/>
        <v>894.79391999999996</v>
      </c>
      <c r="J159" s="1811">
        <f t="shared" si="90"/>
        <v>1021.636</v>
      </c>
      <c r="K159" s="1811">
        <f t="shared" si="90"/>
        <v>921.46687999999995</v>
      </c>
      <c r="L159" s="1811">
        <f t="shared" si="90"/>
        <v>799.26432</v>
      </c>
      <c r="M159" s="1811">
        <f t="shared" si="90"/>
        <v>14.997120000000001</v>
      </c>
      <c r="N159" s="1888">
        <f t="shared" si="90"/>
        <v>0</v>
      </c>
      <c r="O159" s="1888">
        <f t="shared" si="90"/>
        <v>0</v>
      </c>
      <c r="P159" s="1888">
        <f t="shared" si="90"/>
        <v>0</v>
      </c>
      <c r="Q159" s="1888">
        <f t="shared" si="90"/>
        <v>0</v>
      </c>
      <c r="R159" s="1889">
        <f t="shared" si="90"/>
        <v>0</v>
      </c>
    </row>
    <row r="160" spans="1:18">
      <c r="A160" s="2691"/>
      <c r="B160" s="1598" t="s">
        <v>1739</v>
      </c>
      <c r="C160" s="1620" t="s">
        <v>21</v>
      </c>
      <c r="D160" s="1887"/>
      <c r="E160" s="1887"/>
      <c r="F160" s="1811">
        <f>SUM(G160:M160)</f>
        <v>4333.7054399999997</v>
      </c>
      <c r="G160" s="1811">
        <f>'[32]Корисний м2'!AC27</f>
        <v>57.009599999999999</v>
      </c>
      <c r="H160" s="1811">
        <f>'[32]Корисний м2'!AD27</f>
        <v>624.5376</v>
      </c>
      <c r="I160" s="1811">
        <f>'[32]Корисний м2'!AE27</f>
        <v>894.79391999999996</v>
      </c>
      <c r="J160" s="1811">
        <f>'[32]Корисний м2'!Y27</f>
        <v>1021.636</v>
      </c>
      <c r="K160" s="1811">
        <f>'[32]Корисний м2'!Z27</f>
        <v>921.46687999999995</v>
      </c>
      <c r="L160" s="1811">
        <f>'[32]Корисний м2'!AA27</f>
        <v>799.26432</v>
      </c>
      <c r="M160" s="1811">
        <f>'[32]Корисний м2'!AB27</f>
        <v>14.997120000000001</v>
      </c>
      <c r="N160" s="1888">
        <v>0</v>
      </c>
      <c r="O160" s="1888">
        <v>0</v>
      </c>
      <c r="P160" s="1888">
        <v>0</v>
      </c>
      <c r="Q160" s="1888">
        <v>0</v>
      </c>
      <c r="R160" s="1889">
        <v>0</v>
      </c>
    </row>
    <row r="161" spans="1:18">
      <c r="A161" s="2691"/>
      <c r="B161" s="1615" t="s">
        <v>1741</v>
      </c>
      <c r="C161" s="1620" t="s">
        <v>21</v>
      </c>
      <c r="D161" s="1887"/>
      <c r="E161" s="1887"/>
      <c r="F161" s="1888">
        <v>0</v>
      </c>
      <c r="G161" s="1888">
        <v>0</v>
      </c>
      <c r="H161" s="1888">
        <v>0</v>
      </c>
      <c r="I161" s="1888">
        <v>0</v>
      </c>
      <c r="J161" s="1888">
        <v>0</v>
      </c>
      <c r="K161" s="1888">
        <v>0</v>
      </c>
      <c r="L161" s="1888">
        <v>0</v>
      </c>
      <c r="M161" s="1888">
        <v>0</v>
      </c>
      <c r="N161" s="1888">
        <v>0</v>
      </c>
      <c r="O161" s="1888">
        <v>0</v>
      </c>
      <c r="P161" s="1888">
        <v>0</v>
      </c>
      <c r="Q161" s="1888">
        <v>0</v>
      </c>
      <c r="R161" s="1889">
        <v>0</v>
      </c>
    </row>
    <row r="162" spans="1:18">
      <c r="A162" s="2691"/>
      <c r="B162" s="1886" t="s">
        <v>1808</v>
      </c>
      <c r="C162" s="1886" t="s">
        <v>30</v>
      </c>
      <c r="D162" s="1887"/>
      <c r="E162" s="1887"/>
      <c r="F162" s="1887">
        <f>F163+F164</f>
        <v>2.5680000000000001</v>
      </c>
      <c r="G162" s="1887">
        <f t="shared" ref="G162:R162" si="91">G163+G164</f>
        <v>2.5680000000000001</v>
      </c>
      <c r="H162" s="1887">
        <f t="shared" si="91"/>
        <v>2.5680000000000001</v>
      </c>
      <c r="I162" s="1887">
        <f t="shared" si="91"/>
        <v>2.5680000000000001</v>
      </c>
      <c r="J162" s="1887">
        <f t="shared" si="91"/>
        <v>2.5680000000000001</v>
      </c>
      <c r="K162" s="1887">
        <f t="shared" si="91"/>
        <v>2.5680000000000001</v>
      </c>
      <c r="L162" s="1887">
        <f t="shared" si="91"/>
        <v>2.5680000000000001</v>
      </c>
      <c r="M162" s="1887">
        <f t="shared" si="91"/>
        <v>2.5680000000000001</v>
      </c>
      <c r="N162" s="1887">
        <f t="shared" si="91"/>
        <v>2.5680000000000001</v>
      </c>
      <c r="O162" s="1887">
        <f t="shared" si="91"/>
        <v>2.5680000000000001</v>
      </c>
      <c r="P162" s="1887">
        <f t="shared" si="91"/>
        <v>2.5680000000000001</v>
      </c>
      <c r="Q162" s="1887">
        <f t="shared" si="91"/>
        <v>2.5680000000000001</v>
      </c>
      <c r="R162" s="1896">
        <f t="shared" si="91"/>
        <v>2.5680000000000001</v>
      </c>
    </row>
    <row r="163" spans="1:18">
      <c r="A163" s="2691"/>
      <c r="B163" s="1598" t="s">
        <v>1739</v>
      </c>
      <c r="C163" s="1886" t="s">
        <v>30</v>
      </c>
      <c r="D163" s="1887"/>
      <c r="E163" s="1887"/>
      <c r="F163" s="1887">
        <f>'[32]Корисний м2'!$T$27</f>
        <v>2.5680000000000001</v>
      </c>
      <c r="G163" s="1887">
        <f>'[32]Корисний м2'!$T$27</f>
        <v>2.5680000000000001</v>
      </c>
      <c r="H163" s="1887">
        <f>'[32]Корисний м2'!$T$27</f>
        <v>2.5680000000000001</v>
      </c>
      <c r="I163" s="1887">
        <f>'[32]Корисний м2'!$T$27</f>
        <v>2.5680000000000001</v>
      </c>
      <c r="J163" s="1887">
        <f>'[32]Корисний м2'!$T$27</f>
        <v>2.5680000000000001</v>
      </c>
      <c r="K163" s="1887">
        <f>'[32]Корисний м2'!$T$27</f>
        <v>2.5680000000000001</v>
      </c>
      <c r="L163" s="1887">
        <f>'[32]Корисний м2'!$T$27</f>
        <v>2.5680000000000001</v>
      </c>
      <c r="M163" s="1887">
        <f>'[32]Корисний м2'!$T$27</f>
        <v>2.5680000000000001</v>
      </c>
      <c r="N163" s="1887">
        <f>'[32]Корисний м2'!$T$27</f>
        <v>2.5680000000000001</v>
      </c>
      <c r="O163" s="1887">
        <f>'[32]Корисний м2'!$T$27</f>
        <v>2.5680000000000001</v>
      </c>
      <c r="P163" s="1887">
        <f>'[32]Корисний м2'!$T$27</f>
        <v>2.5680000000000001</v>
      </c>
      <c r="Q163" s="1887">
        <f>'[32]Корисний м2'!$T$27</f>
        <v>2.5680000000000001</v>
      </c>
      <c r="R163" s="1896">
        <f>'[32]Корисний м2'!$T$27</f>
        <v>2.5680000000000001</v>
      </c>
    </row>
    <row r="164" spans="1:18" ht="15" thickBot="1">
      <c r="A164" s="2692"/>
      <c r="B164" s="1644" t="s">
        <v>1741</v>
      </c>
      <c r="C164" s="1892" t="s">
        <v>30</v>
      </c>
      <c r="D164" s="1893"/>
      <c r="E164" s="1893"/>
      <c r="F164" s="1894">
        <v>0</v>
      </c>
      <c r="G164" s="1894">
        <v>0</v>
      </c>
      <c r="H164" s="1894">
        <v>0</v>
      </c>
      <c r="I164" s="1894">
        <v>0</v>
      </c>
      <c r="J164" s="1894">
        <v>0</v>
      </c>
      <c r="K164" s="1894">
        <v>0</v>
      </c>
      <c r="L164" s="1894">
        <v>0</v>
      </c>
      <c r="M164" s="1894">
        <v>0</v>
      </c>
      <c r="N164" s="1894">
        <v>0</v>
      </c>
      <c r="O164" s="1894">
        <v>0</v>
      </c>
      <c r="P164" s="1894">
        <v>0</v>
      </c>
      <c r="Q164" s="1894">
        <v>0</v>
      </c>
      <c r="R164" s="1895">
        <v>0</v>
      </c>
    </row>
    <row r="165" spans="1:18">
      <c r="A165" s="2690" t="s">
        <v>91</v>
      </c>
      <c r="B165" s="2728" t="s">
        <v>1756</v>
      </c>
      <c r="C165" s="2729"/>
      <c r="D165" s="2729"/>
      <c r="E165" s="2729"/>
      <c r="F165" s="2729"/>
      <c r="G165" s="2729"/>
      <c r="H165" s="2729"/>
      <c r="I165" s="2729"/>
      <c r="J165" s="2729"/>
      <c r="K165" s="2729"/>
      <c r="L165" s="2729"/>
      <c r="M165" s="2729"/>
      <c r="N165" s="2729"/>
      <c r="O165" s="2729"/>
      <c r="P165" s="2729"/>
      <c r="Q165" s="2729"/>
      <c r="R165" s="2730"/>
    </row>
    <row r="166" spans="1:18">
      <c r="A166" s="2691"/>
      <c r="B166" s="2725" t="str">
        <f>[32]Списки!E9</f>
        <v>Парусна , 1  А</v>
      </c>
      <c r="C166" s="2726"/>
      <c r="D166" s="2726"/>
      <c r="E166" s="2726"/>
      <c r="F166" s="2726"/>
      <c r="G166" s="2726"/>
      <c r="H166" s="2726"/>
      <c r="I166" s="2726"/>
      <c r="J166" s="2726"/>
      <c r="K166" s="2726"/>
      <c r="L166" s="2726"/>
      <c r="M166" s="2726"/>
      <c r="N166" s="2726"/>
      <c r="O166" s="2726"/>
      <c r="P166" s="2726"/>
      <c r="Q166" s="2726"/>
      <c r="R166" s="2727"/>
    </row>
    <row r="167" spans="1:18">
      <c r="A167" s="2691"/>
      <c r="B167" s="1886" t="s">
        <v>1528</v>
      </c>
      <c r="C167" s="1886" t="s">
        <v>21</v>
      </c>
      <c r="D167" s="1887"/>
      <c r="E167" s="1887"/>
      <c r="F167" s="1752">
        <f>SUM(G167:M167)</f>
        <v>480.96030000000002</v>
      </c>
      <c r="G167" s="1752">
        <f>'[32]Корисний м2'!AC40</f>
        <v>6.327</v>
      </c>
      <c r="H167" s="1752">
        <f>'[32]Корисний м2'!AD40</f>
        <v>69.311999999999998</v>
      </c>
      <c r="I167" s="1752">
        <f>'[32]Корисний м2'!AE40</f>
        <v>99.305400000000006</v>
      </c>
      <c r="J167" s="1752">
        <f>'[32]Корисний м2'!Y40</f>
        <v>113.38249999999999</v>
      </c>
      <c r="K167" s="1752">
        <f>'[32]Корисний м2'!Z40</f>
        <v>102.26560000000001</v>
      </c>
      <c r="L167" s="1752">
        <f>'[32]Корисний м2'!AA40</f>
        <v>88.703400000000002</v>
      </c>
      <c r="M167" s="1752">
        <f>'[32]Корисний м2'!AB40</f>
        <v>1.6644000000000001</v>
      </c>
      <c r="N167" s="1887"/>
      <c r="O167" s="1887"/>
      <c r="P167" s="1887"/>
      <c r="Q167" s="1887"/>
      <c r="R167" s="1896"/>
    </row>
    <row r="168" spans="1:18" ht="15" thickBot="1">
      <c r="A168" s="2692"/>
      <c r="B168" s="1892" t="s">
        <v>1808</v>
      </c>
      <c r="C168" s="1892" t="s">
        <v>30</v>
      </c>
      <c r="D168" s="1893"/>
      <c r="E168" s="1893"/>
      <c r="F168" s="1893">
        <f>'[32]Корисний м2'!$T$40</f>
        <v>0.28499999999999998</v>
      </c>
      <c r="G168" s="1893">
        <f>'[32]Корисний м2'!$T$40</f>
        <v>0.28499999999999998</v>
      </c>
      <c r="H168" s="1893">
        <f>'[32]Корисний м2'!$T$40</f>
        <v>0.28499999999999998</v>
      </c>
      <c r="I168" s="1893">
        <f>'[32]Корисний м2'!$T$40</f>
        <v>0.28499999999999998</v>
      </c>
      <c r="J168" s="1893">
        <f>'[32]Корисний м2'!$T$40</f>
        <v>0.28499999999999998</v>
      </c>
      <c r="K168" s="1893">
        <f>'[32]Корисний м2'!$T$40</f>
        <v>0.28499999999999998</v>
      </c>
      <c r="L168" s="1893">
        <f>'[32]Корисний м2'!$T$40</f>
        <v>0.28499999999999998</v>
      </c>
      <c r="M168" s="1893">
        <f>'[32]Корисний м2'!$T$40</f>
        <v>0.28499999999999998</v>
      </c>
      <c r="N168" s="1893">
        <f>'[32]Корисний м2'!$T$40</f>
        <v>0.28499999999999998</v>
      </c>
      <c r="O168" s="1893">
        <f>'[32]Корисний м2'!$T$40</f>
        <v>0.28499999999999998</v>
      </c>
      <c r="P168" s="1893">
        <f>'[32]Корисний м2'!$T$40</f>
        <v>0.28499999999999998</v>
      </c>
      <c r="Q168" s="1893">
        <f>'[32]Корисний м2'!$T$40</f>
        <v>0.28499999999999998</v>
      </c>
      <c r="R168" s="1897">
        <f>'[32]Корисний м2'!$T$40</f>
        <v>0.28499999999999998</v>
      </c>
    </row>
    <row r="169" spans="1:18">
      <c r="A169" s="2690" t="s">
        <v>158</v>
      </c>
      <c r="B169" s="2728" t="str">
        <f>[32]Списки!E10</f>
        <v>Парусна , 1  Б</v>
      </c>
      <c r="C169" s="2729"/>
      <c r="D169" s="2729"/>
      <c r="E169" s="2729"/>
      <c r="F169" s="2729"/>
      <c r="G169" s="2729"/>
      <c r="H169" s="2729"/>
      <c r="I169" s="2729"/>
      <c r="J169" s="2729"/>
      <c r="K169" s="2729"/>
      <c r="L169" s="2729"/>
      <c r="M169" s="2729"/>
      <c r="N169" s="2729"/>
      <c r="O169" s="2729"/>
      <c r="P169" s="2729"/>
      <c r="Q169" s="2729"/>
      <c r="R169" s="2730"/>
    </row>
    <row r="170" spans="1:18">
      <c r="A170" s="2691"/>
      <c r="B170" s="1886" t="s">
        <v>1528</v>
      </c>
      <c r="C170" s="1886" t="s">
        <v>21</v>
      </c>
      <c r="D170" s="1887"/>
      <c r="E170" s="1887"/>
      <c r="F170" s="1752">
        <f>SUM(G170:N170)</f>
        <v>798.22533999999996</v>
      </c>
      <c r="G170" s="1752">
        <f>'[32]Корисний м2'!AC41</f>
        <v>10.5006</v>
      </c>
      <c r="H170" s="1752">
        <f>'[32]Корисний м2'!AD41</f>
        <v>115.03360000000001</v>
      </c>
      <c r="I170" s="1752">
        <f>'[32]Корисний м2'!AE41</f>
        <v>164.81211999999999</v>
      </c>
      <c r="J170" s="1752">
        <f>'[32]Корисний м2'!Y41</f>
        <v>188.175166666667</v>
      </c>
      <c r="K170" s="1752">
        <f>'[32]Корисний м2'!Z41</f>
        <v>169.72501333333301</v>
      </c>
      <c r="L170" s="1752">
        <f>'[32]Корисний м2'!AA41</f>
        <v>147.21652</v>
      </c>
      <c r="M170" s="1752">
        <f>'[32]Корисний м2'!AB41</f>
        <v>2.7623199999999999</v>
      </c>
      <c r="N170" s="1887"/>
      <c r="O170" s="1887"/>
      <c r="P170" s="1887"/>
      <c r="Q170" s="1887"/>
      <c r="R170" s="1896"/>
    </row>
    <row r="171" spans="1:18" ht="15" thickBot="1">
      <c r="A171" s="2691"/>
      <c r="B171" s="1892" t="s">
        <v>1808</v>
      </c>
      <c r="C171" s="1892" t="s">
        <v>30</v>
      </c>
      <c r="D171" s="1898"/>
      <c r="E171" s="1898"/>
      <c r="F171" s="1899">
        <f>'[32]Корисний м2'!$T$41</f>
        <v>0.47299999999999998</v>
      </c>
      <c r="G171" s="1899">
        <f>'[32]Корисний м2'!$T$41</f>
        <v>0.47299999999999998</v>
      </c>
      <c r="H171" s="1899">
        <f>'[32]Корисний м2'!$T$41</f>
        <v>0.47299999999999998</v>
      </c>
      <c r="I171" s="1899">
        <f>'[32]Корисний м2'!$T$41</f>
        <v>0.47299999999999998</v>
      </c>
      <c r="J171" s="1899">
        <f>'[32]Корисний м2'!$T$41</f>
        <v>0.47299999999999998</v>
      </c>
      <c r="K171" s="1899">
        <f>'[32]Корисний м2'!$T$41</f>
        <v>0.47299999999999998</v>
      </c>
      <c r="L171" s="1899">
        <f>'[32]Корисний м2'!$T$41</f>
        <v>0.47299999999999998</v>
      </c>
      <c r="M171" s="1899">
        <f>'[32]Корисний м2'!$T$41</f>
        <v>0.47299999999999998</v>
      </c>
      <c r="N171" s="1893">
        <f>'[32]Корисний м2'!$T$41</f>
        <v>0.47299999999999998</v>
      </c>
      <c r="O171" s="1893">
        <f>'[32]Корисний м2'!$T$41</f>
        <v>0.47299999999999998</v>
      </c>
      <c r="P171" s="1893">
        <f>'[32]Корисний м2'!$T$41</f>
        <v>0.47299999999999998</v>
      </c>
      <c r="Q171" s="1893">
        <f>'[32]Корисний м2'!$T$41</f>
        <v>0.47299999999999998</v>
      </c>
      <c r="R171" s="1897">
        <f>'[32]Корисний м2'!$T$41</f>
        <v>0.47299999999999998</v>
      </c>
    </row>
    <row r="172" spans="1:18">
      <c r="A172" s="2690" t="s">
        <v>1809</v>
      </c>
      <c r="B172" s="2728" t="str">
        <f>[32]Списки!E11</f>
        <v>Паркова , 50</v>
      </c>
      <c r="C172" s="2729"/>
      <c r="D172" s="2729"/>
      <c r="E172" s="2729"/>
      <c r="F172" s="2729"/>
      <c r="G172" s="2729"/>
      <c r="H172" s="2729"/>
      <c r="I172" s="2729"/>
      <c r="J172" s="2729"/>
      <c r="K172" s="2729"/>
      <c r="L172" s="2729"/>
      <c r="M172" s="2729"/>
      <c r="N172" s="2729"/>
      <c r="O172" s="2729"/>
      <c r="P172" s="2729"/>
      <c r="Q172" s="2729"/>
      <c r="R172" s="2730"/>
    </row>
    <row r="173" spans="1:18">
      <c r="A173" s="2691"/>
      <c r="B173" s="1886" t="s">
        <v>1528</v>
      </c>
      <c r="C173" s="1886" t="s">
        <v>21</v>
      </c>
      <c r="D173" s="1900"/>
      <c r="E173" s="1900"/>
      <c r="F173" s="1752">
        <f>SUM(G173:M173)</f>
        <v>391.51855999999998</v>
      </c>
      <c r="G173" s="1752">
        <f>'[32]Корисний м2'!AC42</f>
        <v>5.1504000000000003</v>
      </c>
      <c r="H173" s="1752">
        <f>'[32]Корисний м2'!AD42</f>
        <v>56.422400000000003</v>
      </c>
      <c r="I173" s="1752">
        <f>'[32]Корисний м2'!AE42</f>
        <v>80.838080000000005</v>
      </c>
      <c r="J173" s="1752">
        <f>'[32]Корисний м2'!Y42</f>
        <v>92.297333333333299</v>
      </c>
      <c r="K173" s="1752">
        <f>'[32]Корисний м2'!Z42</f>
        <v>83.247786666666698</v>
      </c>
      <c r="L173" s="1752">
        <f>'[32]Корисний м2'!AA42</f>
        <v>72.207679999999996</v>
      </c>
      <c r="M173" s="1752">
        <f>'[32]Корисний м2'!AB42</f>
        <v>1.3548800000000001</v>
      </c>
      <c r="N173" s="1900"/>
      <c r="O173" s="1900"/>
      <c r="P173" s="1900"/>
      <c r="Q173" s="1900"/>
      <c r="R173" s="1901"/>
    </row>
    <row r="174" spans="1:18" ht="15" thickBot="1">
      <c r="A174" s="2691"/>
      <c r="B174" s="1892" t="s">
        <v>1808</v>
      </c>
      <c r="C174" s="1892" t="s">
        <v>30</v>
      </c>
      <c r="D174" s="1898"/>
      <c r="E174" s="1898"/>
      <c r="F174" s="1893">
        <f>'[32]Корисний м2'!$T$42</f>
        <v>0.23200000000000001</v>
      </c>
      <c r="G174" s="1893">
        <f>'[32]Корисний м2'!$T$42</f>
        <v>0.23200000000000001</v>
      </c>
      <c r="H174" s="1893">
        <f>'[32]Корисний м2'!$T$42</f>
        <v>0.23200000000000001</v>
      </c>
      <c r="I174" s="1893">
        <f>'[32]Корисний м2'!$T$42</f>
        <v>0.23200000000000001</v>
      </c>
      <c r="J174" s="1893">
        <f>'[32]Корисний м2'!$T$42</f>
        <v>0.23200000000000001</v>
      </c>
      <c r="K174" s="1893">
        <f>'[32]Корисний м2'!$T$42</f>
        <v>0.23200000000000001</v>
      </c>
      <c r="L174" s="1893">
        <f>'[32]Корисний м2'!$T$42</f>
        <v>0.23200000000000001</v>
      </c>
      <c r="M174" s="1893">
        <f>'[32]Корисний м2'!$T$42</f>
        <v>0.23200000000000001</v>
      </c>
      <c r="N174" s="1893">
        <f>'[32]Корисний м2'!$T$42</f>
        <v>0.23200000000000001</v>
      </c>
      <c r="O174" s="1893">
        <f>'[32]Корисний м2'!$T$42</f>
        <v>0.23200000000000001</v>
      </c>
      <c r="P174" s="1893">
        <f>'[32]Корисний м2'!$T$42</f>
        <v>0.23200000000000001</v>
      </c>
      <c r="Q174" s="1893">
        <f>'[32]Корисний м2'!$T$42</f>
        <v>0.23200000000000001</v>
      </c>
      <c r="R174" s="1897">
        <f>'[32]Корисний м2'!$T$42</f>
        <v>0.23200000000000001</v>
      </c>
    </row>
    <row r="175" spans="1:18">
      <c r="A175" s="2690" t="s">
        <v>1810</v>
      </c>
      <c r="B175" s="2728" t="str">
        <f>[32]Списки!E12</f>
        <v>Паркова , 52</v>
      </c>
      <c r="C175" s="2729"/>
      <c r="D175" s="2729"/>
      <c r="E175" s="2729"/>
      <c r="F175" s="2729"/>
      <c r="G175" s="2729"/>
      <c r="H175" s="2729"/>
      <c r="I175" s="2729"/>
      <c r="J175" s="2729"/>
      <c r="K175" s="2729"/>
      <c r="L175" s="2729"/>
      <c r="M175" s="2729"/>
      <c r="N175" s="2729"/>
      <c r="O175" s="2729"/>
      <c r="P175" s="2729"/>
      <c r="Q175" s="2729"/>
      <c r="R175" s="2730"/>
    </row>
    <row r="176" spans="1:18">
      <c r="A176" s="2691"/>
      <c r="B176" s="1886" t="s">
        <v>1528</v>
      </c>
      <c r="C176" s="1886" t="s">
        <v>21</v>
      </c>
      <c r="D176" s="1900"/>
      <c r="E176" s="1900"/>
      <c r="F176" s="1752">
        <f>SUM(G176:M176)</f>
        <v>405.01920000000001</v>
      </c>
      <c r="G176" s="1752">
        <f>'[32]Корисний м2'!AC43</f>
        <v>5.3280000000000003</v>
      </c>
      <c r="H176" s="1752">
        <f>'[32]Корисний м2'!AD43</f>
        <v>58.368000000000002</v>
      </c>
      <c r="I176" s="1752">
        <f>'[32]Корисний м2'!AE43</f>
        <v>83.625600000000006</v>
      </c>
      <c r="J176" s="1752">
        <f>'[32]Корисний м2'!Y43</f>
        <v>95.48</v>
      </c>
      <c r="K176" s="1752">
        <f>'[32]Корисний м2'!Z43</f>
        <v>86.118399999999994</v>
      </c>
      <c r="L176" s="1752">
        <f>'[32]Корисний м2'!AA43</f>
        <v>74.697599999999994</v>
      </c>
      <c r="M176" s="1752">
        <f>'[32]Корисний м2'!AB43</f>
        <v>1.4016</v>
      </c>
      <c r="N176" s="1887"/>
      <c r="O176" s="1887"/>
      <c r="P176" s="1887"/>
      <c r="Q176" s="1887"/>
      <c r="R176" s="1896"/>
    </row>
    <row r="177" spans="1:18" ht="15" thickBot="1">
      <c r="A177" s="2692"/>
      <c r="B177" s="1892" t="s">
        <v>1808</v>
      </c>
      <c r="C177" s="1892" t="s">
        <v>30</v>
      </c>
      <c r="D177" s="1898"/>
      <c r="E177" s="1898"/>
      <c r="F177" s="1902">
        <f>'[32]Корисний м2'!$T$43</f>
        <v>0.24</v>
      </c>
      <c r="G177" s="1902">
        <f>'[32]Корисний м2'!$T$43</f>
        <v>0.24</v>
      </c>
      <c r="H177" s="1902">
        <f>'[32]Корисний м2'!$T$43</f>
        <v>0.24</v>
      </c>
      <c r="I177" s="1902">
        <f>'[32]Корисний м2'!$T$43</f>
        <v>0.24</v>
      </c>
      <c r="J177" s="1902">
        <f>'[32]Корисний м2'!$T$43</f>
        <v>0.24</v>
      </c>
      <c r="K177" s="1902">
        <f>'[32]Корисний м2'!$T$43</f>
        <v>0.24</v>
      </c>
      <c r="L177" s="1902">
        <f>'[32]Корисний м2'!$T$43</f>
        <v>0.24</v>
      </c>
      <c r="M177" s="1902">
        <f>'[32]Корисний м2'!$T$43</f>
        <v>0.24</v>
      </c>
      <c r="N177" s="1902">
        <f>'[32]Корисний м2'!$T$43</f>
        <v>0.24</v>
      </c>
      <c r="O177" s="1902">
        <f>'[32]Корисний м2'!$T$43</f>
        <v>0.24</v>
      </c>
      <c r="P177" s="1902">
        <f>'[32]Корисний м2'!$T$43</f>
        <v>0.24</v>
      </c>
      <c r="Q177" s="1902">
        <f>'[32]Корисний м2'!$T$43</f>
        <v>0.24</v>
      </c>
      <c r="R177" s="1903">
        <f>'[32]Корисний м2'!$T$43</f>
        <v>0.24</v>
      </c>
    </row>
    <row r="178" spans="1:18">
      <c r="F178" s="1904"/>
      <c r="G178" s="1904"/>
      <c r="H178" s="1904"/>
      <c r="I178" s="1904"/>
      <c r="J178" s="1904"/>
      <c r="K178" s="1904"/>
      <c r="L178" s="1904"/>
      <c r="M178" s="1904"/>
      <c r="N178" s="1904"/>
      <c r="O178" s="1904"/>
      <c r="P178" s="1904"/>
      <c r="Q178" s="1904"/>
      <c r="R178" s="1904"/>
    </row>
    <row r="179" spans="1:18" ht="18">
      <c r="A179" s="530"/>
      <c r="B179" s="1905" t="str">
        <f>'Вхідні дані'!B13</f>
        <v>Директор підприємства</v>
      </c>
      <c r="C179" s="530"/>
      <c r="D179" s="580"/>
      <c r="E179" s="530"/>
      <c r="F179" s="530"/>
      <c r="G179" s="530" t="s">
        <v>747</v>
      </c>
      <c r="H179" s="530"/>
      <c r="I179" s="530"/>
      <c r="J179" s="530"/>
      <c r="K179" s="530"/>
      <c r="L179" s="2737" t="str">
        <f>'Вхідні дані'!F13</f>
        <v>Сергій НІКУЛЬЧА</v>
      </c>
      <c r="M179" s="2737"/>
      <c r="N179" s="2737"/>
      <c r="O179" s="2737"/>
      <c r="P179" s="530"/>
    </row>
    <row r="180" spans="1:18">
      <c r="A180" s="1906"/>
      <c r="B180" s="1557" t="s">
        <v>218</v>
      </c>
      <c r="C180" s="1906"/>
      <c r="D180" s="1907"/>
      <c r="E180" s="1906"/>
      <c r="F180" s="1906"/>
      <c r="G180" s="2736" t="s">
        <v>196</v>
      </c>
      <c r="H180" s="2736"/>
      <c r="I180" s="2736"/>
      <c r="J180" s="2736"/>
      <c r="K180" s="2736"/>
      <c r="L180" s="1906"/>
      <c r="M180" s="2735" t="s">
        <v>216</v>
      </c>
      <c r="N180" s="2735"/>
      <c r="O180" s="1557"/>
      <c r="P180" s="1906"/>
    </row>
    <row r="182" spans="1:18" ht="15" thickBot="1">
      <c r="E182" t="s">
        <v>1909</v>
      </c>
    </row>
    <row r="183" spans="1:18" ht="43.2">
      <c r="E183" s="2035" t="s">
        <v>1157</v>
      </c>
      <c r="F183" s="2036" t="s">
        <v>1823</v>
      </c>
      <c r="G183" s="2116" t="str">
        <f>'Вхідні дані'!C18</f>
        <v>САО Парусна, 1-А</v>
      </c>
      <c r="H183" s="2116" t="str">
        <f>'Вхідні дані'!D18</f>
        <v>САО Парусна, 1-Б</v>
      </c>
      <c r="I183" s="2116" t="str">
        <f>'Вхідні дані'!E18</f>
        <v>САО Паркова, 50</v>
      </c>
      <c r="J183" s="2116" t="str">
        <f>'Вхідні дані'!F18</f>
        <v>САО Паркова, 52</v>
      </c>
    </row>
    <row r="184" spans="1:18">
      <c r="D184" t="s">
        <v>21</v>
      </c>
      <c r="E184" s="2037">
        <f>F184+G184+H184+I184+J184</f>
        <v>8535.7796400000007</v>
      </c>
      <c r="F184" s="2033">
        <f>F152+F159</f>
        <v>6460.0562399999999</v>
      </c>
      <c r="G184" s="2034">
        <f>F167</f>
        <v>480.96030000000002</v>
      </c>
      <c r="H184" s="2034">
        <f>F170</f>
        <v>798.22533999999996</v>
      </c>
      <c r="I184" s="2034">
        <f>F173</f>
        <v>391.51855999999998</v>
      </c>
      <c r="J184" s="2038">
        <f>F176</f>
        <v>405.01920000000001</v>
      </c>
    </row>
    <row r="185" spans="1:18">
      <c r="E185" s="2117">
        <f>SUM(F185:J185)</f>
        <v>0.99999999999999989</v>
      </c>
      <c r="F185" s="2118">
        <f>F184/$E$184</f>
        <v>0.75682087781731899</v>
      </c>
      <c r="G185" s="2118">
        <f t="shared" ref="G185:J185" si="92">G184/$E$184</f>
        <v>5.6346381969157769E-2</v>
      </c>
      <c r="H185" s="2118">
        <f t="shared" si="92"/>
        <v>9.3515223408461828E-2</v>
      </c>
      <c r="I185" s="2118">
        <f t="shared" si="92"/>
        <v>4.5867931988928426E-2</v>
      </c>
      <c r="J185" s="2119">
        <f t="shared" si="92"/>
        <v>4.7449584816132859E-2</v>
      </c>
    </row>
    <row r="186" spans="1:18">
      <c r="D186" t="s">
        <v>30</v>
      </c>
      <c r="E186" s="2120">
        <f>F97</f>
        <v>5.0579999999999998</v>
      </c>
      <c r="F186" s="2121">
        <f>F99</f>
        <v>3.8280000000000003</v>
      </c>
      <c r="G186" s="23">
        <f>F168</f>
        <v>0.28499999999999998</v>
      </c>
      <c r="H186" s="2120">
        <f>F171</f>
        <v>0.47299999999999998</v>
      </c>
      <c r="I186" s="23">
        <f>F174</f>
        <v>0.23200000000000001</v>
      </c>
      <c r="J186" s="2122">
        <f>F177</f>
        <v>0.24</v>
      </c>
    </row>
    <row r="187" spans="1:18" ht="15" thickBot="1">
      <c r="E187" s="2115">
        <f>SUM(F187:J187)</f>
        <v>5.9256450064589536E-4</v>
      </c>
      <c r="F187" s="2039">
        <f>F186/$E$184</f>
        <v>4.4846518554220784E-4</v>
      </c>
      <c r="G187" s="2039">
        <f t="shared" ref="G187" si="93">G186/$E$184</f>
        <v>3.3388865694756846E-5</v>
      </c>
      <c r="H187" s="2039">
        <f t="shared" ref="H187" si="94">H186/$E$184</f>
        <v>5.5413801661824522E-5</v>
      </c>
      <c r="I187" s="2039">
        <f t="shared" ref="I187" si="95">I186/$E$184</f>
        <v>2.7179708214679262E-5</v>
      </c>
      <c r="J187" s="2040">
        <f t="shared" ref="J187" si="96">J186/$E$184</f>
        <v>2.811693953242682E-5</v>
      </c>
    </row>
  </sheetData>
  <mergeCells count="61">
    <mergeCell ref="A169:A171"/>
    <mergeCell ref="B169:R169"/>
    <mergeCell ref="M180:N180"/>
    <mergeCell ref="A172:A174"/>
    <mergeCell ref="B172:R172"/>
    <mergeCell ref="A175:A177"/>
    <mergeCell ref="B175:R175"/>
    <mergeCell ref="G180:K180"/>
    <mergeCell ref="L179:O179"/>
    <mergeCell ref="B166:R166"/>
    <mergeCell ref="B158:R158"/>
    <mergeCell ref="A165:A168"/>
    <mergeCell ref="B165:R165"/>
    <mergeCell ref="P66:P67"/>
    <mergeCell ref="Q66:Q67"/>
    <mergeCell ref="R66:R67"/>
    <mergeCell ref="A68:A69"/>
    <mergeCell ref="B68:B69"/>
    <mergeCell ref="K66:K67"/>
    <mergeCell ref="L66:L67"/>
    <mergeCell ref="M66:M67"/>
    <mergeCell ref="N66:N67"/>
    <mergeCell ref="O66:O67"/>
    <mergeCell ref="F66:F67"/>
    <mergeCell ref="G66:G67"/>
    <mergeCell ref="C1:D1"/>
    <mergeCell ref="C5:J5"/>
    <mergeCell ref="A8:A11"/>
    <mergeCell ref="B8:B11"/>
    <mergeCell ref="C8:C11"/>
    <mergeCell ref="D8:D11"/>
    <mergeCell ref="E8:E11"/>
    <mergeCell ref="F8:F11"/>
    <mergeCell ref="G8:R8"/>
    <mergeCell ref="G9:G10"/>
    <mergeCell ref="H9:H10"/>
    <mergeCell ref="I9:I10"/>
    <mergeCell ref="J9:J10"/>
    <mergeCell ref="K9:K10"/>
    <mergeCell ref="L9:L10"/>
    <mergeCell ref="M9:M10"/>
    <mergeCell ref="N9:N10"/>
    <mergeCell ref="O9:O10"/>
    <mergeCell ref="P9:P10"/>
    <mergeCell ref="Q9:Q10"/>
    <mergeCell ref="R9:R10"/>
    <mergeCell ref="A49:A50"/>
    <mergeCell ref="B49:B50"/>
    <mergeCell ref="A66:A67"/>
    <mergeCell ref="B66:B67"/>
    <mergeCell ref="C66:C67"/>
    <mergeCell ref="H66:H67"/>
    <mergeCell ref="I66:I67"/>
    <mergeCell ref="J66:J67"/>
    <mergeCell ref="D66:D67"/>
    <mergeCell ref="E66:E67"/>
    <mergeCell ref="A85:A86"/>
    <mergeCell ref="A89:A90"/>
    <mergeCell ref="A93:A94"/>
    <mergeCell ref="A151:A157"/>
    <mergeCell ref="A158:A164"/>
  </mergeCells>
  <conditionalFormatting sqref="D13:F24 H13:R24 G13:G40 D26:E40 H28:R28 D41:R65 A47 A49 D68:R74 C73:C74 D75:F75 D76:E76 D77:M77 P77:R77 H78:R78 D78:G81 H79:M80 P79:R80 H81:R81 H82:M82 P82:R84 G82:G85 D82:F86 H83:O84 H85:M85 G86:R86 H87:R87 D87:G88 H88:M88 D89:E89 F90:N90 P90:R90 E90:E93 D90:D96 N91:R91 G91:M92 P92:R92 E94:M96 P95:R96 D97:R111">
    <cfRule type="cellIs" dxfId="41" priority="5" operator="equal">
      <formula>0</formula>
    </cfRule>
  </conditionalFormatting>
  <pageMargins left="0.31496062992125984" right="0.15748031496062992" top="0.59" bottom="0.31496062992125984" header="0.31496062992125984" footer="0.31496062992125984"/>
  <pageSetup paperSize="9" scale="68" fitToHeight="0" orientation="landscape"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50</vt:i4>
      </vt:variant>
      <vt:variant>
        <vt:lpstr>Именованные диапазоны</vt:lpstr>
      </vt:variant>
      <vt:variant>
        <vt:i4>53</vt:i4>
      </vt:variant>
    </vt:vector>
  </HeadingPairs>
  <TitlesOfParts>
    <vt:vector size="103" baseType="lpstr">
      <vt:lpstr>Вхідні дані</vt:lpstr>
      <vt:lpstr>Д 1_Заява</vt:lpstr>
      <vt:lpstr>Д 2_Т на В</vt:lpstr>
      <vt:lpstr>Д 4_Т на П</vt:lpstr>
      <vt:lpstr>Д 5 Т на ТЕ з IТП</vt:lpstr>
      <vt:lpstr>ТЕ_2ст_тариф_з ІТП</vt:lpstr>
      <vt:lpstr>ТЕ_2ст_вих</vt:lpstr>
      <vt:lpstr>Д 6_Втрати</vt:lpstr>
      <vt:lpstr>Д 7_РП</vt:lpstr>
      <vt:lpstr>Д 8_Паливо</vt:lpstr>
      <vt:lpstr>Д 9_ЕЕ</vt:lpstr>
      <vt:lpstr>Д - 10</vt:lpstr>
      <vt:lpstr>Д -11</vt:lpstr>
      <vt:lpstr>Д -12</vt:lpstr>
      <vt:lpstr>Д - 13_Реєстр</vt:lpstr>
      <vt:lpstr>Виробництво_1ст</vt:lpstr>
      <vt:lpstr>Транспортування_1ст</vt:lpstr>
      <vt:lpstr>Постачання_1ст</vt:lpstr>
      <vt:lpstr>ЗВВ_1ст</vt:lpstr>
      <vt:lpstr>D3_2023-2024</vt:lpstr>
      <vt:lpstr>Адміністративні_1ст</vt:lpstr>
      <vt:lpstr>D1_2023-2024</vt:lpstr>
      <vt:lpstr>D2_2023-2024</vt:lpstr>
      <vt:lpstr>D4_2023-2024</vt:lpstr>
      <vt:lpstr>hозрахунок ее</vt:lpstr>
      <vt:lpstr>Д 11</vt:lpstr>
      <vt:lpstr>Д 14</vt:lpstr>
      <vt:lpstr>БАЗИ РОЗПОДІЛУ</vt:lpstr>
      <vt:lpstr>Витрати</vt:lpstr>
      <vt:lpstr>Податки</vt:lpstr>
      <vt:lpstr>ОП</vt:lpstr>
      <vt:lpstr>ФОП</vt:lpstr>
      <vt:lpstr>ШР</vt:lpstr>
      <vt:lpstr>Амортизація</vt:lpstr>
      <vt:lpstr>гран розмір</vt:lpstr>
      <vt:lpstr>Ціна ее</vt:lpstr>
      <vt:lpstr>Ціна газ</vt:lpstr>
      <vt:lpstr>ВОДА</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6 до рішення</vt:lpstr>
      <vt:lpstr>Додаток 7 до рішення</vt:lpstr>
      <vt:lpstr>Додаток 8 до рішення</vt:lpstr>
      <vt:lpstr>Додаток 9 до рішення</vt:lpstr>
      <vt:lpstr>Додаток 10 до рішення</vt:lpstr>
      <vt:lpstr>% структури</vt:lpstr>
      <vt:lpstr>Склад статей витрат</vt:lpstr>
      <vt:lpstr>'D1_2023-2024'!Заголовки_для_печати</vt:lpstr>
      <vt:lpstr>'D2_2023-2024'!Заголовки_для_печати</vt:lpstr>
      <vt:lpstr>Виробництво_1ст!Заголовки_для_печати</vt:lpstr>
      <vt:lpstr>'Д - 10'!Заголовки_для_печати</vt:lpstr>
      <vt:lpstr>'Д -11'!Заголовки_для_печати</vt:lpstr>
      <vt:lpstr>'Д -12'!Заголовки_для_печати</vt:lpstr>
      <vt:lpstr>'Д 2_Т на В'!Заголовки_для_печати</vt:lpstr>
      <vt:lpstr>'Д 5 Т на ТЕ з IТП'!Заголовки_для_печати</vt:lpstr>
      <vt:lpstr>'Д 7_РП'!Заголовки_для_печати</vt:lpstr>
      <vt:lpstr>'Д 8_Паливо'!Заголовки_для_печати</vt:lpstr>
      <vt:lpstr>'Д 9_ЕЕ'!Заголовки_для_печати</vt:lpstr>
      <vt:lpstr>'Додаток 7 до рішення'!Заголовки_для_печати</vt:lpstr>
      <vt:lpstr>'Додаток 8 до рішення'!Заголовки_для_печати</vt:lpstr>
      <vt:lpstr>'ТЕ_2ст_тариф_з ІТП'!Заголовки_для_печати</vt:lpstr>
      <vt:lpstr>Транспортування_1ст!Заголовки_для_печати</vt:lpstr>
      <vt:lpstr>'D1_2023-2024'!Область_печати</vt:lpstr>
      <vt:lpstr>'D2_2023-2024'!Область_печати</vt:lpstr>
      <vt:lpstr>'D3_2023-2024'!Область_печати</vt:lpstr>
      <vt:lpstr>'D4_2023-2024'!Область_печати</vt:lpstr>
      <vt:lpstr>Адміністративні_1ст!Область_печати</vt:lpstr>
      <vt:lpstr>Амортизація!Область_печати</vt:lpstr>
      <vt:lpstr>'БАЗИ РОЗПОДІЛУ'!Область_печати</vt:lpstr>
      <vt:lpstr>Виробництво_1ст!Область_печати</vt:lpstr>
      <vt:lpstr>ВОДА!Область_печати</vt:lpstr>
      <vt:lpstr>'Вхідні дані'!Область_печати</vt:lpstr>
      <vt:lpstr>'Д - 10'!Область_печати</vt:lpstr>
      <vt:lpstr>'Д - 13_Реєстр'!Область_печати</vt:lpstr>
      <vt:lpstr>'Д 1_Заява'!Область_печати</vt:lpstr>
      <vt:lpstr>'Д -11'!Область_печати</vt:lpstr>
      <vt:lpstr>'Д -12'!Область_печати</vt:lpstr>
      <vt:lpstr>'Д 2_Т на В'!Область_печати</vt:lpstr>
      <vt:lpstr>'Д 4_Т на П'!Область_печати</vt:lpstr>
      <vt:lpstr>'Д 5 Т на ТЕ з IТП'!Область_печати</vt:lpstr>
      <vt:lpstr>'Д 6_Втрати'!Область_печати</vt:lpstr>
      <vt:lpstr>'Д 8_Паливо'!Область_печати</vt:lpstr>
      <vt:lpstr>'Д 9_ЕЕ'!Область_печати</vt:lpstr>
      <vt:lpstr>'Додаток 10 до рішення'!Область_печати</vt:lpstr>
      <vt:lpstr>'Додаток 2 до рішення'!Область_печати</vt:lpstr>
      <vt:lpstr>'Додаток 3 до рішення'!Область_печати</vt:lpstr>
      <vt:lpstr>'Додаток 4 до рішення'!Область_печати</vt:lpstr>
      <vt:lpstr>'Додаток 5 до рішення'!Область_печати</vt:lpstr>
      <vt:lpstr>'Додаток 6 до рішення'!Область_печати</vt:lpstr>
      <vt:lpstr>'Додаток 7 до рішення'!Область_печати</vt:lpstr>
      <vt:lpstr>'Додаток 8 до рішення'!Область_печати</vt:lpstr>
      <vt:lpstr>'Додаток 9 до рішення'!Область_печати</vt:lpstr>
      <vt:lpstr>ЗВВ_1ст!Область_печати</vt:lpstr>
      <vt:lpstr>Податки!Область_печати</vt:lpstr>
      <vt:lpstr>Постачання_1ст!Область_печати</vt:lpstr>
      <vt:lpstr>ТЕ_2ст_вих!Область_печати</vt:lpstr>
      <vt:lpstr>'ТЕ_2ст_тариф_з ІТП'!Область_печати</vt:lpstr>
      <vt:lpstr>Транспортування_1ст!Область_печати</vt:lpstr>
      <vt:lpstr>ФОП!Область_печати</vt:lpstr>
      <vt:lpstr>'Ціна ее'!Область_печати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2023-10-16T13:05:43Z</dcterms:modified>
</cp:coreProperties>
</file>