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228"/>
  <workbookPr defaultThemeVersion="124226"/>
  <mc:AlternateContent xmlns:mc="http://schemas.openxmlformats.org/markup-compatibility/2006">
    <mc:Choice Requires="x15">
      <x15ac:absPath xmlns:x15ac="http://schemas.microsoft.com/office/spreadsheetml/2010/11/ac" url="Z:\Оксана документы\1 ДОКУМЕНТИ\8 созыв\38 сесія 25.10.2023\№472 Зміни бюджет 23\"/>
    </mc:Choice>
  </mc:AlternateContent>
  <xr:revisionPtr revIDLastSave="0" documentId="13_ncr:1_{128F95AA-34A9-487E-AF61-63B3165BD3D9}" xr6:coauthVersionLast="47" xr6:coauthVersionMax="47" xr10:uidLastSave="{00000000-0000-0000-0000-000000000000}"/>
  <bookViews>
    <workbookView xWindow="-108" yWindow="-108" windowWidth="23256" windowHeight="12576" tabRatio="599" xr2:uid="{00000000-000D-0000-FFFF-FFFF00000000}"/>
  </bookViews>
  <sheets>
    <sheet name="2023" sheetId="2" r:id="rId1"/>
  </sheets>
  <definedNames>
    <definedName name="_xlnm.Print_Titles" localSheetId="0">'2023'!$13:$14</definedName>
    <definedName name="_xlnm.Print_Area" localSheetId="0">'2023'!$A$1:$P$76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53" i="2" l="1"/>
  <c r="F52" i="2"/>
  <c r="F54" i="2"/>
  <c r="F50" i="2"/>
  <c r="F48" i="2"/>
  <c r="F22" i="2"/>
  <c r="F29" i="2"/>
  <c r="G23" i="2"/>
  <c r="J23" i="2"/>
  <c r="K23" i="2"/>
  <c r="L23" i="2"/>
  <c r="M23" i="2"/>
  <c r="N23" i="2"/>
  <c r="L42" i="2" l="1"/>
  <c r="K42" i="2"/>
  <c r="O47" i="2" l="1"/>
  <c r="O46" i="2"/>
  <c r="O45" i="2"/>
  <c r="O44" i="2"/>
  <c r="O43" i="2"/>
  <c r="O42" i="2"/>
  <c r="O41" i="2"/>
  <c r="O40" i="2"/>
  <c r="O39" i="2"/>
  <c r="O38" i="2"/>
  <c r="O36" i="2"/>
  <c r="O24" i="2"/>
  <c r="O27" i="2"/>
  <c r="O30" i="2"/>
  <c r="O32" i="2"/>
  <c r="O35" i="2"/>
  <c r="O34" i="2"/>
  <c r="O33" i="2"/>
  <c r="O31" i="2"/>
  <c r="O29" i="2"/>
  <c r="O28" i="2"/>
  <c r="O26" i="2"/>
  <c r="O25" i="2"/>
  <c r="J46" i="2"/>
  <c r="J45" i="2"/>
  <c r="J44" i="2"/>
  <c r="J43" i="2"/>
  <c r="J42" i="2"/>
  <c r="J41" i="2"/>
  <c r="J40" i="2"/>
  <c r="J39" i="2"/>
  <c r="J38" i="2"/>
  <c r="I29" i="2"/>
  <c r="I25" i="2"/>
  <c r="I23" i="2" s="1"/>
  <c r="F36" i="2"/>
  <c r="F24" i="2"/>
  <c r="F27" i="2"/>
  <c r="E27" i="2"/>
  <c r="F32" i="2"/>
  <c r="E32" i="2"/>
  <c r="F35" i="2"/>
  <c r="E35" i="2"/>
  <c r="F34" i="2"/>
  <c r="F33" i="2"/>
  <c r="F31" i="2"/>
  <c r="F28" i="2"/>
  <c r="F26" i="2"/>
  <c r="F25" i="2"/>
  <c r="E23" i="2" l="1"/>
  <c r="F23" i="2"/>
  <c r="O23" i="2"/>
  <c r="O52" i="2"/>
  <c r="P72" i="2" l="1"/>
  <c r="P71" i="2" s="1"/>
  <c r="F71" i="2"/>
  <c r="G71" i="2"/>
  <c r="G73" i="2" s="1"/>
  <c r="H71" i="2"/>
  <c r="I71" i="2"/>
  <c r="J71" i="2"/>
  <c r="K71" i="2"/>
  <c r="L71" i="2"/>
  <c r="M71" i="2"/>
  <c r="N71" i="2"/>
  <c r="O71" i="2"/>
  <c r="E71" i="2"/>
  <c r="L52" i="2" l="1"/>
  <c r="K52" i="2"/>
  <c r="K49" i="2"/>
  <c r="J52" i="2"/>
  <c r="I52" i="2"/>
  <c r="E52" i="2" l="1"/>
  <c r="I49" i="2" l="1"/>
  <c r="M37" i="2" l="1"/>
  <c r="N37" i="2"/>
  <c r="G49" i="2" l="1"/>
  <c r="J49" i="2"/>
  <c r="L49" i="2"/>
  <c r="O49" i="2"/>
  <c r="P50" i="2"/>
  <c r="E49" i="2"/>
  <c r="F49" i="2" l="1"/>
  <c r="O55" i="2"/>
  <c r="O37" i="2"/>
  <c r="M21" i="2"/>
  <c r="L55" i="2"/>
  <c r="K55" i="2"/>
  <c r="L37" i="2"/>
  <c r="K37" i="2"/>
  <c r="I55" i="2"/>
  <c r="I37" i="2"/>
  <c r="J37" i="2"/>
  <c r="F55" i="2"/>
  <c r="E55" i="2"/>
  <c r="H44" i="2"/>
  <c r="H43" i="2"/>
  <c r="H41" i="2"/>
  <c r="H40" i="2"/>
  <c r="H39" i="2"/>
  <c r="H38" i="2"/>
  <c r="E37" i="2"/>
  <c r="H24" i="2"/>
  <c r="H27" i="2"/>
  <c r="H34" i="2"/>
  <c r="H33" i="2"/>
  <c r="H22" i="2"/>
  <c r="H26" i="2"/>
  <c r="H29" i="2"/>
  <c r="H35" i="2"/>
  <c r="H42" i="2"/>
  <c r="H46" i="2"/>
  <c r="H48" i="2"/>
  <c r="H54" i="2"/>
  <c r="H53" i="2"/>
  <c r="H28" i="2"/>
  <c r="H31" i="2"/>
  <c r="H32" i="2"/>
  <c r="H30" i="2"/>
  <c r="H36" i="2"/>
  <c r="H45" i="2"/>
  <c r="H47" i="2"/>
  <c r="H51" i="2"/>
  <c r="H49" i="2" s="1"/>
  <c r="H52" i="2"/>
  <c r="H56" i="2"/>
  <c r="H57" i="2"/>
  <c r="J55" i="2" l="1"/>
  <c r="F37" i="2"/>
  <c r="H37" i="2" s="1"/>
  <c r="H25" i="2"/>
  <c r="H23" i="2" s="1"/>
  <c r="H55" i="2"/>
  <c r="F58" i="2" l="1"/>
  <c r="I58" i="2"/>
  <c r="J58" i="2"/>
  <c r="K58" i="2"/>
  <c r="L58" i="2"/>
  <c r="M58" i="2"/>
  <c r="N58" i="2"/>
  <c r="O58" i="2"/>
  <c r="E58" i="2"/>
  <c r="P61" i="2"/>
  <c r="P22" i="2"/>
  <c r="P48" i="2"/>
  <c r="I62" i="2" l="1"/>
  <c r="J62" i="2"/>
  <c r="K62" i="2"/>
  <c r="L62" i="2"/>
  <c r="M62" i="2"/>
  <c r="N62" i="2"/>
  <c r="O62" i="2"/>
  <c r="F62" i="2"/>
  <c r="E62" i="2"/>
  <c r="P63" i="2"/>
  <c r="P64" i="2"/>
  <c r="P65" i="2"/>
  <c r="P66" i="2"/>
  <c r="P67" i="2"/>
  <c r="P68" i="2"/>
  <c r="P69" i="2"/>
  <c r="P70" i="2"/>
  <c r="P59" i="2"/>
  <c r="P60" i="2"/>
  <c r="P56" i="2"/>
  <c r="P57" i="2"/>
  <c r="P53" i="2"/>
  <c r="P52" i="2"/>
  <c r="P51" i="2"/>
  <c r="P54" i="2"/>
  <c r="P38" i="2"/>
  <c r="P39" i="2"/>
  <c r="P40" i="2"/>
  <c r="P41" i="2"/>
  <c r="P42" i="2"/>
  <c r="P43" i="2"/>
  <c r="P44" i="2"/>
  <c r="P45" i="2"/>
  <c r="P46" i="2"/>
  <c r="P47" i="2"/>
  <c r="P25" i="2"/>
  <c r="P26" i="2"/>
  <c r="P28" i="2"/>
  <c r="P29" i="2"/>
  <c r="P31" i="2"/>
  <c r="P33" i="2"/>
  <c r="P34" i="2"/>
  <c r="P35" i="2"/>
  <c r="P32" i="2"/>
  <c r="P30" i="2"/>
  <c r="P27" i="2"/>
  <c r="P24" i="2"/>
  <c r="P36" i="2"/>
  <c r="P17" i="2"/>
  <c r="P18" i="2"/>
  <c r="P19" i="2"/>
  <c r="P20" i="2"/>
  <c r="P16" i="2"/>
  <c r="I15" i="2"/>
  <c r="J15" i="2"/>
  <c r="K15" i="2"/>
  <c r="L15" i="2"/>
  <c r="M15" i="2"/>
  <c r="M73" i="2" s="1"/>
  <c r="N15" i="2"/>
  <c r="O15" i="2"/>
  <c r="F15" i="2"/>
  <c r="E15" i="2"/>
  <c r="P58" i="2" l="1"/>
  <c r="J21" i="2"/>
  <c r="J73" i="2" s="1"/>
  <c r="I21" i="2"/>
  <c r="I73" i="2" s="1"/>
  <c r="K21" i="2"/>
  <c r="K73" i="2" s="1"/>
  <c r="N21" i="2"/>
  <c r="N73" i="2" s="1"/>
  <c r="L21" i="2"/>
  <c r="L73" i="2" s="1"/>
  <c r="O21" i="2"/>
  <c r="O73" i="2" s="1"/>
  <c r="P37" i="2"/>
  <c r="E21" i="2"/>
  <c r="E73" i="2" s="1"/>
  <c r="F21" i="2"/>
  <c r="F73" i="2" s="1"/>
  <c r="P62" i="2"/>
  <c r="P55" i="2"/>
  <c r="P49" i="2"/>
  <c r="P23" i="2"/>
  <c r="P15" i="2"/>
  <c r="H21" i="2" l="1"/>
  <c r="H73" i="2" s="1"/>
  <c r="P21" i="2"/>
  <c r="P73" i="2" s="1"/>
</calcChain>
</file>

<file path=xl/sharedStrings.xml><?xml version="1.0" encoding="utf-8"?>
<sst xmlns="http://schemas.openxmlformats.org/spreadsheetml/2006/main" count="147" uniqueCount="118">
  <si>
    <t>Всього</t>
  </si>
  <si>
    <t xml:space="preserve"> </t>
  </si>
  <si>
    <t>Гкал</t>
  </si>
  <si>
    <t>Куб. метр</t>
  </si>
  <si>
    <t>Код програмної класифікації видатків та кредитування місцевих бюджетів</t>
  </si>
  <si>
    <t>Код ФКВКБ</t>
  </si>
  <si>
    <t>0111</t>
  </si>
  <si>
    <t>0921</t>
  </si>
  <si>
    <t>0910</t>
  </si>
  <si>
    <t>0922</t>
  </si>
  <si>
    <t>0960</t>
  </si>
  <si>
    <t>0990</t>
  </si>
  <si>
    <t>0824</t>
  </si>
  <si>
    <t>0828</t>
  </si>
  <si>
    <t>0829</t>
  </si>
  <si>
    <t>0810</t>
  </si>
  <si>
    <t>0150</t>
  </si>
  <si>
    <t>0210150</t>
  </si>
  <si>
    <t>0810160</t>
  </si>
  <si>
    <t>0160</t>
  </si>
  <si>
    <t>0610160</t>
  </si>
  <si>
    <t>0611010</t>
  </si>
  <si>
    <t>0813121</t>
  </si>
  <si>
    <t>0813104</t>
  </si>
  <si>
    <t>0615031</t>
  </si>
  <si>
    <t xml:space="preserve"> Куб. метр</t>
  </si>
  <si>
    <t xml:space="preserve"> Квт</t>
  </si>
  <si>
    <t>0280</t>
  </si>
  <si>
    <t>Чорноморської міської ради</t>
  </si>
  <si>
    <t>Код ТКВКБМС</t>
  </si>
  <si>
    <t>Найменування головного розпорядника, бюджетної установи/показника</t>
  </si>
  <si>
    <t>0218210</t>
  </si>
  <si>
    <t>Дитячо-юнацькі спортивні школи</t>
  </si>
  <si>
    <t>0210000</t>
  </si>
  <si>
    <t>0610000</t>
  </si>
  <si>
    <t>0810000</t>
  </si>
  <si>
    <t>грн</t>
  </si>
  <si>
    <t>РАЗОМ</t>
  </si>
  <si>
    <t>Теплопостачання 
(КЕКВ 2271)</t>
  </si>
  <si>
    <t>Електроенергія
(КЕКВ 2273)</t>
  </si>
  <si>
    <t>Інші енергоносії та інші комунальні послуги
(КЕКВ 2275)</t>
  </si>
  <si>
    <t>до  рішення</t>
  </si>
  <si>
    <t>Одеського району Одеської області</t>
  </si>
  <si>
    <t>Комунальна установа "Інклюзивно-ресурсний центр" Чорноморської міської ради Одеської області</t>
  </si>
  <si>
    <t>0611021</t>
  </si>
  <si>
    <t>0611022</t>
  </si>
  <si>
    <t>0611070</t>
  </si>
  <si>
    <t>0611141</t>
  </si>
  <si>
    <t>0611151</t>
  </si>
  <si>
    <t>Чорноморська спеціальна школа Чорноморської міської ради Одеського району Одеської області</t>
  </si>
  <si>
    <t>Виконавчий комітет Чорноморської міської ради Одеського району Одеської області</t>
  </si>
  <si>
    <t>Олександрівська селищна адміністрація Чорноморської міської ради Одеського району Одеської області</t>
  </si>
  <si>
    <t>Бурлачобалківська сільська адміністрація Чорноморської міської ради  Одеського району Одеської області</t>
  </si>
  <si>
    <t>Малодолинська сільська адміністрація Чорноморської міської ради Одеського району Одеської області</t>
  </si>
  <si>
    <t>Комунальна установа "Муніципальна варта" Чорноморської міської ради Одеського району Одеської області</t>
  </si>
  <si>
    <t>Центр позашкільної освіти Чорноморської міської ради Одеського району Одеської області</t>
  </si>
  <si>
    <t>Центр професійного розвитку педагогічних працівників Чорноморської міської ради Одеського району Одеської області</t>
  </si>
  <si>
    <t>Управління соціальної політики Чорноморської  міської ради Одеського району Одеської області</t>
  </si>
  <si>
    <t>Управління соціальної політики Чорноморської  міської ради  Одеського району Одеської області</t>
  </si>
  <si>
    <t>Відділ культури Чорноморської міської ради Одеського району Одеської області</t>
  </si>
  <si>
    <t>Централізована бібліотечна система міста Чорноморська Одеського району Одеської області</t>
  </si>
  <si>
    <t>Музей образотворчих мистецтв ім. О.Білого м. Чорноморська Одеського району Одеської області</t>
  </si>
  <si>
    <t>Палац культури м. Чорноморська Одеського району Одеської області</t>
  </si>
  <si>
    <t>Олександрівський Будинок культури м. Чорноморська Одеського району Одеської області</t>
  </si>
  <si>
    <t>Малодолинський  Будинок  культури м. Чорноморська Одеського району Одеської області</t>
  </si>
  <si>
    <t>Бурлачобалківський клуб м. Чорноморська Одеського району Одеської області</t>
  </si>
  <si>
    <t>Централізована бухгалтерія відділу культури Чорноморської міської ради Одеського району Одеської області</t>
  </si>
  <si>
    <t>Водопостачання та водовідведення
(КЕКВ 2272)</t>
  </si>
  <si>
    <t xml:space="preserve">Чорноморський економіко-правовий ліцей № 1 Чорноморської міської ради Одеського району Одеської області </t>
  </si>
  <si>
    <t>Чорноморський ліцей № 2 Чорноморської міської ради Одеського району Одеської області</t>
  </si>
  <si>
    <t>Чорноморський ліцей № 3 Чорноморської міської ради Одеського району Одеської області</t>
  </si>
  <si>
    <t>Чорноморський ліцей № 4 Чорноморської міської ради Одеського району Одеської області</t>
  </si>
  <si>
    <t>Чорноморський ліцей № 6 Чорноморської міської ради Одеського району Одеської області</t>
  </si>
  <si>
    <t>Чорноморський ліцей № 7  Чорноморської міської ради Одеського району Одеської області</t>
  </si>
  <si>
    <t>Олександрівський заклад загальної середньої освіти Чорноморської міської ради Одеського району Одеської області</t>
  </si>
  <si>
    <t>Малодолинський заклад загальної середньої освіти Чорноморської міської ради Одеського району Одеської області</t>
  </si>
  <si>
    <t>Бурлачобалківська гімназія Чорноморської міської ради Одеського району Одеської області</t>
  </si>
  <si>
    <t>Дитячий стадіон "Шкільний" Чорноморської міської ради Одеського району Одеської області</t>
  </si>
  <si>
    <t>Комплексна дитячо - юнацька спортивна школа Чорноморської міської ради Одеського району Одеської області</t>
  </si>
  <si>
    <t>Дитячо - юнацька спортивна школа з шахів і шашок Чорноморської міської ради Одеського району Одеської області</t>
  </si>
  <si>
    <t>Чорноморський  міський центр соціальних служб Чорноморської міської ради Одеського району Одеської області</t>
  </si>
  <si>
    <t>Ліміти споживання енергоносіїв у натуральних показниках в розрізі головних розпорядників та бюджетних установ, які фінансуються з бюджету Чорноморської міської територіальної громади, на 2023 рік</t>
  </si>
  <si>
    <t xml:space="preserve">Дошкільний підрозділ Чорноморської спеціальної школи Чорноморської міської  ради Одеського району Одеської області </t>
  </si>
  <si>
    <t>Чорноморський академічний ліцей імені Тараса Шевченка Чорноморської міської ради Одеського району Одеської області</t>
  </si>
  <si>
    <t>Комунальний заклад "Школа мистецтв імені Л.М.Нагаєва м. Чорноморська Одеського району Одеської області"</t>
  </si>
  <si>
    <t>Заклад дошкільної освіти (ясла-садок) № 2 "Колобок" Чорноморської міської ради Одеського району Одеської області</t>
  </si>
  <si>
    <t xml:space="preserve">Заклад дошкільної освіти (ясла-садок) комбінованого типу № 3 "Казка" Чорноморської міської ради Одеського району Одеської області </t>
  </si>
  <si>
    <t xml:space="preserve">Заклад дошкільної освіти (ясла-садок) комбінованого типу № 5 "Теремок" Чорноморської міської ради Одеського району Одеської області </t>
  </si>
  <si>
    <t>Заклад дошкільної освіти (ясла-садок) № 6 "Сонечко" Чорноморської міської ради Одеського району Одеської області</t>
  </si>
  <si>
    <t xml:space="preserve">Заклад дошкільної освіти (ясла-садок) № 8 "Перлинка" Чорноморської міської ради Одеського району Одеської області </t>
  </si>
  <si>
    <t xml:space="preserve">Заклад дошкільної освіти (ясла-садок) комбінованого типу № 10 "Росинка" Чорноморської міської ради Одеського району Одеської області </t>
  </si>
  <si>
    <t xml:space="preserve">Заклад дошкільної освіти (ясла-садок) № 11 "Лялечка" Чорноморської міської ради Одеського району Одеської області </t>
  </si>
  <si>
    <t>Комунальна установа "Територіальний центр соціального обслуговування (надання соціальних послуг) Чорноморської міської ради Одеського району Одеської області"</t>
  </si>
  <si>
    <t>0611160</t>
  </si>
  <si>
    <t>від 20.12.2022 № 284-VIII"</t>
  </si>
  <si>
    <t>"Додаток 11</t>
  </si>
  <si>
    <t>1100000</t>
  </si>
  <si>
    <t>Вiддiл молодi та спорту Чорноморської мiської ради Одеського району Одеської областi</t>
  </si>
  <si>
    <t>1113133</t>
  </si>
  <si>
    <t>3133</t>
  </si>
  <si>
    <t>1040</t>
  </si>
  <si>
    <t>Комунальна установа "Молодіжний центр міста Чорноморська" Чорноморської міської ради Одеського району Одеської області</t>
  </si>
  <si>
    <t>Управління освіти Чорноморської міської ради Одеського району Одеської області</t>
  </si>
  <si>
    <t>Заклади дошкільної освіти, підпорядковані управлінню освіти Чорноморської міської ради Одеського району Одеської області</t>
  </si>
  <si>
    <t>Заклади загальної середньої освіти, підпорядковані управлінню освіти Чорноморської міської ради Одеського району Одеської області</t>
  </si>
  <si>
    <t>Заклади позашкільної освіти, підпорядковані управлінню освіти Чорноморської міської ради Одеського району Одеської області</t>
  </si>
  <si>
    <t>Централізована бухгалтерія управління освіти Чорноморської міської ради Одеського району Одеської області</t>
  </si>
  <si>
    <t>Управління освіти Чорноморської  міської ради Одеського району Одеської області</t>
  </si>
  <si>
    <t>Природний газ
(КЕКВ 2274)</t>
  </si>
  <si>
    <t xml:space="preserve">Заклад дошкільної освіти (ясла-садок) № 12 "Мальва" Чорноморської міської ради Одеського району Одеської області </t>
  </si>
  <si>
    <t>Заклад дошкільної освіти (ясла-садок) № 9 "Горобинка" Чорноморської міської ради Одеського району Одеської області</t>
  </si>
  <si>
    <t xml:space="preserve">Заклад дошкільної освіти (ясла-садок) № 7 "Струмочок" Чорноморської міської ради Одеського району Одеської області </t>
  </si>
  <si>
    <t xml:space="preserve">Заклад дошкільної освіти (ясла-садок) № 4 "Барвінок" Чорноморської міської ради Одеського району Одеської області </t>
  </si>
  <si>
    <t xml:space="preserve">Заклад дошкільної освіти (ясла-садок) № 1 "Журавлик" Чорноморської міської ради Одеського району Одеської області </t>
  </si>
  <si>
    <t>Начальник фінансового управління</t>
  </si>
  <si>
    <t>Ольга ЯКОВЕНКО</t>
  </si>
  <si>
    <t>Додаток 9</t>
  </si>
  <si>
    <t>від  25.10.2023   № 472  - VIII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</si>
</sst>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&quot;р.&quot;;[Red]\-#,##0&quot;р.&quot;"/>
    <numFmt numFmtId="165" formatCode="#,##0.000"/>
  </numFmts>
  <fonts count="16" x14ac:knownFonts="1">
    <font>
      <sz val="10"/>
      <name val="Arial Cyr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2"/>
      <color indexed="8"/>
      <name val="Times New Roman"/>
      <family val="1"/>
      <charset val="204"/>
    </font>
    <font>
      <b/>
      <i/>
      <sz val="12"/>
      <color indexed="8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FF"/>
        <bgColor rgb="FF000000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7" fillId="0" borderId="0"/>
    <xf numFmtId="0" fontId="2" fillId="0" borderId="0"/>
  </cellStyleXfs>
  <cellXfs count="85">
    <xf numFmtId="0" fontId="0" fillId="0" borderId="0" xfId="0"/>
    <xf numFmtId="0" fontId="1" fillId="0" borderId="0" xfId="0" applyFont="1"/>
    <xf numFmtId="164" fontId="1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0" fontId="3" fillId="0" borderId="0" xfId="0" applyFont="1"/>
    <xf numFmtId="0" fontId="1" fillId="2" borderId="0" xfId="0" applyFont="1" applyFill="1"/>
    <xf numFmtId="165" fontId="1" fillId="0" borderId="0" xfId="0" applyNumberFormat="1" applyFont="1"/>
    <xf numFmtId="165" fontId="1" fillId="0" borderId="0" xfId="0" applyNumberFormat="1" applyFont="1" applyAlignment="1">
      <alignment vertical="center"/>
    </xf>
    <xf numFmtId="165" fontId="1" fillId="2" borderId="1" xfId="0" applyNumberFormat="1" applyFont="1" applyFill="1" applyBorder="1"/>
    <xf numFmtId="165" fontId="3" fillId="2" borderId="1" xfId="0" applyNumberFormat="1" applyFont="1" applyFill="1" applyBorder="1"/>
    <xf numFmtId="165" fontId="1" fillId="2" borderId="0" xfId="0" applyNumberFormat="1" applyFont="1" applyFill="1"/>
    <xf numFmtId="0" fontId="1" fillId="2" borderId="0" xfId="0" applyFont="1" applyFill="1" applyAlignment="1">
      <alignment horizontal="left" vertical="center"/>
    </xf>
    <xf numFmtId="3" fontId="1" fillId="2" borderId="1" xfId="0" applyNumberFormat="1" applyFont="1" applyFill="1" applyBorder="1"/>
    <xf numFmtId="3" fontId="3" fillId="2" borderId="1" xfId="0" applyNumberFormat="1" applyFont="1" applyFill="1" applyBorder="1"/>
    <xf numFmtId="0" fontId="1" fillId="2" borderId="0" xfId="0" applyFont="1" applyFill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165" fontId="4" fillId="3" borderId="1" xfId="0" applyNumberFormat="1" applyFont="1" applyFill="1" applyBorder="1"/>
    <xf numFmtId="3" fontId="4" fillId="3" borderId="1" xfId="0" applyNumberFormat="1" applyFont="1" applyFill="1" applyBorder="1"/>
    <xf numFmtId="0" fontId="4" fillId="3" borderId="1" xfId="0" applyFont="1" applyFill="1" applyBorder="1" applyAlignment="1">
      <alignment wrapText="1"/>
    </xf>
    <xf numFmtId="49" fontId="1" fillId="2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/>
    </xf>
    <xf numFmtId="0" fontId="4" fillId="3" borderId="1" xfId="0" applyFont="1" applyFill="1" applyBorder="1"/>
    <xf numFmtId="0" fontId="1" fillId="2" borderId="1" xfId="0" applyFont="1" applyFill="1" applyBorder="1" applyAlignment="1">
      <alignment horizontal="center" vertical="center" wrapText="1"/>
    </xf>
    <xf numFmtId="49" fontId="4" fillId="3" borderId="1" xfId="0" applyNumberFormat="1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1" fillId="0" borderId="0" xfId="0" applyFont="1" applyAlignment="1">
      <alignment vertical="center" wrapText="1"/>
    </xf>
    <xf numFmtId="165" fontId="1" fillId="0" borderId="0" xfId="0" applyNumberFormat="1" applyFont="1" applyAlignment="1">
      <alignment vertical="center" wrapText="1"/>
    </xf>
    <xf numFmtId="0" fontId="8" fillId="3" borderId="1" xfId="1" applyFont="1" applyFill="1" applyBorder="1" applyAlignment="1">
      <alignment horizontal="left" vertical="center" wrapText="1"/>
    </xf>
    <xf numFmtId="0" fontId="9" fillId="0" borderId="0" xfId="1" applyFont="1" applyAlignment="1">
      <alignment horizontal="left" vertical="center" wrapText="1"/>
    </xf>
    <xf numFmtId="3" fontId="1" fillId="0" borderId="0" xfId="0" applyNumberFormat="1" applyFont="1" applyAlignment="1">
      <alignment vertical="center" wrapText="1"/>
    </xf>
    <xf numFmtId="3" fontId="1" fillId="0" borderId="0" xfId="0" applyNumberFormat="1" applyFont="1"/>
    <xf numFmtId="3" fontId="1" fillId="0" borderId="0" xfId="0" applyNumberFormat="1" applyFont="1" applyAlignment="1">
      <alignment vertical="center"/>
    </xf>
    <xf numFmtId="3" fontId="1" fillId="2" borderId="0" xfId="0" applyNumberFormat="1" applyFont="1" applyFill="1"/>
    <xf numFmtId="3" fontId="1" fillId="0" borderId="0" xfId="0" applyNumberFormat="1" applyFont="1" applyAlignment="1">
      <alignment horizontal="left"/>
    </xf>
    <xf numFmtId="165" fontId="5" fillId="0" borderId="1" xfId="0" applyNumberFormat="1" applyFont="1" applyBorder="1" applyAlignment="1">
      <alignment horizontal="center" vertical="center" wrapText="1"/>
    </xf>
    <xf numFmtId="165" fontId="4" fillId="0" borderId="1" xfId="0" applyNumberFormat="1" applyFont="1" applyBorder="1" applyAlignment="1">
      <alignment horizontal="center" vertical="center"/>
    </xf>
    <xf numFmtId="3" fontId="4" fillId="0" borderId="1" xfId="0" applyNumberFormat="1" applyFont="1" applyBorder="1" applyAlignment="1">
      <alignment horizontal="center" vertical="center"/>
    </xf>
    <xf numFmtId="0" fontId="10" fillId="2" borderId="1" xfId="1" applyFont="1" applyFill="1" applyBorder="1" applyAlignment="1">
      <alignment horizontal="left" vertical="center" wrapText="1"/>
    </xf>
    <xf numFmtId="0" fontId="10" fillId="0" borderId="1" xfId="1" applyFont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wrapText="1"/>
    </xf>
    <xf numFmtId="0" fontId="3" fillId="2" borderId="1" xfId="0" applyFont="1" applyFill="1" applyBorder="1" applyAlignment="1">
      <alignment wrapText="1"/>
    </xf>
    <xf numFmtId="0" fontId="3" fillId="2" borderId="1" xfId="0" applyFont="1" applyFill="1" applyBorder="1" applyAlignment="1">
      <alignment horizontal="left" wrapText="1"/>
    </xf>
    <xf numFmtId="0" fontId="1" fillId="2" borderId="1" xfId="0" applyFont="1" applyFill="1" applyBorder="1"/>
    <xf numFmtId="0" fontId="3" fillId="2" borderId="1" xfId="0" applyFont="1" applyFill="1" applyBorder="1" applyAlignment="1">
      <alignment vertical="center" wrapText="1"/>
    </xf>
    <xf numFmtId="3" fontId="6" fillId="3" borderId="1" xfId="0" applyNumberFormat="1" applyFont="1" applyFill="1" applyBorder="1"/>
    <xf numFmtId="165" fontId="4" fillId="0" borderId="4" xfId="0" applyNumberFormat="1" applyFont="1" applyBorder="1" applyAlignment="1">
      <alignment horizontal="center" vertical="center" wrapText="1"/>
    </xf>
    <xf numFmtId="4" fontId="12" fillId="0" borderId="1" xfId="0" applyNumberFormat="1" applyFont="1" applyBorder="1"/>
    <xf numFmtId="3" fontId="1" fillId="2" borderId="1" xfId="0" quotePrefix="1" applyNumberFormat="1" applyFont="1" applyFill="1" applyBorder="1"/>
    <xf numFmtId="0" fontId="1" fillId="4" borderId="1" xfId="0" applyFont="1" applyFill="1" applyBorder="1" applyAlignment="1">
      <alignment horizontal="left" vertical="center" wrapText="1"/>
    </xf>
    <xf numFmtId="4" fontId="1" fillId="2" borderId="1" xfId="0" applyNumberFormat="1" applyFont="1" applyFill="1" applyBorder="1"/>
    <xf numFmtId="4" fontId="3" fillId="2" borderId="1" xfId="0" applyNumberFormat="1" applyFont="1" applyFill="1" applyBorder="1"/>
    <xf numFmtId="165" fontId="4" fillId="0" borderId="1" xfId="0" applyNumberFormat="1" applyFont="1" applyBorder="1" applyAlignment="1">
      <alignment horizontal="center" vertical="center" wrapText="1"/>
    </xf>
    <xf numFmtId="1" fontId="3" fillId="2" borderId="1" xfId="0" applyNumberFormat="1" applyFont="1" applyFill="1" applyBorder="1"/>
    <xf numFmtId="3" fontId="3" fillId="2" borderId="1" xfId="0" applyNumberFormat="1" applyFont="1" applyFill="1" applyBorder="1" applyAlignment="1">
      <alignment wrapText="1"/>
    </xf>
    <xf numFmtId="0" fontId="3" fillId="3" borderId="1" xfId="0" applyFont="1" applyFill="1" applyBorder="1" applyAlignment="1">
      <alignment horizontal="center" vertical="center"/>
    </xf>
    <xf numFmtId="49" fontId="3" fillId="3" borderId="1" xfId="0" applyNumberFormat="1" applyFont="1" applyFill="1" applyBorder="1" applyAlignment="1">
      <alignment horizontal="center" vertical="center"/>
    </xf>
    <xf numFmtId="0" fontId="13" fillId="3" borderId="1" xfId="0" quotePrefix="1" applyFont="1" applyFill="1" applyBorder="1" applyAlignment="1">
      <alignment vertical="center" wrapText="1"/>
    </xf>
    <xf numFmtId="0" fontId="14" fillId="2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/>
    <xf numFmtId="0" fontId="11" fillId="0" borderId="1" xfId="1" applyFont="1" applyBorder="1" applyAlignment="1">
      <alignment horizontal="left" vertical="center" wrapText="1"/>
    </xf>
    <xf numFmtId="3" fontId="3" fillId="5" borderId="1" xfId="0" applyNumberFormat="1" applyFont="1" applyFill="1" applyBorder="1"/>
    <xf numFmtId="3" fontId="1" fillId="5" borderId="1" xfId="0" applyNumberFormat="1" applyFont="1" applyFill="1" applyBorder="1"/>
    <xf numFmtId="3" fontId="4" fillId="5" borderId="1" xfId="0" applyNumberFormat="1" applyFont="1" applyFill="1" applyBorder="1"/>
    <xf numFmtId="4" fontId="12" fillId="5" borderId="1" xfId="0" applyNumberFormat="1" applyFont="1" applyFill="1" applyBorder="1"/>
    <xf numFmtId="3" fontId="12" fillId="5" borderId="1" xfId="0" applyNumberFormat="1" applyFont="1" applyFill="1" applyBorder="1"/>
    <xf numFmtId="165" fontId="1" fillId="0" borderId="1" xfId="0" applyNumberFormat="1" applyFont="1" applyBorder="1"/>
    <xf numFmtId="3" fontId="1" fillId="0" borderId="1" xfId="0" applyNumberFormat="1" applyFont="1" applyBorder="1"/>
    <xf numFmtId="165" fontId="3" fillId="0" borderId="1" xfId="0" applyNumberFormat="1" applyFont="1" applyBorder="1"/>
    <xf numFmtId="3" fontId="3" fillId="0" borderId="1" xfId="0" applyNumberFormat="1" applyFont="1" applyBorder="1"/>
    <xf numFmtId="0" fontId="3" fillId="0" borderId="1" xfId="0" applyFont="1" applyBorder="1" applyAlignment="1">
      <alignment wrapText="1"/>
    </xf>
    <xf numFmtId="4" fontId="3" fillId="0" borderId="1" xfId="0" applyNumberFormat="1" applyFont="1" applyBorder="1"/>
    <xf numFmtId="2" fontId="1" fillId="0" borderId="1" xfId="0" applyNumberFormat="1" applyFont="1" applyBorder="1"/>
    <xf numFmtId="4" fontId="1" fillId="0" borderId="1" xfId="0" applyNumberFormat="1" applyFont="1" applyBorder="1"/>
    <xf numFmtId="1" fontId="1" fillId="0" borderId="1" xfId="0" applyNumberFormat="1" applyFont="1" applyBorder="1"/>
    <xf numFmtId="4" fontId="3" fillId="0" borderId="1" xfId="0" applyNumberFormat="1" applyFont="1" applyBorder="1" applyAlignment="1">
      <alignment wrapText="1"/>
    </xf>
    <xf numFmtId="0" fontId="4" fillId="0" borderId="0" xfId="0" applyFont="1" applyAlignment="1">
      <alignment horizontal="center" vertical="center" wrapText="1"/>
    </xf>
    <xf numFmtId="165" fontId="1" fillId="0" borderId="0" xfId="0" applyNumberFormat="1" applyFont="1" applyAlignment="1">
      <alignment horizontal="left" wrapText="1"/>
    </xf>
    <xf numFmtId="49" fontId="5" fillId="2" borderId="1" xfId="2" applyNumberFormat="1" applyFont="1" applyFill="1" applyBorder="1" applyAlignment="1">
      <alignment horizontal="center" vertical="center" wrapText="1"/>
    </xf>
    <xf numFmtId="49" fontId="4" fillId="2" borderId="1" xfId="2" applyNumberFormat="1" applyFont="1" applyFill="1" applyBorder="1" applyAlignment="1">
      <alignment horizontal="center" vertical="center" wrapText="1"/>
    </xf>
    <xf numFmtId="0" fontId="4" fillId="2" borderId="1" xfId="2" applyFont="1" applyFill="1" applyBorder="1" applyAlignment="1">
      <alignment horizontal="center" vertical="center" wrapText="1"/>
    </xf>
    <xf numFmtId="165" fontId="4" fillId="0" borderId="2" xfId="0" applyNumberFormat="1" applyFont="1" applyBorder="1" applyAlignment="1">
      <alignment horizontal="center" vertical="center" wrapText="1"/>
    </xf>
    <xf numFmtId="165" fontId="4" fillId="0" borderId="3" xfId="0" applyNumberFormat="1" applyFont="1" applyBorder="1" applyAlignment="1">
      <alignment horizontal="center" vertical="center" wrapText="1"/>
    </xf>
    <xf numFmtId="0" fontId="15" fillId="6" borderId="0" xfId="0" applyFont="1" applyFill="1"/>
  </cellXfs>
  <cellStyles count="3">
    <cellStyle name="Звичайний" xfId="0" builtinId="0"/>
    <cellStyle name="Обычный 3" xfId="2" xr:uid="{00000000-0005-0000-0000-000001000000}"/>
    <cellStyle name="Обычный_дод 3" xfId="1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79"/>
  <sheetViews>
    <sheetView tabSelected="1" view="pageBreakPreview" topLeftCell="E1" zoomScaleNormal="100" zoomScaleSheetLayoutView="100" workbookViewId="0">
      <selection activeCell="N4" sqref="N4:O4"/>
    </sheetView>
  </sheetViews>
  <sheetFormatPr defaultColWidth="9.109375" defaultRowHeight="15.6" x14ac:dyDescent="0.3"/>
  <cols>
    <col min="1" max="1" width="11.5546875" style="1" customWidth="1"/>
    <col min="2" max="2" width="9.44140625" style="1" customWidth="1"/>
    <col min="3" max="3" width="10.109375" style="1" customWidth="1"/>
    <col min="4" max="4" width="61.5546875" style="1" customWidth="1"/>
    <col min="5" max="5" width="12.44140625" style="6" customWidth="1"/>
    <col min="6" max="6" width="16.5546875" style="31" customWidth="1"/>
    <col min="7" max="8" width="13" style="31" hidden="1" customWidth="1"/>
    <col min="9" max="9" width="12.109375" style="6" customWidth="1"/>
    <col min="10" max="10" width="14.44140625" style="6" bestFit="1" customWidth="1"/>
    <col min="11" max="11" width="12.5546875" style="31" customWidth="1"/>
    <col min="12" max="12" width="14.5546875" style="31" customWidth="1"/>
    <col min="13" max="13" width="15.44140625" style="31" customWidth="1"/>
    <col min="14" max="14" width="14.5546875" style="31" customWidth="1"/>
    <col min="15" max="15" width="12.5546875" style="6" customWidth="1"/>
    <col min="16" max="16" width="15" style="6" bestFit="1" customWidth="1"/>
    <col min="17" max="17" width="9.109375" style="1"/>
    <col min="18" max="18" width="16.44140625" style="1" bestFit="1" customWidth="1"/>
    <col min="19" max="16384" width="9.109375" style="1"/>
  </cols>
  <sheetData>
    <row r="1" spans="1:16" x14ac:dyDescent="0.3">
      <c r="N1" s="34" t="s">
        <v>116</v>
      </c>
      <c r="O1" s="34"/>
      <c r="P1" s="34"/>
    </row>
    <row r="2" spans="1:16" x14ac:dyDescent="0.3">
      <c r="N2" s="34" t="s">
        <v>41</v>
      </c>
      <c r="O2" s="34"/>
      <c r="P2" s="34"/>
    </row>
    <row r="3" spans="1:16" x14ac:dyDescent="0.3">
      <c r="N3" s="34" t="s">
        <v>28</v>
      </c>
      <c r="O3" s="34"/>
      <c r="P3" s="34"/>
    </row>
    <row r="4" spans="1:16" x14ac:dyDescent="0.3">
      <c r="N4" s="84" t="s">
        <v>117</v>
      </c>
      <c r="O4" s="84"/>
      <c r="P4" s="32"/>
    </row>
    <row r="6" spans="1:16" x14ac:dyDescent="0.3">
      <c r="D6" s="26"/>
      <c r="E6" s="27"/>
      <c r="F6" s="30"/>
      <c r="G6" s="30"/>
      <c r="H6" s="30"/>
      <c r="I6" s="1"/>
      <c r="J6" s="1"/>
      <c r="N6" s="34" t="s">
        <v>95</v>
      </c>
      <c r="O6" s="34"/>
      <c r="P6" s="34"/>
    </row>
    <row r="7" spans="1:16" ht="19.95" customHeight="1" x14ac:dyDescent="0.3">
      <c r="D7" s="26"/>
      <c r="E7" s="27"/>
      <c r="F7" s="30"/>
      <c r="G7" s="30"/>
      <c r="H7" s="30"/>
      <c r="I7" s="1"/>
      <c r="J7" s="1"/>
      <c r="N7" s="34" t="s">
        <v>41</v>
      </c>
      <c r="O7" s="34"/>
      <c r="P7" s="34"/>
    </row>
    <row r="8" spans="1:16" ht="16.2" customHeight="1" x14ac:dyDescent="0.3">
      <c r="D8" s="26"/>
      <c r="E8" s="27"/>
      <c r="F8" s="30"/>
      <c r="G8" s="30"/>
      <c r="H8" s="30"/>
      <c r="I8" s="1"/>
      <c r="J8" s="1"/>
      <c r="N8" s="34" t="s">
        <v>28</v>
      </c>
      <c r="O8" s="34"/>
      <c r="P8" s="34"/>
    </row>
    <row r="9" spans="1:16" ht="18.75" customHeight="1" x14ac:dyDescent="0.3">
      <c r="I9" s="1"/>
      <c r="J9" s="1"/>
      <c r="N9" s="78" t="s">
        <v>42</v>
      </c>
      <c r="O9" s="78"/>
      <c r="P9" s="78"/>
    </row>
    <row r="10" spans="1:16" ht="17.100000000000001" customHeight="1" x14ac:dyDescent="0.3">
      <c r="A10" s="2"/>
      <c r="B10" s="2"/>
      <c r="C10" s="2"/>
      <c r="D10" s="3"/>
      <c r="E10" s="7"/>
      <c r="F10" s="32"/>
      <c r="G10" s="32"/>
      <c r="H10" s="32"/>
      <c r="I10" s="1"/>
      <c r="J10" s="1"/>
      <c r="N10" s="32" t="s">
        <v>94</v>
      </c>
      <c r="O10" s="32"/>
      <c r="P10" s="32"/>
    </row>
    <row r="11" spans="1:16" ht="21.6" customHeight="1" x14ac:dyDescent="0.3">
      <c r="A11" s="2"/>
      <c r="B11" s="2"/>
      <c r="C11" s="2"/>
      <c r="D11" s="3"/>
      <c r="E11" s="7"/>
      <c r="F11" s="32"/>
      <c r="G11" s="32"/>
      <c r="H11" s="32"/>
      <c r="I11" s="1"/>
      <c r="J11" s="1"/>
      <c r="N11" s="32"/>
      <c r="O11" s="32"/>
      <c r="P11" s="32"/>
    </row>
    <row r="12" spans="1:16" ht="26.1" customHeight="1" x14ac:dyDescent="0.3">
      <c r="A12" s="77" t="s">
        <v>81</v>
      </c>
      <c r="B12" s="77"/>
      <c r="C12" s="77"/>
      <c r="D12" s="77"/>
      <c r="E12" s="77"/>
      <c r="F12" s="77"/>
      <c r="G12" s="77"/>
      <c r="H12" s="77"/>
      <c r="I12" s="77"/>
      <c r="J12" s="77"/>
      <c r="K12" s="77"/>
      <c r="L12" s="77"/>
      <c r="M12" s="77"/>
      <c r="N12" s="77"/>
      <c r="O12" s="77"/>
      <c r="P12" s="77"/>
    </row>
    <row r="13" spans="1:16" ht="78.599999999999994" customHeight="1" x14ac:dyDescent="0.3">
      <c r="A13" s="79" t="s">
        <v>4</v>
      </c>
      <c r="B13" s="80" t="s">
        <v>29</v>
      </c>
      <c r="C13" s="80" t="s">
        <v>5</v>
      </c>
      <c r="D13" s="81" t="s">
        <v>30</v>
      </c>
      <c r="E13" s="82" t="s">
        <v>38</v>
      </c>
      <c r="F13" s="83"/>
      <c r="G13" s="47"/>
      <c r="H13" s="47"/>
      <c r="I13" s="82" t="s">
        <v>67</v>
      </c>
      <c r="J13" s="83"/>
      <c r="K13" s="82" t="s">
        <v>39</v>
      </c>
      <c r="L13" s="83"/>
      <c r="M13" s="82" t="s">
        <v>108</v>
      </c>
      <c r="N13" s="83"/>
      <c r="O13" s="35" t="s">
        <v>40</v>
      </c>
      <c r="P13" s="53" t="s">
        <v>37</v>
      </c>
    </row>
    <row r="14" spans="1:16" ht="46.2" customHeight="1" x14ac:dyDescent="0.3">
      <c r="A14" s="79"/>
      <c r="B14" s="80"/>
      <c r="C14" s="80"/>
      <c r="D14" s="81"/>
      <c r="E14" s="36" t="s">
        <v>2</v>
      </c>
      <c r="F14" s="37" t="s">
        <v>36</v>
      </c>
      <c r="G14" s="37"/>
      <c r="H14" s="37"/>
      <c r="I14" s="36" t="s">
        <v>25</v>
      </c>
      <c r="J14" s="36" t="s">
        <v>36</v>
      </c>
      <c r="K14" s="37" t="s">
        <v>26</v>
      </c>
      <c r="L14" s="37" t="s">
        <v>36</v>
      </c>
      <c r="M14" s="37" t="s">
        <v>3</v>
      </c>
      <c r="N14" s="37" t="s">
        <v>36</v>
      </c>
      <c r="O14" s="36" t="s">
        <v>36</v>
      </c>
      <c r="P14" s="36" t="s">
        <v>36</v>
      </c>
    </row>
    <row r="15" spans="1:16" ht="31.2" x14ac:dyDescent="0.3">
      <c r="A15" s="24" t="s">
        <v>33</v>
      </c>
      <c r="B15" s="24"/>
      <c r="C15" s="24"/>
      <c r="D15" s="28" t="s">
        <v>50</v>
      </c>
      <c r="E15" s="16">
        <f>E16+E17+E18+E19+E20</f>
        <v>498</v>
      </c>
      <c r="F15" s="17">
        <f>F16+F17+F18+F19+F20</f>
        <v>2139300</v>
      </c>
      <c r="G15" s="17"/>
      <c r="H15" s="17"/>
      <c r="I15" s="17">
        <f t="shared" ref="I15:P15" si="0">I16+I17+I18+I19+I20</f>
        <v>2830</v>
      </c>
      <c r="J15" s="17">
        <f t="shared" si="0"/>
        <v>177700</v>
      </c>
      <c r="K15" s="17">
        <f t="shared" si="0"/>
        <v>337892</v>
      </c>
      <c r="L15" s="17">
        <f t="shared" si="0"/>
        <v>3006600</v>
      </c>
      <c r="M15" s="17">
        <f t="shared" si="0"/>
        <v>10928.99</v>
      </c>
      <c r="N15" s="17">
        <f t="shared" si="0"/>
        <v>253400</v>
      </c>
      <c r="O15" s="17">
        <f t="shared" si="0"/>
        <v>105200</v>
      </c>
      <c r="P15" s="17">
        <f t="shared" si="0"/>
        <v>5682200</v>
      </c>
    </row>
    <row r="16" spans="1:16" s="4" customFormat="1" ht="31.2" x14ac:dyDescent="0.3">
      <c r="A16" s="21" t="s">
        <v>17</v>
      </c>
      <c r="B16" s="21" t="s">
        <v>16</v>
      </c>
      <c r="C16" s="21" t="s">
        <v>6</v>
      </c>
      <c r="D16" s="38" t="s">
        <v>50</v>
      </c>
      <c r="E16" s="9">
        <v>482.68</v>
      </c>
      <c r="F16" s="13">
        <v>2061800</v>
      </c>
      <c r="G16" s="13"/>
      <c r="H16" s="13"/>
      <c r="I16" s="13">
        <v>2500</v>
      </c>
      <c r="J16" s="13">
        <v>165500</v>
      </c>
      <c r="K16" s="13">
        <v>284000</v>
      </c>
      <c r="L16" s="13">
        <v>2563200</v>
      </c>
      <c r="M16" s="13"/>
      <c r="N16" s="13"/>
      <c r="O16" s="13">
        <v>76900</v>
      </c>
      <c r="P16" s="13">
        <f t="shared" ref="P16:P57" si="1">F16+J16+L16+N16+O16</f>
        <v>4867400</v>
      </c>
    </row>
    <row r="17" spans="1:18" s="4" customFormat="1" ht="31.2" x14ac:dyDescent="0.3">
      <c r="A17" s="21" t="s">
        <v>17</v>
      </c>
      <c r="B17" s="21" t="s">
        <v>16</v>
      </c>
      <c r="C17" s="21" t="s">
        <v>6</v>
      </c>
      <c r="D17" s="39" t="s">
        <v>51</v>
      </c>
      <c r="E17" s="9"/>
      <c r="F17" s="13"/>
      <c r="G17" s="13"/>
      <c r="H17" s="13"/>
      <c r="I17" s="13">
        <v>60</v>
      </c>
      <c r="J17" s="13">
        <v>2100</v>
      </c>
      <c r="K17" s="13">
        <v>5800</v>
      </c>
      <c r="L17" s="13">
        <v>33600</v>
      </c>
      <c r="M17" s="13">
        <v>6200</v>
      </c>
      <c r="N17" s="13">
        <v>143900</v>
      </c>
      <c r="O17" s="13">
        <v>5000</v>
      </c>
      <c r="P17" s="13">
        <f t="shared" si="1"/>
        <v>184600</v>
      </c>
    </row>
    <row r="18" spans="1:18" s="4" customFormat="1" ht="31.2" x14ac:dyDescent="0.3">
      <c r="A18" s="21" t="s">
        <v>17</v>
      </c>
      <c r="B18" s="21" t="s">
        <v>16</v>
      </c>
      <c r="C18" s="21" t="s">
        <v>6</v>
      </c>
      <c r="D18" s="39" t="s">
        <v>52</v>
      </c>
      <c r="E18" s="9"/>
      <c r="F18" s="13"/>
      <c r="G18" s="13"/>
      <c r="H18" s="13"/>
      <c r="I18" s="13">
        <v>126</v>
      </c>
      <c r="J18" s="13">
        <v>4200</v>
      </c>
      <c r="K18" s="13">
        <v>4172</v>
      </c>
      <c r="L18" s="13">
        <v>29000</v>
      </c>
      <c r="M18" s="13">
        <v>1328.99</v>
      </c>
      <c r="N18" s="13">
        <v>33000</v>
      </c>
      <c r="O18" s="13">
        <v>17000</v>
      </c>
      <c r="P18" s="13">
        <f t="shared" si="1"/>
        <v>83200</v>
      </c>
    </row>
    <row r="19" spans="1:18" s="4" customFormat="1" ht="31.2" x14ac:dyDescent="0.3">
      <c r="A19" s="21" t="s">
        <v>17</v>
      </c>
      <c r="B19" s="21" t="s">
        <v>16</v>
      </c>
      <c r="C19" s="21" t="s">
        <v>6</v>
      </c>
      <c r="D19" s="39" t="s">
        <v>53</v>
      </c>
      <c r="E19" s="9"/>
      <c r="F19" s="13"/>
      <c r="G19" s="13"/>
      <c r="H19" s="13"/>
      <c r="I19" s="13">
        <v>84</v>
      </c>
      <c r="J19" s="13">
        <v>1900</v>
      </c>
      <c r="K19" s="13">
        <v>5100</v>
      </c>
      <c r="L19" s="13">
        <v>29500</v>
      </c>
      <c r="M19" s="13">
        <v>3400</v>
      </c>
      <c r="N19" s="13">
        <v>76500</v>
      </c>
      <c r="O19" s="13">
        <v>5000</v>
      </c>
      <c r="P19" s="13">
        <f t="shared" si="1"/>
        <v>112900</v>
      </c>
      <c r="R19" s="29"/>
    </row>
    <row r="20" spans="1:18" s="4" customFormat="1" ht="31.2" x14ac:dyDescent="0.3">
      <c r="A20" s="21" t="s">
        <v>31</v>
      </c>
      <c r="B20" s="20">
        <v>8210</v>
      </c>
      <c r="C20" s="21" t="s">
        <v>27</v>
      </c>
      <c r="D20" s="40" t="s">
        <v>54</v>
      </c>
      <c r="E20" s="9">
        <v>15.32</v>
      </c>
      <c r="F20" s="13">
        <v>77500</v>
      </c>
      <c r="G20" s="13"/>
      <c r="H20" s="13"/>
      <c r="I20" s="13">
        <v>60</v>
      </c>
      <c r="J20" s="13">
        <v>4000</v>
      </c>
      <c r="K20" s="13">
        <v>38820</v>
      </c>
      <c r="L20" s="13">
        <v>351300</v>
      </c>
      <c r="M20" s="13"/>
      <c r="N20" s="13"/>
      <c r="O20" s="13">
        <v>1300</v>
      </c>
      <c r="P20" s="13">
        <f t="shared" si="1"/>
        <v>434100</v>
      </c>
    </row>
    <row r="21" spans="1:18" ht="31.2" x14ac:dyDescent="0.3">
      <c r="A21" s="24" t="s">
        <v>34</v>
      </c>
      <c r="B21" s="24"/>
      <c r="C21" s="24"/>
      <c r="D21" s="28" t="s">
        <v>102</v>
      </c>
      <c r="E21" s="16">
        <f>E22+E23+E37+E48+E49+E54+E52+E53+E55</f>
        <v>4494.6310000000003</v>
      </c>
      <c r="F21" s="60">
        <f>F22+F23+F37+F48+F49+F54+F52+F53+F55</f>
        <v>21587162.289999999</v>
      </c>
      <c r="G21" s="17"/>
      <c r="H21" s="17">
        <f>F21/E21</f>
        <v>4802.87754211636</v>
      </c>
      <c r="I21" s="17">
        <f t="shared" ref="I21:O21" si="2">I22+I23+I37+I48+I49+I54+I52+I53+I55</f>
        <v>68038</v>
      </c>
      <c r="J21" s="17">
        <f t="shared" si="2"/>
        <v>3004860</v>
      </c>
      <c r="K21" s="17">
        <f t="shared" si="2"/>
        <v>1334912</v>
      </c>
      <c r="L21" s="17">
        <f t="shared" si="2"/>
        <v>12811540</v>
      </c>
      <c r="M21" s="17">
        <f t="shared" si="2"/>
        <v>50311</v>
      </c>
      <c r="N21" s="17">
        <f t="shared" si="2"/>
        <v>1102300</v>
      </c>
      <c r="O21" s="17">
        <f t="shared" si="2"/>
        <v>685410</v>
      </c>
      <c r="P21" s="60">
        <f t="shared" si="1"/>
        <v>39191272.289999999</v>
      </c>
    </row>
    <row r="22" spans="1:18" s="5" customFormat="1" ht="31.2" x14ac:dyDescent="0.3">
      <c r="A22" s="19" t="s">
        <v>20</v>
      </c>
      <c r="B22" s="19" t="s">
        <v>19</v>
      </c>
      <c r="C22" s="19" t="s">
        <v>6</v>
      </c>
      <c r="D22" s="61" t="s">
        <v>107</v>
      </c>
      <c r="E22" s="8">
        <v>18</v>
      </c>
      <c r="F22" s="51">
        <f>170270+91130</f>
        <v>261400</v>
      </c>
      <c r="G22" s="12"/>
      <c r="H22" s="17">
        <f>F22/E22</f>
        <v>14522.222222222223</v>
      </c>
      <c r="I22" s="12">
        <v>204</v>
      </c>
      <c r="J22" s="12">
        <v>13500</v>
      </c>
      <c r="K22" s="12">
        <v>15247</v>
      </c>
      <c r="L22" s="12">
        <v>146300</v>
      </c>
      <c r="M22" s="49"/>
      <c r="N22" s="51"/>
      <c r="O22" s="13">
        <v>2600</v>
      </c>
      <c r="P22" s="51">
        <f t="shared" si="1"/>
        <v>423800</v>
      </c>
    </row>
    <row r="23" spans="1:18" s="5" customFormat="1" ht="46.8" x14ac:dyDescent="0.3">
      <c r="A23" s="19" t="s">
        <v>21</v>
      </c>
      <c r="B23" s="15">
        <v>1010</v>
      </c>
      <c r="C23" s="19" t="s">
        <v>8</v>
      </c>
      <c r="D23" s="41" t="s">
        <v>103</v>
      </c>
      <c r="E23" s="67">
        <f>SUM(E24:E36)</f>
        <v>1941.992</v>
      </c>
      <c r="F23" s="74">
        <f>SUM(F24:F36)</f>
        <v>8709100</v>
      </c>
      <c r="G23" s="67">
        <f t="shared" ref="G23:O23" si="3">SUM(G24:G36)</f>
        <v>4523674.1444174834</v>
      </c>
      <c r="H23" s="67" t="e">
        <f t="shared" si="3"/>
        <v>#DIV/0!</v>
      </c>
      <c r="I23" s="68">
        <f t="shared" si="3"/>
        <v>29571</v>
      </c>
      <c r="J23" s="68">
        <f t="shared" si="3"/>
        <v>1237000</v>
      </c>
      <c r="K23" s="68">
        <f t="shared" si="3"/>
        <v>569271</v>
      </c>
      <c r="L23" s="68">
        <f t="shared" si="3"/>
        <v>5465000</v>
      </c>
      <c r="M23" s="68">
        <f t="shared" si="3"/>
        <v>7200</v>
      </c>
      <c r="N23" s="68">
        <f t="shared" si="3"/>
        <v>228000</v>
      </c>
      <c r="O23" s="68">
        <f t="shared" si="3"/>
        <v>268500</v>
      </c>
      <c r="P23" s="51">
        <f t="shared" si="1"/>
        <v>15907600</v>
      </c>
    </row>
    <row r="24" spans="1:18" s="4" customFormat="1" ht="46.8" x14ac:dyDescent="0.3">
      <c r="A24" s="20"/>
      <c r="B24" s="20"/>
      <c r="C24" s="21"/>
      <c r="D24" s="42" t="s">
        <v>113</v>
      </c>
      <c r="E24" s="69">
        <v>95</v>
      </c>
      <c r="F24" s="72">
        <f>540900-70000</f>
        <v>470900</v>
      </c>
      <c r="G24" s="65">
        <v>189217.24596</v>
      </c>
      <c r="H24" s="64">
        <f>F24/E24</f>
        <v>4956.8421052631575</v>
      </c>
      <c r="I24" s="70">
        <v>1173</v>
      </c>
      <c r="J24" s="70">
        <v>49266</v>
      </c>
      <c r="K24" s="70">
        <v>45434</v>
      </c>
      <c r="L24" s="70">
        <v>436200</v>
      </c>
      <c r="M24" s="70"/>
      <c r="N24" s="72"/>
      <c r="O24" s="70">
        <f>23100-9220</f>
        <v>13880</v>
      </c>
      <c r="P24" s="52">
        <f>F24+J24+L24+N24+O24</f>
        <v>970246</v>
      </c>
    </row>
    <row r="25" spans="1:18" s="4" customFormat="1" ht="46.8" x14ac:dyDescent="0.3">
      <c r="A25" s="21"/>
      <c r="B25" s="20"/>
      <c r="C25" s="21"/>
      <c r="D25" s="42" t="s">
        <v>85</v>
      </c>
      <c r="E25" s="69">
        <v>155</v>
      </c>
      <c r="F25" s="72">
        <f>1095400-145900-181800-45000-45200</f>
        <v>677500</v>
      </c>
      <c r="G25" s="65">
        <v>343542.59164903808</v>
      </c>
      <c r="H25" s="64">
        <f t="shared" ref="H25:H57" si="4">F25/E25</f>
        <v>4370.9677419354839</v>
      </c>
      <c r="I25" s="70">
        <f>1869-666</f>
        <v>1203</v>
      </c>
      <c r="J25" s="70">
        <v>50526</v>
      </c>
      <c r="K25" s="70">
        <v>31698</v>
      </c>
      <c r="L25" s="70">
        <v>304300</v>
      </c>
      <c r="M25" s="70"/>
      <c r="N25" s="72"/>
      <c r="O25" s="70">
        <f>24600-9850</f>
        <v>14750</v>
      </c>
      <c r="P25" s="52">
        <f t="shared" si="1"/>
        <v>1047076</v>
      </c>
    </row>
    <row r="26" spans="1:18" s="4" customFormat="1" ht="46.8" x14ac:dyDescent="0.3">
      <c r="A26" s="21"/>
      <c r="B26" s="20"/>
      <c r="C26" s="21"/>
      <c r="D26" s="42" t="s">
        <v>86</v>
      </c>
      <c r="E26" s="69">
        <v>180</v>
      </c>
      <c r="F26" s="72">
        <f>1049400-139700-181800-45000</f>
        <v>682900</v>
      </c>
      <c r="G26" s="65">
        <v>387096.97248</v>
      </c>
      <c r="H26" s="64">
        <f t="shared" si="4"/>
        <v>3793.8888888888887</v>
      </c>
      <c r="I26" s="70">
        <v>3036</v>
      </c>
      <c r="J26" s="70">
        <v>127512</v>
      </c>
      <c r="K26" s="70">
        <v>54867</v>
      </c>
      <c r="L26" s="70">
        <v>526700</v>
      </c>
      <c r="M26" s="70"/>
      <c r="N26" s="72"/>
      <c r="O26" s="70">
        <f>43500-16400</f>
        <v>27100</v>
      </c>
      <c r="P26" s="52">
        <f t="shared" si="1"/>
        <v>1364212</v>
      </c>
    </row>
    <row r="27" spans="1:18" s="4" customFormat="1" ht="46.8" x14ac:dyDescent="0.3">
      <c r="A27" s="20"/>
      <c r="B27" s="20"/>
      <c r="C27" s="21"/>
      <c r="D27" s="42" t="s">
        <v>112</v>
      </c>
      <c r="E27" s="69">
        <f>135-20</f>
        <v>115</v>
      </c>
      <c r="F27" s="72">
        <f>945100-125800-181800-45000-45000</f>
        <v>547500</v>
      </c>
      <c r="G27" s="65">
        <v>331146.09460000007</v>
      </c>
      <c r="H27" s="64">
        <f>F27/E27</f>
        <v>4760.869565217391</v>
      </c>
      <c r="I27" s="70">
        <v>1574</v>
      </c>
      <c r="J27" s="70">
        <v>66108</v>
      </c>
      <c r="K27" s="70">
        <v>47023</v>
      </c>
      <c r="L27" s="70">
        <v>451400</v>
      </c>
      <c r="M27" s="70"/>
      <c r="N27" s="72"/>
      <c r="O27" s="70">
        <f>24400-9750</f>
        <v>14650</v>
      </c>
      <c r="P27" s="52">
        <f>F27+J27+L27+N27+O27</f>
        <v>1079658</v>
      </c>
    </row>
    <row r="28" spans="1:18" s="4" customFormat="1" ht="46.8" x14ac:dyDescent="0.3">
      <c r="A28" s="21"/>
      <c r="B28" s="20"/>
      <c r="C28" s="21"/>
      <c r="D28" s="42" t="s">
        <v>87</v>
      </c>
      <c r="E28" s="69">
        <v>200</v>
      </c>
      <c r="F28" s="72">
        <f>1513100-203300-181800-45000-45000-45000-45000</f>
        <v>948000</v>
      </c>
      <c r="G28" s="65">
        <v>545366.22383999999</v>
      </c>
      <c r="H28" s="64">
        <f t="shared" si="4"/>
        <v>4740</v>
      </c>
      <c r="I28" s="70">
        <v>3192</v>
      </c>
      <c r="J28" s="70">
        <v>134064</v>
      </c>
      <c r="K28" s="70">
        <v>59889</v>
      </c>
      <c r="L28" s="70">
        <v>575000</v>
      </c>
      <c r="M28" s="70"/>
      <c r="N28" s="72"/>
      <c r="O28" s="70">
        <f>46700-19250</f>
        <v>27450</v>
      </c>
      <c r="P28" s="52">
        <f t="shared" si="1"/>
        <v>1684514</v>
      </c>
    </row>
    <row r="29" spans="1:18" s="4" customFormat="1" ht="46.8" x14ac:dyDescent="0.3">
      <c r="A29" s="21"/>
      <c r="B29" s="20"/>
      <c r="C29" s="21"/>
      <c r="D29" s="42" t="s">
        <v>88</v>
      </c>
      <c r="E29" s="69">
        <v>140</v>
      </c>
      <c r="F29" s="72">
        <f>375840+5660</f>
        <v>381500</v>
      </c>
      <c r="G29" s="65">
        <v>276874.44048000005</v>
      </c>
      <c r="H29" s="64">
        <f t="shared" si="4"/>
        <v>2725</v>
      </c>
      <c r="I29" s="70">
        <f>3696-666</f>
        <v>3030</v>
      </c>
      <c r="J29" s="70">
        <v>127243</v>
      </c>
      <c r="K29" s="70">
        <v>28279</v>
      </c>
      <c r="L29" s="70">
        <v>271500</v>
      </c>
      <c r="M29" s="70"/>
      <c r="N29" s="72"/>
      <c r="O29" s="70">
        <f>18500-7300</f>
        <v>11200</v>
      </c>
      <c r="P29" s="52">
        <f t="shared" si="1"/>
        <v>791443</v>
      </c>
    </row>
    <row r="30" spans="1:18" s="4" customFormat="1" ht="46.8" x14ac:dyDescent="0.3">
      <c r="A30" s="20"/>
      <c r="B30" s="20"/>
      <c r="C30" s="21"/>
      <c r="D30" s="42" t="s">
        <v>111</v>
      </c>
      <c r="E30" s="69"/>
      <c r="F30" s="72">
        <v>0</v>
      </c>
      <c r="G30" s="65">
        <v>0</v>
      </c>
      <c r="H30" s="64" t="e">
        <f>F30/E30</f>
        <v>#DIV/0!</v>
      </c>
      <c r="I30" s="70">
        <v>250</v>
      </c>
      <c r="J30" s="70">
        <v>5535</v>
      </c>
      <c r="K30" s="70">
        <v>8339</v>
      </c>
      <c r="L30" s="70">
        <v>80000</v>
      </c>
      <c r="M30" s="70">
        <v>7200</v>
      </c>
      <c r="N30" s="70">
        <v>228000</v>
      </c>
      <c r="O30" s="70">
        <f>31600-2830</f>
        <v>28770</v>
      </c>
      <c r="P30" s="52">
        <f>F30+J30+L30+N30+O30</f>
        <v>342305</v>
      </c>
    </row>
    <row r="31" spans="1:18" s="4" customFormat="1" ht="46.8" x14ac:dyDescent="0.3">
      <c r="A31" s="21"/>
      <c r="B31" s="20"/>
      <c r="C31" s="21"/>
      <c r="D31" s="43" t="s">
        <v>89</v>
      </c>
      <c r="E31" s="69">
        <v>200</v>
      </c>
      <c r="F31" s="72">
        <f>1248900-166000-181800-181800-45000-45000</f>
        <v>629300</v>
      </c>
      <c r="G31" s="65">
        <v>448944.84384000005</v>
      </c>
      <c r="H31" s="64">
        <f t="shared" si="4"/>
        <v>3146.5</v>
      </c>
      <c r="I31" s="70">
        <v>3841</v>
      </c>
      <c r="J31" s="70">
        <v>161322</v>
      </c>
      <c r="K31" s="70">
        <v>44623</v>
      </c>
      <c r="L31" s="70">
        <v>428400</v>
      </c>
      <c r="M31" s="70"/>
      <c r="N31" s="72"/>
      <c r="O31" s="70">
        <f>33700-15840</f>
        <v>17860</v>
      </c>
      <c r="P31" s="52">
        <f t="shared" si="1"/>
        <v>1236882</v>
      </c>
    </row>
    <row r="32" spans="1:18" s="4" customFormat="1" ht="46.8" x14ac:dyDescent="0.3">
      <c r="A32" s="20"/>
      <c r="B32" s="20"/>
      <c r="C32" s="21"/>
      <c r="D32" s="42" t="s">
        <v>110</v>
      </c>
      <c r="E32" s="69">
        <f>160-20</f>
        <v>140</v>
      </c>
      <c r="F32" s="72">
        <f>1111500-148000-181800-45000-45000</f>
        <v>691700</v>
      </c>
      <c r="G32" s="65">
        <v>449211.27216000005</v>
      </c>
      <c r="H32" s="64">
        <f>F32/E32</f>
        <v>4940.7142857142853</v>
      </c>
      <c r="I32" s="70">
        <v>2925</v>
      </c>
      <c r="J32" s="70">
        <v>122850</v>
      </c>
      <c r="K32" s="70">
        <v>63786</v>
      </c>
      <c r="L32" s="70">
        <v>612300</v>
      </c>
      <c r="M32" s="70"/>
      <c r="N32" s="72"/>
      <c r="O32" s="70">
        <f>49900-19620</f>
        <v>30280</v>
      </c>
      <c r="P32" s="52">
        <f>F32+J32+L32+N32+O32</f>
        <v>1457130</v>
      </c>
    </row>
    <row r="33" spans="1:16" s="4" customFormat="1" ht="46.8" x14ac:dyDescent="0.3">
      <c r="A33" s="20"/>
      <c r="B33" s="20"/>
      <c r="C33" s="21"/>
      <c r="D33" s="42" t="s">
        <v>90</v>
      </c>
      <c r="E33" s="69">
        <v>190</v>
      </c>
      <c r="F33" s="72">
        <f>1454200-193500-181800-45000-45000</f>
        <v>988900</v>
      </c>
      <c r="G33" s="65">
        <v>501617.47835999995</v>
      </c>
      <c r="H33" s="64">
        <f t="shared" si="4"/>
        <v>5204.7368421052633</v>
      </c>
      <c r="I33" s="70">
        <v>4436</v>
      </c>
      <c r="J33" s="70">
        <v>186312</v>
      </c>
      <c r="K33" s="70">
        <v>54521</v>
      </c>
      <c r="L33" s="70">
        <v>523400</v>
      </c>
      <c r="M33" s="70"/>
      <c r="N33" s="72"/>
      <c r="O33" s="70">
        <f>52500-21320</f>
        <v>31180</v>
      </c>
      <c r="P33" s="52">
        <f t="shared" si="1"/>
        <v>1729792</v>
      </c>
    </row>
    <row r="34" spans="1:16" s="4" customFormat="1" ht="46.8" x14ac:dyDescent="0.3">
      <c r="A34" s="21"/>
      <c r="B34" s="20"/>
      <c r="C34" s="21"/>
      <c r="D34" s="42" t="s">
        <v>91</v>
      </c>
      <c r="E34" s="69">
        <v>200</v>
      </c>
      <c r="F34" s="72">
        <f>1244900-165800-20800</f>
        <v>1058300</v>
      </c>
      <c r="G34" s="65">
        <v>419668.54204844398</v>
      </c>
      <c r="H34" s="64">
        <f t="shared" si="4"/>
        <v>5291.5</v>
      </c>
      <c r="I34" s="70">
        <v>1415</v>
      </c>
      <c r="J34" s="70">
        <v>59430</v>
      </c>
      <c r="K34" s="70">
        <v>47469</v>
      </c>
      <c r="L34" s="70">
        <v>455700</v>
      </c>
      <c r="M34" s="70"/>
      <c r="N34" s="72"/>
      <c r="O34" s="70">
        <f>28100-12130</f>
        <v>15970</v>
      </c>
      <c r="P34" s="52">
        <f t="shared" si="1"/>
        <v>1589400</v>
      </c>
    </row>
    <row r="35" spans="1:16" s="4" customFormat="1" ht="46.8" x14ac:dyDescent="0.3">
      <c r="A35" s="20"/>
      <c r="B35" s="20"/>
      <c r="C35" s="21"/>
      <c r="D35" s="42" t="s">
        <v>109</v>
      </c>
      <c r="E35" s="69">
        <f>206.992+40</f>
        <v>246.99199999999999</v>
      </c>
      <c r="F35" s="72">
        <f>1328500-176800+45000+45000</f>
        <v>1241700</v>
      </c>
      <c r="G35" s="65">
        <v>483191.67719999998</v>
      </c>
      <c r="H35" s="64">
        <f t="shared" si="4"/>
        <v>5027.2883332253678</v>
      </c>
      <c r="I35" s="70">
        <v>2850</v>
      </c>
      <c r="J35" s="70">
        <v>119700</v>
      </c>
      <c r="K35" s="70">
        <v>59718</v>
      </c>
      <c r="L35" s="70">
        <v>573300</v>
      </c>
      <c r="M35" s="70"/>
      <c r="N35" s="72"/>
      <c r="O35" s="70">
        <f>38700-14820</f>
        <v>23880</v>
      </c>
      <c r="P35" s="52">
        <f t="shared" si="1"/>
        <v>1958580</v>
      </c>
    </row>
    <row r="36" spans="1:16" s="4" customFormat="1" ht="49.95" customHeight="1" x14ac:dyDescent="0.3">
      <c r="A36" s="20"/>
      <c r="B36" s="20"/>
      <c r="C36" s="21"/>
      <c r="D36" s="40" t="s">
        <v>82</v>
      </c>
      <c r="E36" s="69">
        <v>80</v>
      </c>
      <c r="F36" s="72">
        <f>450900-60000</f>
        <v>390900</v>
      </c>
      <c r="G36" s="65">
        <v>147796.76180000001</v>
      </c>
      <c r="H36" s="64">
        <f t="shared" si="4"/>
        <v>4886.25</v>
      </c>
      <c r="I36" s="70">
        <v>646</v>
      </c>
      <c r="J36" s="70">
        <v>27132</v>
      </c>
      <c r="K36" s="70">
        <v>23625</v>
      </c>
      <c r="L36" s="70">
        <v>226800</v>
      </c>
      <c r="M36" s="70"/>
      <c r="N36" s="72"/>
      <c r="O36" s="70">
        <f>18200-6670</f>
        <v>11530</v>
      </c>
      <c r="P36" s="52">
        <f t="shared" si="1"/>
        <v>656362</v>
      </c>
    </row>
    <row r="37" spans="1:16" ht="50.4" customHeight="1" x14ac:dyDescent="0.3">
      <c r="A37" s="19" t="s">
        <v>44</v>
      </c>
      <c r="B37" s="15">
        <v>1021</v>
      </c>
      <c r="C37" s="19" t="s">
        <v>7</v>
      </c>
      <c r="D37" s="41" t="s">
        <v>104</v>
      </c>
      <c r="E37" s="67">
        <f t="shared" ref="E37:F37" si="5">SUM(E38:E47)</f>
        <v>2090.4</v>
      </c>
      <c r="F37" s="74">
        <f t="shared" si="5"/>
        <v>10194300</v>
      </c>
      <c r="G37" s="63"/>
      <c r="H37" s="64">
        <f t="shared" si="4"/>
        <v>4876.7221584385761</v>
      </c>
      <c r="I37" s="68">
        <f t="shared" ref="I37:N37" si="6">SUM(I38:I47)</f>
        <v>13177</v>
      </c>
      <c r="J37" s="68">
        <f t="shared" si="6"/>
        <v>679400</v>
      </c>
      <c r="K37" s="68">
        <f t="shared" si="6"/>
        <v>512454</v>
      </c>
      <c r="L37" s="68">
        <f t="shared" si="6"/>
        <v>4916000</v>
      </c>
      <c r="M37" s="68">
        <f t="shared" si="6"/>
        <v>43111</v>
      </c>
      <c r="N37" s="68">
        <f t="shared" si="6"/>
        <v>874300</v>
      </c>
      <c r="O37" s="70">
        <f t="shared" ref="O37" si="7">SUM(O38:O47)</f>
        <v>283400</v>
      </c>
      <c r="P37" s="51">
        <f t="shared" si="1"/>
        <v>16947400</v>
      </c>
    </row>
    <row r="38" spans="1:16" s="4" customFormat="1" ht="46.8" x14ac:dyDescent="0.3">
      <c r="A38" s="21"/>
      <c r="B38" s="20"/>
      <c r="C38" s="21"/>
      <c r="D38" s="42" t="s">
        <v>68</v>
      </c>
      <c r="E38" s="69">
        <v>210</v>
      </c>
      <c r="F38" s="72">
        <v>1079360</v>
      </c>
      <c r="G38" s="65">
        <v>522740.76335999998</v>
      </c>
      <c r="H38" s="64">
        <f t="shared" si="4"/>
        <v>5139.8095238095239</v>
      </c>
      <c r="I38" s="70">
        <v>1467</v>
      </c>
      <c r="J38" s="70">
        <f>61614+14525</f>
        <v>76139</v>
      </c>
      <c r="K38" s="70">
        <v>38121</v>
      </c>
      <c r="L38" s="70">
        <v>366000</v>
      </c>
      <c r="M38" s="70"/>
      <c r="N38" s="72"/>
      <c r="O38" s="70">
        <f>29100-11120</f>
        <v>17980</v>
      </c>
      <c r="P38" s="52">
        <f t="shared" si="1"/>
        <v>1539479</v>
      </c>
    </row>
    <row r="39" spans="1:16" s="4" customFormat="1" ht="31.2" x14ac:dyDescent="0.3">
      <c r="A39" s="21"/>
      <c r="B39" s="20"/>
      <c r="C39" s="21"/>
      <c r="D39" s="42" t="s">
        <v>69</v>
      </c>
      <c r="E39" s="69">
        <v>210</v>
      </c>
      <c r="F39" s="72">
        <v>1408260</v>
      </c>
      <c r="G39" s="65">
        <v>765850.54812000017</v>
      </c>
      <c r="H39" s="64">
        <f t="shared" si="4"/>
        <v>6706</v>
      </c>
      <c r="I39" s="70">
        <v>1303</v>
      </c>
      <c r="J39" s="70">
        <f>54726+14525</f>
        <v>69251</v>
      </c>
      <c r="K39" s="70">
        <v>36160</v>
      </c>
      <c r="L39" s="70">
        <v>347100</v>
      </c>
      <c r="M39" s="70"/>
      <c r="N39" s="72"/>
      <c r="O39" s="70">
        <f>42500-15850</f>
        <v>26650</v>
      </c>
      <c r="P39" s="52">
        <f t="shared" si="1"/>
        <v>1851261</v>
      </c>
    </row>
    <row r="40" spans="1:16" s="4" customFormat="1" ht="31.2" x14ac:dyDescent="0.3">
      <c r="A40" s="21"/>
      <c r="B40" s="20"/>
      <c r="C40" s="21"/>
      <c r="D40" s="42" t="s">
        <v>70</v>
      </c>
      <c r="E40" s="69">
        <v>210</v>
      </c>
      <c r="F40" s="72">
        <v>1018740</v>
      </c>
      <c r="G40" s="65">
        <v>652194.71267999988</v>
      </c>
      <c r="H40" s="64">
        <f t="shared" si="4"/>
        <v>4851.1428571428569</v>
      </c>
      <c r="I40" s="70">
        <v>1303</v>
      </c>
      <c r="J40" s="70">
        <f>54726+14525</f>
        <v>69251</v>
      </c>
      <c r="K40" s="70">
        <v>46660</v>
      </c>
      <c r="L40" s="70">
        <v>448000</v>
      </c>
      <c r="M40" s="70"/>
      <c r="N40" s="72"/>
      <c r="O40" s="70">
        <f>60200-21230</f>
        <v>38970</v>
      </c>
      <c r="P40" s="52">
        <f t="shared" si="1"/>
        <v>1574961</v>
      </c>
    </row>
    <row r="41" spans="1:16" s="4" customFormat="1" ht="31.2" x14ac:dyDescent="0.3">
      <c r="A41" s="21"/>
      <c r="B41" s="20"/>
      <c r="C41" s="21"/>
      <c r="D41" s="42" t="s">
        <v>71</v>
      </c>
      <c r="E41" s="69">
        <v>300</v>
      </c>
      <c r="F41" s="72">
        <v>1549560</v>
      </c>
      <c r="G41" s="65">
        <v>790752.80952000001</v>
      </c>
      <c r="H41" s="64">
        <f t="shared" si="4"/>
        <v>5165.2</v>
      </c>
      <c r="I41" s="70">
        <v>1423</v>
      </c>
      <c r="J41" s="70">
        <f>59766+14525</f>
        <v>74291</v>
      </c>
      <c r="K41" s="70">
        <v>45705</v>
      </c>
      <c r="L41" s="70">
        <v>438800</v>
      </c>
      <c r="M41" s="70"/>
      <c r="N41" s="72"/>
      <c r="O41" s="70">
        <f>31200-12100</f>
        <v>19100</v>
      </c>
      <c r="P41" s="52">
        <f t="shared" si="1"/>
        <v>2081751</v>
      </c>
    </row>
    <row r="42" spans="1:16" s="4" customFormat="1" ht="31.2" x14ac:dyDescent="0.3">
      <c r="A42" s="21"/>
      <c r="B42" s="20"/>
      <c r="C42" s="21"/>
      <c r="D42" s="42" t="s">
        <v>72</v>
      </c>
      <c r="E42" s="69">
        <v>320</v>
      </c>
      <c r="F42" s="72">
        <v>1899660</v>
      </c>
      <c r="G42" s="65">
        <v>828032.80067999999</v>
      </c>
      <c r="H42" s="64">
        <f t="shared" si="4"/>
        <v>5936.4375</v>
      </c>
      <c r="I42" s="70">
        <v>2420</v>
      </c>
      <c r="J42" s="70">
        <f>101640+14525</f>
        <v>116165</v>
      </c>
      <c r="K42" s="13">
        <f>106661+5581</f>
        <v>112242</v>
      </c>
      <c r="L42" s="13">
        <f>1023900+50000</f>
        <v>1073900</v>
      </c>
      <c r="M42" s="70"/>
      <c r="N42" s="72"/>
      <c r="O42" s="70">
        <f>78800-29100</f>
        <v>49700</v>
      </c>
      <c r="P42" s="52">
        <f t="shared" si="1"/>
        <v>3139425</v>
      </c>
    </row>
    <row r="43" spans="1:16" s="4" customFormat="1" ht="31.2" x14ac:dyDescent="0.3">
      <c r="A43" s="21"/>
      <c r="B43" s="20"/>
      <c r="C43" s="21"/>
      <c r="D43" s="42" t="s">
        <v>73</v>
      </c>
      <c r="E43" s="69">
        <v>500</v>
      </c>
      <c r="F43" s="72">
        <v>1797800</v>
      </c>
      <c r="G43" s="65">
        <v>997698.5369399999</v>
      </c>
      <c r="H43" s="64">
        <f t="shared" si="4"/>
        <v>3595.6</v>
      </c>
      <c r="I43" s="70">
        <v>2092</v>
      </c>
      <c r="J43" s="70">
        <f>87864+14525</f>
        <v>102389</v>
      </c>
      <c r="K43" s="70">
        <v>66240</v>
      </c>
      <c r="L43" s="70">
        <v>635900</v>
      </c>
      <c r="M43" s="70"/>
      <c r="N43" s="72"/>
      <c r="O43" s="70">
        <f>58600-21400</f>
        <v>37200</v>
      </c>
      <c r="P43" s="52">
        <f t="shared" si="1"/>
        <v>2573289</v>
      </c>
    </row>
    <row r="44" spans="1:16" s="4" customFormat="1" ht="46.8" x14ac:dyDescent="0.3">
      <c r="A44" s="21"/>
      <c r="B44" s="20"/>
      <c r="C44" s="21"/>
      <c r="D44" s="42" t="s">
        <v>83</v>
      </c>
      <c r="E44" s="69">
        <v>95</v>
      </c>
      <c r="F44" s="72">
        <v>628760</v>
      </c>
      <c r="G44" s="66">
        <v>311678.87015999993</v>
      </c>
      <c r="H44" s="64">
        <f t="shared" si="4"/>
        <v>6618.5263157894733</v>
      </c>
      <c r="I44" s="70">
        <v>528</v>
      </c>
      <c r="J44" s="70">
        <f>22176+14525</f>
        <v>36701</v>
      </c>
      <c r="K44" s="70">
        <v>21372</v>
      </c>
      <c r="L44" s="70">
        <v>205200</v>
      </c>
      <c r="M44" s="70"/>
      <c r="N44" s="70"/>
      <c r="O44" s="70">
        <f>19800-7400</f>
        <v>12400</v>
      </c>
      <c r="P44" s="52">
        <f t="shared" si="1"/>
        <v>883061</v>
      </c>
    </row>
    <row r="45" spans="1:16" s="4" customFormat="1" ht="46.8" x14ac:dyDescent="0.3">
      <c r="A45" s="21"/>
      <c r="B45" s="20"/>
      <c r="C45" s="21"/>
      <c r="D45" s="42" t="s">
        <v>74</v>
      </c>
      <c r="E45" s="69"/>
      <c r="F45" s="72"/>
      <c r="G45" s="62"/>
      <c r="H45" s="64" t="e">
        <f t="shared" si="4"/>
        <v>#DIV/0!</v>
      </c>
      <c r="I45" s="70">
        <v>1300</v>
      </c>
      <c r="J45" s="70">
        <f>54600+14525</f>
        <v>69125</v>
      </c>
      <c r="K45" s="70">
        <v>56175</v>
      </c>
      <c r="L45" s="70">
        <v>539300</v>
      </c>
      <c r="M45" s="13">
        <v>32223</v>
      </c>
      <c r="N45" s="13">
        <v>619700</v>
      </c>
      <c r="O45" s="70">
        <f>52700-18500</f>
        <v>34200</v>
      </c>
      <c r="P45" s="52">
        <f t="shared" si="1"/>
        <v>1262325</v>
      </c>
    </row>
    <row r="46" spans="1:16" s="4" customFormat="1" ht="46.8" x14ac:dyDescent="0.3">
      <c r="A46" s="21"/>
      <c r="B46" s="20"/>
      <c r="C46" s="21"/>
      <c r="D46" s="42" t="s">
        <v>75</v>
      </c>
      <c r="E46" s="69">
        <v>245.4</v>
      </c>
      <c r="F46" s="72">
        <v>812160</v>
      </c>
      <c r="G46" s="66">
        <v>420245.573424</v>
      </c>
      <c r="H46" s="64">
        <f t="shared" si="4"/>
        <v>3309.5354523227384</v>
      </c>
      <c r="I46" s="70">
        <v>1101</v>
      </c>
      <c r="J46" s="70">
        <f>46242+14526</f>
        <v>60768</v>
      </c>
      <c r="K46" s="70">
        <v>79252</v>
      </c>
      <c r="L46" s="70">
        <v>760800</v>
      </c>
      <c r="M46" s="13"/>
      <c r="N46" s="13"/>
      <c r="O46" s="70">
        <f>21200-7600</f>
        <v>13600</v>
      </c>
      <c r="P46" s="52">
        <f t="shared" si="1"/>
        <v>1647328</v>
      </c>
    </row>
    <row r="47" spans="1:16" s="4" customFormat="1" ht="31.2" x14ac:dyDescent="0.3">
      <c r="A47" s="21"/>
      <c r="B47" s="20"/>
      <c r="C47" s="21"/>
      <c r="D47" s="40" t="s">
        <v>76</v>
      </c>
      <c r="E47" s="69"/>
      <c r="F47" s="72"/>
      <c r="G47" s="62"/>
      <c r="H47" s="64" t="e">
        <f t="shared" si="4"/>
        <v>#DIV/0!</v>
      </c>
      <c r="I47" s="70">
        <v>240</v>
      </c>
      <c r="J47" s="70">
        <v>5320</v>
      </c>
      <c r="K47" s="70">
        <v>10527</v>
      </c>
      <c r="L47" s="70">
        <v>101000</v>
      </c>
      <c r="M47" s="13">
        <v>10888</v>
      </c>
      <c r="N47" s="13">
        <v>254600</v>
      </c>
      <c r="O47" s="70">
        <f>39300-5700</f>
        <v>33600</v>
      </c>
      <c r="P47" s="52">
        <f t="shared" si="1"/>
        <v>394520</v>
      </c>
    </row>
    <row r="48" spans="1:16" ht="31.2" x14ac:dyDescent="0.3">
      <c r="A48" s="19" t="s">
        <v>45</v>
      </c>
      <c r="B48" s="15">
        <v>1022</v>
      </c>
      <c r="C48" s="19" t="s">
        <v>9</v>
      </c>
      <c r="D48" s="50" t="s">
        <v>49</v>
      </c>
      <c r="E48" s="69">
        <v>169.4</v>
      </c>
      <c r="F48" s="52">
        <f>584683+51617</f>
        <v>636300</v>
      </c>
      <c r="G48" s="12"/>
      <c r="H48" s="17">
        <f t="shared" si="4"/>
        <v>3756.1983471074377</v>
      </c>
      <c r="I48" s="68">
        <v>1042</v>
      </c>
      <c r="J48" s="68">
        <v>68900</v>
      </c>
      <c r="K48" s="68">
        <v>54000</v>
      </c>
      <c r="L48" s="68">
        <v>518400</v>
      </c>
      <c r="M48" s="68"/>
      <c r="N48" s="68"/>
      <c r="O48" s="70">
        <v>18200</v>
      </c>
      <c r="P48" s="51">
        <f t="shared" si="1"/>
        <v>1241800</v>
      </c>
    </row>
    <row r="49" spans="1:17" ht="46.8" x14ac:dyDescent="0.3">
      <c r="A49" s="19" t="s">
        <v>46</v>
      </c>
      <c r="B49" s="15">
        <v>1070</v>
      </c>
      <c r="C49" s="19" t="s">
        <v>10</v>
      </c>
      <c r="D49" s="41" t="s">
        <v>105</v>
      </c>
      <c r="E49" s="67">
        <f>SUM(E50:E51)</f>
        <v>51.42</v>
      </c>
      <c r="F49" s="74">
        <f t="shared" ref="F49:O49" si="8">SUM(F50:F51)</f>
        <v>285200</v>
      </c>
      <c r="G49" s="12">
        <f t="shared" si="8"/>
        <v>0</v>
      </c>
      <c r="H49" s="12" t="e">
        <f t="shared" si="8"/>
        <v>#DIV/0!</v>
      </c>
      <c r="I49" s="68">
        <f>SUM(I50:I51)</f>
        <v>22868</v>
      </c>
      <c r="J49" s="68">
        <f t="shared" si="8"/>
        <v>928200</v>
      </c>
      <c r="K49" s="68">
        <f>SUM(K50:K51)</f>
        <v>99552</v>
      </c>
      <c r="L49" s="68">
        <f t="shared" si="8"/>
        <v>955700</v>
      </c>
      <c r="M49" s="68"/>
      <c r="N49" s="68"/>
      <c r="O49" s="68">
        <f t="shared" si="8"/>
        <v>63800</v>
      </c>
      <c r="P49" s="51">
        <f t="shared" si="1"/>
        <v>2232900</v>
      </c>
    </row>
    <row r="50" spans="1:17" s="4" customFormat="1" ht="31.8" x14ac:dyDescent="0.35">
      <c r="A50" s="21"/>
      <c r="B50" s="20"/>
      <c r="C50" s="21" t="s">
        <v>10</v>
      </c>
      <c r="D50" s="42" t="s">
        <v>55</v>
      </c>
      <c r="E50" s="69">
        <v>51.42</v>
      </c>
      <c r="F50" s="72">
        <f>197231+87969</f>
        <v>285200</v>
      </c>
      <c r="G50" s="13"/>
      <c r="H50" s="46"/>
      <c r="I50" s="70">
        <v>468</v>
      </c>
      <c r="J50" s="70">
        <v>31000</v>
      </c>
      <c r="K50" s="70">
        <v>21000</v>
      </c>
      <c r="L50" s="70">
        <v>201600</v>
      </c>
      <c r="M50" s="70"/>
      <c r="N50" s="70"/>
      <c r="O50" s="70">
        <v>24200</v>
      </c>
      <c r="P50" s="52">
        <f t="shared" si="1"/>
        <v>542000</v>
      </c>
    </row>
    <row r="51" spans="1:17" s="4" customFormat="1" ht="31.2" x14ac:dyDescent="0.3">
      <c r="A51" s="21"/>
      <c r="B51" s="20"/>
      <c r="C51" s="21" t="s">
        <v>10</v>
      </c>
      <c r="D51" s="42" t="s">
        <v>77</v>
      </c>
      <c r="E51" s="69"/>
      <c r="F51" s="72"/>
      <c r="G51" s="13"/>
      <c r="H51" s="17" t="e">
        <f t="shared" si="4"/>
        <v>#DIV/0!</v>
      </c>
      <c r="I51" s="70">
        <v>22400</v>
      </c>
      <c r="J51" s="70">
        <v>897200</v>
      </c>
      <c r="K51" s="70">
        <v>78552</v>
      </c>
      <c r="L51" s="70">
        <v>754100</v>
      </c>
      <c r="M51" s="70"/>
      <c r="N51" s="70"/>
      <c r="O51" s="70">
        <v>39600</v>
      </c>
      <c r="P51" s="52">
        <f t="shared" si="1"/>
        <v>1690900</v>
      </c>
    </row>
    <row r="52" spans="1:17" ht="31.2" x14ac:dyDescent="0.3">
      <c r="A52" s="19" t="s">
        <v>47</v>
      </c>
      <c r="B52" s="15">
        <v>1141</v>
      </c>
      <c r="C52" s="19" t="s">
        <v>11</v>
      </c>
      <c r="D52" s="41" t="s">
        <v>106</v>
      </c>
      <c r="E52" s="67">
        <f>31.837+72</f>
        <v>103.837</v>
      </c>
      <c r="F52" s="51">
        <f>307800+408000+29000-200000</f>
        <v>544800</v>
      </c>
      <c r="G52" s="12"/>
      <c r="H52" s="17">
        <f t="shared" si="4"/>
        <v>5246.6847077631282</v>
      </c>
      <c r="I52" s="73">
        <f>204+302+178</f>
        <v>684</v>
      </c>
      <c r="J52" s="68">
        <f>13500+20000+11760</f>
        <v>45260</v>
      </c>
      <c r="K52" s="68">
        <f>38760+20400</f>
        <v>59160</v>
      </c>
      <c r="L52" s="68">
        <f>372100+83100+112740</f>
        <v>567940</v>
      </c>
      <c r="M52" s="68"/>
      <c r="N52" s="74"/>
      <c r="O52" s="70">
        <f>2600+10000+17510</f>
        <v>30110</v>
      </c>
      <c r="P52" s="51">
        <f t="shared" si="1"/>
        <v>1188110</v>
      </c>
    </row>
    <row r="53" spans="1:17" ht="31.2" x14ac:dyDescent="0.3">
      <c r="A53" s="19" t="s">
        <v>48</v>
      </c>
      <c r="B53" s="23">
        <v>1151</v>
      </c>
      <c r="C53" s="23" t="s">
        <v>11</v>
      </c>
      <c r="D53" s="41" t="s">
        <v>43</v>
      </c>
      <c r="E53" s="67">
        <v>40.01</v>
      </c>
      <c r="F53" s="74">
        <f>136482+62118</f>
        <v>198600</v>
      </c>
      <c r="G53" s="12"/>
      <c r="H53" s="17">
        <f t="shared" si="4"/>
        <v>4963.7590602349419</v>
      </c>
      <c r="I53" s="75">
        <v>96</v>
      </c>
      <c r="J53" s="68">
        <v>6400</v>
      </c>
      <c r="K53" s="68">
        <v>5706</v>
      </c>
      <c r="L53" s="68">
        <v>54800</v>
      </c>
      <c r="M53" s="68"/>
      <c r="N53" s="74"/>
      <c r="O53" s="70">
        <v>1700</v>
      </c>
      <c r="P53" s="51">
        <f t="shared" si="1"/>
        <v>261500</v>
      </c>
    </row>
    <row r="54" spans="1:17" ht="46.8" x14ac:dyDescent="0.3">
      <c r="A54" s="19" t="s">
        <v>93</v>
      </c>
      <c r="B54" s="15">
        <v>1160</v>
      </c>
      <c r="C54" s="19" t="s">
        <v>11</v>
      </c>
      <c r="D54" s="41" t="s">
        <v>56</v>
      </c>
      <c r="E54" s="67">
        <v>7.1</v>
      </c>
      <c r="F54" s="74">
        <f>24474+10526</f>
        <v>35000</v>
      </c>
      <c r="G54" s="12"/>
      <c r="H54" s="17">
        <f>F54/E54</f>
        <v>4929.5774647887329</v>
      </c>
      <c r="I54" s="68">
        <v>54</v>
      </c>
      <c r="J54" s="68">
        <v>3600</v>
      </c>
      <c r="K54" s="68">
        <v>1208</v>
      </c>
      <c r="L54" s="68">
        <v>11600</v>
      </c>
      <c r="M54" s="68"/>
      <c r="N54" s="74"/>
      <c r="O54" s="70">
        <v>2900</v>
      </c>
      <c r="P54" s="51">
        <f>F54+J54+L54+N54+O54</f>
        <v>53100</v>
      </c>
      <c r="Q54" s="1" t="s">
        <v>1</v>
      </c>
    </row>
    <row r="55" spans="1:17" x14ac:dyDescent="0.3">
      <c r="A55" s="19" t="s">
        <v>24</v>
      </c>
      <c r="B55" s="15">
        <v>5031</v>
      </c>
      <c r="C55" s="19" t="s">
        <v>15</v>
      </c>
      <c r="D55" s="44" t="s">
        <v>32</v>
      </c>
      <c r="E55" s="67">
        <f>E56+E57</f>
        <v>72.471999999999994</v>
      </c>
      <c r="F55" s="74">
        <f>F56+F57</f>
        <v>722462.29</v>
      </c>
      <c r="G55" s="12"/>
      <c r="H55" s="17">
        <f t="shared" si="4"/>
        <v>9968.8471409647882</v>
      </c>
      <c r="I55" s="75">
        <f t="shared" ref="I55:L55" si="9">I56+I57</f>
        <v>342</v>
      </c>
      <c r="J55" s="68">
        <f t="shared" si="9"/>
        <v>22600</v>
      </c>
      <c r="K55" s="68">
        <f t="shared" si="9"/>
        <v>18314</v>
      </c>
      <c r="L55" s="68">
        <f t="shared" si="9"/>
        <v>175800</v>
      </c>
      <c r="M55" s="68"/>
      <c r="N55" s="74"/>
      <c r="O55" s="70">
        <f t="shared" ref="O55" si="10">O56+O57</f>
        <v>14200</v>
      </c>
      <c r="P55" s="51">
        <f t="shared" si="1"/>
        <v>935062.29</v>
      </c>
    </row>
    <row r="56" spans="1:17" s="4" customFormat="1" ht="46.8" x14ac:dyDescent="0.3">
      <c r="A56" s="21"/>
      <c r="B56" s="20"/>
      <c r="C56" s="21"/>
      <c r="D56" s="42" t="s">
        <v>78</v>
      </c>
      <c r="E56" s="69">
        <v>64</v>
      </c>
      <c r="F56" s="52">
        <v>671562.29</v>
      </c>
      <c r="G56" s="48">
        <v>350850.09907999996</v>
      </c>
      <c r="H56" s="17">
        <f t="shared" si="4"/>
        <v>10493.160781250001</v>
      </c>
      <c r="I56" s="54">
        <v>250</v>
      </c>
      <c r="J56" s="13">
        <v>16500</v>
      </c>
      <c r="K56" s="13">
        <v>11630</v>
      </c>
      <c r="L56" s="13">
        <v>111600</v>
      </c>
      <c r="M56" s="13"/>
      <c r="N56" s="52"/>
      <c r="O56" s="13">
        <v>12400</v>
      </c>
      <c r="P56" s="52">
        <f t="shared" si="1"/>
        <v>812062.29</v>
      </c>
    </row>
    <row r="57" spans="1:17" s="4" customFormat="1" ht="46.8" x14ac:dyDescent="0.3">
      <c r="A57" s="21"/>
      <c r="B57" s="20"/>
      <c r="C57" s="21"/>
      <c r="D57" s="45" t="s">
        <v>79</v>
      </c>
      <c r="E57" s="71">
        <v>8.4719999999999995</v>
      </c>
      <c r="F57" s="76">
        <v>50900</v>
      </c>
      <c r="G57" s="48">
        <v>16132.554419039996</v>
      </c>
      <c r="H57" s="17">
        <f t="shared" si="4"/>
        <v>6008.0264400377719</v>
      </c>
      <c r="I57" s="55">
        <v>92</v>
      </c>
      <c r="J57" s="55">
        <v>6100</v>
      </c>
      <c r="K57" s="13">
        <v>6684</v>
      </c>
      <c r="L57" s="13">
        <v>64200</v>
      </c>
      <c r="M57" s="13"/>
      <c r="N57" s="13"/>
      <c r="O57" s="13">
        <v>1800</v>
      </c>
      <c r="P57" s="52">
        <f t="shared" si="1"/>
        <v>123000</v>
      </c>
    </row>
    <row r="58" spans="1:17" ht="31.2" x14ac:dyDescent="0.3">
      <c r="A58" s="24" t="s">
        <v>35</v>
      </c>
      <c r="B58" s="24"/>
      <c r="C58" s="24"/>
      <c r="D58" s="28" t="s">
        <v>57</v>
      </c>
      <c r="E58" s="16">
        <f>E59+E60+E61</f>
        <v>127.4765</v>
      </c>
      <c r="F58" s="17">
        <f t="shared" ref="F58:P58" si="11">F59+F60+F61</f>
        <v>855300</v>
      </c>
      <c r="G58" s="16"/>
      <c r="H58" s="16"/>
      <c r="I58" s="17">
        <f t="shared" si="11"/>
        <v>613</v>
      </c>
      <c r="J58" s="17">
        <f t="shared" si="11"/>
        <v>40600</v>
      </c>
      <c r="K58" s="17">
        <f t="shared" si="11"/>
        <v>58100</v>
      </c>
      <c r="L58" s="17">
        <f t="shared" si="11"/>
        <v>430000</v>
      </c>
      <c r="M58" s="17">
        <f t="shared" si="11"/>
        <v>0</v>
      </c>
      <c r="N58" s="17">
        <f t="shared" si="11"/>
        <v>0</v>
      </c>
      <c r="O58" s="17">
        <f t="shared" si="11"/>
        <v>0</v>
      </c>
      <c r="P58" s="17">
        <f t="shared" si="11"/>
        <v>1325900</v>
      </c>
    </row>
    <row r="59" spans="1:17" s="4" customFormat="1" ht="31.2" x14ac:dyDescent="0.3">
      <c r="A59" s="21" t="s">
        <v>18</v>
      </c>
      <c r="B59" s="21" t="s">
        <v>19</v>
      </c>
      <c r="C59" s="21" t="s">
        <v>6</v>
      </c>
      <c r="D59" s="39" t="s">
        <v>58</v>
      </c>
      <c r="E59" s="9">
        <v>81.528499999999994</v>
      </c>
      <c r="F59" s="13">
        <v>510000</v>
      </c>
      <c r="G59" s="13"/>
      <c r="H59" s="13"/>
      <c r="I59" s="13">
        <v>263</v>
      </c>
      <c r="J59" s="13">
        <v>17400</v>
      </c>
      <c r="K59" s="13">
        <v>30000</v>
      </c>
      <c r="L59" s="13">
        <v>258900</v>
      </c>
      <c r="M59" s="13"/>
      <c r="N59" s="13"/>
      <c r="O59" s="13"/>
      <c r="P59" s="13">
        <f t="shared" ref="P59:P72" si="12">F59+J59+L59+N59+O59</f>
        <v>786300</v>
      </c>
    </row>
    <row r="60" spans="1:17" s="4" customFormat="1" ht="46.8" x14ac:dyDescent="0.3">
      <c r="A60" s="21" t="s">
        <v>23</v>
      </c>
      <c r="B60" s="20">
        <v>3104</v>
      </c>
      <c r="C60" s="20">
        <v>1020</v>
      </c>
      <c r="D60" s="42" t="s">
        <v>92</v>
      </c>
      <c r="E60" s="9">
        <v>18.608000000000001</v>
      </c>
      <c r="F60" s="13">
        <v>146500</v>
      </c>
      <c r="G60" s="13"/>
      <c r="H60" s="13"/>
      <c r="I60" s="13">
        <v>100</v>
      </c>
      <c r="J60" s="13">
        <v>6600</v>
      </c>
      <c r="K60" s="13">
        <v>10000</v>
      </c>
      <c r="L60" s="13">
        <v>71700</v>
      </c>
      <c r="M60" s="13"/>
      <c r="N60" s="13"/>
      <c r="O60" s="13"/>
      <c r="P60" s="13">
        <f t="shared" si="12"/>
        <v>224800</v>
      </c>
    </row>
    <row r="61" spans="1:17" s="4" customFormat="1" ht="46.8" x14ac:dyDescent="0.3">
      <c r="A61" s="21" t="s">
        <v>22</v>
      </c>
      <c r="B61" s="20">
        <v>3121</v>
      </c>
      <c r="C61" s="20">
        <v>1040</v>
      </c>
      <c r="D61" s="40" t="s">
        <v>80</v>
      </c>
      <c r="E61" s="9">
        <v>27.34</v>
      </c>
      <c r="F61" s="13">
        <v>198800</v>
      </c>
      <c r="G61" s="13"/>
      <c r="H61" s="13"/>
      <c r="I61" s="13">
        <v>250</v>
      </c>
      <c r="J61" s="13">
        <v>16600</v>
      </c>
      <c r="K61" s="13">
        <v>18100</v>
      </c>
      <c r="L61" s="13">
        <v>99400</v>
      </c>
      <c r="M61" s="13"/>
      <c r="N61" s="13"/>
      <c r="O61" s="13"/>
      <c r="P61" s="13">
        <f t="shared" si="12"/>
        <v>314800</v>
      </c>
    </row>
    <row r="62" spans="1:17" ht="31.8" x14ac:dyDescent="0.35">
      <c r="A62" s="25">
        <v>1010000</v>
      </c>
      <c r="B62" s="25"/>
      <c r="C62" s="25"/>
      <c r="D62" s="18" t="s">
        <v>59</v>
      </c>
      <c r="E62" s="16">
        <f>SUM(E63:E70)</f>
        <v>303</v>
      </c>
      <c r="F62" s="17">
        <f>SUM(F63:F70)</f>
        <v>1202400</v>
      </c>
      <c r="G62" s="17"/>
      <c r="H62" s="17"/>
      <c r="I62" s="17">
        <f t="shared" ref="I62:O62" si="13">SUM(I63:I70)</f>
        <v>1700</v>
      </c>
      <c r="J62" s="17">
        <f t="shared" si="13"/>
        <v>93900</v>
      </c>
      <c r="K62" s="17">
        <f t="shared" si="13"/>
        <v>134000</v>
      </c>
      <c r="L62" s="17">
        <f t="shared" si="13"/>
        <v>1125600</v>
      </c>
      <c r="M62" s="17">
        <f t="shared" si="13"/>
        <v>40500</v>
      </c>
      <c r="N62" s="17">
        <f t="shared" si="13"/>
        <v>1026100</v>
      </c>
      <c r="O62" s="17">
        <f t="shared" si="13"/>
        <v>171300</v>
      </c>
      <c r="P62" s="46">
        <f t="shared" si="12"/>
        <v>3619300</v>
      </c>
    </row>
    <row r="63" spans="1:17" s="4" customFormat="1" ht="31.2" x14ac:dyDescent="0.3">
      <c r="A63" s="20">
        <v>1011080</v>
      </c>
      <c r="B63" s="20">
        <v>1100</v>
      </c>
      <c r="C63" s="21" t="s">
        <v>10</v>
      </c>
      <c r="D63" s="40" t="s">
        <v>84</v>
      </c>
      <c r="E63" s="9"/>
      <c r="F63" s="13"/>
      <c r="G63" s="13"/>
      <c r="H63" s="13"/>
      <c r="I63" s="13">
        <v>340</v>
      </c>
      <c r="J63" s="13">
        <v>22500</v>
      </c>
      <c r="K63" s="13">
        <v>35000</v>
      </c>
      <c r="L63" s="13">
        <v>294000</v>
      </c>
      <c r="M63" s="13">
        <v>16000</v>
      </c>
      <c r="N63" s="13">
        <v>400700</v>
      </c>
      <c r="O63" s="13">
        <v>3000</v>
      </c>
      <c r="P63" s="13">
        <f t="shared" si="12"/>
        <v>720200</v>
      </c>
    </row>
    <row r="64" spans="1:17" s="4" customFormat="1" ht="31.2" x14ac:dyDescent="0.3">
      <c r="A64" s="20">
        <v>1014030</v>
      </c>
      <c r="B64" s="20">
        <v>4030</v>
      </c>
      <c r="C64" s="21" t="s">
        <v>12</v>
      </c>
      <c r="D64" s="42" t="s">
        <v>60</v>
      </c>
      <c r="E64" s="9">
        <v>200</v>
      </c>
      <c r="F64" s="13">
        <v>750000</v>
      </c>
      <c r="G64" s="13"/>
      <c r="H64" s="13"/>
      <c r="I64" s="13">
        <v>280</v>
      </c>
      <c r="J64" s="13">
        <v>18400</v>
      </c>
      <c r="K64" s="13">
        <v>36000</v>
      </c>
      <c r="L64" s="13">
        <v>302400</v>
      </c>
      <c r="M64" s="13">
        <v>2500</v>
      </c>
      <c r="N64" s="13">
        <v>66100</v>
      </c>
      <c r="O64" s="13">
        <v>1000</v>
      </c>
      <c r="P64" s="13">
        <f t="shared" si="12"/>
        <v>1137900</v>
      </c>
    </row>
    <row r="65" spans="1:16" s="4" customFormat="1" ht="31.2" x14ac:dyDescent="0.3">
      <c r="A65" s="20">
        <v>1014040</v>
      </c>
      <c r="B65" s="20">
        <v>4040</v>
      </c>
      <c r="C65" s="21" t="s">
        <v>12</v>
      </c>
      <c r="D65" s="42" t="s">
        <v>61</v>
      </c>
      <c r="E65" s="9">
        <v>95</v>
      </c>
      <c r="F65" s="13">
        <v>411100</v>
      </c>
      <c r="G65" s="13"/>
      <c r="H65" s="13"/>
      <c r="I65" s="13">
        <v>140</v>
      </c>
      <c r="J65" s="13">
        <v>9200</v>
      </c>
      <c r="K65" s="13">
        <v>11000</v>
      </c>
      <c r="L65" s="13">
        <v>92400</v>
      </c>
      <c r="M65" s="13"/>
      <c r="N65" s="13"/>
      <c r="O65" s="13">
        <v>800</v>
      </c>
      <c r="P65" s="13">
        <f t="shared" si="12"/>
        <v>513500</v>
      </c>
    </row>
    <row r="66" spans="1:16" s="4" customFormat="1" ht="31.2" x14ac:dyDescent="0.3">
      <c r="A66" s="20">
        <v>1014060</v>
      </c>
      <c r="B66" s="20">
        <v>4060</v>
      </c>
      <c r="C66" s="21" t="s">
        <v>13</v>
      </c>
      <c r="D66" s="42" t="s">
        <v>62</v>
      </c>
      <c r="E66" s="9"/>
      <c r="F66" s="13"/>
      <c r="G66" s="13"/>
      <c r="H66" s="13"/>
      <c r="I66" s="13">
        <v>340</v>
      </c>
      <c r="J66" s="13">
        <v>22500</v>
      </c>
      <c r="K66" s="13">
        <v>35000</v>
      </c>
      <c r="L66" s="13">
        <v>294000</v>
      </c>
      <c r="M66" s="13">
        <v>16000</v>
      </c>
      <c r="N66" s="13">
        <v>400700</v>
      </c>
      <c r="O66" s="13">
        <v>3000</v>
      </c>
      <c r="P66" s="13">
        <f t="shared" si="12"/>
        <v>720200</v>
      </c>
    </row>
    <row r="67" spans="1:16" s="4" customFormat="1" ht="31.2" x14ac:dyDescent="0.3">
      <c r="A67" s="20">
        <v>1014060</v>
      </c>
      <c r="B67" s="20">
        <v>4060</v>
      </c>
      <c r="C67" s="21" t="s">
        <v>13</v>
      </c>
      <c r="D67" s="42" t="s">
        <v>63</v>
      </c>
      <c r="E67" s="9"/>
      <c r="F67" s="13"/>
      <c r="G67" s="13"/>
      <c r="H67" s="13"/>
      <c r="I67" s="13">
        <v>20</v>
      </c>
      <c r="J67" s="13">
        <v>650</v>
      </c>
      <c r="K67" s="13">
        <v>4000</v>
      </c>
      <c r="L67" s="13">
        <v>33600</v>
      </c>
      <c r="M67" s="13"/>
      <c r="N67" s="13"/>
      <c r="O67" s="13">
        <v>0</v>
      </c>
      <c r="P67" s="13">
        <f t="shared" si="12"/>
        <v>34250</v>
      </c>
    </row>
    <row r="68" spans="1:16" s="4" customFormat="1" ht="31.2" x14ac:dyDescent="0.3">
      <c r="A68" s="20">
        <v>1014060</v>
      </c>
      <c r="B68" s="20">
        <v>4060</v>
      </c>
      <c r="C68" s="21" t="s">
        <v>13</v>
      </c>
      <c r="D68" s="42" t="s">
        <v>64</v>
      </c>
      <c r="E68" s="9"/>
      <c r="F68" s="13"/>
      <c r="G68" s="13"/>
      <c r="H68" s="13"/>
      <c r="I68" s="13">
        <v>220</v>
      </c>
      <c r="J68" s="13">
        <v>7500</v>
      </c>
      <c r="K68" s="13">
        <v>7500</v>
      </c>
      <c r="L68" s="13">
        <v>63000</v>
      </c>
      <c r="M68" s="13"/>
      <c r="N68" s="13"/>
      <c r="O68" s="13">
        <v>162000</v>
      </c>
      <c r="P68" s="13">
        <f t="shared" si="12"/>
        <v>232500</v>
      </c>
    </row>
    <row r="69" spans="1:16" s="4" customFormat="1" ht="31.2" x14ac:dyDescent="0.3">
      <c r="A69" s="20">
        <v>1014060</v>
      </c>
      <c r="B69" s="20">
        <v>4060</v>
      </c>
      <c r="C69" s="21" t="s">
        <v>13</v>
      </c>
      <c r="D69" s="42" t="s">
        <v>65</v>
      </c>
      <c r="E69" s="9"/>
      <c r="F69" s="13"/>
      <c r="G69" s="13"/>
      <c r="H69" s="13"/>
      <c r="I69" s="13">
        <v>340</v>
      </c>
      <c r="J69" s="13">
        <v>11950</v>
      </c>
      <c r="K69" s="13">
        <v>1500</v>
      </c>
      <c r="L69" s="13">
        <v>12600</v>
      </c>
      <c r="M69" s="13">
        <v>6000</v>
      </c>
      <c r="N69" s="13">
        <v>158600</v>
      </c>
      <c r="O69" s="13">
        <v>1500</v>
      </c>
      <c r="P69" s="13">
        <f t="shared" si="12"/>
        <v>184650</v>
      </c>
    </row>
    <row r="70" spans="1:16" s="4" customFormat="1" ht="31.2" x14ac:dyDescent="0.3">
      <c r="A70" s="20">
        <v>1014081</v>
      </c>
      <c r="B70" s="20">
        <v>4081</v>
      </c>
      <c r="C70" s="21" t="s">
        <v>14</v>
      </c>
      <c r="D70" s="45" t="s">
        <v>66</v>
      </c>
      <c r="E70" s="9">
        <v>8</v>
      </c>
      <c r="F70" s="13">
        <v>41300</v>
      </c>
      <c r="G70" s="13"/>
      <c r="H70" s="13"/>
      <c r="I70" s="13">
        <v>20</v>
      </c>
      <c r="J70" s="13">
        <v>1200</v>
      </c>
      <c r="K70" s="13">
        <v>4000</v>
      </c>
      <c r="L70" s="13">
        <v>33600</v>
      </c>
      <c r="M70" s="13"/>
      <c r="N70" s="13"/>
      <c r="O70" s="13"/>
      <c r="P70" s="13">
        <f t="shared" si="12"/>
        <v>76100</v>
      </c>
    </row>
    <row r="71" spans="1:16" s="4" customFormat="1" ht="31.2" x14ac:dyDescent="0.3">
      <c r="A71" s="24" t="s">
        <v>96</v>
      </c>
      <c r="B71" s="56"/>
      <c r="C71" s="57"/>
      <c r="D71" s="58" t="s">
        <v>97</v>
      </c>
      <c r="E71" s="60">
        <f>E72</f>
        <v>7.89</v>
      </c>
      <c r="F71" s="17">
        <f t="shared" ref="F71:P71" si="14">F72</f>
        <v>27100</v>
      </c>
      <c r="G71" s="16">
        <f t="shared" si="14"/>
        <v>0</v>
      </c>
      <c r="H71" s="16">
        <f t="shared" si="14"/>
        <v>0</v>
      </c>
      <c r="I71" s="17">
        <f t="shared" si="14"/>
        <v>60</v>
      </c>
      <c r="J71" s="17">
        <f t="shared" si="14"/>
        <v>2500</v>
      </c>
      <c r="K71" s="17">
        <f t="shared" si="14"/>
        <v>5500</v>
      </c>
      <c r="L71" s="17">
        <f t="shared" si="14"/>
        <v>41000</v>
      </c>
      <c r="M71" s="17">
        <f t="shared" si="14"/>
        <v>0</v>
      </c>
      <c r="N71" s="17">
        <f t="shared" si="14"/>
        <v>0</v>
      </c>
      <c r="O71" s="17">
        <f t="shared" si="14"/>
        <v>0</v>
      </c>
      <c r="P71" s="17">
        <f t="shared" si="14"/>
        <v>70600</v>
      </c>
    </row>
    <row r="72" spans="1:16" s="4" customFormat="1" ht="46.8" x14ac:dyDescent="0.3">
      <c r="A72" s="59" t="s">
        <v>98</v>
      </c>
      <c r="B72" s="59" t="s">
        <v>99</v>
      </c>
      <c r="C72" s="59" t="s">
        <v>100</v>
      </c>
      <c r="D72" s="42" t="s">
        <v>101</v>
      </c>
      <c r="E72" s="52">
        <v>7.89</v>
      </c>
      <c r="F72" s="13">
        <v>27100</v>
      </c>
      <c r="G72" s="13"/>
      <c r="H72" s="13"/>
      <c r="I72" s="13">
        <v>60</v>
      </c>
      <c r="J72" s="13">
        <v>2500</v>
      </c>
      <c r="K72" s="13">
        <v>5500</v>
      </c>
      <c r="L72" s="13">
        <v>41000</v>
      </c>
      <c r="M72" s="13"/>
      <c r="N72" s="13"/>
      <c r="O72" s="13"/>
      <c r="P72" s="13">
        <f t="shared" si="12"/>
        <v>70600</v>
      </c>
    </row>
    <row r="73" spans="1:16" x14ac:dyDescent="0.3">
      <c r="A73" s="25"/>
      <c r="B73" s="25"/>
      <c r="C73" s="25"/>
      <c r="D73" s="22" t="s">
        <v>0</v>
      </c>
      <c r="E73" s="16">
        <f t="shared" ref="E73:P73" si="15">E15+E21+E58+E62+E71</f>
        <v>5430.9975000000004</v>
      </c>
      <c r="F73" s="17">
        <f t="shared" si="15"/>
        <v>25811262.289999999</v>
      </c>
      <c r="G73" s="16">
        <f t="shared" si="15"/>
        <v>0</v>
      </c>
      <c r="H73" s="16">
        <f t="shared" si="15"/>
        <v>4802.87754211636</v>
      </c>
      <c r="I73" s="17">
        <f t="shared" si="15"/>
        <v>73241</v>
      </c>
      <c r="J73" s="17">
        <f t="shared" si="15"/>
        <v>3319560</v>
      </c>
      <c r="K73" s="17">
        <f t="shared" si="15"/>
        <v>1870404</v>
      </c>
      <c r="L73" s="17">
        <f t="shared" si="15"/>
        <v>17414740</v>
      </c>
      <c r="M73" s="60">
        <f t="shared" si="15"/>
        <v>101739.98999999999</v>
      </c>
      <c r="N73" s="17">
        <f t="shared" si="15"/>
        <v>2381800</v>
      </c>
      <c r="O73" s="17">
        <f t="shared" si="15"/>
        <v>961910</v>
      </c>
      <c r="P73" s="17">
        <f t="shared" si="15"/>
        <v>49889272.289999999</v>
      </c>
    </row>
    <row r="74" spans="1:16" x14ac:dyDescent="0.3">
      <c r="A74" s="14"/>
      <c r="B74" s="14"/>
      <c r="C74" s="14"/>
      <c r="D74" s="5"/>
      <c r="E74" s="10"/>
      <c r="F74" s="33"/>
      <c r="G74" s="33"/>
      <c r="H74" s="33"/>
      <c r="I74" s="10"/>
      <c r="J74" s="10"/>
      <c r="K74" s="33"/>
      <c r="L74" s="33"/>
      <c r="M74" s="33"/>
      <c r="N74" s="33"/>
      <c r="O74" s="10"/>
      <c r="P74" s="10"/>
    </row>
    <row r="75" spans="1:16" x14ac:dyDescent="0.3">
      <c r="A75" s="14"/>
      <c r="B75" s="14"/>
      <c r="C75" s="14"/>
      <c r="D75" s="5" t="s">
        <v>114</v>
      </c>
      <c r="E75" s="10"/>
      <c r="F75" s="33"/>
      <c r="G75" s="33"/>
      <c r="H75" s="33"/>
      <c r="I75" s="10"/>
      <c r="J75" s="10"/>
      <c r="K75" s="1"/>
      <c r="L75" s="33" t="s">
        <v>115</v>
      </c>
      <c r="M75" s="33"/>
      <c r="N75" s="33"/>
      <c r="O75" s="10"/>
      <c r="P75" s="10"/>
    </row>
    <row r="76" spans="1:16" x14ac:dyDescent="0.3">
      <c r="A76" s="11"/>
      <c r="B76" s="14"/>
      <c r="C76" s="14"/>
      <c r="D76" s="5"/>
      <c r="E76" s="10"/>
      <c r="F76" s="33"/>
      <c r="G76" s="33"/>
      <c r="H76" s="33"/>
      <c r="I76" s="10"/>
      <c r="J76" s="10"/>
      <c r="K76" s="33"/>
      <c r="L76" s="33"/>
      <c r="M76" s="33"/>
      <c r="N76" s="33"/>
      <c r="O76" s="10"/>
      <c r="P76" s="10"/>
    </row>
    <row r="77" spans="1:16" x14ac:dyDescent="0.3">
      <c r="A77" s="14"/>
      <c r="B77" s="14"/>
      <c r="C77" s="14"/>
      <c r="D77" s="5"/>
      <c r="E77" s="10"/>
      <c r="F77" s="33"/>
      <c r="G77" s="33"/>
      <c r="H77" s="33"/>
      <c r="I77" s="10"/>
      <c r="J77" s="10"/>
      <c r="K77" s="33"/>
      <c r="L77" s="33"/>
      <c r="M77" s="33"/>
      <c r="N77" s="33"/>
      <c r="O77" s="10"/>
      <c r="P77" s="10"/>
    </row>
    <row r="78" spans="1:16" x14ac:dyDescent="0.3">
      <c r="P78" s="31"/>
    </row>
    <row r="79" spans="1:16" x14ac:dyDescent="0.3">
      <c r="P79" s="31"/>
    </row>
  </sheetData>
  <mergeCells count="10">
    <mergeCell ref="A12:P12"/>
    <mergeCell ref="N9:P9"/>
    <mergeCell ref="A13:A14"/>
    <mergeCell ref="B13:B14"/>
    <mergeCell ref="C13:C14"/>
    <mergeCell ref="D13:D14"/>
    <mergeCell ref="E13:F13"/>
    <mergeCell ref="I13:J13"/>
    <mergeCell ref="K13:L13"/>
    <mergeCell ref="M13:N13"/>
  </mergeCells>
  <printOptions horizontalCentered="1"/>
  <pageMargins left="0.19685039370078741" right="0.19685039370078741" top="0.19685039370078741" bottom="0.19685039370078741" header="0.15748031496062992" footer="0.19685039370078741"/>
  <pageSetup paperSize="9" scale="43" fitToHeight="3" orientation="landscape" r:id="rId1"/>
  <headerFooter differentFirst="1" alignWithMargins="0">
    <oddHeader>&amp;R&amp;P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2</vt:i4>
      </vt:variant>
    </vt:vector>
  </HeadingPairs>
  <TitlesOfParts>
    <vt:vector size="3" baseType="lpstr">
      <vt:lpstr>2023</vt:lpstr>
      <vt:lpstr>'2023'!Заголовки_для_друку</vt:lpstr>
      <vt:lpstr>'2023'!Область_друку</vt:lpstr>
    </vt:vector>
  </TitlesOfParts>
  <Company>Бюджетный отдел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Лиля</dc:creator>
  <cp:lastModifiedBy>Admin</cp:lastModifiedBy>
  <cp:lastPrinted>2023-10-23T06:18:40Z</cp:lastPrinted>
  <dcterms:created xsi:type="dcterms:W3CDTF">2002-01-03T07:12:49Z</dcterms:created>
  <dcterms:modified xsi:type="dcterms:W3CDTF">2023-10-26T05:17:01Z</dcterms:modified>
</cp:coreProperties>
</file>