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120" yWindow="60" windowWidth="19320" windowHeight="10128"/>
  </bookViews>
  <sheets>
    <sheet name="2023" sheetId="1" r:id="rId1"/>
  </sheets>
  <externalReferences>
    <externalReference r:id="rId2"/>
  </externalReferences>
  <definedNames>
    <definedName name="Z_02AC496F_F7D9_465B_9A66_D319977CD4A2_.wvu.PrintArea" localSheetId="0" hidden="1">'2023'!$A$1:$H$8</definedName>
    <definedName name="Z_02AC496F_F7D9_465B_9A66_D319977CD4A2_.wvu.PrintTitles" localSheetId="0" hidden="1">'2023'!$7:$8</definedName>
    <definedName name="Z_6174BFC3_8EFC_491A_B8A3_28DB8186A904_.wvu.PrintArea" localSheetId="0" hidden="1">'2023'!$A$1:$H$8</definedName>
    <definedName name="Z_6174BFC3_8EFC_491A_B8A3_28DB8186A904_.wvu.PrintTitles" localSheetId="0" hidden="1">'2023'!$7:$8</definedName>
    <definedName name="Z_71B4C162_96A9_4CA7_B3F0_0C57B820C4BA_.wvu.PrintArea" localSheetId="0" hidden="1">'2023'!$A$1:$H$8</definedName>
    <definedName name="Z_71B4C162_96A9_4CA7_B3F0_0C57B820C4BA_.wvu.PrintTitles" localSheetId="0" hidden="1">'2023'!$7:$8</definedName>
    <definedName name="Z_9D5EF3DD_3431_45D7_BCA1_2268CCD9FD10_.wvu.PrintArea" localSheetId="0" hidden="1">'2023'!$A$1:$H$8</definedName>
    <definedName name="Z_9D5EF3DD_3431_45D7_BCA1_2268CCD9FD10_.wvu.PrintTitles" localSheetId="0" hidden="1">'2023'!$7:$8</definedName>
    <definedName name="_xlnm.Print_Titles" localSheetId="0">'2023'!$7:$8</definedName>
    <definedName name="_xlnm.Print_Area" localSheetId="0">'2023'!$A$1:$H$229</definedName>
  </definedNames>
  <calcPr calcId="152511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235" i="1" l="1"/>
  <c r="F235" i="1"/>
  <c r="G233" i="1"/>
  <c r="F233" i="1"/>
  <c r="J49" i="1" l="1"/>
  <c r="G96" i="1" l="1"/>
  <c r="G88" i="1"/>
  <c r="G76" i="1"/>
  <c r="G65" i="1"/>
  <c r="G220" i="1"/>
  <c r="H223" i="1"/>
  <c r="G219" i="1" l="1"/>
  <c r="G218" i="1" s="1"/>
  <c r="G215" i="1"/>
  <c r="G214" i="1" s="1"/>
  <c r="G200" i="1"/>
  <c r="G188" i="1"/>
  <c r="G182" i="1"/>
  <c r="I182" i="1" s="1"/>
  <c r="G162" i="1"/>
  <c r="G158" i="1"/>
  <c r="G147" i="1"/>
  <c r="G144" i="1"/>
  <c r="G107" i="1"/>
  <c r="G105" i="1"/>
  <c r="G98" i="1"/>
  <c r="G95" i="1"/>
  <c r="G81" i="1"/>
  <c r="I81" i="1" s="1"/>
  <c r="G75" i="1"/>
  <c r="J75" i="1" s="1"/>
  <c r="G52" i="1"/>
  <c r="J52" i="1" s="1"/>
  <c r="G47" i="1"/>
  <c r="G46" i="1" s="1"/>
  <c r="G43" i="1"/>
  <c r="G42" i="1" s="1"/>
  <c r="G40" i="1"/>
  <c r="G39" i="1" s="1"/>
  <c r="G31" i="1"/>
  <c r="G30" i="1" s="1"/>
  <c r="G102" i="1" l="1"/>
  <c r="G101" i="1" s="1"/>
  <c r="J101" i="1" s="1"/>
  <c r="G50" i="1"/>
  <c r="G49" i="1" s="1"/>
  <c r="G25" i="1"/>
  <c r="G21" i="1"/>
  <c r="F12" i="1"/>
  <c r="G11" i="1"/>
  <c r="H12" i="1"/>
  <c r="H13" i="1"/>
  <c r="H14" i="1"/>
  <c r="H15" i="1"/>
  <c r="H16" i="1"/>
  <c r="H23" i="1"/>
  <c r="H24" i="1"/>
  <c r="H26" i="1"/>
  <c r="H27" i="1"/>
  <c r="H28" i="1"/>
  <c r="H29" i="1"/>
  <c r="H32" i="1"/>
  <c r="H33" i="1"/>
  <c r="H34" i="1"/>
  <c r="H35" i="1"/>
  <c r="H36" i="1"/>
  <c r="H37" i="1"/>
  <c r="H38" i="1"/>
  <c r="H41" i="1"/>
  <c r="H44" i="1"/>
  <c r="H45" i="1"/>
  <c r="H51" i="1"/>
  <c r="H53" i="1"/>
  <c r="H54" i="1"/>
  <c r="H55" i="1"/>
  <c r="H56" i="1"/>
  <c r="H57" i="1"/>
  <c r="H58" i="1"/>
  <c r="H59" i="1"/>
  <c r="H60" i="1"/>
  <c r="H61" i="1"/>
  <c r="H62" i="1"/>
  <c r="H63" i="1"/>
  <c r="H70" i="1"/>
  <c r="H78" i="1"/>
  <c r="H79" i="1"/>
  <c r="H83" i="1"/>
  <c r="H84" i="1"/>
  <c r="H85" i="1"/>
  <c r="H87" i="1"/>
  <c r="H91" i="1"/>
  <c r="H92" i="1"/>
  <c r="H93" i="1"/>
  <c r="H94" i="1"/>
  <c r="H99" i="1"/>
  <c r="H104" i="1"/>
  <c r="H106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5" i="1"/>
  <c r="H146" i="1"/>
  <c r="H148" i="1"/>
  <c r="H149" i="1"/>
  <c r="H150" i="1"/>
  <c r="H151" i="1"/>
  <c r="H152" i="1"/>
  <c r="H155" i="1"/>
  <c r="H157" i="1"/>
  <c r="H159" i="1"/>
  <c r="H160" i="1"/>
  <c r="H164" i="1"/>
  <c r="H165" i="1"/>
  <c r="H166" i="1"/>
  <c r="H167" i="1"/>
  <c r="H168" i="1"/>
  <c r="H171" i="1"/>
  <c r="H173" i="1"/>
  <c r="H174" i="1"/>
  <c r="H176" i="1"/>
  <c r="H178" i="1"/>
  <c r="H181" i="1"/>
  <c r="H183" i="1"/>
  <c r="H184" i="1"/>
  <c r="H186" i="1"/>
  <c r="H187" i="1"/>
  <c r="H190" i="1"/>
  <c r="H192" i="1"/>
  <c r="H194" i="1"/>
  <c r="H197" i="1"/>
  <c r="H198" i="1"/>
  <c r="H203" i="1"/>
  <c r="H205" i="1"/>
  <c r="H206" i="1"/>
  <c r="H207" i="1"/>
  <c r="H209" i="1"/>
  <c r="H210" i="1"/>
  <c r="H211" i="1"/>
  <c r="H212" i="1"/>
  <c r="H213" i="1"/>
  <c r="H216" i="1"/>
  <c r="H221" i="1"/>
  <c r="H222" i="1"/>
  <c r="H224" i="1"/>
  <c r="H225" i="1"/>
  <c r="G10" i="1"/>
  <c r="G9" i="1" s="1"/>
  <c r="G19" i="1" l="1"/>
  <c r="G18" i="1" s="1"/>
  <c r="G227" i="1" s="1"/>
  <c r="F226" i="1"/>
  <c r="F217" i="1"/>
  <c r="H217" i="1" s="1"/>
  <c r="F215" i="1"/>
  <c r="F208" i="1"/>
  <c r="H208" i="1" s="1"/>
  <c r="F204" i="1"/>
  <c r="H204" i="1" s="1"/>
  <c r="F202" i="1"/>
  <c r="H202" i="1" s="1"/>
  <c r="F201" i="1"/>
  <c r="F199" i="1"/>
  <c r="H199" i="1" s="1"/>
  <c r="F196" i="1"/>
  <c r="F195" i="1"/>
  <c r="H195" i="1" s="1"/>
  <c r="F193" i="1"/>
  <c r="H193" i="1" s="1"/>
  <c r="F191" i="1"/>
  <c r="H191" i="1" s="1"/>
  <c r="F189" i="1"/>
  <c r="H189" i="1" s="1"/>
  <c r="F185" i="1"/>
  <c r="H185" i="1" s="1"/>
  <c r="F182" i="1"/>
  <c r="H182" i="1" s="1"/>
  <c r="F180" i="1"/>
  <c r="H180" i="1" s="1"/>
  <c r="F179" i="1"/>
  <c r="H179" i="1" s="1"/>
  <c r="F177" i="1"/>
  <c r="H177" i="1" s="1"/>
  <c r="F175" i="1"/>
  <c r="H175" i="1" s="1"/>
  <c r="F172" i="1"/>
  <c r="H172" i="1" s="1"/>
  <c r="F170" i="1"/>
  <c r="H170" i="1" s="1"/>
  <c r="F169" i="1"/>
  <c r="H169" i="1" s="1"/>
  <c r="F163" i="1"/>
  <c r="H163" i="1" s="1"/>
  <c r="F161" i="1"/>
  <c r="H161" i="1" s="1"/>
  <c r="F156" i="1"/>
  <c r="H156" i="1" s="1"/>
  <c r="F154" i="1"/>
  <c r="H154" i="1" s="1"/>
  <c r="F153" i="1"/>
  <c r="F144" i="1"/>
  <c r="H144" i="1" s="1"/>
  <c r="F143" i="1"/>
  <c r="F123" i="1"/>
  <c r="H123" i="1" s="1"/>
  <c r="F122" i="1"/>
  <c r="H122" i="1" s="1"/>
  <c r="F121" i="1"/>
  <c r="H121" i="1" s="1"/>
  <c r="F105" i="1"/>
  <c r="H105" i="1" s="1"/>
  <c r="F103" i="1"/>
  <c r="H103" i="1" s="1"/>
  <c r="F100" i="1"/>
  <c r="H100" i="1" s="1"/>
  <c r="F98" i="1"/>
  <c r="H98" i="1" s="1"/>
  <c r="F97" i="1"/>
  <c r="H97" i="1" s="1"/>
  <c r="F96" i="1"/>
  <c r="H96" i="1" s="1"/>
  <c r="F95" i="1"/>
  <c r="H95" i="1" s="1"/>
  <c r="F90" i="1"/>
  <c r="H90" i="1" s="1"/>
  <c r="F89" i="1"/>
  <c r="H89" i="1" s="1"/>
  <c r="F86" i="1"/>
  <c r="H86" i="1" s="1"/>
  <c r="F82" i="1"/>
  <c r="F80" i="1"/>
  <c r="H80" i="1" s="1"/>
  <c r="F77" i="1"/>
  <c r="F74" i="1"/>
  <c r="H74" i="1" s="1"/>
  <c r="F73" i="1"/>
  <c r="H73" i="1" s="1"/>
  <c r="F72" i="1"/>
  <c r="H72" i="1" s="1"/>
  <c r="F71" i="1"/>
  <c r="H71" i="1" s="1"/>
  <c r="F69" i="1"/>
  <c r="H69" i="1" s="1"/>
  <c r="F68" i="1"/>
  <c r="H68" i="1" s="1"/>
  <c r="F67" i="1"/>
  <c r="H67" i="1" s="1"/>
  <c r="F66" i="1"/>
  <c r="H66" i="1" s="1"/>
  <c r="F65" i="1"/>
  <c r="H64" i="1"/>
  <c r="F48" i="1"/>
  <c r="F43" i="1"/>
  <c r="F40" i="1"/>
  <c r="F31" i="1"/>
  <c r="H31" i="1" s="1"/>
  <c r="F25" i="1"/>
  <c r="H25" i="1" s="1"/>
  <c r="F22" i="1"/>
  <c r="H22" i="1" s="1"/>
  <c r="F21" i="1"/>
  <c r="F19" i="1" s="1"/>
  <c r="F18" i="1" s="1"/>
  <c r="F20" i="1"/>
  <c r="H20" i="1" s="1"/>
  <c r="F17" i="1"/>
  <c r="H17" i="1" s="1"/>
  <c r="F11" i="1"/>
  <c r="F162" i="1" l="1"/>
  <c r="H162" i="1" s="1"/>
  <c r="F200" i="1"/>
  <c r="H200" i="1" s="1"/>
  <c r="H201" i="1"/>
  <c r="F220" i="1"/>
  <c r="H226" i="1"/>
  <c r="F107" i="1"/>
  <c r="H107" i="1" s="1"/>
  <c r="H143" i="1"/>
  <c r="F52" i="1"/>
  <c r="H52" i="1" s="1"/>
  <c r="H65" i="1"/>
  <c r="F147" i="1"/>
  <c r="H147" i="1" s="1"/>
  <c r="H153" i="1"/>
  <c r="F188" i="1"/>
  <c r="H188" i="1" s="1"/>
  <c r="H196" i="1"/>
  <c r="F76" i="1"/>
  <c r="H77" i="1"/>
  <c r="F39" i="1"/>
  <c r="H39" i="1" s="1"/>
  <c r="H40" i="1"/>
  <c r="F10" i="1"/>
  <c r="F9" i="1" s="1"/>
  <c r="H9" i="1" s="1"/>
  <c r="F42" i="1"/>
  <c r="H42" i="1" s="1"/>
  <c r="H43" i="1"/>
  <c r="F88" i="1"/>
  <c r="H88" i="1" s="1"/>
  <c r="H18" i="1"/>
  <c r="F47" i="1"/>
  <c r="H48" i="1"/>
  <c r="F214" i="1"/>
  <c r="H214" i="1" s="1"/>
  <c r="H215" i="1"/>
  <c r="H82" i="1"/>
  <c r="F158" i="1"/>
  <c r="H158" i="1" s="1"/>
  <c r="H21" i="1"/>
  <c r="F219" i="1"/>
  <c r="H220" i="1"/>
  <c r="F30" i="1"/>
  <c r="H30" i="1" s="1"/>
  <c r="H19" i="1"/>
  <c r="H11" i="1"/>
  <c r="F102" i="1" l="1"/>
  <c r="F75" i="1"/>
  <c r="H76" i="1"/>
  <c r="F46" i="1"/>
  <c r="H46" i="1" s="1"/>
  <c r="H47" i="1"/>
  <c r="H10" i="1"/>
  <c r="F81" i="1"/>
  <c r="H81" i="1" s="1"/>
  <c r="F218" i="1"/>
  <c r="H218" i="1" s="1"/>
  <c r="H219" i="1"/>
  <c r="H75" i="1" l="1"/>
  <c r="F50" i="1"/>
  <c r="F101" i="1"/>
  <c r="H101" i="1" s="1"/>
  <c r="H102" i="1"/>
  <c r="F49" i="1" l="1"/>
  <c r="H50" i="1"/>
  <c r="H49" i="1" l="1"/>
  <c r="F227" i="1"/>
  <c r="H227" i="1" s="1"/>
</calcChain>
</file>

<file path=xl/sharedStrings.xml><?xml version="1.0" encoding="utf-8"?>
<sst xmlns="http://schemas.openxmlformats.org/spreadsheetml/2006/main" count="447" uniqueCount="321">
  <si>
    <t>% виконання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</si>
  <si>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</si>
  <si>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</si>
  <si>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</si>
  <si>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</si>
  <si>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</si>
  <si>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</si>
  <si>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0600000</t>
  </si>
  <si>
    <t>0610000</t>
  </si>
  <si>
    <t>3700000</t>
  </si>
  <si>
    <t>3710000</t>
  </si>
  <si>
    <t>0180</t>
  </si>
  <si>
    <t>ВСЬОГО</t>
  </si>
  <si>
    <t>7</t>
  </si>
  <si>
    <t>(код бюджету)</t>
  </si>
  <si>
    <t>0200000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</si>
  <si>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</si>
  <si>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</si>
  <si>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</si>
  <si>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</si>
  <si>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</si>
  <si>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</t>
  </si>
  <si>
    <t>0731</t>
  </si>
  <si>
    <t>Багатопрофільна стаціонарна медична допомога населенню</t>
  </si>
  <si>
    <t>6030</t>
  </si>
  <si>
    <t>0620</t>
  </si>
  <si>
    <t>Організація благоустрою населених пунктів</t>
  </si>
  <si>
    <t>0490</t>
  </si>
  <si>
    <t>0611021</t>
  </si>
  <si>
    <t>1021</t>
  </si>
  <si>
    <t>0921</t>
  </si>
  <si>
    <t>Капітальні видатки разом, в т.ч.:</t>
  </si>
  <si>
    <t>0610</t>
  </si>
  <si>
    <t>1200000</t>
  </si>
  <si>
    <t>1210000</t>
  </si>
  <si>
    <t>Експлуатація та технічне обслуговування житлового фонду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</si>
  <si>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</si>
  <si>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</si>
  <si>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</si>
  <si>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</si>
  <si>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</si>
  <si>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</si>
  <si>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</si>
  <si>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</si>
  <si>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</si>
  <si>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</si>
  <si>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</si>
  <si>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</si>
  <si>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</si>
  <si>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</si>
  <si>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</si>
  <si>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</si>
  <si>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Забезпечення діяльності водопровідно-каналізаційного господарства</t>
  </si>
  <si>
    <t>1216015</t>
  </si>
  <si>
    <t>6015</t>
  </si>
  <si>
    <t>Забезпечення надійної та безперебійної експлуатації ліфтів</t>
  </si>
  <si>
    <t>1216030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</si>
  <si>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</si>
  <si>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</si>
  <si>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</si>
  <si>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</si>
  <si>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</si>
  <si>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</si>
  <si>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0470</t>
  </si>
  <si>
    <t>Заходи з енергозбереження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</si>
  <si>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</si>
  <si>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</si>
  <si>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</si>
  <si>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</si>
  <si>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1500000</t>
  </si>
  <si>
    <t>1510000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</si>
  <si>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</si>
  <si>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0443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</si>
  <si>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</si>
  <si>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покрівлі багатоквартирного будинку за адресою: м.Чорноморськ вул.Корабельна, 4б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</si>
  <si>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</si>
  <si>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</si>
  <si>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</si>
  <si>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</si>
  <si>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</si>
  <si>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</si>
  <si>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</si>
  <si>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</si>
  <si>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</si>
  <si>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</si>
  <si>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</si>
  <si>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</si>
  <si>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</si>
  <si>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</si>
  <si>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</si>
  <si>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 за адресою: м.Чорноморськ, вул.1 Травня, 13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</si>
  <si>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</si>
  <si>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(заміна) ліфтів за адресою: м. Чорноморськ, вул.Парусна, 16</t>
  </si>
  <si>
    <t>Капітальний ремонт (заміна) ліфтів за адресою: м. Чорноморськ, пр.Миру, 28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</si>
  <si>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</si>
  <si>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</si>
  <si>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Капітальний ремонт (заміна вікон) у багатоквартирному будинку за адресою: м.Чорноморськ, вул.Олександрійська, 18 А</t>
  </si>
  <si>
    <t>Виконавчий комітет Чорноморської  міської ради  Одеського району Одеської області</t>
  </si>
  <si>
    <t>1516011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</si>
  <si>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</si>
  <si>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</si>
  <si>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</si>
  <si>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вимощення, цоколя) за адресою: м.Чорноморськ, вул.1 Травня, 7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</si>
  <si>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</si>
  <si>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</si>
  <si>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1518110</t>
  </si>
  <si>
    <t>8110</t>
  </si>
  <si>
    <t>Заходи із запобігання та ліквідації надзвичайних ситуацій та наслідків стихійного лиха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</si>
  <si>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</si>
  <si>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Субвенція з місцевого бюджету державному бюджету на виконання програм соціально-економічного розвитку регіонів</t>
  </si>
  <si>
    <t>Начальник фінансового управління</t>
  </si>
  <si>
    <t>Ольга ЯКОВЕНКО</t>
  </si>
  <si>
    <t>0320</t>
  </si>
  <si>
    <t>1000000</t>
  </si>
  <si>
    <t>1010000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</si>
  <si>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</si>
  <si>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</si>
  <si>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</si>
  <si>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</si>
  <si>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</si>
  <si>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</si>
  <si>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</si>
  <si>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</si>
  <si>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</si>
  <si>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</si>
  <si>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</si>
  <si>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</si>
  <si>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</si>
  <si>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</si>
  <si>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</si>
  <si>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0212010</t>
  </si>
  <si>
    <t>2010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</si>
  <si>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</si>
  <si>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/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</si>
  <si>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</si>
  <si>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</si>
  <si>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</si>
  <si>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</si>
  <si>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</si>
  <si>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</si>
  <si>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</si>
  <si>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</si>
  <si>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</si>
  <si>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</si>
  <si>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</si>
  <si>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</si>
  <si>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</si>
  <si>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</si>
  <si>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</si>
  <si>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</si>
  <si>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</si>
  <si>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</si>
  <si>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Вiддiл культури Чорноморської мiської ради Одеського району Одеської областi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</si>
  <si>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</si>
  <si>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</si>
  <si>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</si>
  <si>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</si>
  <si>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</si>
  <si>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</si>
  <si>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</si>
  <si>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</si>
  <si>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Вiддiл комунального господарства та благоустрою Чорноморської мiської ради Одеського району Одеської областi</t>
  </si>
  <si>
    <t>1210160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</si>
  <si>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</si>
  <si>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</si>
  <si>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</si>
  <si>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</si>
  <si>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</si>
  <si>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</si>
  <si>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</si>
  <si>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</si>
  <si>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</si>
  <si>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Видатки з благоустрою - придбання техніки з обслуговування об'єктів благоустрою - фонтанів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</si>
  <si>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</si>
  <si>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</si>
  <si>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Управлiння капiтального будiвництва Чорноморської мiської ради Одеського району Одеської областi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</si>
  <si>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</si>
  <si>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</si>
  <si>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6011</t>
  </si>
  <si>
    <t>Капітальний ремонт електромереж та заміна ВРЩ в багатоквартирному  будинку за адресою: м.Чорноморськ,  вул.Праці, 3</t>
  </si>
  <si>
    <t>1516012</t>
  </si>
  <si>
    <t>6012</t>
  </si>
  <si>
    <t>Забезпечення діяльності з виробництва, транспортування, постачання теплової енергії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</si>
  <si>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</si>
  <si>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Придбання спеціальної техніки з очищення теплових камер від замулювання - муловсмоктувача</t>
  </si>
  <si>
    <t>1516013</t>
  </si>
  <si>
    <t>6013</t>
  </si>
  <si>
    <t>1516015</t>
  </si>
  <si>
    <t>1516030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</si>
  <si>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</si>
  <si>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</si>
  <si>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</si>
  <si>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</si>
  <si>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</si>
  <si>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</si>
  <si>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>1517370</t>
  </si>
  <si>
    <t>7370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</si>
  <si>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</si>
  <si>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</si>
  <si>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</si>
  <si>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1517640</t>
  </si>
  <si>
    <t>7640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</si>
  <si>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</si>
  <si>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</si>
  <si>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</si>
  <si>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</si>
  <si>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</si>
  <si>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</si>
  <si>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</si>
  <si>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</si>
  <si>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</si>
  <si>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</si>
  <si>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</si>
  <si>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</si>
  <si>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3117693</t>
  </si>
  <si>
    <t>7693</t>
  </si>
  <si>
    <t>Інші заходи, пов'язані з економічною діяльністю</t>
  </si>
  <si>
    <t>Фiнансове управлiння Чорноморської мiської ради Одеського району Одеської областi</t>
  </si>
  <si>
    <t>3719800</t>
  </si>
  <si>
    <t>9800</t>
  </si>
  <si>
    <t>Додаток 6</t>
  </si>
  <si>
    <t>до рішення Чорноморської міської ради</t>
  </si>
  <si>
    <t>0218210</t>
  </si>
  <si>
    <t>2100</t>
  </si>
  <si>
    <t>0722</t>
  </si>
  <si>
    <t>0380</t>
  </si>
  <si>
    <t>0212100</t>
  </si>
  <si>
    <t>Муніципальні формування з охорони громадського порядку</t>
  </si>
  <si>
    <t>Стоматологічна допомога населенню</t>
  </si>
  <si>
    <t>0813221</t>
  </si>
  <si>
    <t>0813222</t>
  </si>
  <si>
    <t>0813223</t>
  </si>
  <si>
    <t>3221</t>
  </si>
  <si>
    <t>3222</t>
  </si>
  <si>
    <t>3223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</si>
  <si>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</si>
  <si>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</si>
  <si>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</si>
  <si>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</si>
  <si>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</si>
  <si>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</si>
  <si>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Капітальний ремонт елементу благоустрою - улаштування флагштоку для Державного прапору на перехресті вулиць 1 Травня та Паркової</t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</si>
  <si>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</si>
  <si>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t>Капітальний ремонт мереж електропостачання, заміна електрощитових в багатоквартирному житловому будинку за адресою: м.Чорноморськ, вул.Парусна, 16</t>
  </si>
  <si>
    <t>Придбання засувки Д 600 мм з обгумованим клином для заміни на водогоні Д 700 мм</t>
  </si>
  <si>
    <t>Придбання засувок Д 500 мм з обгумованим клином для заміни на водопровідних мережах</t>
  </si>
  <si>
    <t>Придбання насосних станцій для заміни зношеного енерговитратного насосного обладнання на НС м.Чорноморська Одеського району, Одеської області</t>
  </si>
  <si>
    <t>Придбання частотного перетворювача для заміни аварійного на ЦНС по вул.Транспортна, 11 м.Чорноморську Одеського району Одеської області</t>
  </si>
  <si>
    <t>Придбання шиберних засувок Д 250 мм для реконструкції каналізаційних насосних станцій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</si>
  <si>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</si>
  <si>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вул.Олександрійська, 10</t>
  </si>
  <si>
    <t>Відновлення елементів благоустрою - капітальний ремонт прибудинкової території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</si>
  <si>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вул.1 Травня, 17</t>
  </si>
  <si>
    <t>Відновлення елементів благоустрою - капітальний ремонт тротуарної доріжки (на ділянці від адміністративної будівлі Чорноморської міської ради до поліклініки № 1) за адресою: вул.1 Травня, 1, м.Чорноморськ, Одеського району, Одеської області</t>
  </si>
  <si>
    <t>Капітальний ремонт об'єкту благоустрою - улаштування дорожнього покриття проїжджої частини по вул.В.Шума від буд. № 6Г до буд. № 6Є в м.Чорноморськ Одеського району Одеської області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</si>
  <si>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вул.Лазурна, 7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</si>
  <si>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</si>
  <si>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</si>
  <si>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 (розробка проєктно - кошторисної документації)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</si>
  <si>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 (розробка проєктно - кошторисної документації)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</si>
  <si>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</si>
  <si>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</si>
  <si>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</si>
  <si>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 xml:space="preserve"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 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</si>
  <si>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</si>
  <si>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 xml:space="preserve">Міська цільова програма фінансової підтримки Іллічівського міського суду Одеської області на 2023 рік </t>
  </si>
  <si>
    <t>Звіт про використання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за  9 місяців 2023 року</t>
  </si>
  <si>
    <t>Виконавчий комітет</t>
  </si>
  <si>
    <t>Бурлачобалківська сільська адміністрація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</si>
  <si>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</si>
  <si>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</si>
  <si>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</si>
  <si>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</si>
  <si>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8210</t>
  </si>
  <si>
    <t>0611010</t>
  </si>
  <si>
    <t>1010</t>
  </si>
  <si>
    <t>0910</t>
  </si>
  <si>
    <t>Надання дошкільної освіти</t>
  </si>
  <si>
    <t>Технічне переоснащення системи протипожежного захисту - установка системи пожежної сигналізації (СПС) і системи оповіщення про пожежу та управління евакуацією людей Чорноморської загальноосвітньої школи №7 Чорноморської міської ради, розташованої за адресою: м. Чорноморськ, проспект Миру, 43-А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</si>
  <si>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</si>
  <si>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</si>
  <si>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</si>
  <si>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</si>
  <si>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спеціальної  школи за адресою: Одеська область, м. Чорноморськ, вул.Пляжна, 3</t>
  </si>
  <si>
    <t>0611160</t>
  </si>
  <si>
    <t>0990</t>
  </si>
  <si>
    <t>Забезпечення діяльності центрів професійного розвитку педагогічних працівників</t>
  </si>
  <si>
    <t>0618110</t>
  </si>
  <si>
    <t>1060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</si>
  <si>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</si>
  <si>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</si>
  <si>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</si>
  <si>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</si>
  <si>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</si>
  <si>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вул.1 Травня, 2</t>
  </si>
  <si>
    <t>Капітальний ремонт системи водопостачання та пожежогасіння житлових будинків підвищеної поверховості  за адресами: м.Чорноморськ, вул.1 Травня, 2; вул.Данченка, 3-Б</t>
  </si>
  <si>
    <t>Реконструкція систем центрального опалення в багатоквартирних будинках за адресами: м. Чорноморськ, вул. 1 Травня, 2, вул. Данченка, 3-Б</t>
  </si>
  <si>
    <t>Капітальний ремонт багатоквартирного будинку (ремонт електромереж) за адресою: м.Чорноморськ, проспект Миру, 6-А</t>
  </si>
  <si>
    <t>Капітальний ремонт покрівлі багатоповерхового житлового будинку за адресою: м.Чорноморськ, проспект Миру, 20-А</t>
  </si>
  <si>
    <t>Капітальний ремонт покрівлі багатоповерхового житлового будинку за адресою: м.Чорноморськ, вул.Паркова, 20</t>
  </si>
  <si>
    <t xml:space="preserve">Капітальний ремонт житлового фонду 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</si>
  <si>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</si>
  <si>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дитячих та спортивних майданчиків</t>
  </si>
  <si>
    <t>Капітальний ремонт житлового будинку за адресою: м.Чорноморськ, проспект Миру, 12</t>
  </si>
  <si>
    <t>Капітальний ремонт житлового  будинку за адресою: м.Чорноморськ, проспект Миру, 16</t>
  </si>
  <si>
    <t>Капітальний ремонт внутрішньобудинкових мереж багатоквартирного будинку за адресою: м.Чорноморськ, вул.В.Шума, 13</t>
  </si>
  <si>
    <t>Реконструкція каналізаційного трубопроводу Д150 мм за адресою: Одеська область, Одеський район, м.Чорноморськ, вул.Корабельна, 10</t>
  </si>
  <si>
    <t xml:space="preserve">Реконструкція сталевої ділянки водогону Д 700 мм за адресою: Одеська область, Овідіопольський район, с. Молодіжне, район вул. Заводської </t>
  </si>
  <si>
    <t>Реконструкція трубопроводу для відновлення вводу водопроводу на КНП "Чорноморська лікарня" Чорноморської міської ради Одеського району Одеської області за адресою: м. Чорноморськ, вул. В. Шума, 4</t>
  </si>
  <si>
    <t>Придбання витратоміру Д 500 мм для встановлення на вузлі обліку води в с. В. Дальник, Одеського району, Одеської області</t>
  </si>
  <si>
    <t>Відновлення елементів благоустрою - капітальний ремонт прибудинкової території (улаштування майданчика для контейнерів побутових відходів) за адресою: м.Чорноморськ, проспект Миру, 2</t>
  </si>
  <si>
    <t>Відновлення елементів благоустрою - капітальний ремонт прибудинкової території (улаштування пандусу) в багатоквартирному будинку за адресою: м.Чорноморськ, проспект Миру, 15-Б</t>
  </si>
  <si>
    <t>Відновлення елементів благоустрою - капітальний ремонт прибудинкової території з улаштуванням майданчика для контейнерів побутових відходів за адресою: м.Чорноморськ, вул.Олександрійська, 2</t>
  </si>
  <si>
    <t>Капітальний ремонт (заміна вікон) в багатоквартирному  будинку за адресою: м.Чорноморськ, вулиця Олександрійська, 20</t>
  </si>
  <si>
    <t>Капітальний ремонт (заміна вікон) в приміщеннях загального користування багатоквартирного будинка за адресою: м.Чорноморськ, вулиця Олександрійська, 24</t>
  </si>
  <si>
    <t>Капітальний ремонт (заміна вікон та дверей) у багатоквартирному будинку за адресою: м.Чорноморськ, вул. Парусна, 6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</si>
  <si>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</si>
  <si>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</si>
  <si>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від                          2023 №             - VІII</t>
  </si>
  <si>
    <t>Затверджено розписом на звітний рік з урахуванням змін</t>
  </si>
  <si>
    <t>Виконано за звітний період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</si>
</sst>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%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rgb="FF000000"/>
      <name val="Arimo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79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5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horizontal="left" vertical="center" wrapText="1"/>
    </xf>
    <xf numFmtId="0" fontId="20" fillId="2" borderId="1" xfId="1" applyFont="1" applyFill="1" applyBorder="1" applyAlignment="1">
      <alignment vertical="center" wrapText="1"/>
    </xf>
    <xf numFmtId="0" fontId="16" fillId="2" borderId="1" xfId="0" quotePrefix="1" applyFont="1" applyFill="1" applyBorder="1" applyAlignment="1">
      <alignment wrapText="1"/>
    </xf>
    <xf numFmtId="0" fontId="17" fillId="2" borderId="3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1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2" borderId="1" xfId="1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/>
    </xf>
    <xf numFmtId="9" fontId="14" fillId="0" borderId="0" xfId="9" applyFont="1" applyAlignment="1"/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5" fillId="2" borderId="0" xfId="0" applyFont="1" applyFill="1"/>
    <xf numFmtId="0" fontId="25" fillId="2" borderId="0" xfId="0" applyFont="1" applyFill="1" applyAlignment="1"/>
    <xf numFmtId="0" fontId="7" fillId="2" borderId="1" xfId="0" applyFont="1" applyFill="1" applyBorder="1"/>
    <xf numFmtId="0" fontId="7" fillId="3" borderId="0" xfId="0" applyFont="1" applyFill="1"/>
    <xf numFmtId="0" fontId="23" fillId="2" borderId="0" xfId="0" applyFont="1" applyFill="1"/>
    <xf numFmtId="0" fontId="24" fillId="2" borderId="0" xfId="0" applyFont="1" applyFill="1" applyAlignment="1"/>
    <xf numFmtId="0" fontId="15" fillId="2" borderId="3" xfId="4" applyFont="1" applyFill="1" applyBorder="1" applyAlignment="1">
      <alignment horizontal="center" wrapText="1"/>
    </xf>
    <xf numFmtId="0" fontId="15" fillId="2" borderId="4" xfId="4" applyFont="1" applyFill="1" applyBorder="1" applyAlignment="1">
      <alignment horizontal="center" wrapText="1"/>
    </xf>
    <xf numFmtId="0" fontId="7" fillId="2" borderId="3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  <xf numFmtId="0" fontId="7" fillId="2" borderId="3" xfId="4" applyFont="1" applyFill="1" applyBorder="1" applyAlignment="1">
      <alignment horizontal="left" wrapText="1"/>
    </xf>
    <xf numFmtId="0" fontId="7" fillId="2" borderId="4" xfId="4" applyFont="1" applyFill="1" applyBorder="1" applyAlignment="1">
      <alignment horizontal="left" wrapText="1"/>
    </xf>
    <xf numFmtId="0" fontId="15" fillId="2" borderId="1" xfId="4" applyFont="1" applyFill="1" applyBorder="1" applyAlignment="1">
      <alignment horizontal="center" wrapText="1"/>
    </xf>
    <xf numFmtId="0" fontId="15" fillId="2" borderId="3" xfId="4" applyFont="1" applyFill="1" applyBorder="1" applyAlignment="1">
      <alignment horizontal="center" vertical="center" wrapText="1"/>
    </xf>
    <xf numFmtId="0" fontId="15" fillId="2" borderId="4" xfId="4" applyFont="1" applyFill="1" applyBorder="1" applyAlignment="1">
      <alignment horizontal="center" vertical="center" wrapText="1"/>
    </xf>
  </cellXfs>
  <cellStyles count="11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  <cellStyle name="Фінансови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.7%20&#1030;&#1085;&#1074;&#1077;&#1089;&#1090;.&#1087;&#1088;&#1086;&#1077;&#1082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</sheetNames>
    <sheetDataSet>
      <sheetData sheetId="0">
        <row r="10">
          <cell r="G10">
            <v>2185206.64</v>
          </cell>
        </row>
        <row r="16">
          <cell r="G16">
            <v>4129838.9699999997</v>
          </cell>
        </row>
        <row r="26">
          <cell r="G26">
            <v>362512.77</v>
          </cell>
        </row>
        <row r="32">
          <cell r="F32">
            <v>39753680.5</v>
          </cell>
          <cell r="G32">
            <v>6315045.6099999994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5"/>
  <sheetViews>
    <sheetView tabSelected="1" view="pageBreakPreview" zoomScale="80" zoomScaleNormal="90" zoomScaleSheetLayoutView="80" workbookViewId="0">
      <selection activeCell="G7" sqref="G7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5.5546875" style="3" customWidth="1"/>
    <col min="6" max="6" width="21.6640625" style="1" customWidth="1"/>
    <col min="7" max="7" width="22.109375" style="1" customWidth="1"/>
    <col min="8" max="8" width="15.1093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25" customFormat="1">
      <c r="A1" s="24"/>
      <c r="D1" s="26"/>
      <c r="E1" s="27"/>
      <c r="F1" s="28"/>
      <c r="G1" s="73" t="s">
        <v>220</v>
      </c>
      <c r="H1" s="73"/>
    </row>
    <row r="2" spans="1:8" s="25" customFormat="1">
      <c r="A2" s="24"/>
      <c r="D2" s="26"/>
      <c r="E2" s="27"/>
      <c r="F2" s="29"/>
      <c r="G2" s="52" t="s">
        <v>221</v>
      </c>
      <c r="H2" s="52"/>
    </row>
    <row r="3" spans="1:8" s="25" customFormat="1">
      <c r="A3" s="24"/>
      <c r="D3" s="26"/>
      <c r="E3" s="27"/>
      <c r="G3" s="73" t="s">
        <v>318</v>
      </c>
      <c r="H3" s="73"/>
    </row>
    <row r="4" spans="1:8" s="4" customFormat="1" ht="31.95" customHeight="1">
      <c r="A4" s="72" t="s">
        <v>266</v>
      </c>
      <c r="B4" s="72"/>
      <c r="C4" s="72"/>
      <c r="D4" s="72"/>
      <c r="E4" s="72"/>
      <c r="F4" s="72"/>
      <c r="G4" s="72"/>
      <c r="H4" s="72"/>
    </row>
    <row r="5" spans="1:8" s="4" customFormat="1" ht="21">
      <c r="A5" s="71">
        <v>1558900000</v>
      </c>
      <c r="B5" s="71"/>
      <c r="C5" s="6"/>
      <c r="D5" s="6"/>
      <c r="E5" s="6"/>
      <c r="F5" s="6"/>
      <c r="G5" s="6"/>
      <c r="H5" s="6"/>
    </row>
    <row r="6" spans="1:8" s="4" customFormat="1" ht="21">
      <c r="A6" s="7" t="s">
        <v>14</v>
      </c>
      <c r="B6" s="8"/>
      <c r="C6" s="6"/>
      <c r="D6" s="6"/>
      <c r="E6" s="6"/>
      <c r="F6" s="6"/>
      <c r="G6" s="5" t="s">
        <v>1</v>
      </c>
      <c r="H6" s="6"/>
    </row>
    <row r="7" spans="1:8" ht="92.4">
      <c r="A7" s="22" t="s">
        <v>2</v>
      </c>
      <c r="B7" s="22" t="s">
        <v>3</v>
      </c>
      <c r="C7" s="22" t="s">
        <v>4</v>
      </c>
      <c r="D7" s="10" t="s">
        <v>5</v>
      </c>
      <c r="E7" s="10" t="s">
        <v>6</v>
      </c>
      <c r="F7" s="10" t="s">
        <v>319</v>
      </c>
      <c r="G7" s="10" t="s">
        <v>320</v>
      </c>
      <c r="H7" s="10" t="s">
        <v>0</v>
      </c>
    </row>
    <row r="8" spans="1:8">
      <c r="A8" s="23">
        <v>1</v>
      </c>
      <c r="B8" s="23">
        <v>2</v>
      </c>
      <c r="C8" s="23">
        <v>3</v>
      </c>
      <c r="D8" s="11">
        <v>4</v>
      </c>
      <c r="E8" s="11">
        <v>5</v>
      </c>
      <c r="F8" s="11">
        <v>6</v>
      </c>
      <c r="G8" s="12" t="s">
        <v>13</v>
      </c>
      <c r="H8" s="11">
        <v>8</v>
      </c>
    </row>
    <row r="9" spans="1:8">
      <c r="A9" s="18" t="s">
        <v>15</v>
      </c>
      <c r="B9" s="18"/>
      <c r="C9" s="18"/>
      <c r="D9" s="67" t="s">
        <v>97</v>
      </c>
      <c r="E9" s="68"/>
      <c r="F9" s="42">
        <f t="shared" ref="F9:G9" si="0">F10</f>
        <v>3135300</v>
      </c>
      <c r="G9" s="42">
        <f t="shared" si="0"/>
        <v>1237580</v>
      </c>
      <c r="H9" s="30">
        <f>G9/F9</f>
        <v>0.39472458775874719</v>
      </c>
    </row>
    <row r="10" spans="1:8">
      <c r="A10" s="18" t="s">
        <v>16</v>
      </c>
      <c r="B10" s="19"/>
      <c r="C10" s="19"/>
      <c r="D10" s="67" t="s">
        <v>97</v>
      </c>
      <c r="E10" s="68"/>
      <c r="F10" s="42">
        <f>F11+F14+F15+F16+F17</f>
        <v>3135300</v>
      </c>
      <c r="G10" s="42">
        <f>G11+G14+G15+G16+G17</f>
        <v>1237580</v>
      </c>
      <c r="H10" s="30">
        <f t="shared" ref="H10:H71" si="1">G10/F10</f>
        <v>0.39472458775874719</v>
      </c>
    </row>
    <row r="11" spans="1:8" ht="90">
      <c r="A11" s="13" t="s">
        <v>17</v>
      </c>
      <c r="B11" s="13" t="s">
        <v>18</v>
      </c>
      <c r="C11" s="14" t="s">
        <v>19</v>
      </c>
      <c r="D11" s="15" t="s">
        <v>20</v>
      </c>
      <c r="E11" s="16" t="s">
        <v>31</v>
      </c>
      <c r="F11" s="43">
        <f>F12+F13</f>
        <v>1144000</v>
      </c>
      <c r="G11" s="43">
        <f>G12+G13</f>
        <v>271260</v>
      </c>
      <c r="H11" s="31">
        <f t="shared" si="1"/>
        <v>0.23711538461538462</v>
      </c>
    </row>
    <row r="12" spans="1:8">
      <c r="A12" s="33"/>
      <c r="B12" s="33"/>
      <c r="C12" s="34"/>
      <c r="D12" s="35"/>
      <c r="E12" s="36" t="s">
        <v>267</v>
      </c>
      <c r="F12" s="44">
        <f>490000+554000</f>
        <v>1044000</v>
      </c>
      <c r="G12" s="44">
        <v>271260</v>
      </c>
      <c r="H12" s="31">
        <f t="shared" si="1"/>
        <v>0.25982758620689655</v>
      </c>
    </row>
    <row r="13" spans="1:8">
      <c r="A13" s="33"/>
      <c r="B13" s="33"/>
      <c r="C13" s="33"/>
      <c r="D13" s="36"/>
      <c r="E13" s="36" t="s">
        <v>268</v>
      </c>
      <c r="F13" s="44">
        <v>100000</v>
      </c>
      <c r="G13" s="63"/>
      <c r="H13" s="31">
        <f t="shared" si="1"/>
        <v>0</v>
      </c>
    </row>
    <row r="14" spans="1:8" ht="126">
      <c r="A14" s="13" t="s">
        <v>130</v>
      </c>
      <c r="B14" s="13" t="s">
        <v>131</v>
      </c>
      <c r="C14" s="14" t="s">
        <v>22</v>
      </c>
      <c r="D14" s="15" t="s">
        <v>23</v>
      </c>
      <c r="E14" s="37" t="s">
        <v>132</v>
      </c>
      <c r="F14" s="43">
        <v>950000</v>
      </c>
      <c r="G14" s="63"/>
      <c r="H14" s="31">
        <f t="shared" si="1"/>
        <v>0</v>
      </c>
    </row>
    <row r="15" spans="1:8">
      <c r="A15" s="13" t="s">
        <v>226</v>
      </c>
      <c r="B15" s="13" t="s">
        <v>223</v>
      </c>
      <c r="C15" s="53" t="s">
        <v>224</v>
      </c>
      <c r="D15" s="15" t="s">
        <v>228</v>
      </c>
      <c r="E15" s="37" t="s">
        <v>21</v>
      </c>
      <c r="F15" s="43">
        <v>27300</v>
      </c>
      <c r="G15" s="43">
        <v>27300</v>
      </c>
      <c r="H15" s="31">
        <f t="shared" si="1"/>
        <v>1</v>
      </c>
    </row>
    <row r="16" spans="1:8" ht="54">
      <c r="A16" s="13" t="s">
        <v>269</v>
      </c>
      <c r="B16" s="13" t="s">
        <v>270</v>
      </c>
      <c r="C16" s="53" t="s">
        <v>271</v>
      </c>
      <c r="D16" s="15" t="s">
        <v>272</v>
      </c>
      <c r="E16" s="37" t="s">
        <v>21</v>
      </c>
      <c r="F16" s="43">
        <v>70000</v>
      </c>
      <c r="G16" s="43">
        <v>68900</v>
      </c>
      <c r="H16" s="31">
        <f t="shared" si="1"/>
        <v>0.98428571428571432</v>
      </c>
    </row>
    <row r="17" spans="1:8" ht="36">
      <c r="A17" s="13" t="s">
        <v>222</v>
      </c>
      <c r="B17" s="13" t="s">
        <v>273</v>
      </c>
      <c r="C17" s="53" t="s">
        <v>225</v>
      </c>
      <c r="D17" s="15" t="s">
        <v>227</v>
      </c>
      <c r="E17" s="37" t="s">
        <v>21</v>
      </c>
      <c r="F17" s="43">
        <f>1300000-250000-106000</f>
        <v>944000</v>
      </c>
      <c r="G17" s="43">
        <v>870120</v>
      </c>
      <c r="H17" s="31">
        <f t="shared" si="1"/>
        <v>0.92173728813559319</v>
      </c>
    </row>
    <row r="18" spans="1:8">
      <c r="A18" s="18" t="s">
        <v>7</v>
      </c>
      <c r="B18" s="19" t="s">
        <v>133</v>
      </c>
      <c r="C18" s="19" t="s">
        <v>133</v>
      </c>
      <c r="D18" s="67" t="s">
        <v>134</v>
      </c>
      <c r="E18" s="68"/>
      <c r="F18" s="42">
        <f>F19</f>
        <v>23447596</v>
      </c>
      <c r="G18" s="42">
        <f>G19</f>
        <v>758161.42</v>
      </c>
      <c r="H18" s="30">
        <f t="shared" si="1"/>
        <v>3.2334292180742109E-2</v>
      </c>
    </row>
    <row r="19" spans="1:8">
      <c r="A19" s="18" t="s">
        <v>8</v>
      </c>
      <c r="B19" s="19" t="s">
        <v>133</v>
      </c>
      <c r="C19" s="19" t="s">
        <v>133</v>
      </c>
      <c r="D19" s="67" t="s">
        <v>134</v>
      </c>
      <c r="E19" s="68"/>
      <c r="F19" s="42">
        <f>F20+F21+F25+F28+F29</f>
        <v>23447596</v>
      </c>
      <c r="G19" s="42">
        <f>G20+G21+G25+G28+G29</f>
        <v>758161.42</v>
      </c>
      <c r="H19" s="30">
        <f t="shared" si="1"/>
        <v>3.2334292180742109E-2</v>
      </c>
    </row>
    <row r="20" spans="1:8">
      <c r="A20" s="13" t="s">
        <v>274</v>
      </c>
      <c r="B20" s="13" t="s">
        <v>275</v>
      </c>
      <c r="C20" s="14" t="s">
        <v>276</v>
      </c>
      <c r="D20" s="15" t="s">
        <v>277</v>
      </c>
      <c r="E20" s="37" t="s">
        <v>21</v>
      </c>
      <c r="F20" s="43">
        <f>1600000+1120000+150000+1650000+1500000+1650000</f>
        <v>7670000</v>
      </c>
      <c r="G20" s="63"/>
      <c r="H20" s="31">
        <f t="shared" si="1"/>
        <v>0</v>
      </c>
    </row>
    <row r="21" spans="1:8" ht="54">
      <c r="A21" s="13" t="s">
        <v>28</v>
      </c>
      <c r="B21" s="13" t="s">
        <v>29</v>
      </c>
      <c r="C21" s="14" t="s">
        <v>30</v>
      </c>
      <c r="D21" s="15" t="s">
        <v>135</v>
      </c>
      <c r="E21" s="37" t="s">
        <v>31</v>
      </c>
      <c r="F21" s="43">
        <f>F22+F23+F24</f>
        <v>11013596</v>
      </c>
      <c r="G21" s="43">
        <f>G22+G23+G24</f>
        <v>758161.42</v>
      </c>
      <c r="H21" s="31">
        <f t="shared" si="1"/>
        <v>6.8838680845021011E-2</v>
      </c>
    </row>
    <row r="22" spans="1:8" ht="144">
      <c r="A22" s="13"/>
      <c r="B22" s="13"/>
      <c r="C22" s="14"/>
      <c r="D22" s="15"/>
      <c r="E22" s="37" t="s">
        <v>136</v>
      </c>
      <c r="F22" s="43">
        <f>1486596+450000</f>
        <v>1936596</v>
      </c>
      <c r="G22" s="43">
        <v>559361.42000000004</v>
      </c>
      <c r="H22" s="31">
        <f t="shared" si="1"/>
        <v>0.28883743434355952</v>
      </c>
    </row>
    <row r="23" spans="1:8" ht="144">
      <c r="A23" s="13"/>
      <c r="B23" s="13"/>
      <c r="C23" s="14"/>
      <c r="D23" s="15"/>
      <c r="E23" s="37" t="s">
        <v>278</v>
      </c>
      <c r="F23" s="43">
        <v>1145000</v>
      </c>
      <c r="G23" s="63"/>
      <c r="H23" s="31">
        <f t="shared" si="1"/>
        <v>0</v>
      </c>
    </row>
    <row r="24" spans="1:8">
      <c r="A24" s="13"/>
      <c r="B24" s="13"/>
      <c r="C24" s="14"/>
      <c r="D24" s="15"/>
      <c r="E24" s="37" t="s">
        <v>21</v>
      </c>
      <c r="F24" s="43">
        <v>7932000</v>
      </c>
      <c r="G24" s="43">
        <v>198800</v>
      </c>
      <c r="H24" s="31">
        <f t="shared" si="1"/>
        <v>2.5063035804336862E-2</v>
      </c>
    </row>
    <row r="25" spans="1:8" ht="108">
      <c r="A25" s="13" t="s">
        <v>279</v>
      </c>
      <c r="B25" s="13" t="s">
        <v>280</v>
      </c>
      <c r="C25" s="14" t="s">
        <v>281</v>
      </c>
      <c r="D25" s="15" t="s">
        <v>282</v>
      </c>
      <c r="E25" s="37" t="s">
        <v>31</v>
      </c>
      <c r="F25" s="43">
        <f>F26+F27</f>
        <v>2915000</v>
      </c>
      <c r="G25" s="43">
        <f>G26+G27</f>
        <v>0</v>
      </c>
      <c r="H25" s="31">
        <f t="shared" si="1"/>
        <v>0</v>
      </c>
    </row>
    <row r="26" spans="1:8" ht="126">
      <c r="A26" s="13"/>
      <c r="B26" s="13"/>
      <c r="C26" s="14"/>
      <c r="D26" s="15"/>
      <c r="E26" s="37" t="s">
        <v>283</v>
      </c>
      <c r="F26" s="43">
        <v>515000</v>
      </c>
      <c r="G26" s="63"/>
      <c r="H26" s="31">
        <f t="shared" si="1"/>
        <v>0</v>
      </c>
    </row>
    <row r="27" spans="1:8">
      <c r="A27" s="13"/>
      <c r="B27" s="13"/>
      <c r="C27" s="14"/>
      <c r="D27" s="15"/>
      <c r="E27" s="37" t="s">
        <v>21</v>
      </c>
      <c r="F27" s="43">
        <v>2400000</v>
      </c>
      <c r="G27" s="63"/>
      <c r="H27" s="31">
        <f t="shared" si="1"/>
        <v>0</v>
      </c>
    </row>
    <row r="28" spans="1:8" ht="54">
      <c r="A28" s="13" t="s">
        <v>284</v>
      </c>
      <c r="B28" s="13">
        <v>1160</v>
      </c>
      <c r="C28" s="14" t="s">
        <v>285</v>
      </c>
      <c r="D28" s="15" t="s">
        <v>286</v>
      </c>
      <c r="E28" s="37" t="s">
        <v>21</v>
      </c>
      <c r="F28" s="43">
        <v>849000</v>
      </c>
      <c r="G28" s="63"/>
      <c r="H28" s="31">
        <f t="shared" si="1"/>
        <v>0</v>
      </c>
    </row>
    <row r="29" spans="1:8" ht="54">
      <c r="A29" s="13" t="s">
        <v>287</v>
      </c>
      <c r="B29" s="13">
        <v>8110</v>
      </c>
      <c r="C29" s="14" t="s">
        <v>112</v>
      </c>
      <c r="D29" s="15" t="s">
        <v>107</v>
      </c>
      <c r="E29" s="37" t="s">
        <v>21</v>
      </c>
      <c r="F29" s="43">
        <v>1000000</v>
      </c>
      <c r="G29" s="63"/>
      <c r="H29" s="31">
        <f t="shared" si="1"/>
        <v>0</v>
      </c>
    </row>
    <row r="30" spans="1:8">
      <c r="A30" s="18" t="s">
        <v>137</v>
      </c>
      <c r="B30" s="19" t="s">
        <v>133</v>
      </c>
      <c r="C30" s="19" t="s">
        <v>133</v>
      </c>
      <c r="D30" s="67" t="s">
        <v>138</v>
      </c>
      <c r="E30" s="68"/>
      <c r="F30" s="42">
        <f>F31</f>
        <v>13579841</v>
      </c>
      <c r="G30" s="42">
        <f>G31</f>
        <v>4653291.82</v>
      </c>
      <c r="H30" s="30">
        <f t="shared" si="1"/>
        <v>0.34266173072276768</v>
      </c>
    </row>
    <row r="31" spans="1:8">
      <c r="A31" s="18" t="s">
        <v>139</v>
      </c>
      <c r="B31" s="19" t="s">
        <v>133</v>
      </c>
      <c r="C31" s="19" t="s">
        <v>133</v>
      </c>
      <c r="D31" s="67" t="s">
        <v>138</v>
      </c>
      <c r="E31" s="68"/>
      <c r="F31" s="42">
        <f>F32+F33+F34+F35+F36+F37+F38</f>
        <v>13579841</v>
      </c>
      <c r="G31" s="42">
        <f>G32+G33+G34+G35+G36+G37+G38</f>
        <v>4653291.82</v>
      </c>
      <c r="H31" s="30">
        <f t="shared" si="1"/>
        <v>0.34266173072276768</v>
      </c>
    </row>
    <row r="32" spans="1:8" ht="54">
      <c r="A32" s="13" t="s">
        <v>140</v>
      </c>
      <c r="B32" s="13" t="s">
        <v>121</v>
      </c>
      <c r="C32" s="14" t="s">
        <v>19</v>
      </c>
      <c r="D32" s="15" t="s">
        <v>122</v>
      </c>
      <c r="E32" s="37" t="s">
        <v>21</v>
      </c>
      <c r="F32" s="43">
        <v>400000</v>
      </c>
      <c r="G32" s="55">
        <v>59460</v>
      </c>
      <c r="H32" s="31">
        <f t="shared" si="1"/>
        <v>0.14865</v>
      </c>
    </row>
    <row r="33" spans="1:8" ht="72">
      <c r="A33" s="13" t="s">
        <v>141</v>
      </c>
      <c r="B33" s="13" t="s">
        <v>142</v>
      </c>
      <c r="C33" s="14" t="s">
        <v>143</v>
      </c>
      <c r="D33" s="15" t="s">
        <v>144</v>
      </c>
      <c r="E33" s="37" t="s">
        <v>21</v>
      </c>
      <c r="F33" s="43">
        <v>88000</v>
      </c>
      <c r="G33" s="55"/>
      <c r="H33" s="31">
        <f t="shared" si="1"/>
        <v>0</v>
      </c>
    </row>
    <row r="34" spans="1:8" ht="36">
      <c r="A34" s="13" t="s">
        <v>145</v>
      </c>
      <c r="B34" s="13" t="s">
        <v>146</v>
      </c>
      <c r="C34" s="14" t="s">
        <v>147</v>
      </c>
      <c r="D34" s="15" t="s">
        <v>148</v>
      </c>
      <c r="E34" s="37" t="s">
        <v>21</v>
      </c>
      <c r="F34" s="43">
        <v>84500</v>
      </c>
      <c r="G34" s="55"/>
      <c r="H34" s="31">
        <f t="shared" si="1"/>
        <v>0</v>
      </c>
    </row>
    <row r="35" spans="1:8">
      <c r="A35" s="13" t="s">
        <v>229</v>
      </c>
      <c r="B35" s="13" t="s">
        <v>232</v>
      </c>
      <c r="C35" s="13" t="s">
        <v>288</v>
      </c>
      <c r="D35" s="74" t="s">
        <v>235</v>
      </c>
      <c r="E35" s="75"/>
      <c r="F35" s="55">
        <v>3280161</v>
      </c>
      <c r="G35" s="55"/>
      <c r="H35" s="31">
        <f t="shared" si="1"/>
        <v>0</v>
      </c>
    </row>
    <row r="36" spans="1:8">
      <c r="A36" s="13" t="s">
        <v>230</v>
      </c>
      <c r="B36" s="13" t="s">
        <v>233</v>
      </c>
      <c r="C36" s="13" t="s">
        <v>288</v>
      </c>
      <c r="D36" s="74" t="s">
        <v>236</v>
      </c>
      <c r="E36" s="75"/>
      <c r="F36" s="55">
        <v>6486648</v>
      </c>
      <c r="G36" s="55">
        <v>2353299.9500000002</v>
      </c>
      <c r="H36" s="31">
        <f t="shared" si="1"/>
        <v>0.3627913754530846</v>
      </c>
    </row>
    <row r="37" spans="1:8">
      <c r="A37" s="13" t="s">
        <v>231</v>
      </c>
      <c r="B37" s="13" t="s">
        <v>234</v>
      </c>
      <c r="C37" s="13" t="s">
        <v>288</v>
      </c>
      <c r="D37" s="69" t="s">
        <v>237</v>
      </c>
      <c r="E37" s="70"/>
      <c r="F37" s="55">
        <v>2240532</v>
      </c>
      <c r="G37" s="55">
        <v>2240531.87</v>
      </c>
      <c r="H37" s="31">
        <f t="shared" si="1"/>
        <v>0.99999994197806596</v>
      </c>
    </row>
    <row r="38" spans="1:8" ht="126">
      <c r="A38" s="13" t="s">
        <v>149</v>
      </c>
      <c r="B38" s="13">
        <v>6083</v>
      </c>
      <c r="C38" s="14" t="s">
        <v>32</v>
      </c>
      <c r="D38" s="15" t="s">
        <v>150</v>
      </c>
      <c r="E38" s="37" t="s">
        <v>151</v>
      </c>
      <c r="F38" s="43">
        <v>1000000</v>
      </c>
      <c r="G38" s="63"/>
      <c r="H38" s="31">
        <f t="shared" si="1"/>
        <v>0</v>
      </c>
    </row>
    <row r="39" spans="1:8">
      <c r="A39" s="18" t="s">
        <v>289</v>
      </c>
      <c r="B39" s="19" t="s">
        <v>133</v>
      </c>
      <c r="C39" s="19" t="s">
        <v>133</v>
      </c>
      <c r="D39" s="67" t="s">
        <v>290</v>
      </c>
      <c r="E39" s="68"/>
      <c r="F39" s="42">
        <f>F40</f>
        <v>35000</v>
      </c>
      <c r="G39" s="42">
        <f>G40</f>
        <v>35000</v>
      </c>
      <c r="H39" s="30">
        <f t="shared" si="1"/>
        <v>1</v>
      </c>
    </row>
    <row r="40" spans="1:8">
      <c r="A40" s="18" t="s">
        <v>291</v>
      </c>
      <c r="B40" s="19" t="s">
        <v>133</v>
      </c>
      <c r="C40" s="19" t="s">
        <v>133</v>
      </c>
      <c r="D40" s="67" t="s">
        <v>290</v>
      </c>
      <c r="E40" s="68"/>
      <c r="F40" s="42">
        <f>F41</f>
        <v>35000</v>
      </c>
      <c r="G40" s="42">
        <f>G41</f>
        <v>35000</v>
      </c>
      <c r="H40" s="30">
        <f t="shared" si="1"/>
        <v>1</v>
      </c>
    </row>
    <row r="41" spans="1:8" ht="54">
      <c r="A41" s="13" t="s">
        <v>292</v>
      </c>
      <c r="B41" s="13" t="s">
        <v>121</v>
      </c>
      <c r="C41" s="14" t="s">
        <v>19</v>
      </c>
      <c r="D41" s="15" t="s">
        <v>122</v>
      </c>
      <c r="E41" s="37" t="s">
        <v>21</v>
      </c>
      <c r="F41" s="43">
        <v>35000</v>
      </c>
      <c r="G41" s="43">
        <v>35000</v>
      </c>
      <c r="H41" s="31">
        <f t="shared" si="1"/>
        <v>1</v>
      </c>
    </row>
    <row r="42" spans="1:8">
      <c r="A42" s="18" t="s">
        <v>113</v>
      </c>
      <c r="B42" s="19" t="s">
        <v>133</v>
      </c>
      <c r="C42" s="19" t="s">
        <v>133</v>
      </c>
      <c r="D42" s="67" t="s">
        <v>152</v>
      </c>
      <c r="E42" s="68"/>
      <c r="F42" s="42">
        <f>F43</f>
        <v>94000</v>
      </c>
      <c r="G42" s="42">
        <f>G43</f>
        <v>94000</v>
      </c>
      <c r="H42" s="30">
        <f t="shared" si="1"/>
        <v>1</v>
      </c>
    </row>
    <row r="43" spans="1:8">
      <c r="A43" s="18" t="s">
        <v>114</v>
      </c>
      <c r="B43" s="19" t="s">
        <v>133</v>
      </c>
      <c r="C43" s="19" t="s">
        <v>133</v>
      </c>
      <c r="D43" s="67" t="s">
        <v>152</v>
      </c>
      <c r="E43" s="68"/>
      <c r="F43" s="42">
        <f>F44+F45</f>
        <v>94000</v>
      </c>
      <c r="G43" s="42">
        <f>G44+G45</f>
        <v>94000</v>
      </c>
      <c r="H43" s="30">
        <f t="shared" si="1"/>
        <v>1</v>
      </c>
    </row>
    <row r="44" spans="1:8">
      <c r="A44" s="13" t="s">
        <v>153</v>
      </c>
      <c r="B44" s="13" t="s">
        <v>154</v>
      </c>
      <c r="C44" s="14" t="s">
        <v>155</v>
      </c>
      <c r="D44" s="15" t="s">
        <v>156</v>
      </c>
      <c r="E44" s="37" t="s">
        <v>21</v>
      </c>
      <c r="F44" s="43">
        <v>74000</v>
      </c>
      <c r="G44" s="43">
        <v>74000</v>
      </c>
      <c r="H44" s="31">
        <f t="shared" si="1"/>
        <v>1</v>
      </c>
    </row>
    <row r="45" spans="1:8" ht="54">
      <c r="A45" s="13" t="s">
        <v>157</v>
      </c>
      <c r="B45" s="13" t="s">
        <v>158</v>
      </c>
      <c r="C45" s="14" t="s">
        <v>159</v>
      </c>
      <c r="D45" s="15" t="s">
        <v>160</v>
      </c>
      <c r="E45" s="37" t="s">
        <v>21</v>
      </c>
      <c r="F45" s="43">
        <v>20000</v>
      </c>
      <c r="G45" s="43">
        <v>20000</v>
      </c>
      <c r="H45" s="31">
        <f t="shared" si="1"/>
        <v>1</v>
      </c>
    </row>
    <row r="46" spans="1:8">
      <c r="A46" s="18" t="s">
        <v>117</v>
      </c>
      <c r="B46" s="19" t="s">
        <v>133</v>
      </c>
      <c r="C46" s="19" t="s">
        <v>133</v>
      </c>
      <c r="D46" s="67" t="s">
        <v>118</v>
      </c>
      <c r="E46" s="68"/>
      <c r="F46" s="42">
        <f>F47</f>
        <v>171000</v>
      </c>
      <c r="G46" s="42">
        <f>G47</f>
        <v>99950</v>
      </c>
      <c r="H46" s="30">
        <f t="shared" si="1"/>
        <v>0.58450292397660819</v>
      </c>
    </row>
    <row r="47" spans="1:8">
      <c r="A47" s="18" t="s">
        <v>119</v>
      </c>
      <c r="B47" s="19" t="s">
        <v>133</v>
      </c>
      <c r="C47" s="19" t="s">
        <v>133</v>
      </c>
      <c r="D47" s="67" t="s">
        <v>118</v>
      </c>
      <c r="E47" s="68"/>
      <c r="F47" s="42">
        <f>F48</f>
        <v>171000</v>
      </c>
      <c r="G47" s="42">
        <f>G48</f>
        <v>99950</v>
      </c>
      <c r="H47" s="30">
        <f t="shared" si="1"/>
        <v>0.58450292397660819</v>
      </c>
    </row>
    <row r="48" spans="1:8" ht="54">
      <c r="A48" s="13" t="s">
        <v>120</v>
      </c>
      <c r="B48" s="13" t="s">
        <v>121</v>
      </c>
      <c r="C48" s="14" t="s">
        <v>19</v>
      </c>
      <c r="D48" s="15" t="s">
        <v>122</v>
      </c>
      <c r="E48" s="37" t="s">
        <v>21</v>
      </c>
      <c r="F48" s="43">
        <f>50000+121000</f>
        <v>171000</v>
      </c>
      <c r="G48" s="43">
        <v>99950</v>
      </c>
      <c r="H48" s="31">
        <f t="shared" si="1"/>
        <v>0.58450292397660819</v>
      </c>
    </row>
    <row r="49" spans="1:10">
      <c r="A49" s="18" t="s">
        <v>33</v>
      </c>
      <c r="B49" s="19" t="s">
        <v>133</v>
      </c>
      <c r="C49" s="19" t="s">
        <v>133</v>
      </c>
      <c r="D49" s="67" t="s">
        <v>161</v>
      </c>
      <c r="E49" s="68"/>
      <c r="F49" s="42">
        <f>F50</f>
        <v>19441342.880000003</v>
      </c>
      <c r="G49" s="42">
        <f>G50</f>
        <v>3667441.5</v>
      </c>
      <c r="H49" s="30">
        <f t="shared" si="1"/>
        <v>0.18864136714407864</v>
      </c>
      <c r="J49" s="9">
        <f>G49+'[1]2023'!$G$10-5852648.14</f>
        <v>0</v>
      </c>
    </row>
    <row r="50" spans="1:10">
      <c r="A50" s="18" t="s">
        <v>34</v>
      </c>
      <c r="B50" s="19" t="s">
        <v>133</v>
      </c>
      <c r="C50" s="19" t="s">
        <v>133</v>
      </c>
      <c r="D50" s="67" t="s">
        <v>161</v>
      </c>
      <c r="E50" s="68"/>
      <c r="F50" s="42">
        <f>F51+F52+F75+F81+F95+F98</f>
        <v>19441342.880000003</v>
      </c>
      <c r="G50" s="42">
        <f>G51+G52+G75+G81+G95+G98</f>
        <v>3667441.5</v>
      </c>
      <c r="H50" s="30">
        <f t="shared" si="1"/>
        <v>0.18864136714407864</v>
      </c>
    </row>
    <row r="51" spans="1:10" ht="54">
      <c r="A51" s="13" t="s">
        <v>162</v>
      </c>
      <c r="B51" s="13" t="s">
        <v>121</v>
      </c>
      <c r="C51" s="14" t="s">
        <v>19</v>
      </c>
      <c r="D51" s="15" t="s">
        <v>122</v>
      </c>
      <c r="E51" s="37" t="s">
        <v>21</v>
      </c>
      <c r="F51" s="43">
        <v>199800</v>
      </c>
      <c r="G51" s="43">
        <v>108000</v>
      </c>
      <c r="H51" s="31">
        <f t="shared" si="1"/>
        <v>0.54054054054054057</v>
      </c>
    </row>
    <row r="52" spans="1:10" ht="36">
      <c r="A52" s="13">
        <v>1216011</v>
      </c>
      <c r="B52" s="13">
        <v>6011</v>
      </c>
      <c r="C52" s="14" t="s">
        <v>32</v>
      </c>
      <c r="D52" s="15" t="s">
        <v>35</v>
      </c>
      <c r="E52" s="37" t="s">
        <v>31</v>
      </c>
      <c r="F52" s="43">
        <f>SUM(F53:F65)</f>
        <v>11676258.07</v>
      </c>
      <c r="G52" s="43">
        <f>SUM(G53:G65)</f>
        <v>618739.96</v>
      </c>
      <c r="H52" s="31">
        <f t="shared" si="1"/>
        <v>5.2991288501042864E-2</v>
      </c>
      <c r="J52" s="9">
        <f>G52-618739.96</f>
        <v>0</v>
      </c>
    </row>
    <row r="53" spans="1:10" ht="216">
      <c r="A53" s="13"/>
      <c r="B53" s="13"/>
      <c r="C53" s="14"/>
      <c r="D53" s="15"/>
      <c r="E53" s="37" t="s">
        <v>163</v>
      </c>
      <c r="F53" s="43">
        <v>598000</v>
      </c>
      <c r="G53" s="43">
        <v>108324.96</v>
      </c>
      <c r="H53" s="31">
        <f t="shared" si="1"/>
        <v>0.18114541806020068</v>
      </c>
    </row>
    <row r="54" spans="1:10" ht="108">
      <c r="A54" s="13"/>
      <c r="B54" s="13"/>
      <c r="C54" s="14"/>
      <c r="D54" s="15"/>
      <c r="E54" s="37" t="s">
        <v>293</v>
      </c>
      <c r="F54" s="43">
        <v>300000</v>
      </c>
      <c r="G54" s="63"/>
      <c r="H54" s="31">
        <f t="shared" si="1"/>
        <v>0</v>
      </c>
    </row>
    <row r="55" spans="1:10" ht="108">
      <c r="A55" s="13"/>
      <c r="B55" s="13"/>
      <c r="C55" s="14"/>
      <c r="D55" s="15"/>
      <c r="E55" s="37" t="s">
        <v>294</v>
      </c>
      <c r="F55" s="43">
        <v>300000</v>
      </c>
      <c r="G55" s="63"/>
      <c r="H55" s="31">
        <f t="shared" si="1"/>
        <v>0</v>
      </c>
    </row>
    <row r="56" spans="1:10" ht="72">
      <c r="A56" s="13"/>
      <c r="B56" s="13"/>
      <c r="C56" s="14"/>
      <c r="D56" s="15"/>
      <c r="E56" s="37" t="s">
        <v>295</v>
      </c>
      <c r="F56" s="43">
        <v>200000</v>
      </c>
      <c r="G56" s="63"/>
      <c r="H56" s="31">
        <f t="shared" si="1"/>
        <v>0</v>
      </c>
    </row>
    <row r="57" spans="1:10" ht="72">
      <c r="A57" s="13"/>
      <c r="B57" s="13"/>
      <c r="C57" s="14"/>
      <c r="D57" s="15"/>
      <c r="E57" s="37" t="s">
        <v>296</v>
      </c>
      <c r="F57" s="43">
        <v>125000</v>
      </c>
      <c r="G57" s="63"/>
      <c r="H57" s="31">
        <f t="shared" si="1"/>
        <v>0</v>
      </c>
    </row>
    <row r="58" spans="1:10" ht="54">
      <c r="A58" s="13"/>
      <c r="B58" s="13"/>
      <c r="C58" s="14"/>
      <c r="D58" s="15"/>
      <c r="E58" s="37" t="s">
        <v>48</v>
      </c>
      <c r="F58" s="43">
        <v>550000</v>
      </c>
      <c r="G58" s="43">
        <v>160948.6</v>
      </c>
      <c r="H58" s="31">
        <f t="shared" si="1"/>
        <v>0.29263381818181822</v>
      </c>
    </row>
    <row r="59" spans="1:10" ht="54">
      <c r="A59" s="13"/>
      <c r="B59" s="13"/>
      <c r="C59" s="14"/>
      <c r="D59" s="15"/>
      <c r="E59" s="15" t="s">
        <v>297</v>
      </c>
      <c r="F59" s="43">
        <v>48000</v>
      </c>
      <c r="G59" s="63"/>
      <c r="H59" s="31">
        <f t="shared" si="1"/>
        <v>0</v>
      </c>
    </row>
    <row r="60" spans="1:10" ht="54">
      <c r="A60" s="13"/>
      <c r="B60" s="13"/>
      <c r="C60" s="14"/>
      <c r="D60" s="15"/>
      <c r="E60" s="15" t="s">
        <v>298</v>
      </c>
      <c r="F60" s="43">
        <v>1452000</v>
      </c>
      <c r="G60" s="63"/>
      <c r="H60" s="31">
        <f t="shared" si="1"/>
        <v>0</v>
      </c>
    </row>
    <row r="61" spans="1:10" ht="54">
      <c r="A61" s="13"/>
      <c r="B61" s="13"/>
      <c r="C61" s="14"/>
      <c r="D61" s="15"/>
      <c r="E61" s="37" t="s">
        <v>44</v>
      </c>
      <c r="F61" s="43">
        <v>100000</v>
      </c>
      <c r="G61" s="63"/>
      <c r="H61" s="31">
        <f t="shared" si="1"/>
        <v>0</v>
      </c>
    </row>
    <row r="62" spans="1:10" ht="54">
      <c r="A62" s="13"/>
      <c r="B62" s="13"/>
      <c r="C62" s="14"/>
      <c r="D62" s="15"/>
      <c r="E62" s="15" t="s">
        <v>299</v>
      </c>
      <c r="F62" s="43">
        <v>800000</v>
      </c>
      <c r="G62" s="63"/>
      <c r="H62" s="31">
        <f t="shared" si="1"/>
        <v>0</v>
      </c>
    </row>
    <row r="63" spans="1:10" ht="54">
      <c r="A63" s="13"/>
      <c r="B63" s="13"/>
      <c r="C63" s="14"/>
      <c r="D63" s="15"/>
      <c r="E63" s="37" t="s">
        <v>50</v>
      </c>
      <c r="F63" s="43">
        <v>140707</v>
      </c>
      <c r="G63" s="63"/>
      <c r="H63" s="31">
        <f t="shared" si="1"/>
        <v>0</v>
      </c>
    </row>
    <row r="64" spans="1:10">
      <c r="A64" s="13"/>
      <c r="B64" s="13"/>
      <c r="C64" s="14"/>
      <c r="D64" s="15"/>
      <c r="E64" s="37" t="s">
        <v>51</v>
      </c>
      <c r="F64" s="43">
        <v>4230600</v>
      </c>
      <c r="G64" s="43"/>
      <c r="H64" s="31">
        <f t="shared" si="1"/>
        <v>0</v>
      </c>
    </row>
    <row r="65" spans="1:10" ht="108">
      <c r="A65" s="13"/>
      <c r="B65" s="13"/>
      <c r="C65" s="14"/>
      <c r="D65" s="15"/>
      <c r="E65" s="37" t="s">
        <v>164</v>
      </c>
      <c r="F65" s="43">
        <f>SUM(F66:F74)</f>
        <v>2831951.0700000003</v>
      </c>
      <c r="G65" s="43">
        <f>SUM(G66:G74)</f>
        <v>349466.4</v>
      </c>
      <c r="H65" s="31">
        <f t="shared" si="1"/>
        <v>0.12340128461329665</v>
      </c>
    </row>
    <row r="66" spans="1:10" ht="72">
      <c r="A66" s="33"/>
      <c r="B66" s="33"/>
      <c r="C66" s="34"/>
      <c r="D66" s="35"/>
      <c r="E66" s="38" t="s">
        <v>165</v>
      </c>
      <c r="F66" s="44">
        <f>152934.75+19116.85</f>
        <v>172051.6</v>
      </c>
      <c r="G66" s="63"/>
      <c r="H66" s="31">
        <f t="shared" si="1"/>
        <v>0</v>
      </c>
    </row>
    <row r="67" spans="1:10" ht="72">
      <c r="A67" s="33"/>
      <c r="B67" s="33"/>
      <c r="C67" s="34"/>
      <c r="D67" s="35"/>
      <c r="E67" s="38" t="s">
        <v>84</v>
      </c>
      <c r="F67" s="44">
        <f>373727.2+46715.9</f>
        <v>420443.10000000003</v>
      </c>
      <c r="G67" s="63"/>
      <c r="H67" s="31">
        <f t="shared" si="1"/>
        <v>0</v>
      </c>
    </row>
    <row r="68" spans="1:10" ht="90">
      <c r="A68" s="33"/>
      <c r="B68" s="33"/>
      <c r="C68" s="34"/>
      <c r="D68" s="35"/>
      <c r="E68" s="38" t="s">
        <v>166</v>
      </c>
      <c r="F68" s="44">
        <f>40000+5000</f>
        <v>45000</v>
      </c>
      <c r="G68" s="63"/>
      <c r="H68" s="31">
        <f t="shared" si="1"/>
        <v>0</v>
      </c>
    </row>
    <row r="69" spans="1:10" ht="90">
      <c r="A69" s="33"/>
      <c r="B69" s="33"/>
      <c r="C69" s="34"/>
      <c r="D69" s="35"/>
      <c r="E69" s="38" t="s">
        <v>85</v>
      </c>
      <c r="F69" s="44">
        <f>400000+50000</f>
        <v>450000</v>
      </c>
      <c r="G69" s="63"/>
      <c r="H69" s="31">
        <f t="shared" si="1"/>
        <v>0</v>
      </c>
    </row>
    <row r="70" spans="1:10" ht="72">
      <c r="A70" s="33"/>
      <c r="B70" s="33"/>
      <c r="C70" s="34"/>
      <c r="D70" s="35"/>
      <c r="E70" s="38" t="s">
        <v>238</v>
      </c>
      <c r="F70" s="44">
        <v>378000</v>
      </c>
      <c r="G70" s="44">
        <v>349466.4</v>
      </c>
      <c r="H70" s="31">
        <f t="shared" si="1"/>
        <v>0.92451428571428573</v>
      </c>
    </row>
    <row r="71" spans="1:10" ht="90">
      <c r="A71" s="33"/>
      <c r="B71" s="33"/>
      <c r="C71" s="34"/>
      <c r="D71" s="35"/>
      <c r="E71" s="38" t="s">
        <v>86</v>
      </c>
      <c r="F71" s="44">
        <f>27337.22+3417.16</f>
        <v>30754.38</v>
      </c>
      <c r="G71" s="63"/>
      <c r="H71" s="31">
        <f t="shared" si="1"/>
        <v>0</v>
      </c>
    </row>
    <row r="72" spans="1:10" ht="72">
      <c r="A72" s="33"/>
      <c r="B72" s="33"/>
      <c r="C72" s="34"/>
      <c r="D72" s="35"/>
      <c r="E72" s="38" t="s">
        <v>87</v>
      </c>
      <c r="F72" s="44">
        <f>379444.8+47430.6</f>
        <v>426875.39999999997</v>
      </c>
      <c r="G72" s="63"/>
      <c r="H72" s="31">
        <f t="shared" ref="H72:H135" si="2">G72/F72</f>
        <v>0</v>
      </c>
    </row>
    <row r="73" spans="1:10" ht="90">
      <c r="A73" s="33"/>
      <c r="B73" s="33"/>
      <c r="C73" s="34"/>
      <c r="D73" s="35"/>
      <c r="E73" s="38" t="s">
        <v>88</v>
      </c>
      <c r="F73" s="44">
        <f>375515.2+46939.4</f>
        <v>422454.60000000003</v>
      </c>
      <c r="G73" s="63"/>
      <c r="H73" s="31">
        <f t="shared" si="2"/>
        <v>0</v>
      </c>
    </row>
    <row r="74" spans="1:10">
      <c r="A74" s="33"/>
      <c r="B74" s="33"/>
      <c r="C74" s="34"/>
      <c r="D74" s="35"/>
      <c r="E74" s="38" t="s">
        <v>21</v>
      </c>
      <c r="F74" s="44">
        <f>2242551.44-1756179.45</f>
        <v>486371.99</v>
      </c>
      <c r="G74" s="63"/>
      <c r="H74" s="31">
        <f t="shared" si="2"/>
        <v>0</v>
      </c>
    </row>
    <row r="75" spans="1:10" ht="36">
      <c r="A75" s="13" t="s">
        <v>53</v>
      </c>
      <c r="B75" s="13" t="s">
        <v>54</v>
      </c>
      <c r="C75" s="14" t="s">
        <v>25</v>
      </c>
      <c r="D75" s="15" t="s">
        <v>55</v>
      </c>
      <c r="E75" s="37" t="s">
        <v>31</v>
      </c>
      <c r="F75" s="43">
        <f>F76</f>
        <v>1391959.38</v>
      </c>
      <c r="G75" s="43">
        <f>G76</f>
        <v>427536.7</v>
      </c>
      <c r="H75" s="31">
        <f t="shared" si="2"/>
        <v>0.30714739678682296</v>
      </c>
      <c r="J75" s="9">
        <f>G75-427536.7</f>
        <v>0</v>
      </c>
    </row>
    <row r="76" spans="1:10" ht="108">
      <c r="A76" s="13"/>
      <c r="B76" s="13"/>
      <c r="C76" s="14"/>
      <c r="D76" s="15"/>
      <c r="E76" s="37" t="s">
        <v>164</v>
      </c>
      <c r="F76" s="43">
        <f>F77+F78+F79+F80</f>
        <v>1391959.38</v>
      </c>
      <c r="G76" s="43">
        <f>G77+G78+G79+G80</f>
        <v>427536.7</v>
      </c>
      <c r="H76" s="31">
        <f t="shared" si="2"/>
        <v>0.30714739678682296</v>
      </c>
    </row>
    <row r="77" spans="1:10" ht="72">
      <c r="A77" s="33"/>
      <c r="B77" s="33"/>
      <c r="C77" s="33"/>
      <c r="D77" s="36"/>
      <c r="E77" s="35" t="s">
        <v>301</v>
      </c>
      <c r="F77" s="45">
        <f>382905.94+44644.06</f>
        <v>427550</v>
      </c>
      <c r="G77" s="45">
        <v>427536.7</v>
      </c>
      <c r="H77" s="31">
        <f t="shared" si="2"/>
        <v>0.99996889252718979</v>
      </c>
    </row>
    <row r="78" spans="1:10" ht="108">
      <c r="A78" s="33"/>
      <c r="B78" s="33"/>
      <c r="C78" s="33"/>
      <c r="D78" s="36"/>
      <c r="E78" s="35" t="s">
        <v>239</v>
      </c>
      <c r="F78" s="45">
        <v>495000</v>
      </c>
      <c r="G78" s="63"/>
      <c r="H78" s="31">
        <f t="shared" si="2"/>
        <v>0</v>
      </c>
    </row>
    <row r="79" spans="1:10" ht="72">
      <c r="A79" s="33"/>
      <c r="B79" s="33"/>
      <c r="C79" s="33"/>
      <c r="D79" s="36"/>
      <c r="E79" s="35" t="s">
        <v>240</v>
      </c>
      <c r="F79" s="45">
        <v>45000</v>
      </c>
      <c r="G79" s="63"/>
      <c r="H79" s="31">
        <f t="shared" si="2"/>
        <v>0</v>
      </c>
    </row>
    <row r="80" spans="1:10" ht="72">
      <c r="A80" s="33"/>
      <c r="B80" s="33"/>
      <c r="C80" s="33"/>
      <c r="D80" s="36"/>
      <c r="E80" s="35" t="s">
        <v>89</v>
      </c>
      <c r="F80" s="45">
        <f>377779.54+46629.84</f>
        <v>424409.38</v>
      </c>
      <c r="G80" s="63"/>
      <c r="H80" s="31">
        <f t="shared" si="2"/>
        <v>0</v>
      </c>
    </row>
    <row r="81" spans="1:9" ht="36">
      <c r="A81" s="13" t="s">
        <v>56</v>
      </c>
      <c r="B81" s="13" t="s">
        <v>24</v>
      </c>
      <c r="C81" s="14" t="s">
        <v>25</v>
      </c>
      <c r="D81" s="15" t="s">
        <v>26</v>
      </c>
      <c r="E81" s="37" t="s">
        <v>31</v>
      </c>
      <c r="F81" s="43">
        <f>F82+F83+F84+F85+F86+F87+F88+F91+F92+F93+F94</f>
        <v>3190121.2800000003</v>
      </c>
      <c r="G81" s="43">
        <f>G82+G83+G84+G85+G86+G87+G88+G91+G92+G93+G94</f>
        <v>775652.31</v>
      </c>
      <c r="H81" s="31">
        <f t="shared" si="2"/>
        <v>0.24314195039004913</v>
      </c>
      <c r="I81" s="9">
        <f>G81-775652.31</f>
        <v>0</v>
      </c>
    </row>
    <row r="82" spans="1:9" ht="72">
      <c r="A82" s="33"/>
      <c r="B82" s="33"/>
      <c r="C82" s="33"/>
      <c r="D82" s="36"/>
      <c r="E82" s="32" t="s">
        <v>167</v>
      </c>
      <c r="F82" s="46">
        <f>4200000-4100000</f>
        <v>100000</v>
      </c>
      <c r="G82" s="63"/>
      <c r="H82" s="31">
        <f t="shared" si="2"/>
        <v>0</v>
      </c>
    </row>
    <row r="83" spans="1:9" ht="54">
      <c r="A83" s="33"/>
      <c r="B83" s="33"/>
      <c r="C83" s="33"/>
      <c r="D83" s="36"/>
      <c r="E83" s="39" t="s">
        <v>57</v>
      </c>
      <c r="F83" s="46">
        <v>210000</v>
      </c>
      <c r="G83" s="63"/>
      <c r="H83" s="31">
        <f t="shared" si="2"/>
        <v>0</v>
      </c>
    </row>
    <row r="84" spans="1:9" ht="90">
      <c r="A84" s="33"/>
      <c r="B84" s="33"/>
      <c r="C84" s="33"/>
      <c r="D84" s="36"/>
      <c r="E84" s="32" t="s">
        <v>62</v>
      </c>
      <c r="F84" s="46">
        <v>220000</v>
      </c>
      <c r="G84" s="63"/>
      <c r="H84" s="31">
        <f t="shared" si="2"/>
        <v>0</v>
      </c>
    </row>
    <row r="85" spans="1:9" ht="54">
      <c r="A85" s="33"/>
      <c r="B85" s="33"/>
      <c r="C85" s="33"/>
      <c r="D85" s="36"/>
      <c r="E85" s="32" t="s">
        <v>90</v>
      </c>
      <c r="F85" s="46">
        <v>50000</v>
      </c>
      <c r="G85" s="63"/>
      <c r="H85" s="31">
        <f t="shared" si="2"/>
        <v>0</v>
      </c>
    </row>
    <row r="86" spans="1:9" ht="72">
      <c r="A86" s="33"/>
      <c r="B86" s="33"/>
      <c r="C86" s="33"/>
      <c r="D86" s="36"/>
      <c r="E86" s="37" t="s">
        <v>168</v>
      </c>
      <c r="F86" s="43">
        <f>741099.08+49800+48600</f>
        <v>839499.08</v>
      </c>
      <c r="G86" s="43">
        <v>35564</v>
      </c>
      <c r="H86" s="31">
        <f t="shared" si="2"/>
        <v>4.2363357920535187E-2</v>
      </c>
    </row>
    <row r="87" spans="1:9" ht="108">
      <c r="A87" s="33"/>
      <c r="B87" s="33"/>
      <c r="C87" s="33"/>
      <c r="D87" s="36"/>
      <c r="E87" s="37" t="s">
        <v>169</v>
      </c>
      <c r="F87" s="43">
        <v>456822.2</v>
      </c>
      <c r="G87" s="63"/>
      <c r="H87" s="31">
        <f t="shared" si="2"/>
        <v>0</v>
      </c>
    </row>
    <row r="88" spans="1:9" ht="108">
      <c r="A88" s="33"/>
      <c r="B88" s="33"/>
      <c r="C88" s="33"/>
      <c r="D88" s="36"/>
      <c r="E88" s="37" t="s">
        <v>164</v>
      </c>
      <c r="F88" s="43">
        <f>F89+F90</f>
        <v>452000</v>
      </c>
      <c r="G88" s="43">
        <f>G89+G90</f>
        <v>422891.52000000002</v>
      </c>
      <c r="H88" s="31">
        <f t="shared" si="2"/>
        <v>0.93560070796460182</v>
      </c>
    </row>
    <row r="89" spans="1:9" ht="90">
      <c r="A89" s="33"/>
      <c r="B89" s="33"/>
      <c r="C89" s="33"/>
      <c r="D89" s="36"/>
      <c r="E89" s="35" t="s">
        <v>170</v>
      </c>
      <c r="F89" s="45">
        <f>34555.23+33444.77</f>
        <v>68000</v>
      </c>
      <c r="G89" s="45">
        <v>65160</v>
      </c>
      <c r="H89" s="31">
        <f t="shared" si="2"/>
        <v>0.95823529411764707</v>
      </c>
    </row>
    <row r="90" spans="1:9" ht="90">
      <c r="A90" s="33"/>
      <c r="B90" s="33"/>
      <c r="C90" s="33"/>
      <c r="D90" s="36"/>
      <c r="E90" s="35" t="s">
        <v>171</v>
      </c>
      <c r="F90" s="45">
        <f>189169.08+194830.92</f>
        <v>384000</v>
      </c>
      <c r="G90" s="45">
        <v>357731.52</v>
      </c>
      <c r="H90" s="31">
        <f t="shared" si="2"/>
        <v>0.93159250000000005</v>
      </c>
    </row>
    <row r="91" spans="1:9" ht="54">
      <c r="A91" s="13"/>
      <c r="B91" s="13"/>
      <c r="C91" s="13"/>
      <c r="D91" s="16"/>
      <c r="E91" s="15" t="s">
        <v>172</v>
      </c>
      <c r="F91" s="46">
        <v>100800</v>
      </c>
      <c r="G91" s="46">
        <v>98979</v>
      </c>
      <c r="H91" s="31">
        <f t="shared" si="2"/>
        <v>0.98193452380952384</v>
      </c>
    </row>
    <row r="92" spans="1:9" ht="72">
      <c r="A92" s="13"/>
      <c r="B92" s="13"/>
      <c r="C92" s="13"/>
      <c r="D92" s="16"/>
      <c r="E92" s="15" t="s">
        <v>241</v>
      </c>
      <c r="F92" s="46">
        <v>200000</v>
      </c>
      <c r="G92" s="46"/>
      <c r="H92" s="31">
        <f t="shared" si="2"/>
        <v>0</v>
      </c>
    </row>
    <row r="93" spans="1:9" ht="72">
      <c r="A93" s="13"/>
      <c r="B93" s="13"/>
      <c r="C93" s="13"/>
      <c r="D93" s="16"/>
      <c r="E93" s="15" t="s">
        <v>242</v>
      </c>
      <c r="F93" s="46">
        <v>261000</v>
      </c>
      <c r="G93" s="46">
        <v>218217.79</v>
      </c>
      <c r="H93" s="31">
        <f t="shared" si="2"/>
        <v>0.83608348659003839</v>
      </c>
    </row>
    <row r="94" spans="1:9" ht="36">
      <c r="A94" s="13"/>
      <c r="B94" s="13"/>
      <c r="C94" s="13"/>
      <c r="D94" s="16"/>
      <c r="E94" s="15" t="s">
        <v>302</v>
      </c>
      <c r="F94" s="46">
        <v>300000</v>
      </c>
      <c r="G94" s="63"/>
      <c r="H94" s="31">
        <f t="shared" si="2"/>
        <v>0</v>
      </c>
    </row>
    <row r="95" spans="1:9">
      <c r="A95" s="13">
        <v>1217640</v>
      </c>
      <c r="B95" s="14">
        <v>7640</v>
      </c>
      <c r="C95" s="15" t="s">
        <v>63</v>
      </c>
      <c r="D95" s="37" t="s">
        <v>64</v>
      </c>
      <c r="E95" s="37" t="s">
        <v>31</v>
      </c>
      <c r="F95" s="43">
        <f>F96</f>
        <v>324089.55</v>
      </c>
      <c r="G95" s="43">
        <f>G96</f>
        <v>248624.64000000001</v>
      </c>
      <c r="H95" s="31">
        <f t="shared" si="2"/>
        <v>0.76714796882528313</v>
      </c>
    </row>
    <row r="96" spans="1:9" ht="108">
      <c r="A96" s="33"/>
      <c r="B96" s="33"/>
      <c r="C96" s="33"/>
      <c r="D96" s="36"/>
      <c r="E96" s="37" t="s">
        <v>164</v>
      </c>
      <c r="F96" s="43">
        <f>F97</f>
        <v>324089.55</v>
      </c>
      <c r="G96" s="43">
        <f>G97</f>
        <v>248624.64000000001</v>
      </c>
      <c r="H96" s="31">
        <f t="shared" si="2"/>
        <v>0.76714796882528313</v>
      </c>
    </row>
    <row r="97" spans="1:10" ht="90">
      <c r="A97" s="33"/>
      <c r="B97" s="33"/>
      <c r="C97" s="33"/>
      <c r="D97" s="36"/>
      <c r="E97" s="38" t="s">
        <v>91</v>
      </c>
      <c r="F97" s="44">
        <f>24079.6+300009.95</f>
        <v>324089.55</v>
      </c>
      <c r="G97" s="44">
        <v>248624.64000000001</v>
      </c>
      <c r="H97" s="31">
        <f t="shared" si="2"/>
        <v>0.76714796882528313</v>
      </c>
    </row>
    <row r="98" spans="1:10" ht="54">
      <c r="A98" s="13">
        <v>1218110</v>
      </c>
      <c r="B98" s="14">
        <v>8110</v>
      </c>
      <c r="C98" s="15" t="s">
        <v>112</v>
      </c>
      <c r="D98" s="37" t="s">
        <v>107</v>
      </c>
      <c r="E98" s="37" t="s">
        <v>31</v>
      </c>
      <c r="F98" s="43">
        <f>F99+F100</f>
        <v>2659114.6</v>
      </c>
      <c r="G98" s="43">
        <f>G99+G100</f>
        <v>1488887.89</v>
      </c>
      <c r="H98" s="31">
        <f t="shared" si="2"/>
        <v>0.55991866239988297</v>
      </c>
    </row>
    <row r="99" spans="1:10" ht="162">
      <c r="A99" s="13"/>
      <c r="B99" s="13"/>
      <c r="C99" s="13"/>
      <c r="D99" s="16"/>
      <c r="E99" s="16" t="s">
        <v>173</v>
      </c>
      <c r="F99" s="43">
        <v>1170000</v>
      </c>
      <c r="G99" s="63"/>
      <c r="H99" s="31">
        <f t="shared" si="2"/>
        <v>0</v>
      </c>
    </row>
    <row r="100" spans="1:10" ht="72">
      <c r="A100" s="13"/>
      <c r="B100" s="13"/>
      <c r="C100" s="13"/>
      <c r="D100" s="16"/>
      <c r="E100" s="16" t="s">
        <v>174</v>
      </c>
      <c r="F100" s="43">
        <f>2639114.6-1150000</f>
        <v>1489114.6</v>
      </c>
      <c r="G100" s="43">
        <v>1488887.89</v>
      </c>
      <c r="H100" s="31">
        <f t="shared" si="2"/>
        <v>0.99984775516941393</v>
      </c>
    </row>
    <row r="101" spans="1:10">
      <c r="A101" s="18" t="s">
        <v>69</v>
      </c>
      <c r="B101" s="19" t="s">
        <v>133</v>
      </c>
      <c r="C101" s="19" t="s">
        <v>133</v>
      </c>
      <c r="D101" s="76" t="s">
        <v>175</v>
      </c>
      <c r="E101" s="76"/>
      <c r="F101" s="42">
        <f>F102</f>
        <v>139806296.10999998</v>
      </c>
      <c r="G101" s="42">
        <f>G102</f>
        <v>34179013.770000003</v>
      </c>
      <c r="H101" s="30">
        <f t="shared" si="2"/>
        <v>0.24447406676955277</v>
      </c>
      <c r="J101" s="9">
        <f>G101+'[1]2023'!$G$16-38308852.74</f>
        <v>0</v>
      </c>
    </row>
    <row r="102" spans="1:10">
      <c r="A102" s="18" t="s">
        <v>70</v>
      </c>
      <c r="B102" s="19" t="s">
        <v>133</v>
      </c>
      <c r="C102" s="19" t="s">
        <v>133</v>
      </c>
      <c r="D102" s="67" t="s">
        <v>175</v>
      </c>
      <c r="E102" s="68"/>
      <c r="F102" s="42">
        <f>F103+F104+F105+F107+F144+F147+F158+F162+F181+F182+F188+F200+F213</f>
        <v>139806296.10999998</v>
      </c>
      <c r="G102" s="42">
        <f>G103+G104+G105+G107+G144+G147+G158+G162+G181+G182+G188+G200+G213</f>
        <v>34179013.770000003</v>
      </c>
      <c r="H102" s="30">
        <f t="shared" si="2"/>
        <v>0.24447406676955277</v>
      </c>
    </row>
    <row r="103" spans="1:10" ht="90">
      <c r="A103" s="13">
        <v>1510150</v>
      </c>
      <c r="B103" s="14">
        <v>150</v>
      </c>
      <c r="C103" s="15" t="s">
        <v>19</v>
      </c>
      <c r="D103" s="37" t="s">
        <v>20</v>
      </c>
      <c r="E103" s="37" t="s">
        <v>75</v>
      </c>
      <c r="F103" s="43">
        <f>550229.42</f>
        <v>550229.42000000004</v>
      </c>
      <c r="G103" s="43">
        <v>538945.43999999994</v>
      </c>
      <c r="H103" s="31">
        <f t="shared" si="2"/>
        <v>0.9794922270786609</v>
      </c>
    </row>
    <row r="104" spans="1:10" ht="54">
      <c r="A104" s="13" t="s">
        <v>176</v>
      </c>
      <c r="B104" s="14" t="s">
        <v>121</v>
      </c>
      <c r="C104" s="15" t="s">
        <v>19</v>
      </c>
      <c r="D104" s="37" t="s">
        <v>122</v>
      </c>
      <c r="E104" s="37" t="s">
        <v>21</v>
      </c>
      <c r="F104" s="43">
        <v>69000</v>
      </c>
      <c r="G104" s="63"/>
      <c r="H104" s="31">
        <f t="shared" si="2"/>
        <v>0</v>
      </c>
    </row>
    <row r="105" spans="1:10" ht="36">
      <c r="A105" s="13">
        <v>1512010</v>
      </c>
      <c r="B105" s="14">
        <v>2010</v>
      </c>
      <c r="C105" s="15" t="s">
        <v>22</v>
      </c>
      <c r="D105" s="37" t="s">
        <v>23</v>
      </c>
      <c r="E105" s="37" t="s">
        <v>31</v>
      </c>
      <c r="F105" s="43">
        <f>F106</f>
        <v>11568240.16</v>
      </c>
      <c r="G105" s="43">
        <f>G106</f>
        <v>361602.09</v>
      </c>
      <c r="H105" s="31">
        <f t="shared" si="2"/>
        <v>3.125817626524794E-2</v>
      </c>
    </row>
    <row r="106" spans="1:10" ht="144">
      <c r="A106" s="13"/>
      <c r="B106" s="14"/>
      <c r="C106" s="15"/>
      <c r="D106" s="37"/>
      <c r="E106" s="37" t="s">
        <v>177</v>
      </c>
      <c r="F106" s="43">
        <v>11568240.16</v>
      </c>
      <c r="G106" s="43">
        <v>361602.09</v>
      </c>
      <c r="H106" s="31">
        <f t="shared" si="2"/>
        <v>3.125817626524794E-2</v>
      </c>
    </row>
    <row r="107" spans="1:10" ht="36">
      <c r="A107" s="13" t="s">
        <v>98</v>
      </c>
      <c r="B107" s="14" t="s">
        <v>178</v>
      </c>
      <c r="C107" s="15" t="s">
        <v>32</v>
      </c>
      <c r="D107" s="37" t="s">
        <v>35</v>
      </c>
      <c r="E107" s="37" t="s">
        <v>31</v>
      </c>
      <c r="F107" s="43">
        <f>SUM(F108:F143)</f>
        <v>11847212.800000001</v>
      </c>
      <c r="G107" s="43">
        <f>SUM(G108:G143)</f>
        <v>2245675.2200000002</v>
      </c>
      <c r="H107" s="31">
        <f t="shared" si="2"/>
        <v>0.1895530415390192</v>
      </c>
    </row>
    <row r="108" spans="1:10" ht="36">
      <c r="A108" s="33"/>
      <c r="B108" s="33"/>
      <c r="C108" s="33"/>
      <c r="D108" s="36"/>
      <c r="E108" s="17" t="s">
        <v>36</v>
      </c>
      <c r="F108" s="47">
        <v>138596</v>
      </c>
      <c r="G108" s="63"/>
      <c r="H108" s="31">
        <f t="shared" si="2"/>
        <v>0</v>
      </c>
    </row>
    <row r="109" spans="1:10" ht="36">
      <c r="A109" s="33"/>
      <c r="B109" s="33"/>
      <c r="C109" s="33"/>
      <c r="D109" s="36"/>
      <c r="E109" s="17" t="s">
        <v>37</v>
      </c>
      <c r="F109" s="47">
        <v>138596</v>
      </c>
      <c r="G109" s="63"/>
      <c r="H109" s="31">
        <f t="shared" si="2"/>
        <v>0</v>
      </c>
    </row>
    <row r="110" spans="1:10" ht="36">
      <c r="A110" s="33"/>
      <c r="B110" s="33"/>
      <c r="C110" s="33"/>
      <c r="D110" s="36"/>
      <c r="E110" s="17" t="s">
        <v>38</v>
      </c>
      <c r="F110" s="47">
        <v>150000</v>
      </c>
      <c r="G110" s="63"/>
      <c r="H110" s="31">
        <f t="shared" si="2"/>
        <v>0</v>
      </c>
    </row>
    <row r="111" spans="1:10" ht="36">
      <c r="A111" s="33"/>
      <c r="B111" s="33"/>
      <c r="C111" s="33"/>
      <c r="D111" s="36"/>
      <c r="E111" s="17" t="s">
        <v>39</v>
      </c>
      <c r="F111" s="47">
        <v>92033</v>
      </c>
      <c r="G111" s="63"/>
      <c r="H111" s="31">
        <f t="shared" si="2"/>
        <v>0</v>
      </c>
    </row>
    <row r="112" spans="1:10" ht="54">
      <c r="A112" s="33"/>
      <c r="B112" s="33"/>
      <c r="C112" s="33"/>
      <c r="D112" s="36"/>
      <c r="E112" s="17" t="s">
        <v>124</v>
      </c>
      <c r="F112" s="47">
        <v>100000</v>
      </c>
      <c r="G112" s="63"/>
      <c r="H112" s="31">
        <f t="shared" si="2"/>
        <v>0</v>
      </c>
    </row>
    <row r="113" spans="1:8" ht="54">
      <c r="A113" s="33"/>
      <c r="B113" s="33"/>
      <c r="C113" s="33"/>
      <c r="D113" s="36"/>
      <c r="E113" s="17" t="s">
        <v>125</v>
      </c>
      <c r="F113" s="47">
        <v>120000</v>
      </c>
      <c r="G113" s="63"/>
      <c r="H113" s="31">
        <f t="shared" si="2"/>
        <v>0</v>
      </c>
    </row>
    <row r="114" spans="1:8" ht="54">
      <c r="A114" s="33"/>
      <c r="B114" s="33"/>
      <c r="C114" s="33"/>
      <c r="D114" s="36"/>
      <c r="E114" s="17" t="s">
        <v>126</v>
      </c>
      <c r="F114" s="47">
        <v>230000</v>
      </c>
      <c r="G114" s="63"/>
      <c r="H114" s="31">
        <f t="shared" si="2"/>
        <v>0</v>
      </c>
    </row>
    <row r="115" spans="1:8" ht="54">
      <c r="A115" s="33"/>
      <c r="B115" s="33"/>
      <c r="C115" s="33"/>
      <c r="D115" s="36"/>
      <c r="E115" s="17" t="s">
        <v>74</v>
      </c>
      <c r="F115" s="47">
        <v>1521966.3</v>
      </c>
      <c r="G115" s="47">
        <v>1337451.08</v>
      </c>
      <c r="H115" s="31">
        <f t="shared" si="2"/>
        <v>0.8787652394143024</v>
      </c>
    </row>
    <row r="116" spans="1:8" ht="72">
      <c r="A116" s="33"/>
      <c r="B116" s="33"/>
      <c r="C116" s="33"/>
      <c r="D116" s="36"/>
      <c r="E116" s="17" t="s">
        <v>99</v>
      </c>
      <c r="F116" s="47">
        <v>195577.45</v>
      </c>
      <c r="G116" s="47">
        <v>179141.3</v>
      </c>
      <c r="H116" s="31">
        <f t="shared" si="2"/>
        <v>0.9159609147169061</v>
      </c>
    </row>
    <row r="117" spans="1:8" ht="36">
      <c r="A117" s="33"/>
      <c r="B117" s="33"/>
      <c r="C117" s="33"/>
      <c r="D117" s="36"/>
      <c r="E117" s="17" t="s">
        <v>40</v>
      </c>
      <c r="F117" s="47">
        <v>89932</v>
      </c>
      <c r="G117" s="63"/>
      <c r="H117" s="31">
        <f t="shared" si="2"/>
        <v>0</v>
      </c>
    </row>
    <row r="118" spans="1:8" ht="36">
      <c r="A118" s="33"/>
      <c r="B118" s="33"/>
      <c r="C118" s="33"/>
      <c r="D118" s="36"/>
      <c r="E118" s="17" t="s">
        <v>303</v>
      </c>
      <c r="F118" s="47">
        <v>212796.55</v>
      </c>
      <c r="G118" s="63"/>
      <c r="H118" s="31">
        <f t="shared" si="2"/>
        <v>0</v>
      </c>
    </row>
    <row r="119" spans="1:8" ht="54">
      <c r="A119" s="33"/>
      <c r="B119" s="33"/>
      <c r="C119" s="33"/>
      <c r="D119" s="36"/>
      <c r="E119" s="17" t="s">
        <v>41</v>
      </c>
      <c r="F119" s="47">
        <v>50000</v>
      </c>
      <c r="G119" s="63"/>
      <c r="H119" s="31">
        <f t="shared" si="2"/>
        <v>0</v>
      </c>
    </row>
    <row r="120" spans="1:8" ht="54">
      <c r="A120" s="33"/>
      <c r="B120" s="33"/>
      <c r="C120" s="33"/>
      <c r="D120" s="36"/>
      <c r="E120" s="17" t="s">
        <v>127</v>
      </c>
      <c r="F120" s="47">
        <v>138190</v>
      </c>
      <c r="G120" s="63"/>
      <c r="H120" s="31">
        <f t="shared" si="2"/>
        <v>0</v>
      </c>
    </row>
    <row r="121" spans="1:8" ht="36">
      <c r="A121" s="33"/>
      <c r="B121" s="33"/>
      <c r="C121" s="33"/>
      <c r="D121" s="36"/>
      <c r="E121" s="17" t="s">
        <v>304</v>
      </c>
      <c r="F121" s="47">
        <f>903751.49-533343.44</f>
        <v>370408.05000000005</v>
      </c>
      <c r="G121" s="63"/>
      <c r="H121" s="31">
        <f t="shared" si="2"/>
        <v>0</v>
      </c>
    </row>
    <row r="122" spans="1:8" ht="72">
      <c r="A122" s="33"/>
      <c r="B122" s="33"/>
      <c r="C122" s="33"/>
      <c r="D122" s="36"/>
      <c r="E122" s="17" t="s">
        <v>78</v>
      </c>
      <c r="F122" s="47">
        <f>128577+159861.37</f>
        <v>288438.37</v>
      </c>
      <c r="G122" s="63"/>
      <c r="H122" s="31">
        <f t="shared" si="2"/>
        <v>0</v>
      </c>
    </row>
    <row r="123" spans="1:8" ht="54">
      <c r="A123" s="33"/>
      <c r="B123" s="33"/>
      <c r="C123" s="33"/>
      <c r="D123" s="36"/>
      <c r="E123" s="17" t="s">
        <v>42</v>
      </c>
      <c r="F123" s="47">
        <f>371069+260282.07</f>
        <v>631351.07000000007</v>
      </c>
      <c r="G123" s="47">
        <v>380975.25</v>
      </c>
      <c r="H123" s="31">
        <f t="shared" si="2"/>
        <v>0.60342853303471866</v>
      </c>
    </row>
    <row r="124" spans="1:8" ht="54">
      <c r="A124" s="33"/>
      <c r="B124" s="33"/>
      <c r="C124" s="33"/>
      <c r="D124" s="36"/>
      <c r="E124" s="17" t="s">
        <v>128</v>
      </c>
      <c r="F124" s="47">
        <v>50000</v>
      </c>
      <c r="G124" s="63"/>
      <c r="H124" s="31">
        <f t="shared" si="2"/>
        <v>0</v>
      </c>
    </row>
    <row r="125" spans="1:8" ht="72">
      <c r="A125" s="33"/>
      <c r="B125" s="33"/>
      <c r="C125" s="33"/>
      <c r="D125" s="36"/>
      <c r="E125" s="17" t="s">
        <v>43</v>
      </c>
      <c r="F125" s="47">
        <v>287415</v>
      </c>
      <c r="G125" s="63"/>
      <c r="H125" s="31">
        <f t="shared" si="2"/>
        <v>0</v>
      </c>
    </row>
    <row r="126" spans="1:8" ht="72">
      <c r="A126" s="33"/>
      <c r="B126" s="33"/>
      <c r="C126" s="33"/>
      <c r="D126" s="36"/>
      <c r="E126" s="17" t="s">
        <v>73</v>
      </c>
      <c r="F126" s="47">
        <v>250000</v>
      </c>
      <c r="G126" s="63"/>
      <c r="H126" s="31">
        <f t="shared" si="2"/>
        <v>0</v>
      </c>
    </row>
    <row r="127" spans="1:8" ht="54">
      <c r="A127" s="33"/>
      <c r="B127" s="33"/>
      <c r="C127" s="33"/>
      <c r="D127" s="36"/>
      <c r="E127" s="17" t="s">
        <v>45</v>
      </c>
      <c r="F127" s="47">
        <v>50000</v>
      </c>
      <c r="G127" s="63"/>
      <c r="H127" s="31">
        <f t="shared" si="2"/>
        <v>0</v>
      </c>
    </row>
    <row r="128" spans="1:8" ht="54">
      <c r="A128" s="33"/>
      <c r="B128" s="33"/>
      <c r="C128" s="33"/>
      <c r="D128" s="36"/>
      <c r="E128" s="17" t="s">
        <v>129</v>
      </c>
      <c r="F128" s="47">
        <v>60000</v>
      </c>
      <c r="G128" s="63"/>
      <c r="H128" s="31">
        <f t="shared" si="2"/>
        <v>0</v>
      </c>
    </row>
    <row r="129" spans="1:8" ht="72">
      <c r="A129" s="33"/>
      <c r="B129" s="33"/>
      <c r="C129" s="33"/>
      <c r="D129" s="36"/>
      <c r="E129" s="17" t="s">
        <v>46</v>
      </c>
      <c r="F129" s="47">
        <v>150000</v>
      </c>
      <c r="G129" s="63"/>
      <c r="H129" s="31">
        <f t="shared" si="2"/>
        <v>0</v>
      </c>
    </row>
    <row r="130" spans="1:8" ht="36">
      <c r="A130" s="33"/>
      <c r="B130" s="33"/>
      <c r="C130" s="33"/>
      <c r="D130" s="36"/>
      <c r="E130" s="17" t="s">
        <v>47</v>
      </c>
      <c r="F130" s="47">
        <v>184898</v>
      </c>
      <c r="G130" s="63"/>
      <c r="H130" s="31">
        <f t="shared" si="2"/>
        <v>0</v>
      </c>
    </row>
    <row r="131" spans="1:8" ht="54">
      <c r="A131" s="33"/>
      <c r="B131" s="33"/>
      <c r="C131" s="33"/>
      <c r="D131" s="36"/>
      <c r="E131" s="17" t="s">
        <v>100</v>
      </c>
      <c r="F131" s="47">
        <v>50000</v>
      </c>
      <c r="G131" s="63"/>
      <c r="H131" s="31">
        <f t="shared" si="2"/>
        <v>0</v>
      </c>
    </row>
    <row r="132" spans="1:8" ht="54">
      <c r="A132" s="33"/>
      <c r="B132" s="33"/>
      <c r="C132" s="33"/>
      <c r="D132" s="36"/>
      <c r="E132" s="17" t="s">
        <v>79</v>
      </c>
      <c r="F132" s="47">
        <v>92033</v>
      </c>
      <c r="G132" s="63"/>
      <c r="H132" s="31">
        <f t="shared" si="2"/>
        <v>0</v>
      </c>
    </row>
    <row r="133" spans="1:8" ht="54">
      <c r="A133" s="33"/>
      <c r="B133" s="33"/>
      <c r="C133" s="33"/>
      <c r="D133" s="36"/>
      <c r="E133" s="17" t="s">
        <v>101</v>
      </c>
      <c r="F133" s="47">
        <v>100000</v>
      </c>
      <c r="G133" s="63"/>
      <c r="H133" s="31">
        <f t="shared" si="2"/>
        <v>0</v>
      </c>
    </row>
    <row r="134" spans="1:8" ht="54">
      <c r="A134" s="33"/>
      <c r="B134" s="33"/>
      <c r="C134" s="33"/>
      <c r="D134" s="36"/>
      <c r="E134" s="17" t="s">
        <v>80</v>
      </c>
      <c r="F134" s="47">
        <v>89932</v>
      </c>
      <c r="G134" s="63"/>
      <c r="H134" s="31">
        <f t="shared" si="2"/>
        <v>0</v>
      </c>
    </row>
    <row r="135" spans="1:8" s="64" customFormat="1" ht="72">
      <c r="A135" s="33"/>
      <c r="B135" s="33"/>
      <c r="C135" s="33"/>
      <c r="D135" s="36"/>
      <c r="E135" s="17" t="s">
        <v>243</v>
      </c>
      <c r="F135" s="47">
        <v>400000</v>
      </c>
      <c r="G135" s="47">
        <v>345453.97</v>
      </c>
      <c r="H135" s="31">
        <f t="shared" si="2"/>
        <v>0.86363492499999994</v>
      </c>
    </row>
    <row r="136" spans="1:8" s="64" customFormat="1" ht="54">
      <c r="A136" s="33"/>
      <c r="B136" s="33"/>
      <c r="C136" s="33"/>
      <c r="D136" s="36"/>
      <c r="E136" s="17" t="s">
        <v>179</v>
      </c>
      <c r="F136" s="47">
        <v>2784.01</v>
      </c>
      <c r="G136" s="47">
        <v>2653.62</v>
      </c>
      <c r="H136" s="31">
        <f t="shared" ref="H136:H199" si="3">G136/F136</f>
        <v>0.95316467972456986</v>
      </c>
    </row>
    <row r="137" spans="1:8" s="64" customFormat="1" ht="54">
      <c r="A137" s="33"/>
      <c r="B137" s="33"/>
      <c r="C137" s="33"/>
      <c r="D137" s="36"/>
      <c r="E137" s="17" t="s">
        <v>102</v>
      </c>
      <c r="F137" s="47">
        <v>127802</v>
      </c>
      <c r="G137" s="63"/>
      <c r="H137" s="31">
        <f t="shared" si="3"/>
        <v>0</v>
      </c>
    </row>
    <row r="138" spans="1:8" s="64" customFormat="1" ht="54">
      <c r="A138" s="33"/>
      <c r="B138" s="33"/>
      <c r="C138" s="33"/>
      <c r="D138" s="36"/>
      <c r="E138" s="17" t="s">
        <v>49</v>
      </c>
      <c r="F138" s="47">
        <v>375100</v>
      </c>
      <c r="G138" s="63"/>
      <c r="H138" s="31">
        <f t="shared" si="3"/>
        <v>0</v>
      </c>
    </row>
    <row r="139" spans="1:8" s="64" customFormat="1" ht="54">
      <c r="A139" s="33"/>
      <c r="B139" s="33"/>
      <c r="C139" s="33"/>
      <c r="D139" s="36"/>
      <c r="E139" s="17" t="s">
        <v>305</v>
      </c>
      <c r="F139" s="47">
        <v>139158</v>
      </c>
      <c r="G139" s="63"/>
      <c r="H139" s="31">
        <f t="shared" si="3"/>
        <v>0</v>
      </c>
    </row>
    <row r="140" spans="1:8" s="64" customFormat="1" ht="54">
      <c r="A140" s="33"/>
      <c r="B140" s="33"/>
      <c r="C140" s="33"/>
      <c r="D140" s="36"/>
      <c r="E140" s="17" t="s">
        <v>81</v>
      </c>
      <c r="F140" s="47">
        <v>403724</v>
      </c>
      <c r="G140" s="63"/>
      <c r="H140" s="31">
        <f t="shared" si="3"/>
        <v>0</v>
      </c>
    </row>
    <row r="141" spans="1:8" s="64" customFormat="1" ht="54">
      <c r="A141" s="33"/>
      <c r="B141" s="33"/>
      <c r="C141" s="33"/>
      <c r="D141" s="36"/>
      <c r="E141" s="17" t="s">
        <v>82</v>
      </c>
      <c r="F141" s="47">
        <v>186580</v>
      </c>
      <c r="G141" s="63"/>
      <c r="H141" s="31">
        <f t="shared" si="3"/>
        <v>0</v>
      </c>
    </row>
    <row r="142" spans="1:8" s="64" customFormat="1" ht="72">
      <c r="A142" s="33"/>
      <c r="B142" s="33"/>
      <c r="C142" s="33"/>
      <c r="D142" s="36"/>
      <c r="E142" s="17" t="s">
        <v>83</v>
      </c>
      <c r="F142" s="47">
        <v>237608</v>
      </c>
      <c r="G142" s="63"/>
      <c r="H142" s="31">
        <f t="shared" si="3"/>
        <v>0</v>
      </c>
    </row>
    <row r="143" spans="1:8" s="64" customFormat="1">
      <c r="A143" s="33"/>
      <c r="B143" s="33"/>
      <c r="C143" s="33"/>
      <c r="D143" s="36"/>
      <c r="E143" s="17" t="s">
        <v>300</v>
      </c>
      <c r="F143" s="47">
        <f>4400000-101706-156000</f>
        <v>4142294</v>
      </c>
      <c r="G143" s="63"/>
      <c r="H143" s="31">
        <f t="shared" si="3"/>
        <v>0</v>
      </c>
    </row>
    <row r="144" spans="1:8" ht="54">
      <c r="A144" s="13" t="s">
        <v>180</v>
      </c>
      <c r="B144" s="14" t="s">
        <v>181</v>
      </c>
      <c r="C144" s="15" t="s">
        <v>25</v>
      </c>
      <c r="D144" s="37" t="s">
        <v>182</v>
      </c>
      <c r="E144" s="37" t="s">
        <v>31</v>
      </c>
      <c r="F144" s="48">
        <f>F145+F146</f>
        <v>16360000</v>
      </c>
      <c r="G144" s="48">
        <f>G145+G146</f>
        <v>4250429.46</v>
      </c>
      <c r="H144" s="31">
        <f t="shared" si="3"/>
        <v>0.25980620171149144</v>
      </c>
    </row>
    <row r="145" spans="1:8" ht="54">
      <c r="A145" s="13"/>
      <c r="B145" s="13"/>
      <c r="C145" s="13"/>
      <c r="D145" s="16"/>
      <c r="E145" s="15" t="s">
        <v>183</v>
      </c>
      <c r="F145" s="47">
        <v>13360000</v>
      </c>
      <c r="G145" s="47">
        <v>4250429.46</v>
      </c>
      <c r="H145" s="31">
        <f t="shared" si="3"/>
        <v>0.31814591766467065</v>
      </c>
    </row>
    <row r="146" spans="1:8" ht="54">
      <c r="A146" s="13"/>
      <c r="B146" s="13"/>
      <c r="C146" s="13"/>
      <c r="D146" s="16"/>
      <c r="E146" s="15" t="s">
        <v>184</v>
      </c>
      <c r="F146" s="47">
        <v>3000000</v>
      </c>
      <c r="G146" s="63"/>
      <c r="H146" s="31">
        <f t="shared" si="3"/>
        <v>0</v>
      </c>
    </row>
    <row r="147" spans="1:8" ht="36">
      <c r="A147" s="13" t="s">
        <v>185</v>
      </c>
      <c r="B147" s="14" t="s">
        <v>186</v>
      </c>
      <c r="C147" s="15" t="s">
        <v>25</v>
      </c>
      <c r="D147" s="37" t="s">
        <v>52</v>
      </c>
      <c r="E147" s="15" t="s">
        <v>31</v>
      </c>
      <c r="F147" s="48">
        <f>SUM(F148:F157)</f>
        <v>21445813.359999999</v>
      </c>
      <c r="G147" s="48">
        <f>SUM(G148:G157)</f>
        <v>1479780.11</v>
      </c>
      <c r="H147" s="31">
        <f t="shared" si="3"/>
        <v>6.9000885401718337E-2</v>
      </c>
    </row>
    <row r="148" spans="1:8" ht="72">
      <c r="A148" s="13"/>
      <c r="B148" s="14"/>
      <c r="C148" s="15"/>
      <c r="D148" s="37"/>
      <c r="E148" s="15" t="s">
        <v>71</v>
      </c>
      <c r="F148" s="48">
        <v>1700210</v>
      </c>
      <c r="G148" s="63"/>
      <c r="H148" s="31">
        <f t="shared" si="3"/>
        <v>0</v>
      </c>
    </row>
    <row r="149" spans="1:8" ht="72">
      <c r="A149" s="13"/>
      <c r="B149" s="14"/>
      <c r="C149" s="15"/>
      <c r="D149" s="37"/>
      <c r="E149" s="15" t="s">
        <v>306</v>
      </c>
      <c r="F149" s="48">
        <v>1001010</v>
      </c>
      <c r="G149" s="63"/>
      <c r="H149" s="31">
        <f t="shared" si="3"/>
        <v>0</v>
      </c>
    </row>
    <row r="150" spans="1:8" ht="72">
      <c r="A150" s="13"/>
      <c r="B150" s="13"/>
      <c r="C150" s="53"/>
      <c r="D150" s="15"/>
      <c r="E150" s="32" t="s">
        <v>307</v>
      </c>
      <c r="F150" s="46">
        <v>12212800</v>
      </c>
      <c r="G150" s="63"/>
      <c r="H150" s="31">
        <f t="shared" si="3"/>
        <v>0</v>
      </c>
    </row>
    <row r="151" spans="1:8" ht="90">
      <c r="A151" s="13"/>
      <c r="B151" s="13"/>
      <c r="C151" s="53"/>
      <c r="D151" s="15"/>
      <c r="E151" s="32" t="s">
        <v>308</v>
      </c>
      <c r="F151" s="46">
        <v>750000</v>
      </c>
      <c r="G151" s="46">
        <v>26617.07</v>
      </c>
      <c r="H151" s="31">
        <f t="shared" si="3"/>
        <v>3.5489426666666664E-2</v>
      </c>
    </row>
    <row r="152" spans="1:8" ht="36">
      <c r="A152" s="13"/>
      <c r="B152" s="13"/>
      <c r="C152" s="53"/>
      <c r="D152" s="15"/>
      <c r="E152" s="32" t="s">
        <v>244</v>
      </c>
      <c r="F152" s="46">
        <v>380000</v>
      </c>
      <c r="G152" s="46">
        <v>303033</v>
      </c>
      <c r="H152" s="31">
        <f t="shared" si="3"/>
        <v>0.79745526315789472</v>
      </c>
    </row>
    <row r="153" spans="1:8" ht="36">
      <c r="A153" s="13"/>
      <c r="B153" s="13"/>
      <c r="C153" s="53"/>
      <c r="D153" s="15"/>
      <c r="E153" s="32" t="s">
        <v>245</v>
      </c>
      <c r="F153" s="46">
        <f>450000+163800</f>
        <v>613800</v>
      </c>
      <c r="G153" s="46">
        <v>613800</v>
      </c>
      <c r="H153" s="31">
        <f t="shared" si="3"/>
        <v>1</v>
      </c>
    </row>
    <row r="154" spans="1:8" ht="72">
      <c r="A154" s="13"/>
      <c r="B154" s="13"/>
      <c r="C154" s="53"/>
      <c r="D154" s="15"/>
      <c r="E154" s="32" t="s">
        <v>246</v>
      </c>
      <c r="F154" s="46">
        <f>1065000+727000+1089000+591000</f>
        <v>3472000</v>
      </c>
      <c r="G154" s="63"/>
      <c r="H154" s="31">
        <f t="shared" si="3"/>
        <v>0</v>
      </c>
    </row>
    <row r="155" spans="1:8" ht="72">
      <c r="A155" s="13"/>
      <c r="B155" s="13"/>
      <c r="C155" s="53"/>
      <c r="D155" s="15"/>
      <c r="E155" s="32" t="s">
        <v>247</v>
      </c>
      <c r="F155" s="46">
        <v>485000</v>
      </c>
      <c r="G155" s="46">
        <v>173114.04</v>
      </c>
      <c r="H155" s="31">
        <f t="shared" si="3"/>
        <v>0.35693616494845365</v>
      </c>
    </row>
    <row r="156" spans="1:8" ht="36">
      <c r="A156" s="13"/>
      <c r="B156" s="13"/>
      <c r="C156" s="53"/>
      <c r="D156" s="15"/>
      <c r="E156" s="32" t="s">
        <v>248</v>
      </c>
      <c r="F156" s="46">
        <f>640000-163800-85206.64</f>
        <v>390993.36</v>
      </c>
      <c r="G156" s="46">
        <v>363216</v>
      </c>
      <c r="H156" s="31">
        <f t="shared" si="3"/>
        <v>0.92895695210783125</v>
      </c>
    </row>
    <row r="157" spans="1:8" ht="54">
      <c r="A157" s="13"/>
      <c r="B157" s="13"/>
      <c r="C157" s="53"/>
      <c r="D157" s="15"/>
      <c r="E157" s="32" t="s">
        <v>309</v>
      </c>
      <c r="F157" s="46">
        <v>440000</v>
      </c>
      <c r="G157" s="63"/>
      <c r="H157" s="31">
        <f t="shared" si="3"/>
        <v>0</v>
      </c>
    </row>
    <row r="158" spans="1:8" ht="36">
      <c r="A158" s="13" t="s">
        <v>187</v>
      </c>
      <c r="B158" s="14" t="s">
        <v>54</v>
      </c>
      <c r="C158" s="15" t="s">
        <v>25</v>
      </c>
      <c r="D158" s="37" t="s">
        <v>55</v>
      </c>
      <c r="E158" s="37" t="s">
        <v>31</v>
      </c>
      <c r="F158" s="43">
        <f>F159+F160+F161</f>
        <v>27712038.559999999</v>
      </c>
      <c r="G158" s="43">
        <f>G159+G160+G161</f>
        <v>116154.63</v>
      </c>
      <c r="H158" s="31">
        <f t="shared" si="3"/>
        <v>4.1914863011073989E-3</v>
      </c>
    </row>
    <row r="159" spans="1:8" ht="36">
      <c r="A159" s="33"/>
      <c r="B159" s="33"/>
      <c r="C159" s="33"/>
      <c r="D159" s="36"/>
      <c r="E159" s="17" t="s">
        <v>93</v>
      </c>
      <c r="F159" s="48">
        <v>1100019.28</v>
      </c>
      <c r="G159" s="63"/>
      <c r="H159" s="31">
        <f t="shared" si="3"/>
        <v>0</v>
      </c>
    </row>
    <row r="160" spans="1:8" ht="36">
      <c r="A160" s="33"/>
      <c r="B160" s="33"/>
      <c r="C160" s="33"/>
      <c r="D160" s="36"/>
      <c r="E160" s="17" t="s">
        <v>92</v>
      </c>
      <c r="F160" s="48">
        <v>1100019.28</v>
      </c>
      <c r="G160" s="63"/>
      <c r="H160" s="31">
        <f t="shared" si="3"/>
        <v>0</v>
      </c>
    </row>
    <row r="161" spans="1:8" ht="90">
      <c r="A161" s="33"/>
      <c r="B161" s="33"/>
      <c r="C161" s="33"/>
      <c r="D161" s="36"/>
      <c r="E161" s="17" t="s">
        <v>249</v>
      </c>
      <c r="F161" s="48">
        <f>25512000</f>
        <v>25512000</v>
      </c>
      <c r="G161" s="48">
        <v>116154.63</v>
      </c>
      <c r="H161" s="31">
        <f t="shared" si="3"/>
        <v>4.5529409689557855E-3</v>
      </c>
    </row>
    <row r="162" spans="1:8" ht="36">
      <c r="A162" s="13" t="s">
        <v>188</v>
      </c>
      <c r="B162" s="14" t="s">
        <v>24</v>
      </c>
      <c r="C162" s="15" t="s">
        <v>25</v>
      </c>
      <c r="D162" s="37" t="s">
        <v>26</v>
      </c>
      <c r="E162" s="37" t="s">
        <v>31</v>
      </c>
      <c r="F162" s="43">
        <f>SUM(F163:F180)</f>
        <v>9514071.0999999996</v>
      </c>
      <c r="G162" s="43">
        <f>SUM(G163:G180)</f>
        <v>7322004.8899999997</v>
      </c>
      <c r="H162" s="31">
        <f t="shared" si="3"/>
        <v>0.76959745339721075</v>
      </c>
    </row>
    <row r="163" spans="1:8" ht="90">
      <c r="A163" s="13"/>
      <c r="B163" s="14"/>
      <c r="C163" s="15"/>
      <c r="D163" s="37"/>
      <c r="E163" s="17" t="s">
        <v>255</v>
      </c>
      <c r="F163" s="43">
        <f>134497.4+39038.02</f>
        <v>173535.41999999998</v>
      </c>
      <c r="G163" s="43">
        <v>154684.82999999999</v>
      </c>
      <c r="H163" s="31">
        <f t="shared" si="3"/>
        <v>0.89137324241932858</v>
      </c>
    </row>
    <row r="164" spans="1:8" ht="90">
      <c r="A164" s="13"/>
      <c r="B164" s="14"/>
      <c r="C164" s="15"/>
      <c r="D164" s="37"/>
      <c r="E164" s="17" t="s">
        <v>310</v>
      </c>
      <c r="F164" s="43">
        <v>101706</v>
      </c>
      <c r="G164" s="43">
        <v>1202.9000000000001</v>
      </c>
      <c r="H164" s="31">
        <f t="shared" si="3"/>
        <v>1.1827227498869291E-2</v>
      </c>
    </row>
    <row r="165" spans="1:8" ht="90">
      <c r="A165" s="13"/>
      <c r="B165" s="14"/>
      <c r="C165" s="15"/>
      <c r="D165" s="37"/>
      <c r="E165" s="17" t="s">
        <v>311</v>
      </c>
      <c r="F165" s="43">
        <v>313200</v>
      </c>
      <c r="G165" s="43">
        <v>562.1</v>
      </c>
      <c r="H165" s="31">
        <f t="shared" si="3"/>
        <v>1.7946998722860792E-3</v>
      </c>
    </row>
    <row r="166" spans="1:8" ht="90">
      <c r="A166" s="13"/>
      <c r="B166" s="14"/>
      <c r="C166" s="15"/>
      <c r="D166" s="37"/>
      <c r="E166" s="17" t="s">
        <v>312</v>
      </c>
      <c r="F166" s="43">
        <v>237030</v>
      </c>
      <c r="G166" s="43">
        <v>236104.66</v>
      </c>
      <c r="H166" s="31">
        <f t="shared" si="3"/>
        <v>0.99609610597814624</v>
      </c>
    </row>
    <row r="167" spans="1:8" ht="72">
      <c r="A167" s="13"/>
      <c r="B167" s="13"/>
      <c r="C167" s="13"/>
      <c r="D167" s="16"/>
      <c r="E167" s="17" t="s">
        <v>103</v>
      </c>
      <c r="F167" s="49">
        <v>105735.81</v>
      </c>
      <c r="G167" s="63"/>
      <c r="H167" s="31">
        <f t="shared" si="3"/>
        <v>0</v>
      </c>
    </row>
    <row r="168" spans="1:8" ht="90">
      <c r="A168" s="13"/>
      <c r="B168" s="13"/>
      <c r="C168" s="13"/>
      <c r="D168" s="16"/>
      <c r="E168" s="17" t="s">
        <v>250</v>
      </c>
      <c r="F168" s="49">
        <v>111493.37</v>
      </c>
      <c r="G168" s="63"/>
      <c r="H168" s="31">
        <f t="shared" si="3"/>
        <v>0</v>
      </c>
    </row>
    <row r="169" spans="1:8" ht="90">
      <c r="A169" s="13"/>
      <c r="B169" s="13"/>
      <c r="C169" s="13"/>
      <c r="D169" s="16"/>
      <c r="E169" s="17" t="s">
        <v>58</v>
      </c>
      <c r="F169" s="49">
        <f>91093.37+25600</f>
        <v>116693.37</v>
      </c>
      <c r="G169" s="49">
        <v>97164.78</v>
      </c>
      <c r="H169" s="31">
        <f t="shared" si="3"/>
        <v>0.83265038964938631</v>
      </c>
    </row>
    <row r="170" spans="1:8" ht="90">
      <c r="A170" s="13"/>
      <c r="B170" s="13"/>
      <c r="C170" s="13"/>
      <c r="D170" s="16"/>
      <c r="E170" s="17" t="s">
        <v>59</v>
      </c>
      <c r="F170" s="49">
        <f>148644+40300-179000</f>
        <v>9944</v>
      </c>
      <c r="G170" s="49">
        <v>562.1</v>
      </c>
      <c r="H170" s="31">
        <f t="shared" si="3"/>
        <v>5.6526548672566373E-2</v>
      </c>
    </row>
    <row r="171" spans="1:8" ht="54">
      <c r="A171" s="13"/>
      <c r="B171" s="13"/>
      <c r="C171" s="13"/>
      <c r="D171" s="16"/>
      <c r="E171" s="17" t="s">
        <v>60</v>
      </c>
      <c r="F171" s="49">
        <v>329491.84000000003</v>
      </c>
      <c r="G171" s="49">
        <v>297171.27</v>
      </c>
      <c r="H171" s="31">
        <f t="shared" si="3"/>
        <v>0.90190782873408948</v>
      </c>
    </row>
    <row r="172" spans="1:8" ht="54">
      <c r="A172" s="13"/>
      <c r="B172" s="13"/>
      <c r="C172" s="13"/>
      <c r="D172" s="16"/>
      <c r="E172" s="17" t="s">
        <v>61</v>
      </c>
      <c r="F172" s="49">
        <f>186640.05+58100</f>
        <v>244740.05</v>
      </c>
      <c r="G172" s="49">
        <v>244214.49</v>
      </c>
      <c r="H172" s="31">
        <f t="shared" si="3"/>
        <v>0.99785257868501698</v>
      </c>
    </row>
    <row r="173" spans="1:8" ht="54">
      <c r="A173" s="13"/>
      <c r="B173" s="13"/>
      <c r="C173" s="13"/>
      <c r="D173" s="16"/>
      <c r="E173" s="17" t="s">
        <v>251</v>
      </c>
      <c r="F173" s="49">
        <v>175000</v>
      </c>
      <c r="G173" s="49">
        <v>174793.66</v>
      </c>
      <c r="H173" s="31">
        <f t="shared" si="3"/>
        <v>0.99882091428571429</v>
      </c>
    </row>
    <row r="174" spans="1:8" ht="90">
      <c r="A174" s="13"/>
      <c r="B174" s="13"/>
      <c r="C174" s="13"/>
      <c r="D174" s="16"/>
      <c r="E174" s="17" t="s">
        <v>252</v>
      </c>
      <c r="F174" s="49">
        <v>91093.37</v>
      </c>
      <c r="G174" s="49">
        <v>90929.21</v>
      </c>
      <c r="H174" s="31">
        <f t="shared" si="3"/>
        <v>0.99819789299704265</v>
      </c>
    </row>
    <row r="175" spans="1:8" ht="72">
      <c r="A175" s="13"/>
      <c r="B175" s="13"/>
      <c r="C175" s="13"/>
      <c r="D175" s="16"/>
      <c r="E175" s="17" t="s">
        <v>189</v>
      </c>
      <c r="F175" s="49">
        <f>458427.97-237030</f>
        <v>221397.96999999997</v>
      </c>
      <c r="G175" s="63"/>
      <c r="H175" s="31">
        <f t="shared" si="3"/>
        <v>0</v>
      </c>
    </row>
    <row r="176" spans="1:8" ht="90">
      <c r="A176" s="13"/>
      <c r="B176" s="13"/>
      <c r="C176" s="13"/>
      <c r="D176" s="16"/>
      <c r="E176" s="17" t="s">
        <v>104</v>
      </c>
      <c r="F176" s="49">
        <v>188769.9</v>
      </c>
      <c r="G176" s="63"/>
      <c r="H176" s="31">
        <f t="shared" si="3"/>
        <v>0</v>
      </c>
    </row>
    <row r="177" spans="1:9" ht="108">
      <c r="A177" s="13"/>
      <c r="B177" s="13"/>
      <c r="C177" s="13"/>
      <c r="D177" s="16"/>
      <c r="E177" s="40" t="s">
        <v>94</v>
      </c>
      <c r="F177" s="49">
        <f>350000-325000</f>
        <v>25000</v>
      </c>
      <c r="G177" s="49">
        <v>25000</v>
      </c>
      <c r="H177" s="31">
        <f t="shared" si="3"/>
        <v>1</v>
      </c>
    </row>
    <row r="178" spans="1:9" ht="126">
      <c r="A178" s="13"/>
      <c r="B178" s="13"/>
      <c r="C178" s="13"/>
      <c r="D178" s="16"/>
      <c r="E178" s="17" t="s">
        <v>190</v>
      </c>
      <c r="F178" s="49">
        <v>1015720</v>
      </c>
      <c r="G178" s="63"/>
      <c r="H178" s="31">
        <f t="shared" si="3"/>
        <v>0</v>
      </c>
    </row>
    <row r="179" spans="1:9" ht="108">
      <c r="A179" s="13"/>
      <c r="B179" s="13"/>
      <c r="C179" s="13"/>
      <c r="D179" s="16"/>
      <c r="E179" s="40" t="s">
        <v>253</v>
      </c>
      <c r="F179" s="49">
        <f>438000+28400</f>
        <v>466400</v>
      </c>
      <c r="G179" s="49">
        <v>465977.75</v>
      </c>
      <c r="H179" s="31">
        <f t="shared" si="3"/>
        <v>0.99909466123499147</v>
      </c>
    </row>
    <row r="180" spans="1:9" ht="90">
      <c r="A180" s="13"/>
      <c r="B180" s="13"/>
      <c r="C180" s="13"/>
      <c r="D180" s="16"/>
      <c r="E180" s="40" t="s">
        <v>254</v>
      </c>
      <c r="F180" s="49">
        <f>4737120+850000</f>
        <v>5587120</v>
      </c>
      <c r="G180" s="49">
        <v>5533637.1399999997</v>
      </c>
      <c r="H180" s="31">
        <f t="shared" si="3"/>
        <v>0.99042747247240071</v>
      </c>
    </row>
    <row r="181" spans="1:9" ht="72">
      <c r="A181" s="13" t="s">
        <v>191</v>
      </c>
      <c r="B181" s="14" t="s">
        <v>192</v>
      </c>
      <c r="C181" s="15" t="s">
        <v>72</v>
      </c>
      <c r="D181" s="37" t="s">
        <v>193</v>
      </c>
      <c r="E181" s="32" t="s">
        <v>194</v>
      </c>
      <c r="F181" s="48">
        <v>1188551</v>
      </c>
      <c r="G181" s="63"/>
      <c r="H181" s="31">
        <f t="shared" si="3"/>
        <v>0</v>
      </c>
    </row>
    <row r="182" spans="1:9" ht="36">
      <c r="A182" s="13" t="s">
        <v>195</v>
      </c>
      <c r="B182" s="14" t="s">
        <v>196</v>
      </c>
      <c r="C182" s="15" t="s">
        <v>27</v>
      </c>
      <c r="D182" s="37" t="s">
        <v>76</v>
      </c>
      <c r="E182" s="37" t="s">
        <v>31</v>
      </c>
      <c r="F182" s="43">
        <f>F183+F184+F185+F186+F187</f>
        <v>6987961.8499999996</v>
      </c>
      <c r="G182" s="43">
        <f>G183+G184+G185+G186+G187</f>
        <v>956688.69</v>
      </c>
      <c r="H182" s="31">
        <f t="shared" si="3"/>
        <v>0.13690525371142373</v>
      </c>
      <c r="I182" s="9">
        <f>G182+'[1]2023'!$G$26-1319201.46</f>
        <v>0</v>
      </c>
    </row>
    <row r="183" spans="1:9" ht="54">
      <c r="A183" s="13"/>
      <c r="B183" s="13"/>
      <c r="C183" s="13"/>
      <c r="D183" s="16"/>
      <c r="E183" s="17" t="s">
        <v>77</v>
      </c>
      <c r="F183" s="43">
        <v>5730254.8499999996</v>
      </c>
      <c r="G183" s="43">
        <v>285484.28999999998</v>
      </c>
      <c r="H183" s="31">
        <f t="shared" si="3"/>
        <v>4.9820522380431297E-2</v>
      </c>
    </row>
    <row r="184" spans="1:9" ht="36">
      <c r="A184" s="13"/>
      <c r="B184" s="13"/>
      <c r="C184" s="13"/>
      <c r="D184" s="16"/>
      <c r="E184" s="17" t="s">
        <v>197</v>
      </c>
      <c r="F184" s="43">
        <v>37107</v>
      </c>
      <c r="G184" s="63"/>
      <c r="H184" s="31">
        <f t="shared" si="3"/>
        <v>0</v>
      </c>
    </row>
    <row r="185" spans="1:9" ht="72">
      <c r="A185" s="13"/>
      <c r="B185" s="13"/>
      <c r="C185" s="13"/>
      <c r="D185" s="16"/>
      <c r="E185" s="37" t="s">
        <v>95</v>
      </c>
      <c r="F185" s="43">
        <f>350000+325000</f>
        <v>675000</v>
      </c>
      <c r="G185" s="43">
        <v>425604.4</v>
      </c>
      <c r="H185" s="31">
        <f t="shared" si="3"/>
        <v>0.63052503703703711</v>
      </c>
    </row>
    <row r="186" spans="1:9" ht="72">
      <c r="A186" s="13"/>
      <c r="B186" s="13"/>
      <c r="C186" s="13"/>
      <c r="D186" s="16"/>
      <c r="E186" s="17" t="s">
        <v>198</v>
      </c>
      <c r="F186" s="43">
        <v>300000</v>
      </c>
      <c r="G186" s="43"/>
      <c r="H186" s="31">
        <f t="shared" si="3"/>
        <v>0</v>
      </c>
    </row>
    <row r="187" spans="1:9" ht="108">
      <c r="A187" s="13"/>
      <c r="B187" s="13"/>
      <c r="C187" s="13"/>
      <c r="D187" s="16"/>
      <c r="E187" s="40" t="s">
        <v>199</v>
      </c>
      <c r="F187" s="43">
        <v>245600</v>
      </c>
      <c r="G187" s="43">
        <v>245600</v>
      </c>
      <c r="H187" s="31">
        <f t="shared" si="3"/>
        <v>1</v>
      </c>
    </row>
    <row r="188" spans="1:9">
      <c r="A188" s="13" t="s">
        <v>200</v>
      </c>
      <c r="B188" s="14" t="s">
        <v>201</v>
      </c>
      <c r="C188" s="15" t="s">
        <v>63</v>
      </c>
      <c r="D188" s="37" t="s">
        <v>64</v>
      </c>
      <c r="E188" s="37" t="s">
        <v>31</v>
      </c>
      <c r="F188" s="43">
        <f>SUM(F189:F199)</f>
        <v>7792030.96</v>
      </c>
      <c r="G188" s="43">
        <f>SUM(G189:G199)</f>
        <v>4353291.830000001</v>
      </c>
      <c r="H188" s="31">
        <f t="shared" si="3"/>
        <v>0.55868513001904208</v>
      </c>
    </row>
    <row r="189" spans="1:9" ht="54">
      <c r="A189" s="33"/>
      <c r="B189" s="33"/>
      <c r="C189" s="33"/>
      <c r="D189" s="36"/>
      <c r="E189" s="17" t="s">
        <v>96</v>
      </c>
      <c r="F189" s="47">
        <f>477515.88+992484.12</f>
        <v>1470000</v>
      </c>
      <c r="G189" s="47">
        <v>1230704.55</v>
      </c>
      <c r="H189" s="31">
        <f t="shared" si="3"/>
        <v>0.83721397959183674</v>
      </c>
    </row>
    <row r="190" spans="1:9" ht="54">
      <c r="A190" s="33"/>
      <c r="B190" s="33"/>
      <c r="C190" s="33"/>
      <c r="D190" s="36"/>
      <c r="E190" s="17" t="s">
        <v>313</v>
      </c>
      <c r="F190" s="47">
        <v>179000</v>
      </c>
      <c r="G190" s="47">
        <v>562.1</v>
      </c>
      <c r="H190" s="31">
        <f t="shared" si="3"/>
        <v>3.1402234636871509E-3</v>
      </c>
    </row>
    <row r="191" spans="1:9" ht="54">
      <c r="A191" s="33"/>
      <c r="B191" s="33"/>
      <c r="C191" s="33"/>
      <c r="D191" s="36"/>
      <c r="E191" s="17" t="s">
        <v>65</v>
      </c>
      <c r="F191" s="47">
        <f>356325-22851.35</f>
        <v>333473.65000000002</v>
      </c>
      <c r="G191" s="47">
        <v>333473.65000000002</v>
      </c>
      <c r="H191" s="31">
        <f t="shared" si="3"/>
        <v>1</v>
      </c>
    </row>
    <row r="192" spans="1:9" ht="72">
      <c r="A192" s="33"/>
      <c r="B192" s="33"/>
      <c r="C192" s="33"/>
      <c r="D192" s="36"/>
      <c r="E192" s="17" t="s">
        <v>314</v>
      </c>
      <c r="F192" s="47">
        <v>322851.34999999998</v>
      </c>
      <c r="G192" s="47">
        <v>562.1</v>
      </c>
      <c r="H192" s="31">
        <f t="shared" si="3"/>
        <v>1.741048937847093E-3</v>
      </c>
    </row>
    <row r="193" spans="1:8" ht="54">
      <c r="A193" s="33"/>
      <c r="B193" s="33"/>
      <c r="C193" s="33"/>
      <c r="D193" s="36"/>
      <c r="E193" s="17" t="s">
        <v>66</v>
      </c>
      <c r="F193" s="47">
        <f>675427-39038.02</f>
        <v>636388.98</v>
      </c>
      <c r="G193" s="47">
        <v>411715.56</v>
      </c>
      <c r="H193" s="31">
        <f t="shared" si="3"/>
        <v>0.64695582880772073</v>
      </c>
    </row>
    <row r="194" spans="1:8" ht="54">
      <c r="A194" s="33"/>
      <c r="B194" s="33"/>
      <c r="C194" s="33"/>
      <c r="D194" s="36"/>
      <c r="E194" s="17" t="s">
        <v>315</v>
      </c>
      <c r="F194" s="47">
        <v>156000</v>
      </c>
      <c r="G194" s="47">
        <v>562.1</v>
      </c>
      <c r="H194" s="31">
        <f t="shared" si="3"/>
        <v>3.6032051282051283E-3</v>
      </c>
    </row>
    <row r="195" spans="1:8" ht="54">
      <c r="A195" s="33"/>
      <c r="B195" s="33"/>
      <c r="C195" s="33"/>
      <c r="D195" s="36"/>
      <c r="E195" s="17" t="s">
        <v>67</v>
      </c>
      <c r="F195" s="47">
        <f>99306.77+59200</f>
        <v>158506.77000000002</v>
      </c>
      <c r="G195" s="47">
        <v>147852.97</v>
      </c>
      <c r="H195" s="31">
        <f t="shared" si="3"/>
        <v>0.932786467101689</v>
      </c>
    </row>
    <row r="196" spans="1:8" ht="54">
      <c r="A196" s="33"/>
      <c r="B196" s="33"/>
      <c r="C196" s="33"/>
      <c r="D196" s="36"/>
      <c r="E196" s="17" t="s">
        <v>68</v>
      </c>
      <c r="F196" s="47">
        <f>284410.21+64400</f>
        <v>348810.21</v>
      </c>
      <c r="G196" s="47">
        <v>317263.53999999998</v>
      </c>
      <c r="H196" s="31">
        <f t="shared" si="3"/>
        <v>0.90955921273061346</v>
      </c>
    </row>
    <row r="197" spans="1:8" ht="108">
      <c r="A197" s="33"/>
      <c r="B197" s="33"/>
      <c r="C197" s="33"/>
      <c r="D197" s="36"/>
      <c r="E197" s="32" t="s">
        <v>202</v>
      </c>
      <c r="F197" s="47">
        <v>100000</v>
      </c>
      <c r="G197" s="47">
        <v>88404.66</v>
      </c>
      <c r="H197" s="31">
        <f t="shared" si="3"/>
        <v>0.88404660000000002</v>
      </c>
    </row>
    <row r="198" spans="1:8" ht="90">
      <c r="A198" s="33"/>
      <c r="B198" s="33"/>
      <c r="C198" s="33"/>
      <c r="D198" s="36"/>
      <c r="E198" s="32" t="s">
        <v>203</v>
      </c>
      <c r="F198" s="47">
        <v>100000</v>
      </c>
      <c r="G198" s="47">
        <v>98026.95</v>
      </c>
      <c r="H198" s="31">
        <f t="shared" si="3"/>
        <v>0.98026950000000002</v>
      </c>
    </row>
    <row r="199" spans="1:8" ht="54">
      <c r="A199" s="33"/>
      <c r="B199" s="33"/>
      <c r="C199" s="33"/>
      <c r="D199" s="36"/>
      <c r="E199" s="32" t="s">
        <v>204</v>
      </c>
      <c r="F199" s="47">
        <f>3782400+204600</f>
        <v>3987000</v>
      </c>
      <c r="G199" s="47">
        <v>1724163.65</v>
      </c>
      <c r="H199" s="31">
        <f t="shared" si="3"/>
        <v>0.43244636318033608</v>
      </c>
    </row>
    <row r="200" spans="1:8" ht="54">
      <c r="A200" s="13" t="s">
        <v>105</v>
      </c>
      <c r="B200" s="14" t="s">
        <v>106</v>
      </c>
      <c r="C200" s="15" t="s">
        <v>112</v>
      </c>
      <c r="D200" s="37" t="s">
        <v>107</v>
      </c>
      <c r="E200" s="37" t="s">
        <v>31</v>
      </c>
      <c r="F200" s="43">
        <f>F201+F202+F203+F204+F205+F206+F207+F208+F209+F210+F211+F212</f>
        <v>20196146.899999999</v>
      </c>
      <c r="G200" s="43">
        <f>G201+G202+G203+G204+G205+G206+G207+G208+G209+G210+G211+G212</f>
        <v>12554441.409999998</v>
      </c>
      <c r="H200" s="31">
        <f t="shared" ref="H200:H227" si="4">G200/F200</f>
        <v>0.62162557403461938</v>
      </c>
    </row>
    <row r="201" spans="1:8" ht="108">
      <c r="A201" s="33"/>
      <c r="B201" s="33"/>
      <c r="C201" s="33"/>
      <c r="D201" s="36"/>
      <c r="E201" s="17" t="s">
        <v>115</v>
      </c>
      <c r="F201" s="48">
        <f>3265655.66+200000+490000</f>
        <v>3955655.66</v>
      </c>
      <c r="G201" s="48">
        <v>3810561.96</v>
      </c>
      <c r="H201" s="31">
        <f t="shared" si="4"/>
        <v>0.96331993670045579</v>
      </c>
    </row>
    <row r="202" spans="1:8" ht="54">
      <c r="A202" s="33"/>
      <c r="B202" s="33"/>
      <c r="C202" s="33"/>
      <c r="D202" s="36"/>
      <c r="E202" s="17" t="s">
        <v>205</v>
      </c>
      <c r="F202" s="48">
        <f>620518+500000</f>
        <v>1120518</v>
      </c>
      <c r="G202" s="63"/>
      <c r="H202" s="31">
        <f t="shared" si="4"/>
        <v>0</v>
      </c>
    </row>
    <row r="203" spans="1:8" ht="90">
      <c r="A203" s="33"/>
      <c r="B203" s="33"/>
      <c r="C203" s="33"/>
      <c r="D203" s="36"/>
      <c r="E203" s="15" t="s">
        <v>108</v>
      </c>
      <c r="F203" s="48">
        <v>1004292.24</v>
      </c>
      <c r="G203" s="48">
        <v>1003998.38</v>
      </c>
      <c r="H203" s="31">
        <f t="shared" si="4"/>
        <v>0.99970739592690672</v>
      </c>
    </row>
    <row r="204" spans="1:8" ht="180">
      <c r="A204" s="33"/>
      <c r="B204" s="33"/>
      <c r="C204" s="33"/>
      <c r="D204" s="36"/>
      <c r="E204" s="15" t="s">
        <v>123</v>
      </c>
      <c r="F204" s="48">
        <f>10141431-6130638</f>
        <v>4010793</v>
      </c>
      <c r="G204" s="48">
        <v>4010793</v>
      </c>
      <c r="H204" s="31">
        <f t="shared" si="4"/>
        <v>1</v>
      </c>
    </row>
    <row r="205" spans="1:8" ht="126">
      <c r="A205" s="33"/>
      <c r="B205" s="33"/>
      <c r="C205" s="33"/>
      <c r="D205" s="41"/>
      <c r="E205" s="32" t="s">
        <v>206</v>
      </c>
      <c r="F205" s="48">
        <v>200000</v>
      </c>
      <c r="G205" s="48">
        <v>199409.52</v>
      </c>
      <c r="H205" s="31">
        <f t="shared" si="4"/>
        <v>0.99704759999999992</v>
      </c>
    </row>
    <row r="206" spans="1:8" ht="108">
      <c r="A206" s="33"/>
      <c r="B206" s="33"/>
      <c r="C206" s="33"/>
      <c r="D206" s="41"/>
      <c r="E206" s="32" t="s">
        <v>207</v>
      </c>
      <c r="F206" s="48">
        <v>100000</v>
      </c>
      <c r="G206" s="48">
        <v>60994.97</v>
      </c>
      <c r="H206" s="31">
        <f t="shared" si="4"/>
        <v>0.60994970000000004</v>
      </c>
    </row>
    <row r="207" spans="1:8" ht="108">
      <c r="A207" s="33"/>
      <c r="B207" s="33"/>
      <c r="C207" s="33"/>
      <c r="D207" s="41"/>
      <c r="E207" s="32" t="s">
        <v>208</v>
      </c>
      <c r="F207" s="48">
        <v>245400</v>
      </c>
      <c r="G207" s="48">
        <v>215223.62</v>
      </c>
      <c r="H207" s="31">
        <f t="shared" si="4"/>
        <v>0.87703186634066832</v>
      </c>
    </row>
    <row r="208" spans="1:8" ht="216">
      <c r="A208" s="33"/>
      <c r="B208" s="33"/>
      <c r="C208" s="33"/>
      <c r="D208" s="41"/>
      <c r="E208" s="15" t="s">
        <v>209</v>
      </c>
      <c r="F208" s="48">
        <f>4276488+683000</f>
        <v>4959488</v>
      </c>
      <c r="G208" s="48">
        <v>1922669.92</v>
      </c>
      <c r="H208" s="30">
        <f t="shared" si="4"/>
        <v>0.38767508258917049</v>
      </c>
    </row>
    <row r="209" spans="1:8" ht="126">
      <c r="A209" s="33"/>
      <c r="B209" s="33"/>
      <c r="C209" s="33"/>
      <c r="D209" s="41"/>
      <c r="E209" s="15" t="s">
        <v>256</v>
      </c>
      <c r="F209" s="48">
        <v>1200000</v>
      </c>
      <c r="G209" s="48">
        <v>350476.01</v>
      </c>
      <c r="H209" s="30">
        <f t="shared" si="4"/>
        <v>0.2920633416666667</v>
      </c>
    </row>
    <row r="210" spans="1:8" ht="126">
      <c r="A210" s="33"/>
      <c r="B210" s="33"/>
      <c r="C210" s="33"/>
      <c r="D210" s="41"/>
      <c r="E210" s="15" t="s">
        <v>257</v>
      </c>
      <c r="F210" s="48">
        <v>1200000</v>
      </c>
      <c r="G210" s="48">
        <v>359580.78</v>
      </c>
      <c r="H210" s="30">
        <f t="shared" si="4"/>
        <v>0.29965065000000002</v>
      </c>
    </row>
    <row r="211" spans="1:8" ht="126">
      <c r="A211" s="33"/>
      <c r="B211" s="33"/>
      <c r="C211" s="33"/>
      <c r="D211" s="41"/>
      <c r="E211" s="15" t="s">
        <v>258</v>
      </c>
      <c r="F211" s="48">
        <v>1200000</v>
      </c>
      <c r="G211" s="48">
        <v>337457.33</v>
      </c>
      <c r="H211" s="31">
        <f t="shared" si="4"/>
        <v>0.2812144416666667</v>
      </c>
    </row>
    <row r="212" spans="1:8" ht="126">
      <c r="A212" s="33"/>
      <c r="B212" s="33"/>
      <c r="C212" s="33"/>
      <c r="D212" s="41"/>
      <c r="E212" s="15" t="s">
        <v>259</v>
      </c>
      <c r="F212" s="48">
        <v>1000000</v>
      </c>
      <c r="G212" s="48">
        <v>283275.92</v>
      </c>
      <c r="H212" s="31">
        <f t="shared" si="4"/>
        <v>0.28327591999999996</v>
      </c>
    </row>
    <row r="213" spans="1:8" ht="72">
      <c r="A213" s="13" t="s">
        <v>260</v>
      </c>
      <c r="B213" s="14">
        <v>8742</v>
      </c>
      <c r="C213" s="54" t="s">
        <v>25</v>
      </c>
      <c r="D213" s="15" t="s">
        <v>261</v>
      </c>
      <c r="E213" s="37" t="s">
        <v>262</v>
      </c>
      <c r="F213" s="43">
        <v>4575000</v>
      </c>
      <c r="G213" s="63"/>
      <c r="H213" s="31">
        <f t="shared" si="4"/>
        <v>0</v>
      </c>
    </row>
    <row r="214" spans="1:8">
      <c r="A214" s="18" t="s">
        <v>210</v>
      </c>
      <c r="B214" s="19" t="s">
        <v>133</v>
      </c>
      <c r="C214" s="19" t="s">
        <v>133</v>
      </c>
      <c r="D214" s="67" t="s">
        <v>211</v>
      </c>
      <c r="E214" s="68"/>
      <c r="F214" s="42">
        <f>F215</f>
        <v>840000</v>
      </c>
      <c r="G214" s="42">
        <f>G215</f>
        <v>30000</v>
      </c>
      <c r="H214" s="30">
        <f t="shared" si="4"/>
        <v>3.5714285714285712E-2</v>
      </c>
    </row>
    <row r="215" spans="1:8">
      <c r="A215" s="18" t="s">
        <v>212</v>
      </c>
      <c r="B215" s="19" t="s">
        <v>133</v>
      </c>
      <c r="C215" s="19" t="s">
        <v>133</v>
      </c>
      <c r="D215" s="67" t="s">
        <v>211</v>
      </c>
      <c r="E215" s="68"/>
      <c r="F215" s="42">
        <f>F216+F217</f>
        <v>840000</v>
      </c>
      <c r="G215" s="42">
        <f>G216+G217</f>
        <v>30000</v>
      </c>
      <c r="H215" s="30">
        <f t="shared" si="4"/>
        <v>3.5714285714285712E-2</v>
      </c>
    </row>
    <row r="216" spans="1:8" ht="54">
      <c r="A216" s="13" t="s">
        <v>213</v>
      </c>
      <c r="B216" s="14" t="s">
        <v>121</v>
      </c>
      <c r="C216" s="15" t="s">
        <v>19</v>
      </c>
      <c r="D216" s="37" t="s">
        <v>122</v>
      </c>
      <c r="E216" s="37" t="s">
        <v>21</v>
      </c>
      <c r="F216" s="43">
        <v>30000</v>
      </c>
      <c r="G216" s="43">
        <v>30000</v>
      </c>
      <c r="H216" s="31">
        <f t="shared" si="4"/>
        <v>1</v>
      </c>
    </row>
    <row r="217" spans="1:8" ht="36">
      <c r="A217" s="13" t="s">
        <v>214</v>
      </c>
      <c r="B217" s="14" t="s">
        <v>215</v>
      </c>
      <c r="C217" s="15" t="s">
        <v>27</v>
      </c>
      <c r="D217" s="37" t="s">
        <v>216</v>
      </c>
      <c r="E217" s="37" t="s">
        <v>21</v>
      </c>
      <c r="F217" s="43">
        <f>550000+260000</f>
        <v>810000</v>
      </c>
      <c r="G217" s="63"/>
      <c r="H217" s="31">
        <f t="shared" si="4"/>
        <v>0</v>
      </c>
    </row>
    <row r="218" spans="1:8">
      <c r="A218" s="56" t="s">
        <v>9</v>
      </c>
      <c r="B218" s="13" t="s">
        <v>133</v>
      </c>
      <c r="C218" s="13" t="s">
        <v>133</v>
      </c>
      <c r="D218" s="77" t="s">
        <v>217</v>
      </c>
      <c r="E218" s="78"/>
      <c r="F218" s="42">
        <f>F219</f>
        <v>4110110</v>
      </c>
      <c r="G218" s="42">
        <f>G219</f>
        <v>4110110</v>
      </c>
      <c r="H218" s="30">
        <f t="shared" si="4"/>
        <v>1</v>
      </c>
    </row>
    <row r="219" spans="1:8">
      <c r="A219" s="56" t="s">
        <v>10</v>
      </c>
      <c r="B219" s="13" t="s">
        <v>133</v>
      </c>
      <c r="C219" s="13" t="s">
        <v>133</v>
      </c>
      <c r="D219" s="77" t="s">
        <v>217</v>
      </c>
      <c r="E219" s="78"/>
      <c r="F219" s="42">
        <f>F220</f>
        <v>4110110</v>
      </c>
      <c r="G219" s="42">
        <f>G220</f>
        <v>4110110</v>
      </c>
      <c r="H219" s="30">
        <f t="shared" si="4"/>
        <v>1</v>
      </c>
    </row>
    <row r="220" spans="1:8" ht="72">
      <c r="A220" s="13" t="s">
        <v>218</v>
      </c>
      <c r="B220" s="14" t="s">
        <v>219</v>
      </c>
      <c r="C220" s="15" t="s">
        <v>11</v>
      </c>
      <c r="D220" s="37" t="s">
        <v>109</v>
      </c>
      <c r="E220" s="37" t="s">
        <v>31</v>
      </c>
      <c r="F220" s="43">
        <f>F221+F222+F224+F225+F226+F223</f>
        <v>4110110</v>
      </c>
      <c r="G220" s="43">
        <f>G221+G222+G224+G225+G226+G223</f>
        <v>4110110</v>
      </c>
      <c r="H220" s="31">
        <f t="shared" si="4"/>
        <v>1</v>
      </c>
    </row>
    <row r="221" spans="1:8" ht="54">
      <c r="A221" s="33"/>
      <c r="B221" s="33"/>
      <c r="C221" s="33"/>
      <c r="D221" s="36"/>
      <c r="E221" s="37" t="s">
        <v>116</v>
      </c>
      <c r="F221" s="43">
        <v>365250</v>
      </c>
      <c r="G221" s="43">
        <v>365250</v>
      </c>
      <c r="H221" s="31">
        <f t="shared" si="4"/>
        <v>1</v>
      </c>
    </row>
    <row r="222" spans="1:8" ht="72">
      <c r="A222" s="33"/>
      <c r="B222" s="33"/>
      <c r="C222" s="33"/>
      <c r="D222" s="36"/>
      <c r="E222" s="37" t="s">
        <v>316</v>
      </c>
      <c r="F222" s="43">
        <v>425000</v>
      </c>
      <c r="G222" s="43">
        <v>425000</v>
      </c>
      <c r="H222" s="31">
        <f t="shared" si="4"/>
        <v>1</v>
      </c>
    </row>
    <row r="223" spans="1:8" ht="90">
      <c r="A223" s="33"/>
      <c r="B223" s="33"/>
      <c r="C223" s="33"/>
      <c r="D223" s="36"/>
      <c r="E223" s="37" t="s">
        <v>317</v>
      </c>
      <c r="F223" s="43">
        <v>409500</v>
      </c>
      <c r="G223" s="43">
        <v>409500</v>
      </c>
      <c r="H223" s="31">
        <f t="shared" si="4"/>
        <v>1</v>
      </c>
    </row>
    <row r="224" spans="1:8" ht="126">
      <c r="A224" s="33"/>
      <c r="B224" s="33"/>
      <c r="C224" s="33"/>
      <c r="D224" s="36"/>
      <c r="E224" s="37" t="s">
        <v>263</v>
      </c>
      <c r="F224" s="43">
        <v>1500000</v>
      </c>
      <c r="G224" s="43">
        <v>1500000</v>
      </c>
      <c r="H224" s="31">
        <f t="shared" si="4"/>
        <v>1</v>
      </c>
    </row>
    <row r="225" spans="1:8" ht="72">
      <c r="A225" s="33"/>
      <c r="B225" s="33"/>
      <c r="C225" s="33"/>
      <c r="D225" s="36"/>
      <c r="E225" s="37" t="s">
        <v>264</v>
      </c>
      <c r="F225" s="43">
        <v>380860</v>
      </c>
      <c r="G225" s="43">
        <v>380860</v>
      </c>
      <c r="H225" s="31">
        <f t="shared" si="4"/>
        <v>1</v>
      </c>
    </row>
    <row r="226" spans="1:8" ht="54">
      <c r="A226" s="33"/>
      <c r="B226" s="33"/>
      <c r="C226" s="33"/>
      <c r="D226" s="36"/>
      <c r="E226" s="37" t="s">
        <v>265</v>
      </c>
      <c r="F226" s="43">
        <f>400000+629500</f>
        <v>1029500</v>
      </c>
      <c r="G226" s="43">
        <v>1029500</v>
      </c>
      <c r="H226" s="31">
        <f t="shared" si="4"/>
        <v>1</v>
      </c>
    </row>
    <row r="227" spans="1:8">
      <c r="A227" s="12"/>
      <c r="B227" s="19"/>
      <c r="C227" s="19"/>
      <c r="D227" s="20"/>
      <c r="E227" s="21" t="s">
        <v>12</v>
      </c>
      <c r="F227" s="50">
        <f>F9+F18+F30+F39+F42+F46+F49+F101+F214+F218</f>
        <v>204660485.98999998</v>
      </c>
      <c r="G227" s="50">
        <f>G9+G18+G30+G39+G42+G46+G49+G101+G214+G218</f>
        <v>48864548.510000005</v>
      </c>
      <c r="H227" s="30">
        <f t="shared" si="4"/>
        <v>0.23875907590871059</v>
      </c>
    </row>
    <row r="228" spans="1:8">
      <c r="A228" s="57"/>
      <c r="B228" s="51"/>
      <c r="C228" s="51"/>
      <c r="D228" s="58"/>
      <c r="E228" s="59"/>
      <c r="F228" s="60"/>
    </row>
    <row r="229" spans="1:8">
      <c r="A229" s="65"/>
      <c r="B229" s="66"/>
      <c r="C229" s="61"/>
      <c r="D229" s="62" t="s">
        <v>110</v>
      </c>
      <c r="E229" s="62"/>
      <c r="F229" s="61" t="s">
        <v>111</v>
      </c>
    </row>
    <row r="230" spans="1:8">
      <c r="A230" s="66"/>
      <c r="F230" s="9"/>
    </row>
    <row r="233" spans="1:8">
      <c r="F233" s="9">
        <f>F227+'[1]2023'!$F$32</f>
        <v>244414166.48999998</v>
      </c>
      <c r="G233" s="9">
        <f>G227+'[1]2023'!$G$32</f>
        <v>55179594.120000005</v>
      </c>
    </row>
    <row r="235" spans="1:8">
      <c r="F235" s="9">
        <f>F233-244414166.49</f>
        <v>0</v>
      </c>
      <c r="G235" s="9">
        <f>G233-55179594.12</f>
        <v>0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27">
    <mergeCell ref="D219:E219"/>
    <mergeCell ref="D101:E101"/>
    <mergeCell ref="D102:E102"/>
    <mergeCell ref="D214:E214"/>
    <mergeCell ref="D215:E215"/>
    <mergeCell ref="D218:E218"/>
    <mergeCell ref="D36:E36"/>
    <mergeCell ref="D46:E46"/>
    <mergeCell ref="D47:E47"/>
    <mergeCell ref="D49:E49"/>
    <mergeCell ref="D50:E50"/>
    <mergeCell ref="D31:E31"/>
    <mergeCell ref="D35:E35"/>
    <mergeCell ref="D9:E9"/>
    <mergeCell ref="D10:E10"/>
    <mergeCell ref="D18:E18"/>
    <mergeCell ref="D30:E30"/>
    <mergeCell ref="A5:B5"/>
    <mergeCell ref="A4:H4"/>
    <mergeCell ref="G1:H1"/>
    <mergeCell ref="G3:H3"/>
    <mergeCell ref="D19:E19"/>
    <mergeCell ref="D39:E39"/>
    <mergeCell ref="D40:E40"/>
    <mergeCell ref="D42:E42"/>
    <mergeCell ref="D43:E43"/>
    <mergeCell ref="D37:E37"/>
  </mergeCells>
  <pageMargins left="0.19685039370078741" right="0.19685039370078741" top="0.39370078740157483" bottom="0.39370078740157483" header="0.19685039370078741" footer="0.19685039370078741"/>
  <pageSetup paperSize="9" scale="47" fitToHeight="37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2023-10-23T11:11:02Z</cp:lastPrinted>
  <dcterms:created xsi:type="dcterms:W3CDTF">2019-04-10T18:00:09Z</dcterms:created>
  <dcterms:modified xsi:type="dcterms:W3CDTF">2023-10-31T06:33:47Z</dcterms:modified>
</cp:coreProperties>
</file>