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minimized="1" xWindow="120" yWindow="150" windowWidth="15240" windowHeight="7605"/>
  </bookViews>
  <sheets>
    <sheet name="2023" sheetId="4" r:id="rId1"/>
  </sheets>
  <definedNames>
    <definedName name="Z_22648713_93C4_4BCC_9593_E6D578C36006_.wvu.PrintArea" localSheetId="0" hidden="1">'2023'!$A$1:$P$134</definedName>
    <definedName name="Z_22648713_93C4_4BCC_9593_E6D578C36006_.wvu.PrintTitles" localSheetId="0" hidden="1">'2023'!$10:$15</definedName>
    <definedName name="Z_22648713_93C4_4BCC_9593_E6D578C36006_.wvu.Rows" localSheetId="0" hidden="1">'2023'!$27:$27,'2023'!#REF!</definedName>
    <definedName name="_xlnm.Print_Titles" localSheetId="0">'2023'!$10:$15</definedName>
    <definedName name="_xlnm.Print_Area" localSheetId="0">'2023'!$A$1:$P$204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I87" i="4" l="1"/>
  <c r="I88" i="4"/>
  <c r="I82" i="4"/>
  <c r="O21" i="4"/>
  <c r="P189" i="4"/>
  <c r="O189" i="4"/>
  <c r="P188" i="4"/>
  <c r="O188" i="4"/>
  <c r="N188" i="4"/>
  <c r="P187" i="4"/>
  <c r="O187" i="4"/>
  <c r="P186" i="4"/>
  <c r="O186" i="4"/>
  <c r="N186" i="4"/>
  <c r="N185" i="4"/>
  <c r="P184" i="4"/>
  <c r="O184" i="4"/>
  <c r="N184" i="4"/>
  <c r="P183" i="4"/>
  <c r="O183" i="4"/>
  <c r="N183" i="4"/>
  <c r="N180" i="4"/>
  <c r="N179" i="4"/>
  <c r="N178" i="4"/>
  <c r="N177" i="4"/>
  <c r="N176" i="4"/>
  <c r="N174" i="4"/>
  <c r="N173" i="4"/>
  <c r="N172" i="4"/>
  <c r="N171" i="4"/>
  <c r="N170" i="4"/>
  <c r="N167" i="4"/>
  <c r="P165" i="4"/>
  <c r="N164" i="4"/>
  <c r="N163" i="4"/>
  <c r="N162" i="4"/>
  <c r="N161" i="4"/>
  <c r="P160" i="4"/>
  <c r="N160" i="4"/>
  <c r="P157" i="4"/>
  <c r="O157" i="4"/>
  <c r="O156" i="4"/>
  <c r="P155" i="4"/>
  <c r="P154" i="4"/>
  <c r="P152" i="4"/>
  <c r="P151" i="4"/>
  <c r="O151" i="4"/>
  <c r="N150" i="4"/>
  <c r="P149" i="4"/>
  <c r="P147" i="4"/>
  <c r="O147" i="4"/>
  <c r="N147" i="4"/>
  <c r="P146" i="4"/>
  <c r="P143" i="4"/>
  <c r="P141" i="4"/>
  <c r="N140" i="4"/>
  <c r="P139" i="4"/>
  <c r="O139" i="4"/>
  <c r="N139" i="4"/>
  <c r="P138" i="4"/>
  <c r="O138" i="4"/>
  <c r="N135" i="4"/>
  <c r="N133" i="4"/>
  <c r="O131" i="4"/>
  <c r="O129" i="4"/>
  <c r="P128" i="4"/>
  <c r="N127" i="4"/>
  <c r="N126" i="4"/>
  <c r="N123" i="4"/>
  <c r="P122" i="4"/>
  <c r="N122" i="4"/>
  <c r="N121" i="4"/>
  <c r="N120" i="4"/>
  <c r="N119" i="4"/>
  <c r="N118" i="4"/>
  <c r="N117" i="4"/>
  <c r="N116" i="4"/>
  <c r="P115" i="4"/>
  <c r="O115" i="4"/>
  <c r="N115" i="4"/>
  <c r="N112" i="4"/>
  <c r="N111" i="4"/>
  <c r="N110" i="4"/>
  <c r="N109" i="4"/>
  <c r="N107" i="4"/>
  <c r="P106" i="4"/>
  <c r="N106" i="4"/>
  <c r="N103" i="4"/>
  <c r="N102" i="4"/>
  <c r="P101" i="4"/>
  <c r="N101" i="4"/>
  <c r="N100" i="4"/>
  <c r="P99" i="4"/>
  <c r="N99" i="4"/>
  <c r="N98" i="4"/>
  <c r="O97" i="4"/>
  <c r="N97" i="4"/>
  <c r="N96" i="4"/>
  <c r="N95" i="4"/>
  <c r="N92" i="4"/>
  <c r="P91" i="4"/>
  <c r="N91" i="4"/>
  <c r="N88" i="4"/>
  <c r="P87" i="4"/>
  <c r="O87" i="4"/>
  <c r="P84" i="4"/>
  <c r="P83" i="4"/>
  <c r="P82" i="4"/>
  <c r="O82" i="4"/>
  <c r="N81" i="4"/>
  <c r="N80" i="4"/>
  <c r="N79" i="4"/>
  <c r="N78" i="4"/>
  <c r="N77" i="4"/>
  <c r="P76" i="4"/>
  <c r="O76" i="4"/>
  <c r="N76" i="4"/>
  <c r="P75" i="4"/>
  <c r="N75" i="4"/>
  <c r="N74" i="4"/>
  <c r="N73" i="4"/>
  <c r="N72" i="4"/>
  <c r="N71" i="4"/>
  <c r="N70" i="4"/>
  <c r="P69" i="4"/>
  <c r="N69" i="4"/>
  <c r="N66" i="4"/>
  <c r="N65" i="4"/>
  <c r="N64" i="4"/>
  <c r="N63" i="4"/>
  <c r="N62" i="4"/>
  <c r="N61" i="4"/>
  <c r="N60" i="4"/>
  <c r="N58" i="4"/>
  <c r="N57" i="4"/>
  <c r="N56" i="4"/>
  <c r="N55" i="4"/>
  <c r="N54" i="4"/>
  <c r="N53" i="4"/>
  <c r="N52" i="4"/>
  <c r="N51" i="4"/>
  <c r="P50" i="4"/>
  <c r="N50" i="4"/>
  <c r="P49" i="4"/>
  <c r="N49" i="4"/>
  <c r="P48" i="4"/>
  <c r="N48" i="4"/>
  <c r="N47" i="4"/>
  <c r="N46" i="4"/>
  <c r="N42" i="4"/>
  <c r="N41" i="4"/>
  <c r="P40" i="4"/>
  <c r="N40" i="4"/>
  <c r="N38" i="4"/>
  <c r="N37" i="4"/>
  <c r="N36" i="4"/>
  <c r="N35" i="4"/>
  <c r="N34" i="4"/>
  <c r="N33" i="4"/>
  <c r="N32" i="4"/>
  <c r="N30" i="4"/>
  <c r="N29" i="4"/>
  <c r="P27" i="4"/>
  <c r="P26" i="4"/>
  <c r="O26" i="4"/>
  <c r="N26" i="4"/>
  <c r="P25" i="4"/>
  <c r="O25" i="4"/>
  <c r="N25" i="4"/>
  <c r="N24" i="4"/>
  <c r="N23" i="4"/>
  <c r="N22" i="4"/>
  <c r="P21" i="4"/>
  <c r="N21" i="4"/>
  <c r="N20" i="4"/>
  <c r="P19" i="4"/>
  <c r="N19" i="4"/>
  <c r="K50" i="4"/>
  <c r="K101" i="4"/>
  <c r="O101" i="4" s="1"/>
  <c r="K100" i="4"/>
  <c r="O100" i="4" s="1"/>
  <c r="K53" i="4"/>
  <c r="O53" i="4" s="1"/>
  <c r="K49" i="4"/>
  <c r="O49" i="4" s="1"/>
  <c r="K48" i="4"/>
  <c r="O48" i="4" s="1"/>
  <c r="K19" i="4"/>
  <c r="O19" i="4" s="1"/>
  <c r="G101" i="4"/>
  <c r="K99" i="4"/>
  <c r="O99" i="4" s="1"/>
  <c r="G99" i="4"/>
  <c r="G195" i="4" s="1"/>
  <c r="G75" i="4"/>
  <c r="O75" i="4" s="1"/>
  <c r="G49" i="4"/>
  <c r="G48" i="4"/>
  <c r="G19" i="4"/>
  <c r="H194" i="4" l="1"/>
  <c r="H195" i="4"/>
  <c r="H193" i="4"/>
  <c r="H192" i="4"/>
  <c r="L195" i="4"/>
  <c r="P195" i="4" s="1"/>
  <c r="K192" i="4"/>
  <c r="L192" i="4"/>
  <c r="P192" i="4" s="1"/>
  <c r="L193" i="4"/>
  <c r="P193" i="4" s="1"/>
  <c r="L194" i="4"/>
  <c r="P194" i="4" s="1"/>
  <c r="K195" i="4"/>
  <c r="O195" i="4" s="1"/>
  <c r="L181" i="4" l="1"/>
  <c r="K181" i="4"/>
  <c r="O181" i="4" s="1"/>
  <c r="G181" i="4"/>
  <c r="G200" i="4" s="1"/>
  <c r="H181" i="4"/>
  <c r="H200" i="4" s="1"/>
  <c r="P181" i="4" l="1"/>
  <c r="G165" i="4"/>
  <c r="O165" i="4" s="1"/>
  <c r="K160" i="4"/>
  <c r="O160" i="4" s="1"/>
  <c r="K155" i="4"/>
  <c r="O155" i="4" s="1"/>
  <c r="K154" i="4"/>
  <c r="G154" i="4"/>
  <c r="K152" i="4"/>
  <c r="G152" i="4"/>
  <c r="L150" i="4"/>
  <c r="H150" i="4"/>
  <c r="G150" i="4" s="1"/>
  <c r="K149" i="4"/>
  <c r="G149" i="4"/>
  <c r="G148" i="4"/>
  <c r="K148" i="4"/>
  <c r="L148" i="4"/>
  <c r="H148" i="4"/>
  <c r="K146" i="4"/>
  <c r="G146" i="4"/>
  <c r="K145" i="4"/>
  <c r="K144" i="4"/>
  <c r="H144" i="4"/>
  <c r="P144" i="4" s="1"/>
  <c r="K143" i="4"/>
  <c r="O143" i="4" s="1"/>
  <c r="L142" i="4"/>
  <c r="H142" i="4"/>
  <c r="G142" i="4" s="1"/>
  <c r="K141" i="4"/>
  <c r="O141" i="4" s="1"/>
  <c r="L132" i="4"/>
  <c r="K132" i="4" s="1"/>
  <c r="H132" i="4"/>
  <c r="H199" i="4" s="1"/>
  <c r="K128" i="4"/>
  <c r="O128" i="4" s="1"/>
  <c r="K125" i="4"/>
  <c r="H125" i="4"/>
  <c r="P125" i="4" s="1"/>
  <c r="L124" i="4"/>
  <c r="P124" i="4" s="1"/>
  <c r="H124" i="4"/>
  <c r="G124" i="4" s="1"/>
  <c r="K122" i="4"/>
  <c r="O122" i="4" s="1"/>
  <c r="K119" i="4"/>
  <c r="L119" i="4"/>
  <c r="G119" i="4"/>
  <c r="H119" i="4"/>
  <c r="K106" i="4"/>
  <c r="O106" i="4" s="1"/>
  <c r="G106" i="4"/>
  <c r="K91" i="4"/>
  <c r="O91" i="4" s="1"/>
  <c r="G91" i="4"/>
  <c r="K84" i="4"/>
  <c r="K83" i="4"/>
  <c r="G83" i="4"/>
  <c r="G194" i="4" s="1"/>
  <c r="K69" i="4"/>
  <c r="O69" i="4" s="1"/>
  <c r="G65" i="4"/>
  <c r="G58" i="4"/>
  <c r="G50" i="4"/>
  <c r="K40" i="4"/>
  <c r="O40" i="4" s="1"/>
  <c r="G40" i="4"/>
  <c r="G27" i="4"/>
  <c r="G193" i="4" s="1"/>
  <c r="K27" i="4"/>
  <c r="J31" i="4"/>
  <c r="F31" i="4"/>
  <c r="J192" i="4"/>
  <c r="K124" i="4" l="1"/>
  <c r="O124" i="4" s="1"/>
  <c r="G144" i="4"/>
  <c r="G198" i="4"/>
  <c r="O152" i="4"/>
  <c r="O144" i="4"/>
  <c r="P132" i="4"/>
  <c r="L199" i="4"/>
  <c r="P199" i="4" s="1"/>
  <c r="I83" i="4"/>
  <c r="O83" i="4"/>
  <c r="K194" i="4"/>
  <c r="O194" i="4" s="1"/>
  <c r="P119" i="4"/>
  <c r="L197" i="4"/>
  <c r="G125" i="4"/>
  <c r="O149" i="4"/>
  <c r="O154" i="4"/>
  <c r="I84" i="4"/>
  <c r="O84" i="4"/>
  <c r="O119" i="4"/>
  <c r="O125" i="4"/>
  <c r="P142" i="4"/>
  <c r="O146" i="4"/>
  <c r="P150" i="4"/>
  <c r="K142" i="4"/>
  <c r="O142" i="4" s="1"/>
  <c r="H198" i="4"/>
  <c r="K150" i="4"/>
  <c r="O150" i="4" s="1"/>
  <c r="K198" i="4"/>
  <c r="O198" i="4" s="1"/>
  <c r="O148" i="4"/>
  <c r="O27" i="4"/>
  <c r="K193" i="4"/>
  <c r="O193" i="4" s="1"/>
  <c r="G192" i="4"/>
  <c r="O192" i="4" s="1"/>
  <c r="O50" i="4"/>
  <c r="N31" i="4"/>
  <c r="G132" i="4"/>
  <c r="O132" i="4" s="1"/>
  <c r="P148" i="4"/>
  <c r="L198" i="4"/>
  <c r="J181" i="4"/>
  <c r="P198" i="4" l="1"/>
  <c r="K197" i="4"/>
  <c r="I179" i="4"/>
  <c r="I180" i="4"/>
  <c r="M180" i="4" s="1"/>
  <c r="E175" i="4"/>
  <c r="E180" i="4"/>
  <c r="J166" i="4"/>
  <c r="F166" i="4"/>
  <c r="J165" i="4"/>
  <c r="F165" i="4"/>
  <c r="N165" i="4" l="1"/>
  <c r="N166" i="4"/>
  <c r="J132" i="4"/>
  <c r="N132" i="4" s="1"/>
  <c r="F132" i="4"/>
  <c r="J130" i="4"/>
  <c r="J124" i="4"/>
  <c r="N124" i="4" s="1"/>
  <c r="F124" i="4"/>
  <c r="J108" i="4"/>
  <c r="F108" i="4"/>
  <c r="I92" i="4"/>
  <c r="I91" i="4"/>
  <c r="E92" i="4"/>
  <c r="E91" i="4"/>
  <c r="L90" i="4"/>
  <c r="L89" i="4" s="1"/>
  <c r="K90" i="4"/>
  <c r="K89" i="4" s="1"/>
  <c r="J90" i="4"/>
  <c r="H90" i="4"/>
  <c r="H89" i="4" s="1"/>
  <c r="G90" i="4"/>
  <c r="F90" i="4"/>
  <c r="F89" i="4" s="1"/>
  <c r="J86" i="4"/>
  <c r="F86" i="4"/>
  <c r="J85" i="4"/>
  <c r="I85" i="4" l="1"/>
  <c r="J194" i="4"/>
  <c r="N86" i="4"/>
  <c r="I86" i="4"/>
  <c r="M92" i="4"/>
  <c r="J198" i="4"/>
  <c r="N108" i="4"/>
  <c r="M91" i="4"/>
  <c r="I90" i="4"/>
  <c r="E90" i="4"/>
  <c r="N90" i="4"/>
  <c r="P89" i="4"/>
  <c r="P90" i="4"/>
  <c r="G89" i="4"/>
  <c r="E89" i="4" s="1"/>
  <c r="O90" i="4"/>
  <c r="J89" i="4"/>
  <c r="M90" i="4" l="1"/>
  <c r="O89" i="4"/>
  <c r="I89" i="4"/>
  <c r="M89" i="4" s="1"/>
  <c r="N89" i="4"/>
  <c r="J39" i="4" l="1"/>
  <c r="F39" i="4"/>
  <c r="F199" i="4" s="1"/>
  <c r="I32" i="4"/>
  <c r="M32" i="4" s="1"/>
  <c r="E32" i="4"/>
  <c r="N39" i="4" l="1"/>
  <c r="J199" i="4"/>
  <c r="N199" i="4" s="1"/>
  <c r="J28" i="4"/>
  <c r="F28" i="4"/>
  <c r="J27" i="4"/>
  <c r="F27" i="4"/>
  <c r="N27" i="4" l="1"/>
  <c r="J193" i="4"/>
  <c r="N28" i="4"/>
  <c r="K22" i="4"/>
  <c r="I62" i="4" l="1"/>
  <c r="I187" i="4" l="1"/>
  <c r="I188" i="4"/>
  <c r="I189" i="4"/>
  <c r="E188" i="4"/>
  <c r="E189" i="4"/>
  <c r="M188" i="4" l="1"/>
  <c r="M189" i="4"/>
  <c r="K137" i="4"/>
  <c r="E157" i="4"/>
  <c r="M157" i="4" s="1"/>
  <c r="H145" i="4"/>
  <c r="G145" i="4"/>
  <c r="G137" i="4"/>
  <c r="K134" i="4"/>
  <c r="G134" i="4"/>
  <c r="G199" i="4" s="1"/>
  <c r="E84" i="4"/>
  <c r="M84" i="4" s="1"/>
  <c r="E82" i="4"/>
  <c r="M82" i="4" s="1"/>
  <c r="E83" i="4"/>
  <c r="M83" i="4" s="1"/>
  <c r="I131" i="4"/>
  <c r="E131" i="4"/>
  <c r="H68" i="4"/>
  <c r="K68" i="4"/>
  <c r="L68" i="4"/>
  <c r="L67" i="4" s="1"/>
  <c r="G68" i="4"/>
  <c r="O145" i="4" l="1"/>
  <c r="G197" i="4"/>
  <c r="O197" i="4" s="1"/>
  <c r="M131" i="4"/>
  <c r="P145" i="4"/>
  <c r="H197" i="4"/>
  <c r="P197" i="4" s="1"/>
  <c r="O134" i="4"/>
  <c r="K199" i="4"/>
  <c r="O199" i="4" s="1"/>
  <c r="L137" i="4"/>
  <c r="H137" i="4"/>
  <c r="F94" i="4"/>
  <c r="F181" i="4"/>
  <c r="N181" i="4" s="1"/>
  <c r="I178" i="4"/>
  <c r="E179" i="4"/>
  <c r="M179" i="4" s="1"/>
  <c r="E178" i="4"/>
  <c r="I164" i="4"/>
  <c r="E164" i="4"/>
  <c r="E141" i="4"/>
  <c r="I141" i="4"/>
  <c r="M141" i="4" s="1"/>
  <c r="M164" i="4" l="1"/>
  <c r="M178" i="4"/>
  <c r="G114" i="4"/>
  <c r="H114" i="4"/>
  <c r="I135" i="4"/>
  <c r="E135" i="4"/>
  <c r="F130" i="4"/>
  <c r="F114" i="4"/>
  <c r="G105" i="4"/>
  <c r="H105" i="4"/>
  <c r="J196" i="4"/>
  <c r="F196" i="4"/>
  <c r="G94" i="4"/>
  <c r="H94" i="4"/>
  <c r="J94" i="4"/>
  <c r="L94" i="4"/>
  <c r="I111" i="4"/>
  <c r="M111" i="4" s="1"/>
  <c r="E111" i="4"/>
  <c r="J105" i="4"/>
  <c r="F105" i="4"/>
  <c r="I98" i="4"/>
  <c r="M98" i="4" s="1"/>
  <c r="E98" i="4"/>
  <c r="F198" i="4" l="1"/>
  <c r="N198" i="4" s="1"/>
  <c r="N130" i="4"/>
  <c r="M135" i="4"/>
  <c r="N196" i="4"/>
  <c r="J114" i="4"/>
  <c r="F85" i="4" l="1"/>
  <c r="F194" i="4" l="1"/>
  <c r="N194" i="4" s="1"/>
  <c r="N85" i="4"/>
  <c r="J68" i="4"/>
  <c r="F68" i="4"/>
  <c r="F59" i="4"/>
  <c r="N59" i="4" s="1"/>
  <c r="I36" i="4"/>
  <c r="I37" i="4"/>
  <c r="I38" i="4"/>
  <c r="E147" i="4" l="1"/>
  <c r="I147" i="4"/>
  <c r="M147" i="4" s="1"/>
  <c r="K94" i="4"/>
  <c r="I143" i="4"/>
  <c r="I125" i="4"/>
  <c r="L114" i="4" l="1"/>
  <c r="K114" i="4"/>
  <c r="E199" i="4"/>
  <c r="I186" i="4" l="1"/>
  <c r="I185" i="4"/>
  <c r="I163" i="4"/>
  <c r="I66" i="4"/>
  <c r="F195" i="4" l="1"/>
  <c r="J195" i="4"/>
  <c r="N195" i="4" s="1"/>
  <c r="E186" i="4" l="1"/>
  <c r="M186" i="4" s="1"/>
  <c r="E185" i="4"/>
  <c r="M185" i="4" s="1"/>
  <c r="L174" i="4"/>
  <c r="L200" i="4" s="1"/>
  <c r="P200" i="4" s="1"/>
  <c r="K174" i="4"/>
  <c r="K200" i="4" s="1"/>
  <c r="O200" i="4" s="1"/>
  <c r="J200" i="4"/>
  <c r="I177" i="4"/>
  <c r="M177" i="4" s="1"/>
  <c r="E177" i="4"/>
  <c r="E163" i="4"/>
  <c r="M163" i="4" s="1"/>
  <c r="E143" i="4"/>
  <c r="M143" i="4" s="1"/>
  <c r="E125" i="4"/>
  <c r="M125" i="4" s="1"/>
  <c r="N200" i="4" l="1"/>
  <c r="F200" i="4"/>
  <c r="E200" i="4" s="1"/>
  <c r="F169" i="4"/>
  <c r="J67" i="4" l="1"/>
  <c r="E87" i="4"/>
  <c r="M87" i="4" s="1"/>
  <c r="J45" i="4"/>
  <c r="H45" i="4"/>
  <c r="G45" i="4"/>
  <c r="E66" i="4"/>
  <c r="M66" i="4" s="1"/>
  <c r="E62" i="4"/>
  <c r="M62" i="4" s="1"/>
  <c r="E36" i="4"/>
  <c r="M36" i="4" s="1"/>
  <c r="E37" i="4"/>
  <c r="M37" i="4" s="1"/>
  <c r="K67" i="4" l="1"/>
  <c r="O68" i="4"/>
  <c r="P68" i="4"/>
  <c r="I19" i="4"/>
  <c r="I20" i="4"/>
  <c r="I21" i="4"/>
  <c r="I22" i="4"/>
  <c r="J169" i="4" l="1"/>
  <c r="I167" i="4" l="1"/>
  <c r="I155" i="4" l="1"/>
  <c r="E155" i="4" l="1"/>
  <c r="M155" i="4" s="1"/>
  <c r="H169" i="4" l="1"/>
  <c r="G169" i="4"/>
  <c r="N169" i="4"/>
  <c r="E166" i="4"/>
  <c r="I166" i="4"/>
  <c r="M166" i="4" s="1"/>
  <c r="I133" i="4"/>
  <c r="M133" i="4" s="1"/>
  <c r="E133" i="4"/>
  <c r="E88" i="4"/>
  <c r="M88" i="4" s="1"/>
  <c r="N68" i="4" l="1"/>
  <c r="H104" i="4" l="1"/>
  <c r="G104" i="4"/>
  <c r="E196" i="4"/>
  <c r="J168" i="4"/>
  <c r="H168" i="4"/>
  <c r="G168" i="4"/>
  <c r="F168" i="4"/>
  <c r="I200" i="4" l="1"/>
  <c r="M200" i="4" s="1"/>
  <c r="N168" i="4"/>
  <c r="E198" i="4"/>
  <c r="L169" i="4"/>
  <c r="P169" i="4" s="1"/>
  <c r="K169" i="4"/>
  <c r="O169" i="4" s="1"/>
  <c r="E195" i="4"/>
  <c r="I173" i="4"/>
  <c r="H159" i="4"/>
  <c r="G159" i="4"/>
  <c r="F159" i="4"/>
  <c r="F158" i="4" s="1"/>
  <c r="J137" i="4"/>
  <c r="H136" i="4"/>
  <c r="G136" i="4"/>
  <c r="F137" i="4"/>
  <c r="J104" i="4" l="1"/>
  <c r="J136" i="4"/>
  <c r="N137" i="4"/>
  <c r="J159" i="4"/>
  <c r="E194" i="4"/>
  <c r="I23" i="4"/>
  <c r="F193" i="4"/>
  <c r="N193" i="4" s="1"/>
  <c r="J158" i="4" l="1"/>
  <c r="N158" i="4" s="1"/>
  <c r="N159" i="4"/>
  <c r="E193" i="4"/>
  <c r="G158" i="4"/>
  <c r="H158" i="4"/>
  <c r="F136" i="4"/>
  <c r="N136" i="4" s="1"/>
  <c r="E114" i="4"/>
  <c r="H113" i="4"/>
  <c r="F113" i="4"/>
  <c r="G67" i="4"/>
  <c r="O67" i="4" s="1"/>
  <c r="H67" i="4"/>
  <c r="P67" i="4" s="1"/>
  <c r="F67" i="4"/>
  <c r="F197" i="4"/>
  <c r="G18" i="4"/>
  <c r="G191" i="4" s="1"/>
  <c r="H18" i="4"/>
  <c r="F18" i="4"/>
  <c r="E19" i="4"/>
  <c r="M19" i="4" s="1"/>
  <c r="E20" i="4"/>
  <c r="M20" i="4" s="1"/>
  <c r="E21" i="4"/>
  <c r="M21" i="4" s="1"/>
  <c r="E22" i="4"/>
  <c r="M22" i="4" s="1"/>
  <c r="E23" i="4"/>
  <c r="M23" i="4" s="1"/>
  <c r="E24" i="4"/>
  <c r="E25" i="4"/>
  <c r="E26" i="4"/>
  <c r="E27" i="4"/>
  <c r="E28" i="4"/>
  <c r="E29" i="4"/>
  <c r="E30" i="4"/>
  <c r="E33" i="4"/>
  <c r="E34" i="4"/>
  <c r="E35" i="4"/>
  <c r="E38" i="4"/>
  <c r="M38" i="4" s="1"/>
  <c r="E40" i="4"/>
  <c r="E41" i="4"/>
  <c r="E42" i="4"/>
  <c r="E43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60" i="4"/>
  <c r="E61" i="4"/>
  <c r="E63" i="4"/>
  <c r="E64" i="4"/>
  <c r="E65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5" i="4"/>
  <c r="M85" i="4" s="1"/>
  <c r="E86" i="4"/>
  <c r="M86" i="4" s="1"/>
  <c r="E95" i="4"/>
  <c r="E96" i="4"/>
  <c r="E97" i="4"/>
  <c r="E99" i="4"/>
  <c r="E100" i="4"/>
  <c r="E101" i="4"/>
  <c r="E102" i="4"/>
  <c r="E103" i="4"/>
  <c r="E106" i="4"/>
  <c r="E107" i="4"/>
  <c r="E108" i="4"/>
  <c r="E109" i="4"/>
  <c r="E110" i="4"/>
  <c r="E112" i="4"/>
  <c r="E115" i="4"/>
  <c r="E116" i="4"/>
  <c r="E117" i="4"/>
  <c r="E118" i="4"/>
  <c r="E119" i="4"/>
  <c r="E120" i="4"/>
  <c r="E121" i="4"/>
  <c r="E122" i="4"/>
  <c r="E123" i="4"/>
  <c r="E124" i="4"/>
  <c r="E126" i="4"/>
  <c r="E127" i="4"/>
  <c r="E128" i="4"/>
  <c r="E129" i="4"/>
  <c r="E130" i="4"/>
  <c r="E132" i="4"/>
  <c r="E134" i="4"/>
  <c r="E138" i="4"/>
  <c r="E139" i="4"/>
  <c r="E140" i="4"/>
  <c r="E142" i="4"/>
  <c r="E144" i="4"/>
  <c r="E145" i="4"/>
  <c r="E146" i="4"/>
  <c r="E148" i="4"/>
  <c r="E149" i="4"/>
  <c r="E150" i="4"/>
  <c r="E151" i="4"/>
  <c r="E152" i="4"/>
  <c r="E153" i="4"/>
  <c r="E154" i="4"/>
  <c r="E156" i="4"/>
  <c r="E160" i="4"/>
  <c r="E161" i="4"/>
  <c r="E162" i="4"/>
  <c r="E165" i="4"/>
  <c r="E167" i="4"/>
  <c r="M167" i="4" s="1"/>
  <c r="E170" i="4"/>
  <c r="E171" i="4"/>
  <c r="E172" i="4"/>
  <c r="E173" i="4"/>
  <c r="M173" i="4" s="1"/>
  <c r="E174" i="4"/>
  <c r="E176" i="4"/>
  <c r="E181" i="4"/>
  <c r="E183" i="4"/>
  <c r="E184" i="4"/>
  <c r="E187" i="4"/>
  <c r="M187" i="4" s="1"/>
  <c r="H17" i="4" l="1"/>
  <c r="H191" i="4"/>
  <c r="F191" i="4"/>
  <c r="F17" i="4"/>
  <c r="F16" i="4" s="1"/>
  <c r="G17" i="4"/>
  <c r="G201" i="4"/>
  <c r="F45" i="4"/>
  <c r="F192" i="4"/>
  <c r="N192" i="4" s="1"/>
  <c r="G93" i="4"/>
  <c r="O94" i="4"/>
  <c r="F104" i="4"/>
  <c r="N105" i="4"/>
  <c r="F93" i="4"/>
  <c r="N94" i="4"/>
  <c r="H93" i="4"/>
  <c r="P94" i="4"/>
  <c r="N67" i="4"/>
  <c r="E105" i="4"/>
  <c r="H16" i="4"/>
  <c r="H201" i="4"/>
  <c r="E31" i="4"/>
  <c r="E39" i="4"/>
  <c r="E59" i="4"/>
  <c r="E169" i="4"/>
  <c r="E159" i="4"/>
  <c r="E68" i="4"/>
  <c r="E168" i="4"/>
  <c r="E158" i="4"/>
  <c r="E137" i="4"/>
  <c r="E136" i="4"/>
  <c r="G113" i="4"/>
  <c r="E113" i="4" s="1"/>
  <c r="E94" i="4"/>
  <c r="E67" i="4"/>
  <c r="H44" i="4"/>
  <c r="E18" i="4"/>
  <c r="H190" i="4" l="1"/>
  <c r="H203" i="4" s="1"/>
  <c r="E93" i="4"/>
  <c r="F44" i="4"/>
  <c r="F190" i="4" s="1"/>
  <c r="N45" i="4"/>
  <c r="E104" i="4"/>
  <c r="N104" i="4"/>
  <c r="E197" i="4"/>
  <c r="G44" i="4"/>
  <c r="E192" i="4"/>
  <c r="E191" i="4"/>
  <c r="F201" i="4"/>
  <c r="G16" i="4"/>
  <c r="E45" i="4"/>
  <c r="E17" i="4"/>
  <c r="E16" i="4" l="1"/>
  <c r="G190" i="4"/>
  <c r="E44" i="4"/>
  <c r="E201" i="4"/>
  <c r="H204" i="4"/>
  <c r="F204" i="4"/>
  <c r="I170" i="4"/>
  <c r="M170" i="4" s="1"/>
  <c r="E190" i="4" l="1"/>
  <c r="E204" i="4" s="1"/>
  <c r="G204" i="4"/>
  <c r="I160" i="4" l="1"/>
  <c r="M160" i="4" s="1"/>
  <c r="K168" i="4" l="1"/>
  <c r="O168" i="4" s="1"/>
  <c r="L168" i="4"/>
  <c r="P168" i="4" s="1"/>
  <c r="J18" i="4" l="1"/>
  <c r="J191" i="4" l="1"/>
  <c r="N191" i="4" s="1"/>
  <c r="J17" i="4"/>
  <c r="N18" i="4"/>
  <c r="I58" i="4"/>
  <c r="M58" i="4" s="1"/>
  <c r="N114" i="4" l="1"/>
  <c r="J113" i="4" l="1"/>
  <c r="N113" i="4" s="1"/>
  <c r="I149" i="4"/>
  <c r="M149" i="4" s="1"/>
  <c r="K18" i="4" l="1"/>
  <c r="L18" i="4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I33" i="4"/>
  <c r="M33" i="4" s="1"/>
  <c r="I34" i="4"/>
  <c r="M34" i="4" s="1"/>
  <c r="I35" i="4"/>
  <c r="M35" i="4" s="1"/>
  <c r="I40" i="4"/>
  <c r="M40" i="4" s="1"/>
  <c r="I41" i="4"/>
  <c r="M41" i="4" s="1"/>
  <c r="I42" i="4"/>
  <c r="M42" i="4" s="1"/>
  <c r="I43" i="4"/>
  <c r="M43" i="4" s="1"/>
  <c r="I46" i="4"/>
  <c r="M46" i="4" s="1"/>
  <c r="I47" i="4"/>
  <c r="M47" i="4" s="1"/>
  <c r="I48" i="4"/>
  <c r="M48" i="4" s="1"/>
  <c r="I49" i="4"/>
  <c r="M49" i="4" s="1"/>
  <c r="I50" i="4"/>
  <c r="M50" i="4" s="1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60" i="4"/>
  <c r="M60" i="4" s="1"/>
  <c r="I61" i="4"/>
  <c r="M61" i="4" s="1"/>
  <c r="I63" i="4"/>
  <c r="M63" i="4" s="1"/>
  <c r="I64" i="4"/>
  <c r="M64" i="4" s="1"/>
  <c r="I69" i="4"/>
  <c r="M69" i="4" s="1"/>
  <c r="I70" i="4"/>
  <c r="M70" i="4" s="1"/>
  <c r="I71" i="4"/>
  <c r="M71" i="4" s="1"/>
  <c r="I72" i="4"/>
  <c r="M72" i="4" s="1"/>
  <c r="I73" i="4"/>
  <c r="M73" i="4" s="1"/>
  <c r="I74" i="4"/>
  <c r="M74" i="4" s="1"/>
  <c r="I75" i="4"/>
  <c r="M75" i="4" s="1"/>
  <c r="I76" i="4"/>
  <c r="M76" i="4" s="1"/>
  <c r="I77" i="4"/>
  <c r="M77" i="4" s="1"/>
  <c r="I78" i="4"/>
  <c r="M78" i="4" s="1"/>
  <c r="I79" i="4"/>
  <c r="M79" i="4" s="1"/>
  <c r="I80" i="4"/>
  <c r="M80" i="4" s="1"/>
  <c r="I81" i="4"/>
  <c r="M81" i="4" s="1"/>
  <c r="I95" i="4"/>
  <c r="M95" i="4" s="1"/>
  <c r="I96" i="4"/>
  <c r="M96" i="4" s="1"/>
  <c r="I97" i="4"/>
  <c r="M97" i="4" s="1"/>
  <c r="I99" i="4"/>
  <c r="M99" i="4" s="1"/>
  <c r="I100" i="4"/>
  <c r="M100" i="4" s="1"/>
  <c r="I101" i="4"/>
  <c r="M101" i="4" s="1"/>
  <c r="I102" i="4"/>
  <c r="M102" i="4" s="1"/>
  <c r="I103" i="4"/>
  <c r="M103" i="4" s="1"/>
  <c r="I106" i="4"/>
  <c r="M106" i="4" s="1"/>
  <c r="I107" i="4"/>
  <c r="M107" i="4" s="1"/>
  <c r="I108" i="4"/>
  <c r="I109" i="4"/>
  <c r="M109" i="4" s="1"/>
  <c r="I110" i="4"/>
  <c r="M110" i="4" s="1"/>
  <c r="I115" i="4"/>
  <c r="M115" i="4" s="1"/>
  <c r="I116" i="4"/>
  <c r="M116" i="4" s="1"/>
  <c r="I117" i="4"/>
  <c r="M117" i="4" s="1"/>
  <c r="I118" i="4"/>
  <c r="M118" i="4" s="1"/>
  <c r="I119" i="4"/>
  <c r="M119" i="4" s="1"/>
  <c r="I120" i="4"/>
  <c r="M120" i="4" s="1"/>
  <c r="I121" i="4"/>
  <c r="M121" i="4" s="1"/>
  <c r="I122" i="4"/>
  <c r="M122" i="4" s="1"/>
  <c r="I123" i="4"/>
  <c r="M123" i="4" s="1"/>
  <c r="I124" i="4"/>
  <c r="M124" i="4" s="1"/>
  <c r="I126" i="4"/>
  <c r="I127" i="4"/>
  <c r="M127" i="4" s="1"/>
  <c r="I128" i="4"/>
  <c r="M128" i="4" s="1"/>
  <c r="I129" i="4"/>
  <c r="M129" i="4" s="1"/>
  <c r="I144" i="4"/>
  <c r="M144" i="4" s="1"/>
  <c r="I150" i="4"/>
  <c r="M150" i="4" s="1"/>
  <c r="I154" i="4"/>
  <c r="M154" i="4" s="1"/>
  <c r="I168" i="4"/>
  <c r="M168" i="4" s="1"/>
  <c r="I169" i="4"/>
  <c r="M169" i="4" s="1"/>
  <c r="I171" i="4"/>
  <c r="M171" i="4" s="1"/>
  <c r="I172" i="4"/>
  <c r="M172" i="4" s="1"/>
  <c r="I174" i="4"/>
  <c r="M174" i="4" s="1"/>
  <c r="I183" i="4"/>
  <c r="M183" i="4" s="1"/>
  <c r="M108" i="4" l="1"/>
  <c r="M30" i="4"/>
  <c r="I194" i="4"/>
  <c r="M194" i="4" s="1"/>
  <c r="M126" i="4"/>
  <c r="L17" i="4"/>
  <c r="P17" i="4" s="1"/>
  <c r="L191" i="4"/>
  <c r="K17" i="4"/>
  <c r="O17" i="4" s="1"/>
  <c r="K191" i="4"/>
  <c r="I193" i="4"/>
  <c r="M193" i="4" s="1"/>
  <c r="I68" i="4"/>
  <c r="I94" i="4"/>
  <c r="M94" i="4" s="1"/>
  <c r="I195" i="4"/>
  <c r="M195" i="4" s="1"/>
  <c r="J197" i="4"/>
  <c r="N197" i="4" s="1"/>
  <c r="L45" i="4"/>
  <c r="P45" i="4" s="1"/>
  <c r="K45" i="4"/>
  <c r="P18" i="4"/>
  <c r="O18" i="4"/>
  <c r="N17" i="4"/>
  <c r="L93" i="4"/>
  <c r="P93" i="4" s="1"/>
  <c r="K93" i="4"/>
  <c r="O93" i="4" s="1"/>
  <c r="K159" i="4"/>
  <c r="O159" i="4" s="1"/>
  <c r="L159" i="4"/>
  <c r="P159" i="4" s="1"/>
  <c r="J93" i="4"/>
  <c r="N93" i="4" s="1"/>
  <c r="I39" i="4"/>
  <c r="I176" i="4"/>
  <c r="M176" i="4" s="1"/>
  <c r="I31" i="4"/>
  <c r="M31" i="4" s="1"/>
  <c r="I165" i="4"/>
  <c r="M165" i="4" s="1"/>
  <c r="I161" i="4"/>
  <c r="M161" i="4" s="1"/>
  <c r="I65" i="4"/>
  <c r="M65" i="4" s="1"/>
  <c r="I59" i="4"/>
  <c r="M59" i="4" s="1"/>
  <c r="I18" i="4"/>
  <c r="I192" i="4" l="1"/>
  <c r="M192" i="4" s="1"/>
  <c r="M39" i="4"/>
  <c r="O191" i="4"/>
  <c r="K201" i="4"/>
  <c r="P191" i="4"/>
  <c r="L201" i="4"/>
  <c r="J201" i="4"/>
  <c r="N201" i="4" s="1"/>
  <c r="I17" i="4"/>
  <c r="M17" i="4" s="1"/>
  <c r="M18" i="4"/>
  <c r="I67" i="4"/>
  <c r="M67" i="4" s="1"/>
  <c r="M68" i="4"/>
  <c r="K44" i="4"/>
  <c r="O44" i="4" s="1"/>
  <c r="O45" i="4"/>
  <c r="L44" i="4"/>
  <c r="P44" i="4" s="1"/>
  <c r="L158" i="4"/>
  <c r="P158" i="4" s="1"/>
  <c r="K158" i="4"/>
  <c r="O158" i="4" s="1"/>
  <c r="I93" i="4"/>
  <c r="M93" i="4" s="1"/>
  <c r="J16" i="4"/>
  <c r="K16" i="4"/>
  <c r="L16" i="4"/>
  <c r="I162" i="4"/>
  <c r="M162" i="4" s="1"/>
  <c r="I45" i="4"/>
  <c r="M45" i="4" s="1"/>
  <c r="J44" i="4"/>
  <c r="N44" i="4" s="1"/>
  <c r="J190" i="4" l="1"/>
  <c r="O16" i="4"/>
  <c r="P16" i="4"/>
  <c r="I159" i="4"/>
  <c r="M159" i="4" s="1"/>
  <c r="N16" i="4"/>
  <c r="I158" i="4"/>
  <c r="M158" i="4" s="1"/>
  <c r="I16" i="4"/>
  <c r="I44" i="4"/>
  <c r="M44" i="4" s="1"/>
  <c r="M16" i="4" l="1"/>
  <c r="J204" i="4"/>
  <c r="N190" i="4"/>
  <c r="N204" i="4" s="1"/>
  <c r="I148" i="4"/>
  <c r="I142" i="4"/>
  <c r="M142" i="4" s="1"/>
  <c r="M148" i="4" l="1"/>
  <c r="P137" i="4"/>
  <c r="O137" i="4"/>
  <c r="I140" i="4"/>
  <c r="M140" i="4" s="1"/>
  <c r="I139" i="4"/>
  <c r="M139" i="4" s="1"/>
  <c r="I138" i="4"/>
  <c r="M138" i="4" s="1"/>
  <c r="K136" i="4" l="1"/>
  <c r="O136" i="4" s="1"/>
  <c r="L136" i="4"/>
  <c r="P136" i="4" s="1"/>
  <c r="I146" i="4"/>
  <c r="M146" i="4" s="1"/>
  <c r="I191" i="4" l="1"/>
  <c r="M191" i="4" s="1"/>
  <c r="I134" i="4" l="1"/>
  <c r="M134" i="4" s="1"/>
  <c r="P114" i="4" l="1"/>
  <c r="I132" i="4"/>
  <c r="M132" i="4" l="1"/>
  <c r="K113" i="4"/>
  <c r="O113" i="4" s="1"/>
  <c r="O114" i="4"/>
  <c r="L113" i="4"/>
  <c r="I130" i="4"/>
  <c r="M130" i="4" s="1"/>
  <c r="P113" i="4" l="1"/>
  <c r="I114" i="4"/>
  <c r="M114" i="4" s="1"/>
  <c r="L105" i="4"/>
  <c r="I113" i="4"/>
  <c r="M113" i="4" s="1"/>
  <c r="P105" i="4" l="1"/>
  <c r="L104" i="4"/>
  <c r="L190" i="4" s="1"/>
  <c r="K105" i="4"/>
  <c r="P104" i="4"/>
  <c r="I112" i="4"/>
  <c r="M112" i="4" s="1"/>
  <c r="I151" i="4"/>
  <c r="I145" i="4"/>
  <c r="M145" i="4" s="1"/>
  <c r="M151" i="4" l="1"/>
  <c r="O105" i="4"/>
  <c r="K104" i="4"/>
  <c r="I105" i="4"/>
  <c r="M105" i="4" s="1"/>
  <c r="I197" i="4"/>
  <c r="M197" i="4" s="1"/>
  <c r="I196" i="4"/>
  <c r="M196" i="4" s="1"/>
  <c r="P190" i="4"/>
  <c r="I156" i="4"/>
  <c r="M156" i="4" l="1"/>
  <c r="I199" i="4"/>
  <c r="M199" i="4" s="1"/>
  <c r="O104" i="4"/>
  <c r="K190" i="4"/>
  <c r="I104" i="4"/>
  <c r="I153" i="4"/>
  <c r="M153" i="4" l="1"/>
  <c r="M104" i="4"/>
  <c r="O190" i="4"/>
  <c r="P201" i="4"/>
  <c r="I152" i="4"/>
  <c r="M152" i="4" s="1"/>
  <c r="I198" i="4" l="1"/>
  <c r="L204" i="4"/>
  <c r="P204" i="4"/>
  <c r="I137" i="4"/>
  <c r="M137" i="4" s="1"/>
  <c r="I184" i="4"/>
  <c r="M184" i="4" s="1"/>
  <c r="M198" i="4" l="1"/>
  <c r="I201" i="4"/>
  <c r="O201" i="4"/>
  <c r="O204" i="4" s="1"/>
  <c r="I181" i="4"/>
  <c r="M181" i="4" s="1"/>
  <c r="M201" i="4"/>
  <c r="I136" i="4"/>
  <c r="M136" i="4" l="1"/>
  <c r="I190" i="4"/>
  <c r="M190" i="4" s="1"/>
  <c r="M204" i="4" s="1"/>
</calcChain>
</file>

<file path=xl/sharedStrings.xml><?xml version="1.0" encoding="utf-8"?>
<sst xmlns="http://schemas.openxmlformats.org/spreadsheetml/2006/main" count="623" uniqueCount="385">
  <si>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</si>
  <si>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</si>
  <si>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</si>
  <si>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</si>
  <si>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</si>
  <si>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</si>
  <si>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</si>
  <si>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</si>
  <si>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</si>
  <si>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</si>
  <si>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</si>
  <si>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</si>
  <si>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</si>
  <si>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</si>
  <si>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</si>
  <si>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</si>
  <si>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</si>
  <si>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</si>
  <si>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</si>
  <si>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</si>
  <si>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</si>
  <si>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</si>
  <si>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</si>
  <si>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</si>
  <si>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</si>
  <si>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</si>
  <si>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</si>
  <si>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</si>
  <si>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</si>
  <si>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</si>
  <si>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</si>
  <si>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</si>
  <si>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</si>
  <si>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</si>
  <si>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</si>
  <si>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</si>
  <si>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</si>
  <si>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</si>
  <si>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</si>
  <si>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</si>
  <si>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</si>
  <si>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</si>
  <si>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</si>
  <si>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</si>
  <si>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</si>
  <si>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</si>
  <si>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</si>
  <si>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</si>
  <si>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</si>
  <si>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</si>
  <si>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</si>
  <si>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</si>
  <si>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</si>
  <si>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</si>
  <si>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</si>
  <si>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</si>
  <si>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</si>
  <si>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</si>
  <si>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</si>
  <si>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</si>
  <si>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</si>
  <si>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</si>
  <si>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</si>
  <si>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</si>
  <si>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</si>
  <si>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</si>
  <si>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</si>
  <si>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</si>
  <si>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</si>
  <si>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</si>
  <si>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</si>
  <si>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</si>
  <si>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</si>
  <si>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</si>
  <si>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</si>
  <si>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</si>
  <si>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</si>
  <si>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</si>
  <si>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</si>
  <si>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</si>
  <si>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</si>
  <si>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</si>
  <si>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</si>
  <si>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</si>
  <si>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</si>
  <si>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</si>
  <si>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</si>
  <si>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</si>
  <si>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</si>
  <si>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</si>
  <si>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</si>
  <si>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</si>
  <si>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</si>
  <si>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</si>
  <si>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</si>
  <si>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</si>
  <si>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</si>
  <si>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</si>
  <si>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</si>
  <si>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</si>
  <si>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</si>
  <si>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</si>
  <si>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</si>
  <si>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</si>
  <si>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</si>
  <si>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</si>
  <si>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</si>
  <si>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</si>
  <si>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</si>
  <si>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</si>
  <si>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</si>
  <si>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</si>
  <si>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</si>
  <si>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</si>
  <si>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</si>
  <si>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</si>
  <si>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</si>
  <si>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</si>
  <si>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</si>
  <si>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</si>
  <si>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</si>
  <si>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</si>
  <si>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</si>
  <si>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</si>
  <si>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</si>
  <si>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</si>
  <si>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</si>
  <si>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</si>
  <si>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</si>
  <si>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</si>
  <si>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</si>
  <si>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</si>
  <si>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</si>
  <si>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</si>
  <si>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</si>
  <si>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</si>
  <si>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</si>
  <si>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</si>
  <si>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</si>
  <si>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</si>
  <si>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</si>
  <si>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</si>
  <si>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</si>
  <si>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</si>
  <si>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</si>
  <si>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</si>
  <si>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</si>
  <si>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</si>
  <si>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</si>
  <si>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</si>
  <si>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</si>
  <si>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</si>
  <si>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</si>
  <si>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</si>
  <si>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</si>
  <si>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</si>
  <si>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</si>
  <si>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</si>
  <si>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</si>
  <si>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</si>
  <si>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</si>
  <si>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</si>
  <si>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</si>
  <si>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</si>
  <si>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</si>
  <si>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</si>
  <si>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</si>
  <si>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</si>
  <si>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</si>
  <si>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</si>
  <si>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</si>
  <si>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</si>
  <si>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</si>
  <si>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</si>
  <si>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</si>
  <si>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</si>
  <si>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</si>
  <si>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</si>
  <si>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</si>
  <si>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</si>
  <si>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</si>
  <si>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</si>
  <si>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</si>
  <si>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</si>
  <si>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</si>
  <si>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</si>
  <si>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</si>
  <si>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</si>
  <si>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</si>
  <si>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</si>
  <si>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</si>
  <si>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</si>
  <si>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</si>
  <si>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</si>
  <si>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</si>
  <si>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</si>
  <si>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</si>
  <si>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</si>
  <si>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</si>
  <si>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</si>
  <si>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</si>
  <si>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</si>
  <si>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</si>
  <si>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</si>
  <si>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</si>
  <si>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</si>
  <si>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</si>
  <si>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</si>
  <si>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</si>
  <si>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</si>
  <si>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</si>
  <si>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</si>
  <si>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</si>
  <si>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</si>
  <si>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</si>
  <si>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</si>
  <si>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</si>
  <si>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</si>
  <si>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</si>
  <si>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</si>
  <si>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</si>
  <si>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</si>
  <si>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</si>
  <si>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</si>
  <si>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</si>
  <si>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</si>
  <si>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</si>
  <si>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</si>
  <si>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</si>
  <si>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</si>
  <si>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</si>
  <si>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</si>
  <si>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</si>
  <si>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</si>
  <si>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</si>
  <si>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</si>
  <si>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</si>
  <si>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</si>
  <si>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</si>
  <si>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</si>
  <si>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</si>
  <si>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</si>
  <si>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</si>
  <si>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</si>
  <si>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</si>
  <si>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</si>
  <si>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</si>
  <si>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</si>
  <si>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</si>
  <si>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</si>
  <si>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</si>
  <si>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</si>
  <si>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</si>
  <si>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</si>
  <si>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</si>
  <si>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</si>
  <si>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</si>
  <si>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</si>
  <si>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</si>
  <si>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</si>
  <si>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</si>
  <si>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0611200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</si>
  <si>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</si>
  <si>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</si>
  <si>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</si>
  <si>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</si>
  <si>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</si>
  <si>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</si>
  <si>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</si>
  <si>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</si>
  <si>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</si>
  <si>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</si>
  <si>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</si>
  <si>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</si>
  <si>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</si>
  <si>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</si>
  <si>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</si>
  <si>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</si>
  <si>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</si>
  <si>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</si>
  <si>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</si>
  <si>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</si>
  <si>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</si>
  <si>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</si>
  <si>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</si>
  <si>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</si>
  <si>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</si>
  <si>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</si>
  <si>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</si>
  <si>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</si>
  <si>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</si>
  <si>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</si>
  <si>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</si>
  <si>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</si>
  <si>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</si>
  <si>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</si>
  <si>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</si>
  <si>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</si>
  <si>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>Всього</t>
  </si>
  <si>
    <t xml:space="preserve"> в тому  числі</t>
  </si>
  <si>
    <t>Виконання (%)</t>
  </si>
  <si>
    <t>0618110</t>
  </si>
  <si>
    <t>0610</t>
  </si>
  <si>
    <t>1510150</t>
  </si>
  <si>
    <t xml:space="preserve">Начальник фінансового управління </t>
  </si>
  <si>
    <t>Ольга ЯКОВЕНКО</t>
  </si>
  <si>
    <t>0818110</t>
  </si>
  <si>
    <t>3118110</t>
  </si>
  <si>
    <t>1518311</t>
  </si>
  <si>
    <t>0511</t>
  </si>
  <si>
    <t>Охорона та раціональне використання природних ресурсів</t>
  </si>
  <si>
    <t>0217351</t>
  </si>
  <si>
    <t>Розроблення комплексних планів просторового розвитку територій територіальних громад</t>
  </si>
  <si>
    <t>0217390</t>
  </si>
  <si>
    <t>7390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</si>
  <si>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</si>
  <si>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</si>
  <si>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</si>
  <si>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</si>
  <si>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</si>
  <si>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</si>
  <si>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0618240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</si>
  <si>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</si>
  <si>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</si>
  <si>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1217310</t>
  </si>
  <si>
    <t>7310</t>
  </si>
  <si>
    <t>Будівництво об'єктів житлово-комунального господарства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</si>
  <si>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</si>
  <si>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</si>
  <si>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3117130</t>
  </si>
  <si>
    <t>7130</t>
  </si>
  <si>
    <t>0421</t>
  </si>
  <si>
    <t>Здійснення заходів із землеустрою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</si>
  <si>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 </t>
  </si>
  <si>
    <t>Інша субвенція бюджету Херсонської міської територіальної громади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</si>
  <si>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</t>
  </si>
  <si>
    <t>Міська програма "Здоров'я населення Чорноморської міської територіальної громади на 2021-2025 роки"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</si>
  <si>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</si>
  <si>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 xml:space="preserve">Міська цільова програма фінансової підтримки Іллічівського міського суду Одеської області на 2023 рік 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</si>
  <si>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</si>
  <si>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</si>
  <si>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</si>
  <si>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</si>
  <si>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</si>
  <si>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</si>
  <si>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</si>
  <si>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</si>
  <si>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</si>
  <si>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</si>
  <si>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</si>
  <si>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</si>
  <si>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</si>
  <si>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</si>
  <si>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</si>
  <si>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</si>
  <si>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</si>
  <si>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</si>
  <si>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Заходи із запобігання поширенню інфекційних захворювань за рахунок коштів резервного фонду місцевого бюджету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</si>
  <si>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</si>
  <si>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</si>
  <si>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Інша субвенція бюджету Сергіївської селищної територіальної громади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</si>
  <si>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</si>
  <si>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</si>
  <si>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</si>
  <si>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</si>
  <si>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</si>
  <si>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</si>
  <si>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</si>
  <si>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</si>
  <si>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</si>
  <si>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</si>
  <si>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</si>
  <si>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</si>
  <si>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</si>
  <si>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більше 100%</t>
  </si>
  <si>
    <t>про виконання видатків бюджету  Чорноморської міської територіальної громади  за 9 місяців 2023 року в розрізі відповідальних виконавців за бюджетними програмами/підпрограмами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</si>
  <si>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</si>
  <si>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</si>
  <si>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</si>
  <si>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</si>
  <si>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</si>
  <si>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Інша субвенція обласному бюджету Одеської області</t>
  </si>
  <si>
    <t>від                           2023  №           - VIII</t>
  </si>
  <si>
    <t>Затверджено розписом на звітний рік з урахуванням змін, грн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</si>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</sst>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#,##0.00_ ;\-#,##0.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</cellStyleXfs>
  <cellXfs count="115">
    <xf numFmtId="0" fontId="0" fillId="0" borderId="0" xfId="0"/>
    <xf numFmtId="0" fontId="7" fillId="2" borderId="0" xfId="0" applyFont="1" applyFill="1"/>
    <xf numFmtId="0" fontId="6" fillId="2" borderId="0" xfId="0" applyFont="1" applyFill="1"/>
    <xf numFmtId="49" fontId="3" fillId="2" borderId="0" xfId="0" applyNumberFormat="1" applyFont="1" applyFill="1"/>
    <xf numFmtId="0" fontId="10" fillId="2" borderId="0" xfId="0" applyFont="1" applyFill="1"/>
    <xf numFmtId="164" fontId="10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49" fontId="3" fillId="0" borderId="0" xfId="0" applyNumberFormat="1" applyFont="1" applyFill="1"/>
    <xf numFmtId="0" fontId="10" fillId="0" borderId="0" xfId="0" applyFont="1" applyFill="1" applyAlignment="1">
      <alignment horizontal="left"/>
    </xf>
    <xf numFmtId="0" fontId="3" fillId="0" borderId="0" xfId="2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14" fillId="0" borderId="0" xfId="0" applyFont="1" applyFill="1" applyAlignment="1">
      <alignment horizontal="center"/>
    </xf>
    <xf numFmtId="0" fontId="6" fillId="0" borderId="0" xfId="0" applyFont="1" applyFill="1"/>
    <xf numFmtId="4" fontId="6" fillId="0" borderId="0" xfId="0" applyNumberFormat="1" applyFont="1" applyFill="1"/>
    <xf numFmtId="0" fontId="19" fillId="0" borderId="1" xfId="0" applyFont="1" applyFill="1" applyBorder="1" applyAlignment="1">
      <alignment vertical="center" wrapText="1"/>
    </xf>
    <xf numFmtId="0" fontId="19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quotePrefix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20" fillId="0" borderId="2" xfId="0" quotePrefix="1" applyFont="1" applyFill="1" applyBorder="1" applyAlignment="1">
      <alignment vertical="center" wrapText="1"/>
    </xf>
    <xf numFmtId="1" fontId="20" fillId="0" borderId="1" xfId="0" applyNumberFormat="1" applyFont="1" applyFill="1" applyBorder="1" applyAlignment="1">
      <alignment horizontal="left" vertical="center" wrapText="1"/>
    </xf>
    <xf numFmtId="2" fontId="20" fillId="0" borderId="1" xfId="0" quotePrefix="1" applyNumberFormat="1" applyFont="1" applyFill="1" applyBorder="1" applyAlignment="1">
      <alignment vertical="center" wrapText="1"/>
    </xf>
    <xf numFmtId="2" fontId="20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" fontId="7" fillId="0" borderId="0" xfId="0" applyNumberFormat="1" applyFont="1" applyFill="1"/>
    <xf numFmtId="0" fontId="28" fillId="0" borderId="1" xfId="0" applyFont="1" applyFill="1" applyBorder="1" applyAlignment="1">
      <alignment wrapText="1"/>
    </xf>
    <xf numFmtId="4" fontId="28" fillId="0" borderId="1" xfId="0" applyNumberFormat="1" applyFont="1" applyFill="1" applyBorder="1" applyAlignment="1">
      <alignment horizontal="right"/>
    </xf>
    <xf numFmtId="0" fontId="27" fillId="2" borderId="0" xfId="0" applyFont="1" applyFill="1"/>
    <xf numFmtId="4" fontId="8" fillId="0" borderId="1" xfId="2" applyNumberFormat="1" applyFont="1" applyFill="1" applyBorder="1" applyAlignment="1">
      <alignment horizontal="right" vertical="center" wrapText="1"/>
    </xf>
    <xf numFmtId="4" fontId="23" fillId="0" borderId="1" xfId="0" applyNumberFormat="1" applyFont="1" applyFill="1" applyBorder="1" applyAlignment="1">
      <alignment horizontal="right" vertical="center"/>
    </xf>
    <xf numFmtId="165" fontId="8" fillId="0" borderId="1" xfId="2" applyNumberFormat="1" applyFont="1" applyFill="1" applyBorder="1" applyAlignment="1">
      <alignment horizontal="right" vertical="center"/>
    </xf>
    <xf numFmtId="0" fontId="16" fillId="2" borderId="0" xfId="0" applyFont="1" applyFill="1" applyAlignment="1">
      <alignment vertical="center"/>
    </xf>
    <xf numFmtId="4" fontId="8" fillId="0" borderId="1" xfId="2" applyNumberFormat="1" applyFont="1" applyFill="1" applyBorder="1" applyAlignment="1">
      <alignment horizontal="right" vertical="center"/>
    </xf>
    <xf numFmtId="0" fontId="17" fillId="2" borderId="0" xfId="0" applyFont="1" applyFill="1" applyAlignment="1">
      <alignment vertical="center"/>
    </xf>
    <xf numFmtId="4" fontId="6" fillId="0" borderId="1" xfId="2" applyNumberFormat="1" applyFont="1" applyFill="1" applyBorder="1" applyAlignment="1">
      <alignment horizontal="right" vertical="center" wrapText="1"/>
    </xf>
    <xf numFmtId="4" fontId="24" fillId="0" borderId="1" xfId="0" applyNumberFormat="1" applyFont="1" applyFill="1" applyBorder="1" applyAlignment="1">
      <alignment horizontal="right" vertical="center"/>
    </xf>
    <xf numFmtId="4" fontId="6" fillId="0" borderId="1" xfId="2" applyNumberFormat="1" applyFont="1" applyFill="1" applyBorder="1" applyAlignment="1">
      <alignment horizontal="right" vertical="center"/>
    </xf>
    <xf numFmtId="165" fontId="6" fillId="0" borderId="1" xfId="2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4" fontId="9" fillId="0" borderId="1" xfId="2" applyNumberFormat="1" applyFont="1" applyFill="1" applyBorder="1" applyAlignment="1">
      <alignment horizontal="right" vertical="center" wrapText="1"/>
    </xf>
    <xf numFmtId="4" fontId="25" fillId="0" borderId="1" xfId="0" applyNumberFormat="1" applyFont="1" applyFill="1" applyBorder="1" applyAlignment="1">
      <alignment horizontal="right" vertical="center"/>
    </xf>
    <xf numFmtId="4" fontId="9" fillId="0" borderId="1" xfId="2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vertical="center"/>
    </xf>
    <xf numFmtId="1" fontId="6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49" fontId="6" fillId="0" borderId="1" xfId="3" applyNumberFormat="1" applyFont="1" applyFill="1" applyBorder="1" applyAlignment="1">
      <alignment horizontal="left" vertical="center"/>
    </xf>
    <xf numFmtId="0" fontId="6" fillId="0" borderId="1" xfId="2" applyFont="1" applyFill="1" applyBorder="1" applyAlignment="1">
      <alignment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29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1" xfId="2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31" fillId="0" borderId="1" xfId="0" applyFont="1" applyFill="1" applyBorder="1" applyAlignment="1">
      <alignment vertical="center" wrapText="1"/>
    </xf>
    <xf numFmtId="166" fontId="30" fillId="0" borderId="1" xfId="0" applyNumberFormat="1" applyFont="1" applyFill="1" applyBorder="1" applyAlignment="1">
      <alignment vertical="center"/>
    </xf>
    <xf numFmtId="2" fontId="6" fillId="0" borderId="0" xfId="4" applyNumberFormat="1" applyFont="1" applyFill="1" applyAlignment="1">
      <alignment vertical="center"/>
    </xf>
    <xf numFmtId="4" fontId="22" fillId="0" borderId="1" xfId="2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7" fillId="4" borderId="0" xfId="0" applyFont="1" applyFill="1"/>
    <xf numFmtId="0" fontId="32" fillId="0" borderId="1" xfId="0" quotePrefix="1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left" wrapText="1"/>
    </xf>
    <xf numFmtId="165" fontId="5" fillId="0" borderId="1" xfId="2" applyNumberFormat="1" applyFont="1" applyFill="1" applyBorder="1" applyAlignment="1">
      <alignment horizontal="right"/>
    </xf>
    <xf numFmtId="49" fontId="19" fillId="0" borderId="1" xfId="0" applyNumberFormat="1" applyFont="1" applyFill="1" applyBorder="1" applyAlignment="1">
      <alignment vertical="center" wrapText="1"/>
    </xf>
    <xf numFmtId="2" fontId="15" fillId="0" borderId="0" xfId="0" applyNumberFormat="1" applyFont="1" applyFill="1"/>
    <xf numFmtId="0" fontId="15" fillId="0" borderId="0" xfId="0" applyFont="1" applyFill="1"/>
    <xf numFmtId="2" fontId="7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13" fillId="0" borderId="1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</cellXfs>
  <cellStyles count="5">
    <cellStyle name="Гарний" xfId="4" builtinId="26"/>
    <cellStyle name="Звичайний" xfId="0" builtinId="0"/>
    <cellStyle name="Обычный 2" xfId="3"/>
    <cellStyle name="Обычный 3" xfId="1"/>
    <cellStyle name="Обычный_дод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>
    <pageSetUpPr fitToPage="1"/>
  </sheetPr>
  <dimension ref="A1:R209"/>
  <sheetViews>
    <sheetView showZeros="0" tabSelected="1" view="pageBreakPreview" zoomScale="80" zoomScaleNormal="50" zoomScaleSheetLayoutView="80" workbookViewId="0">
      <pane xSplit="4" ySplit="15" topLeftCell="E100" activePane="bottomRight" state="frozen"/>
      <selection pane="topRight" activeCell="E1" sqref="E1"/>
      <selection pane="bottomLeft" activeCell="A13" sqref="A13"/>
      <selection pane="bottomRight" activeCell="F106" sqref="F106"/>
    </sheetView>
  </sheetViews>
  <sheetFormatPr defaultColWidth="9.140625" defaultRowHeight="15.75" x14ac:dyDescent="0.25"/>
  <cols>
    <col min="1" max="1" width="18" style="3" customWidth="1"/>
    <col min="2" max="2" width="15.140625" style="3" customWidth="1"/>
    <col min="3" max="3" width="18.42578125" style="3" customWidth="1"/>
    <col min="4" max="4" width="49.85546875" style="1" customWidth="1"/>
    <col min="5" max="5" width="27.7109375" style="1" customWidth="1"/>
    <col min="6" max="6" width="23" style="88" customWidth="1"/>
    <col min="7" max="7" width="22.85546875" style="88" customWidth="1"/>
    <col min="8" max="8" width="22.42578125" style="88" customWidth="1"/>
    <col min="9" max="9" width="22.42578125" style="9" customWidth="1"/>
    <col min="10" max="10" width="22" style="88" customWidth="1"/>
    <col min="11" max="11" width="21.42578125" style="88" customWidth="1"/>
    <col min="12" max="12" width="20.7109375" style="88" customWidth="1"/>
    <col min="13" max="14" width="14.140625" style="1" customWidth="1"/>
    <col min="15" max="15" width="18.85546875" style="1" customWidth="1"/>
    <col min="16" max="16" width="11.85546875" style="1" customWidth="1"/>
    <col min="17" max="17" width="12" style="1" bestFit="1" customWidth="1"/>
    <col min="18" max="16384" width="9.140625" style="1"/>
  </cols>
  <sheetData>
    <row r="1" spans="1:16" x14ac:dyDescent="0.25">
      <c r="A1" s="5"/>
      <c r="B1" s="6"/>
      <c r="C1" s="6"/>
      <c r="D1" s="7"/>
      <c r="E1" s="8"/>
      <c r="F1" s="8"/>
      <c r="G1" s="8"/>
      <c r="H1" s="8"/>
      <c r="I1" s="8"/>
      <c r="J1" s="8"/>
      <c r="K1" s="8"/>
      <c r="L1" s="8"/>
      <c r="M1" s="96" t="s">
        <v>352</v>
      </c>
      <c r="N1" s="96"/>
      <c r="O1" s="96"/>
      <c r="P1" s="15"/>
    </row>
    <row r="2" spans="1:16" x14ac:dyDescent="0.25">
      <c r="A2" s="5"/>
      <c r="B2" s="6"/>
      <c r="C2" s="6"/>
      <c r="D2" s="7"/>
      <c r="E2" s="8"/>
      <c r="F2" s="8"/>
      <c r="G2" s="8"/>
      <c r="H2" s="8"/>
      <c r="I2" s="8"/>
      <c r="J2" s="8"/>
      <c r="K2" s="8"/>
      <c r="L2" s="8"/>
      <c r="M2" s="96" t="s">
        <v>353</v>
      </c>
      <c r="N2" s="96"/>
      <c r="O2" s="96"/>
      <c r="P2" s="15"/>
    </row>
    <row r="3" spans="1:16" x14ac:dyDescent="0.25">
      <c r="A3" s="5"/>
      <c r="B3" s="6"/>
      <c r="C3" s="10"/>
      <c r="D3" s="7"/>
      <c r="E3" s="8"/>
      <c r="F3" s="8"/>
      <c r="G3" s="8"/>
      <c r="H3" s="8"/>
      <c r="I3" s="8"/>
      <c r="J3" s="8"/>
      <c r="K3" s="84"/>
      <c r="L3" s="8"/>
      <c r="M3" s="96" t="s">
        <v>382</v>
      </c>
      <c r="N3" s="96"/>
      <c r="O3" s="96"/>
      <c r="P3" s="15"/>
    </row>
    <row r="4" spans="1:16" x14ac:dyDescent="0.25">
      <c r="A4" s="11"/>
      <c r="B4" s="10"/>
      <c r="C4" s="10"/>
      <c r="D4" s="7"/>
      <c r="E4" s="8"/>
      <c r="F4" s="8"/>
      <c r="G4" s="8"/>
      <c r="H4" s="8"/>
      <c r="I4" s="8"/>
      <c r="J4" s="8"/>
      <c r="K4" s="84"/>
      <c r="L4" s="8"/>
      <c r="M4" s="97"/>
      <c r="N4" s="97"/>
      <c r="O4" s="97"/>
      <c r="P4" s="85"/>
    </row>
    <row r="5" spans="1:16" s="4" customFormat="1" x14ac:dyDescent="0.25">
      <c r="A5" s="113" t="s">
        <v>183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</row>
    <row r="6" spans="1:16" s="4" customFormat="1" x14ac:dyDescent="0.25">
      <c r="A6" s="114" t="s">
        <v>375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</row>
    <row r="7" spans="1:16" s="4" customFormat="1" x14ac:dyDescent="0.25">
      <c r="A7" s="16">
        <v>1558900000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6" s="4" customFormat="1" x14ac:dyDescent="0.25">
      <c r="A8" s="87" t="s">
        <v>226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x14ac:dyDescent="0.25">
      <c r="A9" s="10"/>
      <c r="B9" s="10"/>
      <c r="C9" s="1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15.6" customHeight="1" x14ac:dyDescent="0.25">
      <c r="A10" s="99" t="s">
        <v>169</v>
      </c>
      <c r="B10" s="98" t="s">
        <v>170</v>
      </c>
      <c r="C10" s="99" t="s">
        <v>171</v>
      </c>
      <c r="D10" s="100" t="s">
        <v>172</v>
      </c>
      <c r="E10" s="106" t="s">
        <v>383</v>
      </c>
      <c r="F10" s="107"/>
      <c r="G10" s="107"/>
      <c r="H10" s="108"/>
      <c r="I10" s="106" t="s">
        <v>384</v>
      </c>
      <c r="J10" s="107"/>
      <c r="K10" s="107"/>
      <c r="L10" s="108"/>
      <c r="M10" s="106" t="s">
        <v>300</v>
      </c>
      <c r="N10" s="107"/>
      <c r="O10" s="107"/>
      <c r="P10" s="108"/>
    </row>
    <row r="11" spans="1:16" ht="15.6" customHeight="1" x14ac:dyDescent="0.25">
      <c r="A11" s="99"/>
      <c r="B11" s="98"/>
      <c r="C11" s="99"/>
      <c r="D11" s="100"/>
      <c r="E11" s="109" t="s">
        <v>298</v>
      </c>
      <c r="F11" s="103" t="s">
        <v>184</v>
      </c>
      <c r="G11" s="104"/>
      <c r="H11" s="105"/>
      <c r="I11" s="109" t="s">
        <v>298</v>
      </c>
      <c r="J11" s="103" t="s">
        <v>299</v>
      </c>
      <c r="K11" s="104"/>
      <c r="L11" s="105"/>
      <c r="M11" s="109" t="s">
        <v>298</v>
      </c>
      <c r="N11" s="103" t="s">
        <v>185</v>
      </c>
      <c r="O11" s="104"/>
      <c r="P11" s="105"/>
    </row>
    <row r="12" spans="1:16" x14ac:dyDescent="0.25">
      <c r="A12" s="99"/>
      <c r="B12" s="98"/>
      <c r="C12" s="99"/>
      <c r="D12" s="100"/>
      <c r="E12" s="110"/>
      <c r="F12" s="101" t="s">
        <v>186</v>
      </c>
      <c r="G12" s="101" t="s">
        <v>187</v>
      </c>
      <c r="H12" s="101"/>
      <c r="I12" s="110"/>
      <c r="J12" s="101" t="s">
        <v>188</v>
      </c>
      <c r="K12" s="101" t="s">
        <v>187</v>
      </c>
      <c r="L12" s="101"/>
      <c r="M12" s="110"/>
      <c r="N12" s="101" t="s">
        <v>186</v>
      </c>
      <c r="O12" s="101" t="s">
        <v>187</v>
      </c>
      <c r="P12" s="101"/>
    </row>
    <row r="13" spans="1:16" x14ac:dyDescent="0.25">
      <c r="A13" s="99"/>
      <c r="B13" s="98"/>
      <c r="C13" s="99"/>
      <c r="D13" s="100"/>
      <c r="E13" s="110"/>
      <c r="F13" s="102"/>
      <c r="G13" s="112" t="s">
        <v>189</v>
      </c>
      <c r="H13" s="86" t="s">
        <v>190</v>
      </c>
      <c r="I13" s="110"/>
      <c r="J13" s="102"/>
      <c r="K13" s="112" t="s">
        <v>189</v>
      </c>
      <c r="L13" s="86" t="s">
        <v>190</v>
      </c>
      <c r="M13" s="110"/>
      <c r="N13" s="102"/>
      <c r="O13" s="112" t="s">
        <v>189</v>
      </c>
      <c r="P13" s="86" t="s">
        <v>190</v>
      </c>
    </row>
    <row r="14" spans="1:16" ht="66" customHeight="1" x14ac:dyDescent="0.25">
      <c r="A14" s="99"/>
      <c r="B14" s="98"/>
      <c r="C14" s="99"/>
      <c r="D14" s="100"/>
      <c r="E14" s="111"/>
      <c r="F14" s="102"/>
      <c r="G14" s="112"/>
      <c r="H14" s="86" t="s">
        <v>0</v>
      </c>
      <c r="I14" s="111"/>
      <c r="J14" s="102"/>
      <c r="K14" s="112"/>
      <c r="L14" s="86" t="s">
        <v>0</v>
      </c>
      <c r="M14" s="111"/>
      <c r="N14" s="102"/>
      <c r="O14" s="112"/>
      <c r="P14" s="86" t="s">
        <v>0</v>
      </c>
    </row>
    <row r="15" spans="1:16" x14ac:dyDescent="0.25">
      <c r="A15" s="13">
        <v>1</v>
      </c>
      <c r="B15" s="13">
        <v>2</v>
      </c>
      <c r="C15" s="13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</row>
    <row r="16" spans="1:16" s="45" customFormat="1" ht="56.25" x14ac:dyDescent="0.25">
      <c r="A16" s="19" t="s">
        <v>62</v>
      </c>
      <c r="B16" s="19" t="s">
        <v>242</v>
      </c>
      <c r="C16" s="19" t="s">
        <v>242</v>
      </c>
      <c r="D16" s="20" t="s">
        <v>243</v>
      </c>
      <c r="E16" s="42">
        <f>F16+G16</f>
        <v>159424070</v>
      </c>
      <c r="F16" s="43">
        <f>F17</f>
        <v>155952270</v>
      </c>
      <c r="G16" s="43">
        <f t="shared" ref="G16:H16" si="0">G17</f>
        <v>3471800</v>
      </c>
      <c r="H16" s="43">
        <f t="shared" si="0"/>
        <v>3135300</v>
      </c>
      <c r="I16" s="42">
        <f>J16+K16</f>
        <v>101570465.08</v>
      </c>
      <c r="J16" s="42">
        <f>J17</f>
        <v>100034247.51000001</v>
      </c>
      <c r="K16" s="42">
        <f t="shared" ref="K16:L16" si="1">K17</f>
        <v>1536217.5699999998</v>
      </c>
      <c r="L16" s="42">
        <f t="shared" si="1"/>
        <v>1237580</v>
      </c>
      <c r="M16" s="44">
        <f>I16/E16*100</f>
        <v>63.710871940479251</v>
      </c>
      <c r="N16" s="44">
        <f t="shared" ref="N16:P16" si="2">J16/F16*100</f>
        <v>64.144143275375214</v>
      </c>
      <c r="O16" s="44">
        <f t="shared" si="2"/>
        <v>44.24844662710985</v>
      </c>
      <c r="P16" s="44">
        <f t="shared" si="2"/>
        <v>39.472458775874721</v>
      </c>
    </row>
    <row r="17" spans="1:16" s="47" customFormat="1" ht="56.25" x14ac:dyDescent="0.25">
      <c r="A17" s="19" t="s">
        <v>63</v>
      </c>
      <c r="B17" s="19" t="s">
        <v>242</v>
      </c>
      <c r="C17" s="19" t="s">
        <v>242</v>
      </c>
      <c r="D17" s="20" t="s">
        <v>243</v>
      </c>
      <c r="E17" s="42">
        <f t="shared" ref="E17:E72" si="3">F17+G17</f>
        <v>159424070</v>
      </c>
      <c r="F17" s="43">
        <f>F18+F23+F24+F25+F26+F27+F28+F29+F30+F31+F36+F37+F38+F39+F40+F41+F42+F43</f>
        <v>155952270</v>
      </c>
      <c r="G17" s="43">
        <f t="shared" ref="G17:H17" si="4">G18+G23+G24+G25+G26+G27+G28+G29+G30+G31+G36+G37+G38+G39+G40+G41+G42+G43</f>
        <v>3471800</v>
      </c>
      <c r="H17" s="43">
        <f t="shared" si="4"/>
        <v>3135300</v>
      </c>
      <c r="I17" s="43">
        <f>I18+I23+I24+I25+I26+I27+I28+I29+I30+I31+I36+I37+I38+I39+I40+I41+I42+I43</f>
        <v>101570465.08000001</v>
      </c>
      <c r="J17" s="43">
        <f t="shared" ref="J17:L17" si="5">J18+J23+J24+J25+J26+J27+J28+J29+J30+J31+J36+J37+J38+J39+J40+J41+J42+J43</f>
        <v>100034247.51000001</v>
      </c>
      <c r="K17" s="43">
        <f t="shared" si="5"/>
        <v>1536217.5699999998</v>
      </c>
      <c r="L17" s="43">
        <f t="shared" si="5"/>
        <v>1237580</v>
      </c>
      <c r="M17" s="44">
        <f t="shared" ref="M17:M68" si="6">I17/E17*100</f>
        <v>63.710871940479265</v>
      </c>
      <c r="N17" s="44">
        <f t="shared" ref="N17:N68" si="7">J17/F17*100</f>
        <v>64.144143275375214</v>
      </c>
      <c r="O17" s="44">
        <f t="shared" ref="O17:O45" si="8">K17/G17*100</f>
        <v>44.24844662710985</v>
      </c>
      <c r="P17" s="44">
        <f t="shared" ref="P17:P45" si="9">L17/H17*100</f>
        <v>39.472458775874721</v>
      </c>
    </row>
    <row r="18" spans="1:16" s="52" customFormat="1" ht="112.5" x14ac:dyDescent="0.25">
      <c r="A18" s="21" t="s">
        <v>64</v>
      </c>
      <c r="B18" s="21" t="s">
        <v>53</v>
      </c>
      <c r="C18" s="21" t="s">
        <v>3</v>
      </c>
      <c r="D18" s="22" t="s">
        <v>244</v>
      </c>
      <c r="E18" s="48">
        <f t="shared" si="3"/>
        <v>65242500</v>
      </c>
      <c r="F18" s="49">
        <f>F19+F20+F21+F22</f>
        <v>63958000</v>
      </c>
      <c r="G18" s="49">
        <f t="shared" ref="G18:H18" si="10">G19+G20+G21+G22</f>
        <v>1284500</v>
      </c>
      <c r="H18" s="49">
        <f t="shared" si="10"/>
        <v>1144000</v>
      </c>
      <c r="I18" s="48">
        <f t="shared" ref="I18:I71" si="11">J18+K18</f>
        <v>45542002.32</v>
      </c>
      <c r="J18" s="50">
        <f>J19+J20+J21+J22</f>
        <v>44972104.75</v>
      </c>
      <c r="K18" s="50">
        <f t="shared" ref="K18:L18" si="12">K19+K20+K21+K22</f>
        <v>569897.56999999995</v>
      </c>
      <c r="L18" s="50">
        <f t="shared" si="12"/>
        <v>271260</v>
      </c>
      <c r="M18" s="51">
        <f t="shared" si="6"/>
        <v>69.804195608690662</v>
      </c>
      <c r="N18" s="51">
        <f t="shared" si="7"/>
        <v>70.31505792864067</v>
      </c>
      <c r="O18" s="51">
        <f t="shared" si="8"/>
        <v>44.367268976255346</v>
      </c>
      <c r="P18" s="51">
        <f t="shared" si="9"/>
        <v>23.71153846153846</v>
      </c>
    </row>
    <row r="19" spans="1:16" s="56" customFormat="1" ht="56.25" x14ac:dyDescent="0.25">
      <c r="A19" s="23"/>
      <c r="B19" s="23"/>
      <c r="C19" s="23"/>
      <c r="D19" s="24" t="s">
        <v>243</v>
      </c>
      <c r="E19" s="53">
        <f t="shared" si="3"/>
        <v>58476698</v>
      </c>
      <c r="F19" s="81">
        <v>57292200</v>
      </c>
      <c r="G19" s="54">
        <f>1044000+140498</f>
        <v>1184498</v>
      </c>
      <c r="H19" s="54">
        <v>1044000</v>
      </c>
      <c r="I19" s="53">
        <f t="shared" si="11"/>
        <v>40865883.210000001</v>
      </c>
      <c r="J19" s="53">
        <v>40303969.590000004</v>
      </c>
      <c r="K19" s="55">
        <f>L19+86479.09+204174.53</f>
        <v>561913.62</v>
      </c>
      <c r="L19" s="55">
        <v>271260</v>
      </c>
      <c r="M19" s="51">
        <f t="shared" ref="M19:M43" si="13">I19/E19*100</f>
        <v>69.88404716353854</v>
      </c>
      <c r="N19" s="51">
        <f t="shared" ref="N19:N42" si="14">J19/F19*100</f>
        <v>70.348092043943154</v>
      </c>
      <c r="O19" s="51">
        <f t="shared" ref="O19:O40" si="15">K19/G19*100</f>
        <v>47.438967393782008</v>
      </c>
      <c r="P19" s="51">
        <f t="shared" ref="P19:P40" si="16">L19/H19*100</f>
        <v>25.982758620689655</v>
      </c>
    </row>
    <row r="20" spans="1:16" s="56" customFormat="1" ht="75" x14ac:dyDescent="0.25">
      <c r="A20" s="23"/>
      <c r="B20" s="23"/>
      <c r="C20" s="23"/>
      <c r="D20" s="24" t="s">
        <v>223</v>
      </c>
      <c r="E20" s="53">
        <f t="shared" si="3"/>
        <v>2611601</v>
      </c>
      <c r="F20" s="81">
        <v>2611600</v>
      </c>
      <c r="G20" s="54">
        <v>1</v>
      </c>
      <c r="H20" s="54"/>
      <c r="I20" s="53">
        <f t="shared" si="11"/>
        <v>1821405.67</v>
      </c>
      <c r="J20" s="53">
        <v>1819942.72</v>
      </c>
      <c r="K20" s="55">
        <v>1462.95</v>
      </c>
      <c r="L20" s="55"/>
      <c r="M20" s="51">
        <f t="shared" si="13"/>
        <v>69.742876878971941</v>
      </c>
      <c r="N20" s="51">
        <f t="shared" si="14"/>
        <v>69.686886200030628</v>
      </c>
      <c r="O20" s="51" t="s">
        <v>374</v>
      </c>
      <c r="P20" s="51"/>
    </row>
    <row r="21" spans="1:16" s="56" customFormat="1" ht="75" x14ac:dyDescent="0.25">
      <c r="A21" s="23"/>
      <c r="B21" s="23"/>
      <c r="C21" s="23"/>
      <c r="D21" s="24" t="s">
        <v>225</v>
      </c>
      <c r="E21" s="53">
        <f t="shared" si="3"/>
        <v>1918000</v>
      </c>
      <c r="F21" s="81">
        <v>1818000</v>
      </c>
      <c r="G21" s="54">
        <v>100000</v>
      </c>
      <c r="H21" s="54">
        <v>100000</v>
      </c>
      <c r="I21" s="53">
        <f t="shared" si="11"/>
        <v>1267213.53</v>
      </c>
      <c r="J21" s="53">
        <v>1267213.53</v>
      </c>
      <c r="K21" s="55">
        <v>0</v>
      </c>
      <c r="L21" s="55">
        <v>0</v>
      </c>
      <c r="M21" s="51">
        <f t="shared" si="13"/>
        <v>66.069527111574558</v>
      </c>
      <c r="N21" s="51">
        <f t="shared" si="14"/>
        <v>69.703714521452142</v>
      </c>
      <c r="O21" s="51">
        <f t="shared" si="15"/>
        <v>0</v>
      </c>
      <c r="P21" s="51">
        <f t="shared" si="16"/>
        <v>0</v>
      </c>
    </row>
    <row r="22" spans="1:16" s="56" customFormat="1" ht="56.25" x14ac:dyDescent="0.25">
      <c r="A22" s="23"/>
      <c r="B22" s="23"/>
      <c r="C22" s="23"/>
      <c r="D22" s="24" t="s">
        <v>224</v>
      </c>
      <c r="E22" s="53">
        <f t="shared" si="3"/>
        <v>2236201</v>
      </c>
      <c r="F22" s="81">
        <v>2236200</v>
      </c>
      <c r="G22" s="54">
        <v>1</v>
      </c>
      <c r="H22" s="54"/>
      <c r="I22" s="53">
        <f t="shared" si="11"/>
        <v>1587499.91</v>
      </c>
      <c r="J22" s="53">
        <v>1580978.91</v>
      </c>
      <c r="K22" s="55">
        <f>6521</f>
        <v>6521</v>
      </c>
      <c r="L22" s="55"/>
      <c r="M22" s="51">
        <f t="shared" si="13"/>
        <v>70.990931047790411</v>
      </c>
      <c r="N22" s="51">
        <f t="shared" si="14"/>
        <v>70.699352025757975</v>
      </c>
      <c r="O22" s="51" t="s">
        <v>374</v>
      </c>
      <c r="P22" s="51"/>
    </row>
    <row r="23" spans="1:16" s="56" customFormat="1" ht="56.25" x14ac:dyDescent="0.25">
      <c r="A23" s="21" t="s">
        <v>112</v>
      </c>
      <c r="B23" s="21" t="s">
        <v>113</v>
      </c>
      <c r="C23" s="21" t="s">
        <v>114</v>
      </c>
      <c r="D23" s="22" t="s">
        <v>115</v>
      </c>
      <c r="E23" s="48">
        <f t="shared" si="3"/>
        <v>17000</v>
      </c>
      <c r="F23" s="49">
        <v>17000</v>
      </c>
      <c r="G23" s="49"/>
      <c r="H23" s="49"/>
      <c r="I23" s="48">
        <f t="shared" si="11"/>
        <v>8840</v>
      </c>
      <c r="J23" s="82">
        <v>8840</v>
      </c>
      <c r="K23" s="50"/>
      <c r="L23" s="50"/>
      <c r="M23" s="51">
        <f t="shared" si="13"/>
        <v>52</v>
      </c>
      <c r="N23" s="51">
        <f t="shared" si="14"/>
        <v>52</v>
      </c>
      <c r="O23" s="51"/>
      <c r="P23" s="51"/>
    </row>
    <row r="24" spans="1:16" s="57" customFormat="1" ht="37.5" x14ac:dyDescent="0.25">
      <c r="A24" s="21" t="s">
        <v>119</v>
      </c>
      <c r="B24" s="21" t="s">
        <v>10</v>
      </c>
      <c r="C24" s="21" t="s">
        <v>6</v>
      </c>
      <c r="D24" s="22" t="s">
        <v>104</v>
      </c>
      <c r="E24" s="48">
        <f t="shared" si="3"/>
        <v>1837500</v>
      </c>
      <c r="F24" s="49">
        <v>1837500</v>
      </c>
      <c r="G24" s="49"/>
      <c r="H24" s="49"/>
      <c r="I24" s="48">
        <f t="shared" si="11"/>
        <v>716645.41</v>
      </c>
      <c r="J24" s="50">
        <v>716645.41</v>
      </c>
      <c r="K24" s="50"/>
      <c r="L24" s="50"/>
      <c r="M24" s="51">
        <f t="shared" si="13"/>
        <v>39.001110748299325</v>
      </c>
      <c r="N24" s="51">
        <f t="shared" si="14"/>
        <v>39.001110748299325</v>
      </c>
      <c r="O24" s="51"/>
      <c r="P24" s="51"/>
    </row>
    <row r="25" spans="1:16" s="58" customFormat="1" ht="37.5" x14ac:dyDescent="0.25">
      <c r="A25" s="21" t="s">
        <v>65</v>
      </c>
      <c r="B25" s="21" t="s">
        <v>31</v>
      </c>
      <c r="C25" s="21" t="s">
        <v>32</v>
      </c>
      <c r="D25" s="22" t="s">
        <v>162</v>
      </c>
      <c r="E25" s="48">
        <f t="shared" si="3"/>
        <v>35089610</v>
      </c>
      <c r="F25" s="49">
        <v>34139610</v>
      </c>
      <c r="G25" s="49">
        <v>950000</v>
      </c>
      <c r="H25" s="49">
        <v>950000</v>
      </c>
      <c r="I25" s="48">
        <f t="shared" si="11"/>
        <v>21469983.690000001</v>
      </c>
      <c r="J25" s="50">
        <v>21469983.690000001</v>
      </c>
      <c r="K25" s="50">
        <v>0</v>
      </c>
      <c r="L25" s="50">
        <v>0</v>
      </c>
      <c r="M25" s="51">
        <f t="shared" si="13"/>
        <v>61.186156500456981</v>
      </c>
      <c r="N25" s="51">
        <f t="shared" si="14"/>
        <v>62.888778430685065</v>
      </c>
      <c r="O25" s="51">
        <f t="shared" si="15"/>
        <v>0</v>
      </c>
      <c r="P25" s="51">
        <f t="shared" si="16"/>
        <v>0</v>
      </c>
    </row>
    <row r="26" spans="1:16" s="57" customFormat="1" ht="27.75" customHeight="1" x14ac:dyDescent="0.25">
      <c r="A26" s="21" t="s">
        <v>66</v>
      </c>
      <c r="B26" s="21" t="s">
        <v>54</v>
      </c>
      <c r="C26" s="21" t="s">
        <v>33</v>
      </c>
      <c r="D26" s="22" t="s">
        <v>245</v>
      </c>
      <c r="E26" s="48">
        <f t="shared" si="3"/>
        <v>7087758.7699999996</v>
      </c>
      <c r="F26" s="49">
        <v>7060458.7699999996</v>
      </c>
      <c r="G26" s="49">
        <v>27300</v>
      </c>
      <c r="H26" s="49">
        <v>27300</v>
      </c>
      <c r="I26" s="48">
        <f t="shared" si="11"/>
        <v>4450185.41</v>
      </c>
      <c r="J26" s="50">
        <v>4422885.41</v>
      </c>
      <c r="K26" s="50">
        <v>27300</v>
      </c>
      <c r="L26" s="50">
        <v>27300</v>
      </c>
      <c r="M26" s="51">
        <f t="shared" si="13"/>
        <v>62.786919735983062</v>
      </c>
      <c r="N26" s="51">
        <f t="shared" si="14"/>
        <v>62.643031481083213</v>
      </c>
      <c r="O26" s="51">
        <f t="shared" si="15"/>
        <v>100</v>
      </c>
      <c r="P26" s="51">
        <f t="shared" si="16"/>
        <v>100</v>
      </c>
    </row>
    <row r="27" spans="1:16" s="57" customFormat="1" ht="81.75" customHeight="1" x14ac:dyDescent="0.25">
      <c r="A27" s="21" t="s">
        <v>246</v>
      </c>
      <c r="B27" s="25">
        <v>2111</v>
      </c>
      <c r="C27" s="21" t="s">
        <v>247</v>
      </c>
      <c r="D27" s="22" t="s">
        <v>248</v>
      </c>
      <c r="E27" s="48">
        <f t="shared" si="3"/>
        <v>2609200</v>
      </c>
      <c r="F27" s="49">
        <f>1482000+1057200</f>
        <v>2539200</v>
      </c>
      <c r="G27" s="49">
        <f>H27</f>
        <v>70000</v>
      </c>
      <c r="H27" s="49">
        <v>70000</v>
      </c>
      <c r="I27" s="48">
        <f t="shared" si="11"/>
        <v>788957.51</v>
      </c>
      <c r="J27" s="50">
        <f>720057.51</f>
        <v>720057.51</v>
      </c>
      <c r="K27" s="50">
        <f>L27</f>
        <v>68900</v>
      </c>
      <c r="L27" s="50">
        <v>68900</v>
      </c>
      <c r="M27" s="51">
        <f t="shared" si="13"/>
        <v>30.237525295109613</v>
      </c>
      <c r="N27" s="51">
        <f t="shared" si="14"/>
        <v>28.35765241020794</v>
      </c>
      <c r="O27" s="51">
        <f t="shared" si="15"/>
        <v>98.428571428571431</v>
      </c>
      <c r="P27" s="51">
        <f t="shared" si="16"/>
        <v>98.428571428571431</v>
      </c>
    </row>
    <row r="28" spans="1:16" s="57" customFormat="1" ht="37.5" x14ac:dyDescent="0.25">
      <c r="A28" s="21" t="s">
        <v>249</v>
      </c>
      <c r="B28" s="21" t="s">
        <v>195</v>
      </c>
      <c r="C28" s="21" t="s">
        <v>135</v>
      </c>
      <c r="D28" s="22" t="s">
        <v>250</v>
      </c>
      <c r="E28" s="48">
        <f t="shared" si="3"/>
        <v>1826841.23</v>
      </c>
      <c r="F28" s="49">
        <f>972900+853941.23</f>
        <v>1826841.23</v>
      </c>
      <c r="G28" s="49"/>
      <c r="H28" s="49"/>
      <c r="I28" s="48">
        <f t="shared" si="11"/>
        <v>1120781.6399999999</v>
      </c>
      <c r="J28" s="50">
        <f>472032.16+648749.48</f>
        <v>1120781.6399999999</v>
      </c>
      <c r="K28" s="50"/>
      <c r="L28" s="50"/>
      <c r="M28" s="51">
        <f t="shared" si="13"/>
        <v>61.350796204659773</v>
      </c>
      <c r="N28" s="51">
        <f t="shared" si="14"/>
        <v>61.350796204659773</v>
      </c>
      <c r="O28" s="51"/>
      <c r="P28" s="51"/>
    </row>
    <row r="29" spans="1:16" s="56" customFormat="1" ht="37.5" x14ac:dyDescent="0.25">
      <c r="A29" s="21" t="s">
        <v>168</v>
      </c>
      <c r="B29" s="21" t="s">
        <v>36</v>
      </c>
      <c r="C29" s="21" t="s">
        <v>20</v>
      </c>
      <c r="D29" s="22" t="s">
        <v>45</v>
      </c>
      <c r="E29" s="48">
        <f t="shared" si="3"/>
        <v>36000</v>
      </c>
      <c r="F29" s="49">
        <v>36000</v>
      </c>
      <c r="G29" s="49"/>
      <c r="H29" s="49"/>
      <c r="I29" s="48">
        <f t="shared" si="11"/>
        <v>36000</v>
      </c>
      <c r="J29" s="50">
        <v>36000</v>
      </c>
      <c r="K29" s="50"/>
      <c r="L29" s="50"/>
      <c r="M29" s="51">
        <f t="shared" si="13"/>
        <v>100</v>
      </c>
      <c r="N29" s="51">
        <f t="shared" si="14"/>
        <v>100</v>
      </c>
      <c r="O29" s="51"/>
      <c r="P29" s="51"/>
    </row>
    <row r="30" spans="1:16" s="56" customFormat="1" ht="37.5" x14ac:dyDescent="0.25">
      <c r="A30" s="21" t="s">
        <v>155</v>
      </c>
      <c r="B30" s="21" t="s">
        <v>153</v>
      </c>
      <c r="C30" s="21" t="s">
        <v>4</v>
      </c>
      <c r="D30" s="22" t="s">
        <v>154</v>
      </c>
      <c r="E30" s="48">
        <f t="shared" si="3"/>
        <v>4000000</v>
      </c>
      <c r="F30" s="49">
        <v>4000000</v>
      </c>
      <c r="G30" s="49"/>
      <c r="H30" s="49"/>
      <c r="I30" s="48">
        <f t="shared" si="11"/>
        <v>3060500</v>
      </c>
      <c r="J30" s="50">
        <v>3060500</v>
      </c>
      <c r="K30" s="50"/>
      <c r="L30" s="50"/>
      <c r="M30" s="51">
        <f t="shared" si="13"/>
        <v>76.512500000000003</v>
      </c>
      <c r="N30" s="51">
        <f t="shared" si="14"/>
        <v>76.512500000000003</v>
      </c>
      <c r="O30" s="51"/>
      <c r="P30" s="51"/>
    </row>
    <row r="31" spans="1:16" s="56" customFormat="1" ht="37.5" x14ac:dyDescent="0.25">
      <c r="A31" s="21" t="s">
        <v>67</v>
      </c>
      <c r="B31" s="21" t="s">
        <v>41</v>
      </c>
      <c r="C31" s="21" t="s">
        <v>9</v>
      </c>
      <c r="D31" s="22" t="s">
        <v>251</v>
      </c>
      <c r="E31" s="48">
        <f t="shared" si="3"/>
        <v>8586300</v>
      </c>
      <c r="F31" s="49">
        <f>F33+F34+F35+F32</f>
        <v>8586300</v>
      </c>
      <c r="G31" s="49"/>
      <c r="H31" s="49"/>
      <c r="I31" s="48">
        <f t="shared" si="11"/>
        <v>4685790.6400000006</v>
      </c>
      <c r="J31" s="49">
        <f>J33+J34+J35+J32</f>
        <v>4685790.6400000006</v>
      </c>
      <c r="K31" s="50"/>
      <c r="L31" s="50"/>
      <c r="M31" s="51">
        <f t="shared" si="13"/>
        <v>54.572873531090224</v>
      </c>
      <c r="N31" s="51">
        <f t="shared" si="14"/>
        <v>54.572873531090224</v>
      </c>
      <c r="O31" s="51"/>
      <c r="P31" s="51"/>
    </row>
    <row r="32" spans="1:16" s="56" customFormat="1" ht="45" customHeight="1" x14ac:dyDescent="0.25">
      <c r="A32" s="21"/>
      <c r="B32" s="21"/>
      <c r="C32" s="21"/>
      <c r="D32" s="89" t="s">
        <v>243</v>
      </c>
      <c r="E32" s="48">
        <f t="shared" ref="E32" si="17">F32+G32</f>
        <v>1530000</v>
      </c>
      <c r="F32" s="49">
        <v>1530000</v>
      </c>
      <c r="G32" s="49"/>
      <c r="H32" s="49"/>
      <c r="I32" s="48">
        <f t="shared" ref="I32" si="18">J32+K32</f>
        <v>0</v>
      </c>
      <c r="J32" s="50"/>
      <c r="K32" s="50"/>
      <c r="L32" s="50"/>
      <c r="M32" s="51">
        <f t="shared" si="13"/>
        <v>0</v>
      </c>
      <c r="N32" s="51">
        <f t="shared" si="14"/>
        <v>0</v>
      </c>
      <c r="O32" s="51"/>
      <c r="P32" s="51"/>
    </row>
    <row r="33" spans="1:18" s="56" customFormat="1" ht="75" x14ac:dyDescent="0.25">
      <c r="A33" s="23"/>
      <c r="B33" s="23"/>
      <c r="C33" s="23"/>
      <c r="D33" s="24" t="s">
        <v>223</v>
      </c>
      <c r="E33" s="53">
        <f t="shared" si="3"/>
        <v>3499500</v>
      </c>
      <c r="F33" s="54">
        <v>3499500</v>
      </c>
      <c r="G33" s="54"/>
      <c r="H33" s="54"/>
      <c r="I33" s="53">
        <f t="shared" si="11"/>
        <v>2386528.2400000002</v>
      </c>
      <c r="J33" s="53">
        <v>2386528.2400000002</v>
      </c>
      <c r="K33" s="55"/>
      <c r="L33" s="55"/>
      <c r="M33" s="51">
        <f t="shared" si="13"/>
        <v>68.196263466209459</v>
      </c>
      <c r="N33" s="51">
        <f t="shared" si="14"/>
        <v>68.196263466209459</v>
      </c>
      <c r="O33" s="51"/>
      <c r="P33" s="51"/>
    </row>
    <row r="34" spans="1:18" s="56" customFormat="1" ht="75" x14ac:dyDescent="0.25">
      <c r="A34" s="23"/>
      <c r="B34" s="23"/>
      <c r="C34" s="23"/>
      <c r="D34" s="24" t="s">
        <v>225</v>
      </c>
      <c r="E34" s="53">
        <f t="shared" si="3"/>
        <v>1567100</v>
      </c>
      <c r="F34" s="54">
        <v>1567100</v>
      </c>
      <c r="G34" s="54"/>
      <c r="H34" s="54"/>
      <c r="I34" s="53">
        <f t="shared" si="11"/>
        <v>907011.39</v>
      </c>
      <c r="J34" s="53">
        <v>907011.39</v>
      </c>
      <c r="K34" s="55"/>
      <c r="L34" s="55"/>
      <c r="M34" s="51">
        <f t="shared" si="13"/>
        <v>57.878335141343882</v>
      </c>
      <c r="N34" s="51">
        <f t="shared" si="14"/>
        <v>57.878335141343882</v>
      </c>
      <c r="O34" s="51"/>
      <c r="P34" s="51"/>
    </row>
    <row r="35" spans="1:18" s="56" customFormat="1" ht="56.25" x14ac:dyDescent="0.25">
      <c r="A35" s="23"/>
      <c r="B35" s="23"/>
      <c r="C35" s="23"/>
      <c r="D35" s="24" t="s">
        <v>224</v>
      </c>
      <c r="E35" s="53">
        <f t="shared" si="3"/>
        <v>1989700</v>
      </c>
      <c r="F35" s="54">
        <v>1989700</v>
      </c>
      <c r="G35" s="54"/>
      <c r="H35" s="54"/>
      <c r="I35" s="53">
        <f t="shared" si="11"/>
        <v>1392251.01</v>
      </c>
      <c r="J35" s="53">
        <v>1392251.01</v>
      </c>
      <c r="K35" s="55"/>
      <c r="L35" s="55"/>
      <c r="M35" s="51">
        <f t="shared" si="13"/>
        <v>69.972910991606767</v>
      </c>
      <c r="N35" s="51">
        <f t="shared" si="14"/>
        <v>69.972910991606767</v>
      </c>
      <c r="O35" s="51"/>
      <c r="P35" s="51"/>
    </row>
    <row r="36" spans="1:18" s="56" customFormat="1" ht="56.25" x14ac:dyDescent="0.25">
      <c r="A36" s="27" t="s">
        <v>311</v>
      </c>
      <c r="B36" s="27">
        <v>7351</v>
      </c>
      <c r="C36" s="27" t="s">
        <v>132</v>
      </c>
      <c r="D36" s="22" t="s">
        <v>312</v>
      </c>
      <c r="E36" s="53">
        <f t="shared" si="3"/>
        <v>1800000</v>
      </c>
      <c r="F36" s="54">
        <v>1800000</v>
      </c>
      <c r="G36" s="54"/>
      <c r="H36" s="54"/>
      <c r="I36" s="53">
        <f t="shared" si="11"/>
        <v>0</v>
      </c>
      <c r="J36" s="53">
        <v>0</v>
      </c>
      <c r="K36" s="55"/>
      <c r="L36" s="55"/>
      <c r="M36" s="51">
        <f t="shared" si="13"/>
        <v>0</v>
      </c>
      <c r="N36" s="51">
        <f t="shared" si="14"/>
        <v>0</v>
      </c>
      <c r="O36" s="51"/>
      <c r="P36" s="51"/>
    </row>
    <row r="37" spans="1:18" s="56" customFormat="1" ht="37.5" x14ac:dyDescent="0.25">
      <c r="A37" s="27" t="s">
        <v>313</v>
      </c>
      <c r="B37" s="27" t="s">
        <v>314</v>
      </c>
      <c r="C37" s="27" t="s">
        <v>23</v>
      </c>
      <c r="D37" s="22" t="s">
        <v>287</v>
      </c>
      <c r="E37" s="53">
        <f t="shared" si="3"/>
        <v>70000</v>
      </c>
      <c r="F37" s="54">
        <v>70000</v>
      </c>
      <c r="G37" s="54"/>
      <c r="H37" s="54"/>
      <c r="I37" s="53">
        <f t="shared" si="11"/>
        <v>15940</v>
      </c>
      <c r="J37" s="53">
        <v>15940</v>
      </c>
      <c r="K37" s="55"/>
      <c r="L37" s="55"/>
      <c r="M37" s="51">
        <f t="shared" si="13"/>
        <v>22.771428571428569</v>
      </c>
      <c r="N37" s="51">
        <f t="shared" si="14"/>
        <v>22.771428571428569</v>
      </c>
      <c r="O37" s="51"/>
      <c r="P37" s="51"/>
    </row>
    <row r="38" spans="1:18" s="57" customFormat="1" ht="37.5" x14ac:dyDescent="0.25">
      <c r="A38" s="21" t="s">
        <v>117</v>
      </c>
      <c r="B38" s="21" t="s">
        <v>116</v>
      </c>
      <c r="C38" s="21" t="s">
        <v>23</v>
      </c>
      <c r="D38" s="22" t="s">
        <v>118</v>
      </c>
      <c r="E38" s="48">
        <f t="shared" si="3"/>
        <v>70700</v>
      </c>
      <c r="F38" s="49">
        <v>70700</v>
      </c>
      <c r="G38" s="49"/>
      <c r="H38" s="49"/>
      <c r="I38" s="53">
        <f t="shared" si="11"/>
        <v>70700</v>
      </c>
      <c r="J38" s="50">
        <v>70700</v>
      </c>
      <c r="K38" s="50"/>
      <c r="L38" s="50"/>
      <c r="M38" s="51">
        <f t="shared" si="13"/>
        <v>100</v>
      </c>
      <c r="N38" s="51">
        <f t="shared" si="14"/>
        <v>100</v>
      </c>
      <c r="O38" s="51"/>
      <c r="P38" s="51"/>
    </row>
    <row r="39" spans="1:18" s="57" customFormat="1" ht="56.25" x14ac:dyDescent="0.25">
      <c r="A39" s="26" t="s">
        <v>98</v>
      </c>
      <c r="B39" s="25">
        <v>8110</v>
      </c>
      <c r="C39" s="27" t="s">
        <v>5</v>
      </c>
      <c r="D39" s="22" t="s">
        <v>144</v>
      </c>
      <c r="E39" s="48">
        <f t="shared" si="3"/>
        <v>1502860</v>
      </c>
      <c r="F39" s="49">
        <f>420160+1020600+20700+20700+20700</f>
        <v>1502860</v>
      </c>
      <c r="G39" s="49"/>
      <c r="H39" s="49"/>
      <c r="I39" s="48">
        <f t="shared" si="11"/>
        <v>221500</v>
      </c>
      <c r="J39" s="50">
        <f>199000+22500</f>
        <v>221500</v>
      </c>
      <c r="K39" s="49"/>
      <c r="L39" s="49"/>
      <c r="M39" s="51">
        <f t="shared" si="13"/>
        <v>14.738565135807727</v>
      </c>
      <c r="N39" s="51">
        <f t="shared" si="14"/>
        <v>14.738565135807727</v>
      </c>
      <c r="O39" s="51"/>
      <c r="P39" s="51"/>
    </row>
    <row r="40" spans="1:18" s="57" customFormat="1" ht="37.5" x14ac:dyDescent="0.25">
      <c r="A40" s="21" t="s">
        <v>191</v>
      </c>
      <c r="B40" s="21" t="s">
        <v>192</v>
      </c>
      <c r="C40" s="21" t="s">
        <v>167</v>
      </c>
      <c r="D40" s="22" t="s">
        <v>193</v>
      </c>
      <c r="E40" s="48">
        <f t="shared" si="3"/>
        <v>21911300</v>
      </c>
      <c r="F40" s="49">
        <v>20967300</v>
      </c>
      <c r="G40" s="49">
        <f>H40</f>
        <v>944000</v>
      </c>
      <c r="H40" s="49">
        <v>944000</v>
      </c>
      <c r="I40" s="48">
        <f t="shared" si="11"/>
        <v>14820400.42</v>
      </c>
      <c r="J40" s="60">
        <v>13950280.42</v>
      </c>
      <c r="K40" s="60">
        <f>L40</f>
        <v>870120</v>
      </c>
      <c r="L40" s="60">
        <v>870120</v>
      </c>
      <c r="M40" s="51">
        <f t="shared" si="13"/>
        <v>67.638161222748082</v>
      </c>
      <c r="N40" s="51">
        <f t="shared" si="14"/>
        <v>66.533508940111503</v>
      </c>
      <c r="O40" s="51">
        <f t="shared" si="15"/>
        <v>92.173728813559322</v>
      </c>
      <c r="P40" s="51">
        <f t="shared" si="16"/>
        <v>92.173728813559322</v>
      </c>
      <c r="Q40" s="61"/>
    </row>
    <row r="41" spans="1:18" s="57" customFormat="1" ht="37.5" x14ac:dyDescent="0.25">
      <c r="A41" s="21" t="s">
        <v>252</v>
      </c>
      <c r="B41" s="25">
        <v>8220</v>
      </c>
      <c r="C41" s="21" t="s">
        <v>167</v>
      </c>
      <c r="D41" s="22" t="s">
        <v>253</v>
      </c>
      <c r="E41" s="48">
        <f t="shared" si="3"/>
        <v>1385000</v>
      </c>
      <c r="F41" s="49">
        <v>1385000</v>
      </c>
      <c r="G41" s="49"/>
      <c r="H41" s="49"/>
      <c r="I41" s="48">
        <f t="shared" si="11"/>
        <v>317910.03999999998</v>
      </c>
      <c r="J41" s="50">
        <v>317910.03999999998</v>
      </c>
      <c r="K41" s="60"/>
      <c r="L41" s="60"/>
      <c r="M41" s="51">
        <f t="shared" si="13"/>
        <v>22.953793501805052</v>
      </c>
      <c r="N41" s="51">
        <f t="shared" si="14"/>
        <v>22.953793501805052</v>
      </c>
      <c r="O41" s="51"/>
      <c r="P41" s="51"/>
      <c r="Q41" s="61"/>
    </row>
    <row r="42" spans="1:18" s="57" customFormat="1" ht="37.5" x14ac:dyDescent="0.25">
      <c r="A42" s="21" t="s">
        <v>254</v>
      </c>
      <c r="B42" s="21" t="s">
        <v>255</v>
      </c>
      <c r="C42" s="21" t="s">
        <v>167</v>
      </c>
      <c r="D42" s="22" t="s">
        <v>256</v>
      </c>
      <c r="E42" s="48">
        <f t="shared" si="3"/>
        <v>6155500</v>
      </c>
      <c r="F42" s="49">
        <v>6155500</v>
      </c>
      <c r="G42" s="49"/>
      <c r="H42" s="49"/>
      <c r="I42" s="48">
        <f t="shared" si="11"/>
        <v>4244328</v>
      </c>
      <c r="J42" s="50">
        <v>4244328</v>
      </c>
      <c r="K42" s="60"/>
      <c r="L42" s="60"/>
      <c r="M42" s="51">
        <f t="shared" si="13"/>
        <v>68.951799203963944</v>
      </c>
      <c r="N42" s="51">
        <f t="shared" si="14"/>
        <v>68.951799203963944</v>
      </c>
      <c r="O42" s="51"/>
      <c r="P42" s="51"/>
      <c r="Q42" s="61"/>
    </row>
    <row r="43" spans="1:18" s="57" customFormat="1" ht="37.5" x14ac:dyDescent="0.25">
      <c r="A43" s="21" t="s">
        <v>134</v>
      </c>
      <c r="B43" s="21" t="s">
        <v>133</v>
      </c>
      <c r="C43" s="21" t="s">
        <v>43</v>
      </c>
      <c r="D43" s="22" t="s">
        <v>142</v>
      </c>
      <c r="E43" s="48">
        <f t="shared" si="3"/>
        <v>196000</v>
      </c>
      <c r="F43" s="49"/>
      <c r="G43" s="49">
        <v>196000</v>
      </c>
      <c r="H43" s="49"/>
      <c r="I43" s="48">
        <f t="shared" si="11"/>
        <v>0</v>
      </c>
      <c r="J43" s="50"/>
      <c r="K43" s="60">
        <v>0</v>
      </c>
      <c r="L43" s="60"/>
      <c r="M43" s="51">
        <f t="shared" si="13"/>
        <v>0</v>
      </c>
      <c r="N43" s="51"/>
      <c r="O43" s="51"/>
      <c r="P43" s="51"/>
      <c r="R43" s="62"/>
    </row>
    <row r="44" spans="1:18" s="63" customFormat="1" ht="56.25" x14ac:dyDescent="0.25">
      <c r="A44" s="19" t="s">
        <v>55</v>
      </c>
      <c r="B44" s="19" t="s">
        <v>242</v>
      </c>
      <c r="C44" s="19" t="s">
        <v>242</v>
      </c>
      <c r="D44" s="20" t="s">
        <v>345</v>
      </c>
      <c r="E44" s="42">
        <f t="shared" si="3"/>
        <v>439448734</v>
      </c>
      <c r="F44" s="43">
        <f>F45</f>
        <v>410681138</v>
      </c>
      <c r="G44" s="43">
        <f t="shared" ref="G44:H44" si="19">G45</f>
        <v>28767596</v>
      </c>
      <c r="H44" s="43">
        <f t="shared" si="19"/>
        <v>23447596</v>
      </c>
      <c r="I44" s="42">
        <f t="shared" si="11"/>
        <v>257995256.81999999</v>
      </c>
      <c r="J44" s="46">
        <f>J45</f>
        <v>251289657.03999999</v>
      </c>
      <c r="K44" s="46">
        <f t="shared" ref="K44:L44" si="20">K45</f>
        <v>6705599.7800000003</v>
      </c>
      <c r="L44" s="46">
        <f t="shared" si="20"/>
        <v>758161.42</v>
      </c>
      <c r="M44" s="44">
        <f t="shared" si="6"/>
        <v>58.708840613021309</v>
      </c>
      <c r="N44" s="44">
        <f t="shared" si="7"/>
        <v>61.188507040710491</v>
      </c>
      <c r="O44" s="44">
        <f t="shared" si="8"/>
        <v>23.309559060826636</v>
      </c>
      <c r="P44" s="44">
        <f t="shared" si="9"/>
        <v>3.2334292180742108</v>
      </c>
      <c r="R44" s="64"/>
    </row>
    <row r="45" spans="1:18" s="63" customFormat="1" ht="56.25" x14ac:dyDescent="0.25">
      <c r="A45" s="19" t="s">
        <v>56</v>
      </c>
      <c r="B45" s="19" t="s">
        <v>242</v>
      </c>
      <c r="C45" s="19" t="s">
        <v>242</v>
      </c>
      <c r="D45" s="20" t="s">
        <v>345</v>
      </c>
      <c r="E45" s="42">
        <f t="shared" si="3"/>
        <v>439448734</v>
      </c>
      <c r="F45" s="43">
        <f>F46+F47+F48+F49+F50+F51+F52+F53+F54+F55+F56+F57+F58+F59+F62+F63+F64+F65+F66</f>
        <v>410681138</v>
      </c>
      <c r="G45" s="43">
        <f t="shared" ref="G45:H45" si="21">G46+G47+G48+G49+G50+G51+G52+G53+G54+G55+G56+G57+G58+G59+G62+G63+G64+G65+G66</f>
        <v>28767596</v>
      </c>
      <c r="H45" s="43">
        <f t="shared" si="21"/>
        <v>23447596</v>
      </c>
      <c r="I45" s="42">
        <f t="shared" si="11"/>
        <v>257995256.81999999</v>
      </c>
      <c r="J45" s="43">
        <f t="shared" ref="J45:L45" si="22">J46+J47+J48+J49+J50+J51+J52+J53+J54+J55+J56+J57+J58+J59+J62+J63+J64+J65+J66</f>
        <v>251289657.03999999</v>
      </c>
      <c r="K45" s="43">
        <f t="shared" si="22"/>
        <v>6705599.7800000003</v>
      </c>
      <c r="L45" s="43">
        <f t="shared" si="22"/>
        <v>758161.42</v>
      </c>
      <c r="M45" s="44">
        <f t="shared" si="6"/>
        <v>58.708840613021309</v>
      </c>
      <c r="N45" s="44">
        <f t="shared" si="7"/>
        <v>61.188507040710491</v>
      </c>
      <c r="O45" s="44">
        <f t="shared" si="8"/>
        <v>23.309559060826636</v>
      </c>
      <c r="P45" s="44">
        <f t="shared" si="9"/>
        <v>3.2334292180742108</v>
      </c>
    </row>
    <row r="46" spans="1:18" s="57" customFormat="1" ht="56.25" x14ac:dyDescent="0.25">
      <c r="A46" s="21" t="s">
        <v>58</v>
      </c>
      <c r="B46" s="21" t="s">
        <v>57</v>
      </c>
      <c r="C46" s="21" t="s">
        <v>3</v>
      </c>
      <c r="D46" s="22" t="s">
        <v>259</v>
      </c>
      <c r="E46" s="48">
        <f t="shared" si="3"/>
        <v>3881400</v>
      </c>
      <c r="F46" s="49">
        <v>3881400</v>
      </c>
      <c r="G46" s="49"/>
      <c r="H46" s="49"/>
      <c r="I46" s="48">
        <f t="shared" si="11"/>
        <v>2467318.65</v>
      </c>
      <c r="J46" s="50">
        <v>2467318.65</v>
      </c>
      <c r="K46" s="60"/>
      <c r="L46" s="60"/>
      <c r="M46" s="51">
        <f t="shared" ref="M46:M66" si="23">I46/E46*100</f>
        <v>63.567750038645841</v>
      </c>
      <c r="N46" s="51">
        <f t="shared" ref="N46:N66" si="24">J46/F46*100</f>
        <v>63.567750038645841</v>
      </c>
      <c r="O46" s="51"/>
      <c r="P46" s="51"/>
    </row>
    <row r="47" spans="1:18" s="57" customFormat="1" ht="37.5" x14ac:dyDescent="0.25">
      <c r="A47" s="21" t="s">
        <v>260</v>
      </c>
      <c r="B47" s="21" t="s">
        <v>10</v>
      </c>
      <c r="C47" s="21" t="s">
        <v>6</v>
      </c>
      <c r="D47" s="22" t="s">
        <v>104</v>
      </c>
      <c r="E47" s="48">
        <f t="shared" si="3"/>
        <v>135469</v>
      </c>
      <c r="F47" s="49">
        <v>135469</v>
      </c>
      <c r="G47" s="49"/>
      <c r="H47" s="49"/>
      <c r="I47" s="48">
        <f t="shared" si="11"/>
        <v>134476.5</v>
      </c>
      <c r="J47" s="50">
        <v>134476.5</v>
      </c>
      <c r="K47" s="60"/>
      <c r="L47" s="60"/>
      <c r="M47" s="51">
        <f t="shared" si="23"/>
        <v>99.267360060235191</v>
      </c>
      <c r="N47" s="51">
        <f t="shared" si="24"/>
        <v>99.267360060235191</v>
      </c>
      <c r="O47" s="51"/>
      <c r="P47" s="51"/>
    </row>
    <row r="48" spans="1:18" s="57" customFormat="1" ht="18.75" x14ac:dyDescent="0.25">
      <c r="A48" s="21" t="s">
        <v>59</v>
      </c>
      <c r="B48" s="21" t="s">
        <v>11</v>
      </c>
      <c r="C48" s="21" t="s">
        <v>12</v>
      </c>
      <c r="D48" s="22" t="s">
        <v>60</v>
      </c>
      <c r="E48" s="48">
        <f t="shared" si="3"/>
        <v>117442766</v>
      </c>
      <c r="F48" s="49">
        <v>104572766</v>
      </c>
      <c r="G48" s="49">
        <f>H48+5200000</f>
        <v>12870000</v>
      </c>
      <c r="H48" s="49">
        <v>7670000</v>
      </c>
      <c r="I48" s="48">
        <f t="shared" si="11"/>
        <v>57977405.75</v>
      </c>
      <c r="J48" s="50">
        <v>57439054.280000001</v>
      </c>
      <c r="K48" s="60">
        <f>36449.47+501902</f>
        <v>538351.47</v>
      </c>
      <c r="L48" s="60"/>
      <c r="M48" s="51">
        <f t="shared" si="23"/>
        <v>49.366519305241837</v>
      </c>
      <c r="N48" s="51">
        <f t="shared" si="24"/>
        <v>54.927354871726351</v>
      </c>
      <c r="O48" s="51">
        <f t="shared" ref="O48:O53" si="25">K48/G48*100</f>
        <v>4.1829951048951051</v>
      </c>
      <c r="P48" s="51">
        <f t="shared" ref="P48:P50" si="26">L48/H48*100</f>
        <v>0</v>
      </c>
    </row>
    <row r="49" spans="1:16" s="57" customFormat="1" ht="56.25" x14ac:dyDescent="0.25">
      <c r="A49" s="21" t="s">
        <v>197</v>
      </c>
      <c r="B49" s="21" t="s">
        <v>198</v>
      </c>
      <c r="C49" s="21" t="s">
        <v>14</v>
      </c>
      <c r="D49" s="22" t="s">
        <v>346</v>
      </c>
      <c r="E49" s="48">
        <f t="shared" si="3"/>
        <v>102046180</v>
      </c>
      <c r="F49" s="49">
        <v>91025085</v>
      </c>
      <c r="G49" s="49">
        <f>H49+7499</f>
        <v>11021095</v>
      </c>
      <c r="H49" s="49">
        <v>11013596</v>
      </c>
      <c r="I49" s="48">
        <f t="shared" si="11"/>
        <v>49168202.219999999</v>
      </c>
      <c r="J49" s="50">
        <v>45339664.909999996</v>
      </c>
      <c r="K49" s="60">
        <f>L49+36858.89+3033517</f>
        <v>3828537.31</v>
      </c>
      <c r="L49" s="60">
        <v>758161.42</v>
      </c>
      <c r="M49" s="51">
        <f t="shared" si="23"/>
        <v>48.182305520892598</v>
      </c>
      <c r="N49" s="51">
        <f t="shared" si="24"/>
        <v>49.810076980427972</v>
      </c>
      <c r="O49" s="51">
        <f t="shared" si="25"/>
        <v>34.738266116025677</v>
      </c>
      <c r="P49" s="51">
        <f t="shared" si="26"/>
        <v>6.883868084502101</v>
      </c>
    </row>
    <row r="50" spans="1:16" s="57" customFormat="1" ht="112.5" x14ac:dyDescent="0.25">
      <c r="A50" s="21" t="s">
        <v>199</v>
      </c>
      <c r="B50" s="21" t="s">
        <v>200</v>
      </c>
      <c r="C50" s="21" t="s">
        <v>16</v>
      </c>
      <c r="D50" s="22" t="s">
        <v>347</v>
      </c>
      <c r="E50" s="48">
        <f t="shared" si="3"/>
        <v>9992060</v>
      </c>
      <c r="F50" s="49">
        <v>7077060</v>
      </c>
      <c r="G50" s="60">
        <f>H50</f>
        <v>2915000</v>
      </c>
      <c r="H50" s="60">
        <v>2915000</v>
      </c>
      <c r="I50" s="48">
        <f t="shared" si="11"/>
        <v>3668475.08</v>
      </c>
      <c r="J50" s="60">
        <v>3441987.08</v>
      </c>
      <c r="K50" s="60">
        <f>226488</f>
        <v>226488</v>
      </c>
      <c r="L50" s="60"/>
      <c r="M50" s="51">
        <f t="shared" si="23"/>
        <v>36.713901637900491</v>
      </c>
      <c r="N50" s="51">
        <f t="shared" si="24"/>
        <v>48.635832958884059</v>
      </c>
      <c r="O50" s="51">
        <f t="shared" si="25"/>
        <v>7.7697427101200685</v>
      </c>
      <c r="P50" s="51">
        <f t="shared" si="26"/>
        <v>0</v>
      </c>
    </row>
    <row r="51" spans="1:16" s="57" customFormat="1" ht="56.25" x14ac:dyDescent="0.25">
      <c r="A51" s="21" t="s">
        <v>201</v>
      </c>
      <c r="B51" s="21" t="s">
        <v>202</v>
      </c>
      <c r="C51" s="21" t="s">
        <v>14</v>
      </c>
      <c r="D51" s="22" t="s">
        <v>350</v>
      </c>
      <c r="E51" s="48">
        <f t="shared" si="3"/>
        <v>117414500</v>
      </c>
      <c r="F51" s="49">
        <v>117414500</v>
      </c>
      <c r="G51" s="49"/>
      <c r="H51" s="49"/>
      <c r="I51" s="48">
        <f t="shared" si="11"/>
        <v>87647511.239999995</v>
      </c>
      <c r="J51" s="50">
        <v>87647511.239999995</v>
      </c>
      <c r="K51" s="60"/>
      <c r="L51" s="60"/>
      <c r="M51" s="51">
        <f t="shared" si="23"/>
        <v>74.647944879039642</v>
      </c>
      <c r="N51" s="51">
        <f t="shared" si="24"/>
        <v>74.647944879039642</v>
      </c>
      <c r="O51" s="51"/>
      <c r="P51" s="51"/>
    </row>
    <row r="52" spans="1:16" s="57" customFormat="1" ht="112.5" x14ac:dyDescent="0.25">
      <c r="A52" s="21" t="s">
        <v>203</v>
      </c>
      <c r="B52" s="21" t="s">
        <v>204</v>
      </c>
      <c r="C52" s="21" t="s">
        <v>16</v>
      </c>
      <c r="D52" s="22" t="s">
        <v>351</v>
      </c>
      <c r="E52" s="48">
        <f t="shared" si="3"/>
        <v>9500000</v>
      </c>
      <c r="F52" s="49">
        <v>9500000</v>
      </c>
      <c r="G52" s="49"/>
      <c r="H52" s="49"/>
      <c r="I52" s="48">
        <f t="shared" si="11"/>
        <v>7205379.3399999999</v>
      </c>
      <c r="J52" s="50">
        <v>7205379.3399999999</v>
      </c>
      <c r="K52" s="60"/>
      <c r="L52" s="60"/>
      <c r="M52" s="51">
        <f t="shared" si="23"/>
        <v>75.846098315789462</v>
      </c>
      <c r="N52" s="51">
        <f t="shared" si="24"/>
        <v>75.846098315789462</v>
      </c>
      <c r="O52" s="51"/>
      <c r="P52" s="51"/>
    </row>
    <row r="53" spans="1:16" s="57" customFormat="1" ht="56.25" x14ac:dyDescent="0.25">
      <c r="A53" s="21" t="s">
        <v>61</v>
      </c>
      <c r="B53" s="21" t="s">
        <v>35</v>
      </c>
      <c r="C53" s="21" t="s">
        <v>17</v>
      </c>
      <c r="D53" s="22" t="s">
        <v>205</v>
      </c>
      <c r="E53" s="48">
        <f t="shared" si="3"/>
        <v>22574290</v>
      </c>
      <c r="F53" s="49">
        <v>22461790</v>
      </c>
      <c r="G53" s="49">
        <v>112500</v>
      </c>
      <c r="H53" s="49"/>
      <c r="I53" s="48">
        <f t="shared" si="11"/>
        <v>14602314.859999999</v>
      </c>
      <c r="J53" s="50">
        <v>14174058.859999999</v>
      </c>
      <c r="K53" s="50">
        <f>174123+254133</f>
        <v>428256</v>
      </c>
      <c r="L53" s="50"/>
      <c r="M53" s="51">
        <f t="shared" si="23"/>
        <v>64.685599679989934</v>
      </c>
      <c r="N53" s="51">
        <f t="shared" si="24"/>
        <v>63.102980038545454</v>
      </c>
      <c r="O53" s="51">
        <f t="shared" si="25"/>
        <v>380.67199999999997</v>
      </c>
      <c r="P53" s="51"/>
    </row>
    <row r="54" spans="1:16" s="57" customFormat="1" ht="37.5" x14ac:dyDescent="0.25">
      <c r="A54" s="21" t="s">
        <v>206</v>
      </c>
      <c r="B54" s="21" t="s">
        <v>207</v>
      </c>
      <c r="C54" s="21" t="s">
        <v>18</v>
      </c>
      <c r="D54" s="22" t="s">
        <v>208</v>
      </c>
      <c r="E54" s="48">
        <f t="shared" si="3"/>
        <v>30000</v>
      </c>
      <c r="F54" s="49">
        <v>30000</v>
      </c>
      <c r="G54" s="49"/>
      <c r="H54" s="49"/>
      <c r="I54" s="48">
        <f t="shared" si="11"/>
        <v>3640</v>
      </c>
      <c r="J54" s="50">
        <v>3640</v>
      </c>
      <c r="K54" s="50"/>
      <c r="L54" s="50"/>
      <c r="M54" s="51">
        <f t="shared" si="23"/>
        <v>12.133333333333333</v>
      </c>
      <c r="N54" s="51">
        <f t="shared" si="24"/>
        <v>12.133333333333333</v>
      </c>
      <c r="O54" s="51"/>
      <c r="P54" s="51"/>
    </row>
    <row r="55" spans="1:16" s="57" customFormat="1" ht="37.5" x14ac:dyDescent="0.25">
      <c r="A55" s="21" t="s">
        <v>209</v>
      </c>
      <c r="B55" s="21" t="s">
        <v>210</v>
      </c>
      <c r="C55" s="21" t="s">
        <v>19</v>
      </c>
      <c r="D55" s="22" t="s">
        <v>159</v>
      </c>
      <c r="E55" s="48">
        <f t="shared" si="3"/>
        <v>20212261</v>
      </c>
      <c r="F55" s="49">
        <v>20212260</v>
      </c>
      <c r="G55" s="49">
        <v>1</v>
      </c>
      <c r="H55" s="49"/>
      <c r="I55" s="48">
        <f t="shared" si="11"/>
        <v>13720699.48</v>
      </c>
      <c r="J55" s="50">
        <v>12036732.48</v>
      </c>
      <c r="K55" s="60">
        <v>1683967</v>
      </c>
      <c r="L55" s="60"/>
      <c r="M55" s="51">
        <f t="shared" si="23"/>
        <v>67.88305118363553</v>
      </c>
      <c r="N55" s="51">
        <f t="shared" si="24"/>
        <v>59.551640835809557</v>
      </c>
      <c r="O55" s="51" t="s">
        <v>374</v>
      </c>
      <c r="P55" s="51"/>
    </row>
    <row r="56" spans="1:16" s="57" customFormat="1" ht="56.25" x14ac:dyDescent="0.25">
      <c r="A56" s="21" t="s">
        <v>211</v>
      </c>
      <c r="B56" s="21" t="s">
        <v>212</v>
      </c>
      <c r="C56" s="21" t="s">
        <v>19</v>
      </c>
      <c r="D56" s="22" t="s">
        <v>213</v>
      </c>
      <c r="E56" s="48">
        <f t="shared" si="3"/>
        <v>794960</v>
      </c>
      <c r="F56" s="49">
        <v>794960</v>
      </c>
      <c r="G56" s="49"/>
      <c r="H56" s="49"/>
      <c r="I56" s="48">
        <f t="shared" si="11"/>
        <v>410455.9</v>
      </c>
      <c r="J56" s="50">
        <v>410455.9</v>
      </c>
      <c r="K56" s="50"/>
      <c r="L56" s="46"/>
      <c r="M56" s="51">
        <f t="shared" si="23"/>
        <v>51.632270806078296</v>
      </c>
      <c r="N56" s="51">
        <f t="shared" si="24"/>
        <v>51.632270806078296</v>
      </c>
      <c r="O56" s="51"/>
      <c r="P56" s="51"/>
    </row>
    <row r="57" spans="1:16" s="57" customFormat="1" ht="56.25" x14ac:dyDescent="0.25">
      <c r="A57" s="21" t="s">
        <v>214</v>
      </c>
      <c r="B57" s="21" t="s">
        <v>215</v>
      </c>
      <c r="C57" s="21" t="s">
        <v>19</v>
      </c>
      <c r="D57" s="22" t="s">
        <v>216</v>
      </c>
      <c r="E57" s="48">
        <f t="shared" si="3"/>
        <v>2295056</v>
      </c>
      <c r="F57" s="49">
        <v>2295056</v>
      </c>
      <c r="G57" s="49"/>
      <c r="H57" s="49"/>
      <c r="I57" s="48">
        <f t="shared" si="11"/>
        <v>1484006.88</v>
      </c>
      <c r="J57" s="50">
        <v>1484006.88</v>
      </c>
      <c r="K57" s="46"/>
      <c r="L57" s="46"/>
      <c r="M57" s="51">
        <f t="shared" si="23"/>
        <v>64.661031364812004</v>
      </c>
      <c r="N57" s="51">
        <f t="shared" si="24"/>
        <v>64.661031364812004</v>
      </c>
      <c r="O57" s="51"/>
      <c r="P57" s="51"/>
    </row>
    <row r="58" spans="1:16" s="57" customFormat="1" ht="56.25" x14ac:dyDescent="0.25">
      <c r="A58" s="26" t="s">
        <v>315</v>
      </c>
      <c r="B58" s="26" t="s">
        <v>316</v>
      </c>
      <c r="C58" s="27" t="s">
        <v>19</v>
      </c>
      <c r="D58" s="22" t="s">
        <v>317</v>
      </c>
      <c r="E58" s="48">
        <f t="shared" si="3"/>
        <v>4681400</v>
      </c>
      <c r="F58" s="49">
        <v>3832400</v>
      </c>
      <c r="G58" s="49">
        <f>H58</f>
        <v>849000</v>
      </c>
      <c r="H58" s="49">
        <v>849000</v>
      </c>
      <c r="I58" s="48">
        <f t="shared" si="11"/>
        <v>2515090.41</v>
      </c>
      <c r="J58" s="50">
        <v>2515090.41</v>
      </c>
      <c r="K58" s="50"/>
      <c r="L58" s="50"/>
      <c r="M58" s="51">
        <f t="shared" si="23"/>
        <v>53.725176442944424</v>
      </c>
      <c r="N58" s="51">
        <f t="shared" si="24"/>
        <v>65.627032929756808</v>
      </c>
      <c r="O58" s="51"/>
      <c r="P58" s="51"/>
    </row>
    <row r="59" spans="1:16" s="57" customFormat="1" ht="93.75" x14ac:dyDescent="0.25">
      <c r="A59" s="65" t="s">
        <v>261</v>
      </c>
      <c r="B59" s="65" t="s">
        <v>217</v>
      </c>
      <c r="C59" s="65" t="s">
        <v>19</v>
      </c>
      <c r="D59" s="66" t="s">
        <v>218</v>
      </c>
      <c r="E59" s="48">
        <f t="shared" si="3"/>
        <v>351372</v>
      </c>
      <c r="F59" s="49">
        <f>F60+F61</f>
        <v>351372</v>
      </c>
      <c r="G59" s="49"/>
      <c r="H59" s="49"/>
      <c r="I59" s="48">
        <f t="shared" si="11"/>
        <v>181111.43</v>
      </c>
      <c r="J59" s="50">
        <v>181111.43</v>
      </c>
      <c r="K59" s="50"/>
      <c r="L59" s="50"/>
      <c r="M59" s="51">
        <f t="shared" si="23"/>
        <v>51.544070102341678</v>
      </c>
      <c r="N59" s="51">
        <f t="shared" si="24"/>
        <v>51.544070102341678</v>
      </c>
      <c r="O59" s="51"/>
      <c r="P59" s="51"/>
    </row>
    <row r="60" spans="1:16" s="56" customFormat="1" ht="93.75" x14ac:dyDescent="0.3">
      <c r="A60" s="67"/>
      <c r="B60" s="67"/>
      <c r="C60" s="67"/>
      <c r="D60" s="90" t="s">
        <v>348</v>
      </c>
      <c r="E60" s="53">
        <f t="shared" si="3"/>
        <v>123354</v>
      </c>
      <c r="F60" s="54">
        <v>123354</v>
      </c>
      <c r="G60" s="54"/>
      <c r="H60" s="54"/>
      <c r="I60" s="53">
        <f t="shared" si="11"/>
        <v>51082.5</v>
      </c>
      <c r="J60" s="55">
        <v>51082.5</v>
      </c>
      <c r="K60" s="59"/>
      <c r="L60" s="59"/>
      <c r="M60" s="51">
        <f t="shared" si="23"/>
        <v>41.41130405175349</v>
      </c>
      <c r="N60" s="51">
        <f t="shared" si="24"/>
        <v>41.41130405175349</v>
      </c>
      <c r="O60" s="51"/>
      <c r="P60" s="51"/>
    </row>
    <row r="61" spans="1:16" s="56" customFormat="1" ht="93.75" x14ac:dyDescent="0.3">
      <c r="A61" s="67"/>
      <c r="B61" s="67"/>
      <c r="C61" s="67"/>
      <c r="D61" s="90" t="s">
        <v>349</v>
      </c>
      <c r="E61" s="53">
        <f t="shared" si="3"/>
        <v>228018</v>
      </c>
      <c r="F61" s="54">
        <v>228018</v>
      </c>
      <c r="G61" s="54"/>
      <c r="H61" s="54"/>
      <c r="I61" s="53">
        <f t="shared" si="11"/>
        <v>130028.93</v>
      </c>
      <c r="J61" s="55">
        <v>130028.93</v>
      </c>
      <c r="K61" s="59"/>
      <c r="L61" s="59"/>
      <c r="M61" s="51">
        <f t="shared" si="23"/>
        <v>57.025730424791021</v>
      </c>
      <c r="N61" s="51">
        <f t="shared" si="24"/>
        <v>57.025730424791021</v>
      </c>
      <c r="O61" s="51"/>
      <c r="P61" s="51"/>
    </row>
    <row r="62" spans="1:16" s="56" customFormat="1" ht="112.5" x14ac:dyDescent="0.25">
      <c r="A62" s="21" t="s">
        <v>318</v>
      </c>
      <c r="B62" s="21" t="s">
        <v>319</v>
      </c>
      <c r="C62" s="21" t="s">
        <v>20</v>
      </c>
      <c r="D62" s="22" t="s">
        <v>320</v>
      </c>
      <c r="E62" s="53">
        <f t="shared" si="3"/>
        <v>2283800</v>
      </c>
      <c r="F62" s="54">
        <v>2283800</v>
      </c>
      <c r="G62" s="54"/>
      <c r="H62" s="54"/>
      <c r="I62" s="53">
        <f t="shared" si="11"/>
        <v>2251972.73</v>
      </c>
      <c r="J62" s="55">
        <v>2251972.73</v>
      </c>
      <c r="K62" s="55"/>
      <c r="L62" s="55"/>
      <c r="M62" s="51">
        <f t="shared" si="23"/>
        <v>98.606389788948249</v>
      </c>
      <c r="N62" s="51">
        <f t="shared" si="24"/>
        <v>98.606389788948249</v>
      </c>
      <c r="O62" s="51"/>
      <c r="P62" s="51"/>
    </row>
    <row r="63" spans="1:16" s="58" customFormat="1" ht="37.5" x14ac:dyDescent="0.25">
      <c r="A63" s="21" t="s">
        <v>156</v>
      </c>
      <c r="B63" s="21" t="s">
        <v>153</v>
      </c>
      <c r="C63" s="21" t="s">
        <v>4</v>
      </c>
      <c r="D63" s="22" t="s">
        <v>154</v>
      </c>
      <c r="E63" s="48">
        <f t="shared" si="3"/>
        <v>9530200</v>
      </c>
      <c r="F63" s="49">
        <v>9530200</v>
      </c>
      <c r="G63" s="49"/>
      <c r="H63" s="49"/>
      <c r="I63" s="48">
        <f t="shared" si="11"/>
        <v>7268272.6399999997</v>
      </c>
      <c r="J63" s="50">
        <v>7268272.6399999997</v>
      </c>
      <c r="K63" s="50"/>
      <c r="L63" s="50"/>
      <c r="M63" s="51">
        <f t="shared" si="23"/>
        <v>76.2656884430547</v>
      </c>
      <c r="N63" s="51">
        <f t="shared" si="24"/>
        <v>76.2656884430547</v>
      </c>
      <c r="O63" s="51"/>
      <c r="P63" s="51"/>
    </row>
    <row r="64" spans="1:16" s="58" customFormat="1" ht="56.25" x14ac:dyDescent="0.25">
      <c r="A64" s="21" t="s">
        <v>68</v>
      </c>
      <c r="B64" s="21" t="s">
        <v>49</v>
      </c>
      <c r="C64" s="21" t="s">
        <v>21</v>
      </c>
      <c r="D64" s="22" t="s">
        <v>22</v>
      </c>
      <c r="E64" s="48">
        <f t="shared" si="3"/>
        <v>10916810</v>
      </c>
      <c r="F64" s="49">
        <v>10916810</v>
      </c>
      <c r="G64" s="49"/>
      <c r="H64" s="49"/>
      <c r="I64" s="48">
        <f t="shared" si="11"/>
        <v>6202653.75</v>
      </c>
      <c r="J64" s="50">
        <v>6202653.75</v>
      </c>
      <c r="K64" s="50"/>
      <c r="L64" s="50"/>
      <c r="M64" s="51">
        <f t="shared" si="23"/>
        <v>56.817456289886877</v>
      </c>
      <c r="N64" s="51">
        <f t="shared" si="24"/>
        <v>56.817456289886877</v>
      </c>
      <c r="O64" s="51"/>
      <c r="P64" s="51"/>
    </row>
    <row r="65" spans="1:16" s="47" customFormat="1" ht="56.25" x14ac:dyDescent="0.25">
      <c r="A65" s="26" t="s">
        <v>301</v>
      </c>
      <c r="B65" s="25">
        <v>8110</v>
      </c>
      <c r="C65" s="26" t="s">
        <v>5</v>
      </c>
      <c r="D65" s="22" t="s">
        <v>144</v>
      </c>
      <c r="E65" s="48">
        <f t="shared" si="3"/>
        <v>5269210</v>
      </c>
      <c r="F65" s="49">
        <v>4269210</v>
      </c>
      <c r="G65" s="49">
        <f>H65</f>
        <v>1000000</v>
      </c>
      <c r="H65" s="49">
        <v>1000000</v>
      </c>
      <c r="I65" s="48">
        <f t="shared" si="11"/>
        <v>1086269.96</v>
      </c>
      <c r="J65" s="50">
        <v>1086269.96</v>
      </c>
      <c r="K65" s="50"/>
      <c r="L65" s="50"/>
      <c r="M65" s="51">
        <f t="shared" si="23"/>
        <v>20.615423564443248</v>
      </c>
      <c r="N65" s="51">
        <f t="shared" si="24"/>
        <v>25.444285008233376</v>
      </c>
      <c r="O65" s="51"/>
      <c r="P65" s="51"/>
    </row>
    <row r="66" spans="1:16" s="47" customFormat="1" ht="37.5" x14ac:dyDescent="0.25">
      <c r="A66" s="27" t="s">
        <v>321</v>
      </c>
      <c r="B66" s="27" t="s">
        <v>257</v>
      </c>
      <c r="C66" s="27" t="s">
        <v>167</v>
      </c>
      <c r="D66" s="22" t="s">
        <v>258</v>
      </c>
      <c r="E66" s="48">
        <f t="shared" si="3"/>
        <v>97000</v>
      </c>
      <c r="F66" s="49">
        <v>97000</v>
      </c>
      <c r="G66" s="49"/>
      <c r="H66" s="49"/>
      <c r="I66" s="48">
        <f t="shared" si="11"/>
        <v>0</v>
      </c>
      <c r="J66" s="50">
        <v>0</v>
      </c>
      <c r="K66" s="50"/>
      <c r="L66" s="50"/>
      <c r="M66" s="51">
        <f t="shared" si="23"/>
        <v>0</v>
      </c>
      <c r="N66" s="51">
        <f t="shared" si="24"/>
        <v>0</v>
      </c>
      <c r="O66" s="51"/>
      <c r="P66" s="51"/>
    </row>
    <row r="67" spans="1:16" s="63" customFormat="1" ht="56.25" x14ac:dyDescent="0.25">
      <c r="A67" s="19" t="s">
        <v>69</v>
      </c>
      <c r="B67" s="19" t="s">
        <v>242</v>
      </c>
      <c r="C67" s="19" t="s">
        <v>242</v>
      </c>
      <c r="D67" s="20" t="s">
        <v>262</v>
      </c>
      <c r="E67" s="42">
        <f t="shared" si="3"/>
        <v>97341921.140000001</v>
      </c>
      <c r="F67" s="43">
        <f>F68</f>
        <v>83705680.140000001</v>
      </c>
      <c r="G67" s="43">
        <f t="shared" ref="G67:L67" si="27">G68</f>
        <v>13636241</v>
      </c>
      <c r="H67" s="43">
        <f t="shared" si="27"/>
        <v>13579841</v>
      </c>
      <c r="I67" s="43">
        <f t="shared" si="27"/>
        <v>64843692.229999997</v>
      </c>
      <c r="J67" s="43">
        <f t="shared" si="27"/>
        <v>56165696.399999991</v>
      </c>
      <c r="K67" s="43">
        <f t="shared" si="27"/>
        <v>8677995.8300000001</v>
      </c>
      <c r="L67" s="43">
        <f t="shared" si="27"/>
        <v>4653291.82</v>
      </c>
      <c r="M67" s="44">
        <f t="shared" si="6"/>
        <v>66.614354299356691</v>
      </c>
      <c r="N67" s="44">
        <f t="shared" si="7"/>
        <v>67.099026381556598</v>
      </c>
      <c r="O67" s="44">
        <f t="shared" ref="O67:O87" si="28">K67/G67*100</f>
        <v>63.639208415281011</v>
      </c>
      <c r="P67" s="44">
        <f t="shared" ref="P67:P87" si="29">L67/H67*100</f>
        <v>34.266173072276764</v>
      </c>
    </row>
    <row r="68" spans="1:16" s="52" customFormat="1" ht="56.25" x14ac:dyDescent="0.25">
      <c r="A68" s="19" t="s">
        <v>70</v>
      </c>
      <c r="B68" s="19" t="s">
        <v>242</v>
      </c>
      <c r="C68" s="19" t="s">
        <v>242</v>
      </c>
      <c r="D68" s="20" t="s">
        <v>262</v>
      </c>
      <c r="E68" s="42">
        <f t="shared" si="3"/>
        <v>97341921.140000001</v>
      </c>
      <c r="F68" s="43">
        <f>F69+F70+F71+F72+F73+F74+F75+F76+F77+F78+F79+F80+F81+F85+F86+F87+F88</f>
        <v>83705680.140000001</v>
      </c>
      <c r="G68" s="43">
        <f>G69+G70+G71+G72+G73+G74+G75+G76+G77+G78+G79+G80+G81+G85+G86+G87+G88+G82+G83+G84</f>
        <v>13636241</v>
      </c>
      <c r="H68" s="43">
        <f t="shared" ref="H68:L68" si="30">H69+H70+H71+H72+H73+H74+H75+H76+H77+H78+H79+H80+H81+H85+H86+H87+H88+H82+H83+H84</f>
        <v>13579841</v>
      </c>
      <c r="I68" s="43">
        <f t="shared" si="30"/>
        <v>64843692.229999997</v>
      </c>
      <c r="J68" s="43">
        <f t="shared" si="30"/>
        <v>56165696.399999991</v>
      </c>
      <c r="K68" s="43">
        <f t="shared" si="30"/>
        <v>8677995.8300000001</v>
      </c>
      <c r="L68" s="43">
        <f t="shared" si="30"/>
        <v>4653291.82</v>
      </c>
      <c r="M68" s="44">
        <f t="shared" si="6"/>
        <v>66.614354299356691</v>
      </c>
      <c r="N68" s="44">
        <f t="shared" si="7"/>
        <v>67.099026381556598</v>
      </c>
      <c r="O68" s="44">
        <f t="shared" si="28"/>
        <v>63.639208415281011</v>
      </c>
      <c r="P68" s="44">
        <f t="shared" si="29"/>
        <v>34.266173072276764</v>
      </c>
    </row>
    <row r="69" spans="1:16" s="58" customFormat="1" ht="56.25" x14ac:dyDescent="0.25">
      <c r="A69" s="21" t="s">
        <v>71</v>
      </c>
      <c r="B69" s="21" t="s">
        <v>57</v>
      </c>
      <c r="C69" s="21" t="s">
        <v>3</v>
      </c>
      <c r="D69" s="22" t="s">
        <v>259</v>
      </c>
      <c r="E69" s="48">
        <f t="shared" si="3"/>
        <v>14559800</v>
      </c>
      <c r="F69" s="49">
        <v>14159800</v>
      </c>
      <c r="G69" s="49">
        <v>400000</v>
      </c>
      <c r="H69" s="49">
        <v>400000</v>
      </c>
      <c r="I69" s="48">
        <f t="shared" si="11"/>
        <v>10272073.529999999</v>
      </c>
      <c r="J69" s="50">
        <v>10212613.529999999</v>
      </c>
      <c r="K69" s="50">
        <f>L69</f>
        <v>59460</v>
      </c>
      <c r="L69" s="50">
        <v>59460</v>
      </c>
      <c r="M69" s="51">
        <f t="shared" ref="M69:M88" si="31">I69/E69*100</f>
        <v>70.550924669294901</v>
      </c>
      <c r="N69" s="51">
        <f t="shared" ref="N69:N88" si="32">J69/F69*100</f>
        <v>72.123995607282581</v>
      </c>
      <c r="O69" s="51">
        <f t="shared" si="28"/>
        <v>14.865</v>
      </c>
      <c r="P69" s="51">
        <f t="shared" si="29"/>
        <v>14.865</v>
      </c>
    </row>
    <row r="70" spans="1:16" s="52" customFormat="1" ht="37.5" x14ac:dyDescent="0.25">
      <c r="A70" s="21" t="s">
        <v>166</v>
      </c>
      <c r="B70" s="21" t="s">
        <v>10</v>
      </c>
      <c r="C70" s="21" t="s">
        <v>6</v>
      </c>
      <c r="D70" s="22" t="s">
        <v>104</v>
      </c>
      <c r="E70" s="48">
        <f t="shared" si="3"/>
        <v>349000</v>
      </c>
      <c r="F70" s="49">
        <v>349000</v>
      </c>
      <c r="G70" s="49"/>
      <c r="H70" s="49"/>
      <c r="I70" s="48">
        <f t="shared" si="11"/>
        <v>136721.4</v>
      </c>
      <c r="J70" s="50">
        <v>136721.4</v>
      </c>
      <c r="K70" s="50"/>
      <c r="L70" s="50"/>
      <c r="M70" s="51">
        <f t="shared" si="31"/>
        <v>39.175186246418335</v>
      </c>
      <c r="N70" s="51">
        <f t="shared" si="32"/>
        <v>39.175186246418335</v>
      </c>
      <c r="O70" s="51"/>
      <c r="P70" s="51"/>
    </row>
    <row r="71" spans="1:16" s="52" customFormat="1" ht="56.25" x14ac:dyDescent="0.25">
      <c r="A71" s="21" t="s">
        <v>109</v>
      </c>
      <c r="B71" s="21" t="s">
        <v>34</v>
      </c>
      <c r="C71" s="21" t="s">
        <v>15</v>
      </c>
      <c r="D71" s="22" t="s">
        <v>108</v>
      </c>
      <c r="E71" s="48">
        <f t="shared" si="3"/>
        <v>586000</v>
      </c>
      <c r="F71" s="49">
        <v>586000</v>
      </c>
      <c r="G71" s="49"/>
      <c r="H71" s="49"/>
      <c r="I71" s="48">
        <f t="shared" si="11"/>
        <v>78455.41</v>
      </c>
      <c r="J71" s="50">
        <v>78455.41</v>
      </c>
      <c r="K71" s="50"/>
      <c r="L71" s="50"/>
      <c r="M71" s="51">
        <f t="shared" si="31"/>
        <v>13.388295221843006</v>
      </c>
      <c r="N71" s="51">
        <f t="shared" si="32"/>
        <v>13.388295221843006</v>
      </c>
      <c r="O71" s="51"/>
      <c r="P71" s="51"/>
    </row>
    <row r="72" spans="1:16" s="52" customFormat="1" ht="37.5" x14ac:dyDescent="0.25">
      <c r="A72" s="21" t="s">
        <v>110</v>
      </c>
      <c r="B72" s="21" t="s">
        <v>111</v>
      </c>
      <c r="C72" s="21" t="s">
        <v>35</v>
      </c>
      <c r="D72" s="22" t="s">
        <v>263</v>
      </c>
      <c r="E72" s="48">
        <f t="shared" si="3"/>
        <v>20000</v>
      </c>
      <c r="F72" s="49">
        <v>20000</v>
      </c>
      <c r="G72" s="49"/>
      <c r="H72" s="49"/>
      <c r="I72" s="48">
        <f t="shared" ref="I72:I150" si="33">J72+K72</f>
        <v>8939.65</v>
      </c>
      <c r="J72" s="50">
        <v>8939.65</v>
      </c>
      <c r="K72" s="50"/>
      <c r="L72" s="50"/>
      <c r="M72" s="51">
        <f t="shared" si="31"/>
        <v>44.698250000000002</v>
      </c>
      <c r="N72" s="51">
        <f t="shared" si="32"/>
        <v>44.698250000000002</v>
      </c>
      <c r="O72" s="51"/>
      <c r="P72" s="51"/>
    </row>
    <row r="73" spans="1:16" s="52" customFormat="1" ht="56.25" x14ac:dyDescent="0.25">
      <c r="A73" s="21" t="s">
        <v>175</v>
      </c>
      <c r="B73" s="21" t="s">
        <v>173</v>
      </c>
      <c r="C73" s="21" t="s">
        <v>35</v>
      </c>
      <c r="D73" s="22" t="s">
        <v>174</v>
      </c>
      <c r="E73" s="48">
        <f t="shared" ref="E73:E149" si="34">F73+G73</f>
        <v>231980</v>
      </c>
      <c r="F73" s="49">
        <v>231980</v>
      </c>
      <c r="G73" s="49"/>
      <c r="H73" s="49"/>
      <c r="I73" s="48">
        <f t="shared" si="33"/>
        <v>149764.54999999999</v>
      </c>
      <c r="J73" s="50">
        <v>149764.54999999999</v>
      </c>
      <c r="K73" s="50"/>
      <c r="L73" s="50"/>
      <c r="M73" s="51">
        <f t="shared" si="31"/>
        <v>64.559250797482534</v>
      </c>
      <c r="N73" s="51">
        <f t="shared" si="32"/>
        <v>64.559250797482534</v>
      </c>
      <c r="O73" s="51"/>
      <c r="P73" s="51"/>
    </row>
    <row r="74" spans="1:16" s="52" customFormat="1" ht="56.25" x14ac:dyDescent="0.25">
      <c r="A74" s="21" t="s">
        <v>176</v>
      </c>
      <c r="B74" s="21" t="s">
        <v>177</v>
      </c>
      <c r="C74" s="21" t="s">
        <v>15</v>
      </c>
      <c r="D74" s="22" t="s">
        <v>178</v>
      </c>
      <c r="E74" s="48">
        <f t="shared" si="34"/>
        <v>164455</v>
      </c>
      <c r="F74" s="49">
        <v>164455</v>
      </c>
      <c r="G74" s="49"/>
      <c r="H74" s="49"/>
      <c r="I74" s="48">
        <f t="shared" si="33"/>
        <v>83818</v>
      </c>
      <c r="J74" s="50">
        <v>83818</v>
      </c>
      <c r="K74" s="50"/>
      <c r="L74" s="50"/>
      <c r="M74" s="51">
        <f t="shared" si="31"/>
        <v>50.967133866407224</v>
      </c>
      <c r="N74" s="51">
        <f t="shared" si="32"/>
        <v>50.967133866407224</v>
      </c>
      <c r="O74" s="51"/>
      <c r="P74" s="51"/>
    </row>
    <row r="75" spans="1:16" s="58" customFormat="1" ht="93.75" x14ac:dyDescent="0.25">
      <c r="A75" s="21" t="s">
        <v>121</v>
      </c>
      <c r="B75" s="21" t="s">
        <v>120</v>
      </c>
      <c r="C75" s="21" t="s">
        <v>13</v>
      </c>
      <c r="D75" s="22" t="s">
        <v>264</v>
      </c>
      <c r="E75" s="48">
        <f t="shared" si="34"/>
        <v>16627204.140000001</v>
      </c>
      <c r="F75" s="49">
        <v>16482804.140000001</v>
      </c>
      <c r="G75" s="49">
        <f>88000+56400</f>
        <v>144400</v>
      </c>
      <c r="H75" s="49">
        <v>88000</v>
      </c>
      <c r="I75" s="48">
        <f t="shared" si="33"/>
        <v>11419398.57</v>
      </c>
      <c r="J75" s="50">
        <v>11419398.57</v>
      </c>
      <c r="K75" s="50"/>
      <c r="L75" s="50">
        <v>0</v>
      </c>
      <c r="M75" s="51">
        <f t="shared" si="31"/>
        <v>68.679006246927571</v>
      </c>
      <c r="N75" s="51">
        <f t="shared" si="32"/>
        <v>69.280678657630403</v>
      </c>
      <c r="O75" s="51">
        <f t="shared" si="28"/>
        <v>0</v>
      </c>
      <c r="P75" s="51">
        <f t="shared" si="29"/>
        <v>0</v>
      </c>
    </row>
    <row r="76" spans="1:16" s="52" customFormat="1" ht="37.5" x14ac:dyDescent="0.25">
      <c r="A76" s="21" t="s">
        <v>73</v>
      </c>
      <c r="B76" s="21" t="s">
        <v>72</v>
      </c>
      <c r="C76" s="21" t="s">
        <v>20</v>
      </c>
      <c r="D76" s="22" t="s">
        <v>265</v>
      </c>
      <c r="E76" s="48">
        <f t="shared" si="34"/>
        <v>7265200</v>
      </c>
      <c r="F76" s="49">
        <v>7180700</v>
      </c>
      <c r="G76" s="49">
        <v>84500</v>
      </c>
      <c r="H76" s="49">
        <v>84500</v>
      </c>
      <c r="I76" s="48">
        <f t="shared" si="33"/>
        <v>4785548.33</v>
      </c>
      <c r="J76" s="50">
        <v>4785548.33</v>
      </c>
      <c r="K76" s="50"/>
      <c r="L76" s="50">
        <v>0</v>
      </c>
      <c r="M76" s="51">
        <f t="shared" si="31"/>
        <v>65.869464433188355</v>
      </c>
      <c r="N76" s="51">
        <f t="shared" si="32"/>
        <v>66.644593563301626</v>
      </c>
      <c r="O76" s="51">
        <f t="shared" si="28"/>
        <v>0</v>
      </c>
      <c r="P76" s="51">
        <f t="shared" si="29"/>
        <v>0</v>
      </c>
    </row>
    <row r="77" spans="1:16" s="52" customFormat="1" ht="37.5" x14ac:dyDescent="0.25">
      <c r="A77" s="21" t="s">
        <v>266</v>
      </c>
      <c r="B77" s="21" t="s">
        <v>84</v>
      </c>
      <c r="C77" s="21" t="s">
        <v>20</v>
      </c>
      <c r="D77" s="22" t="s">
        <v>267</v>
      </c>
      <c r="E77" s="48">
        <f t="shared" si="34"/>
        <v>700000</v>
      </c>
      <c r="F77" s="49">
        <v>700000</v>
      </c>
      <c r="G77" s="49"/>
      <c r="H77" s="49"/>
      <c r="I77" s="48">
        <f t="shared" si="33"/>
        <v>458000</v>
      </c>
      <c r="J77" s="50">
        <v>458000</v>
      </c>
      <c r="K77" s="50"/>
      <c r="L77" s="50"/>
      <c r="M77" s="51">
        <f t="shared" si="31"/>
        <v>65.428571428571431</v>
      </c>
      <c r="N77" s="51">
        <f t="shared" si="32"/>
        <v>65.428571428571431</v>
      </c>
      <c r="O77" s="51"/>
      <c r="P77" s="51"/>
    </row>
    <row r="78" spans="1:16" s="52" customFormat="1" ht="131.25" x14ac:dyDescent="0.25">
      <c r="A78" s="21" t="s">
        <v>147</v>
      </c>
      <c r="B78" s="21" t="s">
        <v>148</v>
      </c>
      <c r="C78" s="21" t="s">
        <v>11</v>
      </c>
      <c r="D78" s="22" t="s">
        <v>268</v>
      </c>
      <c r="E78" s="48">
        <f t="shared" si="34"/>
        <v>2200000</v>
      </c>
      <c r="F78" s="49">
        <v>2200000</v>
      </c>
      <c r="G78" s="49"/>
      <c r="H78" s="49"/>
      <c r="I78" s="48">
        <f t="shared" si="33"/>
        <v>1795515.54</v>
      </c>
      <c r="J78" s="50">
        <v>1795515.54</v>
      </c>
      <c r="K78" s="60"/>
      <c r="L78" s="60"/>
      <c r="M78" s="51">
        <f t="shared" si="31"/>
        <v>81.614342727272728</v>
      </c>
      <c r="N78" s="51">
        <f t="shared" si="32"/>
        <v>81.614342727272728</v>
      </c>
      <c r="O78" s="51"/>
      <c r="P78" s="51"/>
    </row>
    <row r="79" spans="1:16" s="52" customFormat="1" ht="93.75" x14ac:dyDescent="0.25">
      <c r="A79" s="21" t="s">
        <v>179</v>
      </c>
      <c r="B79" s="21" t="s">
        <v>180</v>
      </c>
      <c r="C79" s="21" t="s">
        <v>11</v>
      </c>
      <c r="D79" s="22" t="s">
        <v>181</v>
      </c>
      <c r="E79" s="48">
        <f t="shared" si="34"/>
        <v>29821</v>
      </c>
      <c r="F79" s="49">
        <v>29821</v>
      </c>
      <c r="G79" s="49"/>
      <c r="H79" s="49"/>
      <c r="I79" s="48">
        <f t="shared" si="33"/>
        <v>24334.05</v>
      </c>
      <c r="J79" s="50">
        <v>24334.05</v>
      </c>
      <c r="K79" s="60"/>
      <c r="L79" s="60"/>
      <c r="M79" s="51">
        <f t="shared" si="31"/>
        <v>81.600382280942966</v>
      </c>
      <c r="N79" s="51">
        <f t="shared" si="32"/>
        <v>81.600382280942966</v>
      </c>
      <c r="O79" s="51"/>
      <c r="P79" s="51"/>
    </row>
    <row r="80" spans="1:16" s="52" customFormat="1" ht="112.5" x14ac:dyDescent="0.25">
      <c r="A80" s="21" t="s">
        <v>149</v>
      </c>
      <c r="B80" s="21" t="s">
        <v>150</v>
      </c>
      <c r="C80" s="21" t="s">
        <v>30</v>
      </c>
      <c r="D80" s="22" t="s">
        <v>269</v>
      </c>
      <c r="E80" s="48">
        <f t="shared" si="34"/>
        <v>1500000</v>
      </c>
      <c r="F80" s="49">
        <v>1500000</v>
      </c>
      <c r="G80" s="49"/>
      <c r="H80" s="49"/>
      <c r="I80" s="48">
        <f t="shared" si="33"/>
        <v>801757.99</v>
      </c>
      <c r="J80" s="50">
        <v>801757.99</v>
      </c>
      <c r="K80" s="60"/>
      <c r="L80" s="60"/>
      <c r="M80" s="51">
        <f t="shared" si="31"/>
        <v>53.45053266666666</v>
      </c>
      <c r="N80" s="51">
        <f t="shared" si="32"/>
        <v>53.45053266666666</v>
      </c>
      <c r="O80" s="51"/>
      <c r="P80" s="51"/>
    </row>
    <row r="81" spans="1:16" s="52" customFormat="1" ht="75" x14ac:dyDescent="0.25">
      <c r="A81" s="21" t="s">
        <v>151</v>
      </c>
      <c r="B81" s="21" t="s">
        <v>152</v>
      </c>
      <c r="C81" s="21" t="s">
        <v>15</v>
      </c>
      <c r="D81" s="22" t="s">
        <v>270</v>
      </c>
      <c r="E81" s="48">
        <f t="shared" si="34"/>
        <v>100000</v>
      </c>
      <c r="F81" s="49">
        <v>100000</v>
      </c>
      <c r="G81" s="49"/>
      <c r="H81" s="49"/>
      <c r="I81" s="48">
        <f t="shared" si="33"/>
        <v>34268.01</v>
      </c>
      <c r="J81" s="50">
        <v>34268.01</v>
      </c>
      <c r="K81" s="60"/>
      <c r="L81" s="60"/>
      <c r="M81" s="51">
        <f t="shared" si="31"/>
        <v>34.268010000000004</v>
      </c>
      <c r="N81" s="51">
        <f t="shared" si="32"/>
        <v>34.268010000000004</v>
      </c>
      <c r="O81" s="51"/>
      <c r="P81" s="51"/>
    </row>
    <row r="82" spans="1:16" s="52" customFormat="1" ht="409.5" x14ac:dyDescent="0.25">
      <c r="A82" s="32" t="s">
        <v>363</v>
      </c>
      <c r="B82" s="32" t="s">
        <v>364</v>
      </c>
      <c r="C82" s="32" t="s">
        <v>30</v>
      </c>
      <c r="D82" s="80" t="s">
        <v>365</v>
      </c>
      <c r="E82" s="48">
        <f t="shared" si="34"/>
        <v>3280161</v>
      </c>
      <c r="F82" s="49"/>
      <c r="G82" s="49">
        <v>3280161</v>
      </c>
      <c r="H82" s="49">
        <v>3280161</v>
      </c>
      <c r="I82" s="48">
        <f t="shared" si="33"/>
        <v>0</v>
      </c>
      <c r="J82" s="50"/>
      <c r="K82" s="60"/>
      <c r="L82" s="60"/>
      <c r="M82" s="51">
        <f t="shared" si="31"/>
        <v>0</v>
      </c>
      <c r="N82" s="51"/>
      <c r="O82" s="51">
        <f t="shared" si="28"/>
        <v>0</v>
      </c>
      <c r="P82" s="51">
        <f t="shared" si="29"/>
        <v>0</v>
      </c>
    </row>
    <row r="83" spans="1:16" s="52" customFormat="1" ht="409.5" x14ac:dyDescent="0.25">
      <c r="A83" s="32" t="s">
        <v>366</v>
      </c>
      <c r="B83" s="32" t="s">
        <v>367</v>
      </c>
      <c r="C83" s="32" t="s">
        <v>30</v>
      </c>
      <c r="D83" s="80" t="s">
        <v>368</v>
      </c>
      <c r="E83" s="48">
        <f t="shared" si="34"/>
        <v>6486648</v>
      </c>
      <c r="F83" s="49"/>
      <c r="G83" s="49">
        <f>H83</f>
        <v>6486648</v>
      </c>
      <c r="H83" s="49">
        <v>6486648</v>
      </c>
      <c r="I83" s="48">
        <f t="shared" si="33"/>
        <v>2353299.9500000002</v>
      </c>
      <c r="J83" s="50"/>
      <c r="K83" s="60">
        <f>L83</f>
        <v>2353299.9500000002</v>
      </c>
      <c r="L83" s="60">
        <v>2353299.9500000002</v>
      </c>
      <c r="M83" s="51">
        <f t="shared" si="31"/>
        <v>36.279137545308458</v>
      </c>
      <c r="N83" s="51"/>
      <c r="O83" s="51">
        <f t="shared" si="28"/>
        <v>36.279137545308458</v>
      </c>
      <c r="P83" s="51">
        <f t="shared" si="29"/>
        <v>36.279137545308458</v>
      </c>
    </row>
    <row r="84" spans="1:16" s="52" customFormat="1" ht="337.5" x14ac:dyDescent="0.25">
      <c r="A84" s="32" t="s">
        <v>369</v>
      </c>
      <c r="B84" s="32" t="s">
        <v>370</v>
      </c>
      <c r="C84" s="32" t="s">
        <v>30</v>
      </c>
      <c r="D84" s="80" t="s">
        <v>371</v>
      </c>
      <c r="E84" s="48">
        <f t="shared" si="34"/>
        <v>2240532</v>
      </c>
      <c r="F84" s="49"/>
      <c r="G84" s="49">
        <v>2240532</v>
      </c>
      <c r="H84" s="49">
        <v>2240532</v>
      </c>
      <c r="I84" s="48">
        <f t="shared" si="33"/>
        <v>2240531.87</v>
      </c>
      <c r="J84" s="50"/>
      <c r="K84" s="60">
        <f>L84</f>
        <v>2240531.87</v>
      </c>
      <c r="L84" s="60">
        <v>2240531.87</v>
      </c>
      <c r="M84" s="51">
        <f t="shared" si="31"/>
        <v>99.9999941978066</v>
      </c>
      <c r="N84" s="51"/>
      <c r="O84" s="51">
        <f t="shared" si="28"/>
        <v>99.9999941978066</v>
      </c>
      <c r="P84" s="51">
        <f t="shared" si="29"/>
        <v>99.9999941978066</v>
      </c>
    </row>
    <row r="85" spans="1:16" s="52" customFormat="1" ht="75" x14ac:dyDescent="0.25">
      <c r="A85" s="27" t="s">
        <v>295</v>
      </c>
      <c r="B85" s="25">
        <v>3230</v>
      </c>
      <c r="C85" s="25">
        <v>1070</v>
      </c>
      <c r="D85" s="22" t="s">
        <v>294</v>
      </c>
      <c r="E85" s="48">
        <f t="shared" si="34"/>
        <v>662800</v>
      </c>
      <c r="F85" s="49">
        <f>191000+471800</f>
        <v>662800</v>
      </c>
      <c r="G85" s="49">
        <v>0</v>
      </c>
      <c r="H85" s="49"/>
      <c r="I85" s="48">
        <f t="shared" si="33"/>
        <v>2768919.7399999998</v>
      </c>
      <c r="J85" s="50">
        <f>105622.05+168041.6</f>
        <v>273663.65000000002</v>
      </c>
      <c r="K85" s="60">
        <v>2495256.09</v>
      </c>
      <c r="L85" s="60"/>
      <c r="M85" s="51">
        <f t="shared" si="31"/>
        <v>417.76097465298727</v>
      </c>
      <c r="N85" s="51">
        <f t="shared" si="32"/>
        <v>41.289023838261926</v>
      </c>
      <c r="O85" s="51"/>
      <c r="P85" s="51"/>
    </row>
    <row r="86" spans="1:16" s="52" customFormat="1" ht="37.5" x14ac:dyDescent="0.25">
      <c r="A86" s="21" t="s">
        <v>157</v>
      </c>
      <c r="B86" s="21" t="s">
        <v>153</v>
      </c>
      <c r="C86" s="21" t="s">
        <v>4</v>
      </c>
      <c r="D86" s="22" t="s">
        <v>154</v>
      </c>
      <c r="E86" s="48">
        <f t="shared" si="34"/>
        <v>39218320</v>
      </c>
      <c r="F86" s="49">
        <f>37513920+1704400</f>
        <v>39218320</v>
      </c>
      <c r="G86" s="49">
        <v>0</v>
      </c>
      <c r="H86" s="49"/>
      <c r="I86" s="48">
        <f t="shared" si="33"/>
        <v>27336345.640000001</v>
      </c>
      <c r="J86" s="50">
        <f>25444253.72+362644</f>
        <v>25806897.719999999</v>
      </c>
      <c r="K86" s="60">
        <v>1529447.92</v>
      </c>
      <c r="L86" s="60"/>
      <c r="M86" s="51">
        <f t="shared" si="31"/>
        <v>69.703000128511377</v>
      </c>
      <c r="N86" s="51">
        <f t="shared" si="32"/>
        <v>65.803169845113203</v>
      </c>
      <c r="O86" s="51"/>
      <c r="P86" s="51"/>
    </row>
    <row r="87" spans="1:16" s="52" customFormat="1" ht="131.25" x14ac:dyDescent="0.25">
      <c r="A87" s="26" t="s">
        <v>322</v>
      </c>
      <c r="B87" s="26">
        <v>6083</v>
      </c>
      <c r="C87" s="26" t="s">
        <v>302</v>
      </c>
      <c r="D87" s="22" t="s">
        <v>323</v>
      </c>
      <c r="E87" s="48">
        <f t="shared" si="34"/>
        <v>1000000</v>
      </c>
      <c r="F87" s="49"/>
      <c r="G87" s="49">
        <v>1000000</v>
      </c>
      <c r="H87" s="49">
        <v>1000000</v>
      </c>
      <c r="I87" s="48">
        <f t="shared" si="33"/>
        <v>0</v>
      </c>
      <c r="J87" s="50"/>
      <c r="K87" s="60">
        <v>0</v>
      </c>
      <c r="L87" s="60">
        <v>0</v>
      </c>
      <c r="M87" s="51">
        <f t="shared" si="31"/>
        <v>0</v>
      </c>
      <c r="N87" s="51"/>
      <c r="O87" s="51">
        <f t="shared" si="28"/>
        <v>0</v>
      </c>
      <c r="P87" s="51">
        <f t="shared" si="29"/>
        <v>0</v>
      </c>
    </row>
    <row r="88" spans="1:16" s="52" customFormat="1" ht="56.25" x14ac:dyDescent="0.25">
      <c r="A88" s="21" t="s">
        <v>306</v>
      </c>
      <c r="B88" s="25">
        <v>8110</v>
      </c>
      <c r="C88" s="21" t="s">
        <v>167</v>
      </c>
      <c r="D88" s="22" t="s">
        <v>144</v>
      </c>
      <c r="E88" s="48">
        <f t="shared" si="34"/>
        <v>120000</v>
      </c>
      <c r="F88" s="49">
        <v>120000</v>
      </c>
      <c r="G88" s="49"/>
      <c r="H88" s="49"/>
      <c r="I88" s="48">
        <f t="shared" si="33"/>
        <v>96000</v>
      </c>
      <c r="J88" s="50">
        <v>96000</v>
      </c>
      <c r="K88" s="60"/>
      <c r="L88" s="60"/>
      <c r="M88" s="51">
        <f t="shared" si="31"/>
        <v>80</v>
      </c>
      <c r="N88" s="51">
        <f t="shared" si="32"/>
        <v>80</v>
      </c>
      <c r="O88" s="51"/>
      <c r="P88" s="51"/>
    </row>
    <row r="89" spans="1:16" s="52" customFormat="1" ht="56.25" x14ac:dyDescent="0.25">
      <c r="A89" s="92" t="s">
        <v>376</v>
      </c>
      <c r="B89" s="19" t="s">
        <v>242</v>
      </c>
      <c r="C89" s="19" t="s">
        <v>242</v>
      </c>
      <c r="D89" s="20" t="s">
        <v>377</v>
      </c>
      <c r="E89" s="42">
        <f t="shared" ref="E89:E90" si="35">F89+G89</f>
        <v>1137900</v>
      </c>
      <c r="F89" s="43">
        <f>F90</f>
        <v>1102900</v>
      </c>
      <c r="G89" s="43">
        <f t="shared" ref="G89:H89" si="36">G90</f>
        <v>35000</v>
      </c>
      <c r="H89" s="43">
        <f t="shared" si="36"/>
        <v>35000</v>
      </c>
      <c r="I89" s="42">
        <f t="shared" ref="I89" si="37">J89+K89</f>
        <v>599080.92000000004</v>
      </c>
      <c r="J89" s="46">
        <f>J90</f>
        <v>564080.92000000004</v>
      </c>
      <c r="K89" s="46">
        <f t="shared" ref="K89:L89" si="38">K90</f>
        <v>35000</v>
      </c>
      <c r="L89" s="46">
        <f t="shared" si="38"/>
        <v>35000</v>
      </c>
      <c r="M89" s="44">
        <f t="shared" ref="M89:M92" si="39">I89/E89*100</f>
        <v>52.647940943843928</v>
      </c>
      <c r="N89" s="44">
        <f t="shared" ref="N89:N92" si="40">J89/F89*100</f>
        <v>51.145246169190315</v>
      </c>
      <c r="O89" s="44">
        <f t="shared" ref="O89:O91" si="41">K89/G89*100</f>
        <v>100</v>
      </c>
      <c r="P89" s="44">
        <f t="shared" ref="P89:P91" si="42">L89/H89*100</f>
        <v>100</v>
      </c>
    </row>
    <row r="90" spans="1:16" s="52" customFormat="1" ht="56.25" x14ac:dyDescent="0.25">
      <c r="A90" s="92" t="s">
        <v>378</v>
      </c>
      <c r="B90" s="19" t="s">
        <v>242</v>
      </c>
      <c r="C90" s="19" t="s">
        <v>242</v>
      </c>
      <c r="D90" s="20" t="s">
        <v>377</v>
      </c>
      <c r="E90" s="42">
        <f t="shared" si="35"/>
        <v>1137900</v>
      </c>
      <c r="F90" s="43">
        <f>F91+F92</f>
        <v>1102900</v>
      </c>
      <c r="G90" s="43">
        <f t="shared" ref="G90:H90" si="43">G91+G92</f>
        <v>35000</v>
      </c>
      <c r="H90" s="43">
        <f t="shared" si="43"/>
        <v>35000</v>
      </c>
      <c r="I90" s="43">
        <f>I91+I92</f>
        <v>599080.92000000004</v>
      </c>
      <c r="J90" s="43">
        <f t="shared" ref="J90:L90" si="44">J91+J92</f>
        <v>564080.92000000004</v>
      </c>
      <c r="K90" s="43">
        <f t="shared" si="44"/>
        <v>35000</v>
      </c>
      <c r="L90" s="43">
        <f t="shared" si="44"/>
        <v>35000</v>
      </c>
      <c r="M90" s="44">
        <f t="shared" si="39"/>
        <v>52.647940943843928</v>
      </c>
      <c r="N90" s="44">
        <f t="shared" si="40"/>
        <v>51.145246169190315</v>
      </c>
      <c r="O90" s="44">
        <f t="shared" si="41"/>
        <v>100</v>
      </c>
      <c r="P90" s="44">
        <f t="shared" si="42"/>
        <v>100</v>
      </c>
    </row>
    <row r="91" spans="1:16" s="52" customFormat="1" ht="56.25" x14ac:dyDescent="0.25">
      <c r="A91" s="27" t="s">
        <v>379</v>
      </c>
      <c r="B91" s="21" t="s">
        <v>57</v>
      </c>
      <c r="C91" s="21" t="s">
        <v>3</v>
      </c>
      <c r="D91" s="22" t="s">
        <v>259</v>
      </c>
      <c r="E91" s="48">
        <f t="shared" si="34"/>
        <v>1036000</v>
      </c>
      <c r="F91" s="49">
        <v>1001000</v>
      </c>
      <c r="G91" s="49">
        <f>H91</f>
        <v>35000</v>
      </c>
      <c r="H91" s="49">
        <v>35000</v>
      </c>
      <c r="I91" s="48">
        <f t="shared" si="33"/>
        <v>591081.04</v>
      </c>
      <c r="J91" s="50">
        <v>556081.04</v>
      </c>
      <c r="K91" s="60">
        <f>L91</f>
        <v>35000</v>
      </c>
      <c r="L91" s="60">
        <v>35000</v>
      </c>
      <c r="M91" s="51">
        <f t="shared" si="39"/>
        <v>57.054154440154448</v>
      </c>
      <c r="N91" s="51">
        <f t="shared" si="40"/>
        <v>55.552551448551455</v>
      </c>
      <c r="O91" s="51">
        <f t="shared" si="41"/>
        <v>100</v>
      </c>
      <c r="P91" s="51">
        <f t="shared" si="42"/>
        <v>100</v>
      </c>
    </row>
    <row r="92" spans="1:16" s="52" customFormat="1" ht="37.5" x14ac:dyDescent="0.25">
      <c r="A92" s="27" t="s">
        <v>380</v>
      </c>
      <c r="B92" s="21" t="s">
        <v>36</v>
      </c>
      <c r="C92" s="21" t="s">
        <v>20</v>
      </c>
      <c r="D92" s="22" t="s">
        <v>45</v>
      </c>
      <c r="E92" s="48">
        <f t="shared" si="34"/>
        <v>101900</v>
      </c>
      <c r="F92" s="49">
        <v>101900</v>
      </c>
      <c r="G92" s="49"/>
      <c r="H92" s="49"/>
      <c r="I92" s="48">
        <f t="shared" si="33"/>
        <v>7999.88</v>
      </c>
      <c r="J92" s="50">
        <v>7999.88</v>
      </c>
      <c r="K92" s="60"/>
      <c r="L92" s="60"/>
      <c r="M92" s="51">
        <f t="shared" si="39"/>
        <v>7.8507163886162914</v>
      </c>
      <c r="N92" s="51">
        <f t="shared" si="40"/>
        <v>7.8507163886162914</v>
      </c>
      <c r="O92" s="51"/>
      <c r="P92" s="51"/>
    </row>
    <row r="93" spans="1:16" s="47" customFormat="1" ht="56.25" x14ac:dyDescent="0.25">
      <c r="A93" s="19" t="s">
        <v>74</v>
      </c>
      <c r="B93" s="19" t="s">
        <v>242</v>
      </c>
      <c r="C93" s="19" t="s">
        <v>242</v>
      </c>
      <c r="D93" s="20" t="s">
        <v>271</v>
      </c>
      <c r="E93" s="42">
        <f t="shared" si="34"/>
        <v>51778800</v>
      </c>
      <c r="F93" s="43">
        <f>F94</f>
        <v>50361300</v>
      </c>
      <c r="G93" s="43">
        <f t="shared" ref="G93:H93" si="45">G94</f>
        <v>1417500</v>
      </c>
      <c r="H93" s="43">
        <f t="shared" si="45"/>
        <v>94000</v>
      </c>
      <c r="I93" s="42">
        <f t="shared" si="33"/>
        <v>34130004.25</v>
      </c>
      <c r="J93" s="46">
        <f>J94</f>
        <v>33507141.850000001</v>
      </c>
      <c r="K93" s="46">
        <f t="shared" ref="K93:L93" si="46">K94</f>
        <v>622862.4</v>
      </c>
      <c r="L93" s="46">
        <f t="shared" si="46"/>
        <v>94000</v>
      </c>
      <c r="M93" s="44">
        <f t="shared" ref="M93:M149" si="47">I93/E93*100</f>
        <v>65.915015894535983</v>
      </c>
      <c r="N93" s="44">
        <f t="shared" ref="N93:N140" si="48">J93/F93*100</f>
        <v>66.533512538397545</v>
      </c>
      <c r="O93" s="44">
        <f t="shared" ref="O93:O156" si="49">K93/G93*100</f>
        <v>43.940910052910056</v>
      </c>
      <c r="P93" s="44">
        <f t="shared" ref="P93:P155" si="50">L93/H93*100</f>
        <v>100</v>
      </c>
    </row>
    <row r="94" spans="1:16" s="47" customFormat="1" ht="56.25" x14ac:dyDescent="0.25">
      <c r="A94" s="19" t="s">
        <v>75</v>
      </c>
      <c r="B94" s="19" t="s">
        <v>242</v>
      </c>
      <c r="C94" s="19" t="s">
        <v>242</v>
      </c>
      <c r="D94" s="20" t="s">
        <v>271</v>
      </c>
      <c r="E94" s="42">
        <f t="shared" si="34"/>
        <v>51778800</v>
      </c>
      <c r="F94" s="43">
        <f>F95+F96+F97+F99+F100+F101+F102+F103+F98</f>
        <v>50361300</v>
      </c>
      <c r="G94" s="43">
        <f t="shared" ref="G94:L94" si="51">G95+G96+G97+G99+G100+G101+G102+G103+G98</f>
        <v>1417500</v>
      </c>
      <c r="H94" s="43">
        <f t="shared" si="51"/>
        <v>94000</v>
      </c>
      <c r="I94" s="43">
        <f t="shared" si="51"/>
        <v>34130004.25</v>
      </c>
      <c r="J94" s="43">
        <f t="shared" si="51"/>
        <v>33507141.850000001</v>
      </c>
      <c r="K94" s="43">
        <f t="shared" si="51"/>
        <v>622862.4</v>
      </c>
      <c r="L94" s="43">
        <f t="shared" si="51"/>
        <v>94000</v>
      </c>
      <c r="M94" s="44">
        <f t="shared" si="47"/>
        <v>65.915015894535983</v>
      </c>
      <c r="N94" s="44">
        <f t="shared" si="48"/>
        <v>66.533512538397545</v>
      </c>
      <c r="O94" s="44">
        <f t="shared" si="49"/>
        <v>43.940910052910056</v>
      </c>
      <c r="P94" s="44">
        <f t="shared" si="50"/>
        <v>100</v>
      </c>
    </row>
    <row r="95" spans="1:16" s="52" customFormat="1" ht="56.25" x14ac:dyDescent="0.25">
      <c r="A95" s="21" t="s">
        <v>76</v>
      </c>
      <c r="B95" s="21" t="s">
        <v>57</v>
      </c>
      <c r="C95" s="21" t="s">
        <v>3</v>
      </c>
      <c r="D95" s="22" t="s">
        <v>259</v>
      </c>
      <c r="E95" s="48">
        <f t="shared" si="34"/>
        <v>744100</v>
      </c>
      <c r="F95" s="49">
        <v>744100</v>
      </c>
      <c r="G95" s="49"/>
      <c r="H95" s="49"/>
      <c r="I95" s="48">
        <f t="shared" si="33"/>
        <v>598722.81999999995</v>
      </c>
      <c r="J95" s="50">
        <v>598722.81999999995</v>
      </c>
      <c r="K95" s="50"/>
      <c r="L95" s="50"/>
      <c r="M95" s="51">
        <f t="shared" si="47"/>
        <v>80.462682435156566</v>
      </c>
      <c r="N95" s="51">
        <f t="shared" si="48"/>
        <v>80.462682435156566</v>
      </c>
      <c r="O95" s="51"/>
      <c r="P95" s="51"/>
    </row>
    <row r="96" spans="1:16" s="52" customFormat="1" ht="37.5" x14ac:dyDescent="0.25">
      <c r="A96" s="21" t="s">
        <v>272</v>
      </c>
      <c r="B96" s="21" t="s">
        <v>10</v>
      </c>
      <c r="C96" s="21" t="s">
        <v>6</v>
      </c>
      <c r="D96" s="22" t="s">
        <v>104</v>
      </c>
      <c r="E96" s="48">
        <f t="shared" si="34"/>
        <v>350000</v>
      </c>
      <c r="F96" s="49">
        <v>350000</v>
      </c>
      <c r="G96" s="49"/>
      <c r="H96" s="49"/>
      <c r="I96" s="48">
        <f t="shared" si="33"/>
        <v>149904</v>
      </c>
      <c r="J96" s="60">
        <v>149904</v>
      </c>
      <c r="K96" s="50"/>
      <c r="L96" s="50"/>
      <c r="M96" s="51">
        <f t="shared" si="47"/>
        <v>42.829714285714289</v>
      </c>
      <c r="N96" s="51">
        <f t="shared" si="48"/>
        <v>42.829714285714289</v>
      </c>
      <c r="O96" s="51"/>
      <c r="P96" s="51"/>
    </row>
    <row r="97" spans="1:16" s="52" customFormat="1" ht="37.5" x14ac:dyDescent="0.25">
      <c r="A97" s="21" t="s">
        <v>219</v>
      </c>
      <c r="B97" s="21" t="s">
        <v>220</v>
      </c>
      <c r="C97" s="21" t="s">
        <v>17</v>
      </c>
      <c r="D97" s="22" t="s">
        <v>273</v>
      </c>
      <c r="E97" s="48">
        <f t="shared" si="34"/>
        <v>23693800</v>
      </c>
      <c r="F97" s="49">
        <v>22692300</v>
      </c>
      <c r="G97" s="49">
        <v>1001500</v>
      </c>
      <c r="H97" s="49"/>
      <c r="I97" s="48">
        <f t="shared" si="33"/>
        <v>15800238.859999999</v>
      </c>
      <c r="J97" s="60">
        <v>15610216.689999999</v>
      </c>
      <c r="K97" s="50">
        <v>190022.17</v>
      </c>
      <c r="L97" s="50"/>
      <c r="M97" s="51">
        <f t="shared" si="47"/>
        <v>66.685119567144142</v>
      </c>
      <c r="N97" s="51">
        <f t="shared" si="48"/>
        <v>68.790808732477544</v>
      </c>
      <c r="O97" s="51">
        <f t="shared" si="49"/>
        <v>18.973756365451823</v>
      </c>
      <c r="P97" s="51"/>
    </row>
    <row r="98" spans="1:16" s="52" customFormat="1" ht="112.5" x14ac:dyDescent="0.25">
      <c r="A98" s="25">
        <v>1013140</v>
      </c>
      <c r="B98" s="25">
        <v>3140</v>
      </c>
      <c r="C98" s="25">
        <v>1040</v>
      </c>
      <c r="D98" s="22" t="s">
        <v>320</v>
      </c>
      <c r="E98" s="48">
        <f t="shared" si="34"/>
        <v>120000</v>
      </c>
      <c r="F98" s="49">
        <v>120000</v>
      </c>
      <c r="G98" s="49"/>
      <c r="H98" s="49"/>
      <c r="I98" s="48">
        <f t="shared" si="33"/>
        <v>120000</v>
      </c>
      <c r="J98" s="60">
        <v>120000</v>
      </c>
      <c r="K98" s="50"/>
      <c r="L98" s="50"/>
      <c r="M98" s="51">
        <f t="shared" si="47"/>
        <v>100</v>
      </c>
      <c r="N98" s="51">
        <f t="shared" si="48"/>
        <v>100</v>
      </c>
      <c r="O98" s="51"/>
      <c r="P98" s="51"/>
    </row>
    <row r="99" spans="1:16" s="52" customFormat="1" ht="18.75" x14ac:dyDescent="0.25">
      <c r="A99" s="21" t="s">
        <v>78</v>
      </c>
      <c r="B99" s="21" t="s">
        <v>77</v>
      </c>
      <c r="C99" s="21" t="s">
        <v>38</v>
      </c>
      <c r="D99" s="22" t="s">
        <v>79</v>
      </c>
      <c r="E99" s="48">
        <f t="shared" si="34"/>
        <v>8424000</v>
      </c>
      <c r="F99" s="49">
        <v>8253000</v>
      </c>
      <c r="G99" s="49">
        <f>H99+97000</f>
        <v>171000</v>
      </c>
      <c r="H99" s="49">
        <v>74000</v>
      </c>
      <c r="I99" s="48">
        <f t="shared" si="33"/>
        <v>5583935.9800000004</v>
      </c>
      <c r="J99" s="50">
        <v>5467147.9800000004</v>
      </c>
      <c r="K99" s="50">
        <f>L99+42788</f>
        <v>116788</v>
      </c>
      <c r="L99" s="50">
        <v>74000</v>
      </c>
      <c r="M99" s="51">
        <f t="shared" si="47"/>
        <v>66.286039648622989</v>
      </c>
      <c r="N99" s="51">
        <f t="shared" si="48"/>
        <v>66.244371501272269</v>
      </c>
      <c r="O99" s="51">
        <f t="shared" si="49"/>
        <v>68.29707602339181</v>
      </c>
      <c r="P99" s="51">
        <f t="shared" si="50"/>
        <v>100</v>
      </c>
    </row>
    <row r="100" spans="1:16" s="52" customFormat="1" ht="37.5" x14ac:dyDescent="0.25">
      <c r="A100" s="21" t="s">
        <v>81</v>
      </c>
      <c r="B100" s="21" t="s">
        <v>80</v>
      </c>
      <c r="C100" s="21" t="s">
        <v>38</v>
      </c>
      <c r="D100" s="22" t="s">
        <v>274</v>
      </c>
      <c r="E100" s="48">
        <f t="shared" si="34"/>
        <v>4026800</v>
      </c>
      <c r="F100" s="49">
        <v>3986800</v>
      </c>
      <c r="G100" s="49">
        <v>40000</v>
      </c>
      <c r="H100" s="49"/>
      <c r="I100" s="48">
        <f t="shared" si="33"/>
        <v>2616995</v>
      </c>
      <c r="J100" s="50">
        <v>2570472.02</v>
      </c>
      <c r="K100" s="50">
        <f>9281.98+37241</f>
        <v>46522.979999999996</v>
      </c>
      <c r="L100" s="50"/>
      <c r="M100" s="51">
        <f t="shared" si="47"/>
        <v>64.989445713718084</v>
      </c>
      <c r="N100" s="51">
        <f t="shared" si="48"/>
        <v>64.474566569679951</v>
      </c>
      <c r="O100" s="51">
        <f t="shared" si="49"/>
        <v>116.30744999999997</v>
      </c>
      <c r="P100" s="51"/>
    </row>
    <row r="101" spans="1:16" s="52" customFormat="1" ht="56.25" x14ac:dyDescent="0.25">
      <c r="A101" s="21" t="s">
        <v>82</v>
      </c>
      <c r="B101" s="21" t="s">
        <v>37</v>
      </c>
      <c r="C101" s="21" t="s">
        <v>39</v>
      </c>
      <c r="D101" s="22" t="s">
        <v>275</v>
      </c>
      <c r="E101" s="48">
        <f t="shared" si="34"/>
        <v>11898300</v>
      </c>
      <c r="F101" s="49">
        <v>11693300</v>
      </c>
      <c r="G101" s="49">
        <f>H101+185000</f>
        <v>205000</v>
      </c>
      <c r="H101" s="49">
        <v>20000</v>
      </c>
      <c r="I101" s="48">
        <f t="shared" si="33"/>
        <v>7511736.0099999998</v>
      </c>
      <c r="J101" s="50">
        <v>7242206.7599999998</v>
      </c>
      <c r="K101" s="50">
        <f>L101+115683+133846.25</f>
        <v>269529.25</v>
      </c>
      <c r="L101" s="50">
        <v>20000</v>
      </c>
      <c r="M101" s="51">
        <f t="shared" si="47"/>
        <v>63.132850995520364</v>
      </c>
      <c r="N101" s="51">
        <f t="shared" si="48"/>
        <v>61.934669939195949</v>
      </c>
      <c r="O101" s="51">
        <f t="shared" si="49"/>
        <v>131.47768292682926</v>
      </c>
      <c r="P101" s="51">
        <f t="shared" si="50"/>
        <v>100</v>
      </c>
    </row>
    <row r="102" spans="1:16" s="52" customFormat="1" ht="37.5" x14ac:dyDescent="0.25">
      <c r="A102" s="21" t="s">
        <v>158</v>
      </c>
      <c r="B102" s="21" t="s">
        <v>139</v>
      </c>
      <c r="C102" s="21" t="s">
        <v>40</v>
      </c>
      <c r="D102" s="22" t="s">
        <v>140</v>
      </c>
      <c r="E102" s="48">
        <f t="shared" si="34"/>
        <v>2086800</v>
      </c>
      <c r="F102" s="49">
        <v>2086800</v>
      </c>
      <c r="G102" s="49"/>
      <c r="H102" s="49"/>
      <c r="I102" s="48">
        <f t="shared" si="33"/>
        <v>1554786.58</v>
      </c>
      <c r="J102" s="50">
        <v>1554786.58</v>
      </c>
      <c r="K102" s="50"/>
      <c r="L102" s="50"/>
      <c r="M102" s="51">
        <f t="shared" si="47"/>
        <v>74.505778225033552</v>
      </c>
      <c r="N102" s="51">
        <f t="shared" si="48"/>
        <v>74.505778225033552</v>
      </c>
      <c r="O102" s="51"/>
      <c r="P102" s="51"/>
    </row>
    <row r="103" spans="1:16" s="52" customFormat="1" ht="37.5" x14ac:dyDescent="0.25">
      <c r="A103" s="21" t="s">
        <v>137</v>
      </c>
      <c r="B103" s="21" t="s">
        <v>138</v>
      </c>
      <c r="C103" s="21" t="s">
        <v>40</v>
      </c>
      <c r="D103" s="22" t="s">
        <v>141</v>
      </c>
      <c r="E103" s="48">
        <f t="shared" si="34"/>
        <v>435000</v>
      </c>
      <c r="F103" s="49">
        <v>435000</v>
      </c>
      <c r="G103" s="49"/>
      <c r="H103" s="49"/>
      <c r="I103" s="48">
        <f t="shared" si="33"/>
        <v>193685</v>
      </c>
      <c r="J103" s="50">
        <v>193685</v>
      </c>
      <c r="K103" s="50"/>
      <c r="L103" s="50"/>
      <c r="M103" s="51">
        <f t="shared" si="47"/>
        <v>44.52528735632184</v>
      </c>
      <c r="N103" s="51">
        <f t="shared" si="48"/>
        <v>44.52528735632184</v>
      </c>
      <c r="O103" s="51"/>
      <c r="P103" s="51"/>
    </row>
    <row r="104" spans="1:16" s="45" customFormat="1" ht="56.25" x14ac:dyDescent="0.25">
      <c r="A104" s="19" t="s">
        <v>24</v>
      </c>
      <c r="B104" s="19" t="s">
        <v>242</v>
      </c>
      <c r="C104" s="19" t="s">
        <v>242</v>
      </c>
      <c r="D104" s="20" t="s">
        <v>276</v>
      </c>
      <c r="E104" s="42">
        <f t="shared" si="34"/>
        <v>7191388</v>
      </c>
      <c r="F104" s="43">
        <f>F105</f>
        <v>7020388</v>
      </c>
      <c r="G104" s="46">
        <f>G105</f>
        <v>171000</v>
      </c>
      <c r="H104" s="46">
        <f>H105</f>
        <v>171000</v>
      </c>
      <c r="I104" s="42">
        <f t="shared" si="33"/>
        <v>4425618.8999999994</v>
      </c>
      <c r="J104" s="46">
        <f>J105</f>
        <v>3968887.4099999997</v>
      </c>
      <c r="K104" s="46">
        <f>K105</f>
        <v>456731.49</v>
      </c>
      <c r="L104" s="46">
        <f>L105</f>
        <v>99950</v>
      </c>
      <c r="M104" s="44">
        <f t="shared" si="47"/>
        <v>61.540538488536555</v>
      </c>
      <c r="N104" s="44">
        <f t="shared" si="48"/>
        <v>56.533733035837898</v>
      </c>
      <c r="O104" s="44">
        <f t="shared" si="49"/>
        <v>267.09443859649122</v>
      </c>
      <c r="P104" s="44">
        <f t="shared" si="50"/>
        <v>58.450292397660817</v>
      </c>
    </row>
    <row r="105" spans="1:16" s="47" customFormat="1" ht="56.25" x14ac:dyDescent="0.25">
      <c r="A105" s="19" t="s">
        <v>25</v>
      </c>
      <c r="B105" s="19" t="s">
        <v>242</v>
      </c>
      <c r="C105" s="19" t="s">
        <v>242</v>
      </c>
      <c r="D105" s="20" t="s">
        <v>276</v>
      </c>
      <c r="E105" s="42">
        <f t="shared" si="34"/>
        <v>7191388</v>
      </c>
      <c r="F105" s="43">
        <f>F106+F107+F108+F109+F110+F112+F111</f>
        <v>7020388</v>
      </c>
      <c r="G105" s="43">
        <f t="shared" ref="G105:J105" si="52">G106+G107+G108+G109+G110+G112+G111</f>
        <v>171000</v>
      </c>
      <c r="H105" s="43">
        <f t="shared" si="52"/>
        <v>171000</v>
      </c>
      <c r="I105" s="43">
        <f t="shared" si="52"/>
        <v>4425618.9000000004</v>
      </c>
      <c r="J105" s="43">
        <f t="shared" si="52"/>
        <v>3968887.4099999997</v>
      </c>
      <c r="K105" s="46">
        <f t="shared" ref="K105:L105" si="53">SUM(K106:K112)</f>
        <v>456731.49</v>
      </c>
      <c r="L105" s="46">
        <f t="shared" si="53"/>
        <v>99950</v>
      </c>
      <c r="M105" s="44">
        <f t="shared" si="47"/>
        <v>61.540538488536569</v>
      </c>
      <c r="N105" s="44">
        <f t="shared" si="48"/>
        <v>56.533733035837898</v>
      </c>
      <c r="O105" s="44">
        <f t="shared" si="49"/>
        <v>267.09443859649122</v>
      </c>
      <c r="P105" s="44">
        <f t="shared" si="50"/>
        <v>58.450292397660817</v>
      </c>
    </row>
    <row r="106" spans="1:16" s="52" customFormat="1" ht="56.25" x14ac:dyDescent="0.25">
      <c r="A106" s="21" t="s">
        <v>83</v>
      </c>
      <c r="B106" s="21" t="s">
        <v>57</v>
      </c>
      <c r="C106" s="21" t="s">
        <v>3</v>
      </c>
      <c r="D106" s="22" t="s">
        <v>259</v>
      </c>
      <c r="E106" s="48">
        <f t="shared" si="34"/>
        <v>1977500</v>
      </c>
      <c r="F106" s="49">
        <v>1806500</v>
      </c>
      <c r="G106" s="49">
        <f>H106</f>
        <v>171000</v>
      </c>
      <c r="H106" s="49">
        <v>171000</v>
      </c>
      <c r="I106" s="48">
        <f t="shared" si="33"/>
        <v>1367659.71</v>
      </c>
      <c r="J106" s="50">
        <v>1267709.71</v>
      </c>
      <c r="K106" s="50">
        <f>L106</f>
        <v>99950</v>
      </c>
      <c r="L106" s="50">
        <v>99950</v>
      </c>
      <c r="M106" s="51">
        <f t="shared" si="47"/>
        <v>69.161047281921611</v>
      </c>
      <c r="N106" s="51">
        <f t="shared" si="48"/>
        <v>70.174907832825909</v>
      </c>
      <c r="O106" s="51">
        <f t="shared" si="49"/>
        <v>58.450292397660817</v>
      </c>
      <c r="P106" s="51">
        <f t="shared" si="50"/>
        <v>58.450292397660817</v>
      </c>
    </row>
    <row r="107" spans="1:16" s="52" customFormat="1" ht="37.5" x14ac:dyDescent="0.25">
      <c r="A107" s="21" t="s">
        <v>277</v>
      </c>
      <c r="B107" s="21" t="s">
        <v>10</v>
      </c>
      <c r="C107" s="21" t="s">
        <v>6</v>
      </c>
      <c r="D107" s="22" t="s">
        <v>104</v>
      </c>
      <c r="E107" s="48">
        <f t="shared" si="34"/>
        <v>350000</v>
      </c>
      <c r="F107" s="49">
        <v>350000</v>
      </c>
      <c r="G107" s="49"/>
      <c r="H107" s="49"/>
      <c r="I107" s="48">
        <f t="shared" si="33"/>
        <v>218641.23</v>
      </c>
      <c r="J107" s="50">
        <v>218641.23</v>
      </c>
      <c r="K107" s="50"/>
      <c r="L107" s="50"/>
      <c r="M107" s="51">
        <f t="shared" si="47"/>
        <v>62.468922857142864</v>
      </c>
      <c r="N107" s="51">
        <f t="shared" si="48"/>
        <v>62.468922857142864</v>
      </c>
      <c r="O107" s="51"/>
      <c r="P107" s="51"/>
    </row>
    <row r="108" spans="1:16" s="52" customFormat="1" ht="37.5" x14ac:dyDescent="0.25">
      <c r="A108" s="21" t="s">
        <v>86</v>
      </c>
      <c r="B108" s="21" t="s">
        <v>85</v>
      </c>
      <c r="C108" s="21" t="s">
        <v>20</v>
      </c>
      <c r="D108" s="22" t="s">
        <v>50</v>
      </c>
      <c r="E108" s="48">
        <f t="shared" si="34"/>
        <v>2081800</v>
      </c>
      <c r="F108" s="49">
        <f>714200+1367600</f>
        <v>2081800</v>
      </c>
      <c r="G108" s="49"/>
      <c r="H108" s="49"/>
      <c r="I108" s="48">
        <f t="shared" si="33"/>
        <v>1103987.28</v>
      </c>
      <c r="J108" s="50">
        <f>352801.1+394404.69</f>
        <v>747205.79</v>
      </c>
      <c r="K108" s="50">
        <v>356781.49</v>
      </c>
      <c r="L108" s="50"/>
      <c r="M108" s="51">
        <f t="shared" si="47"/>
        <v>53.030419828994148</v>
      </c>
      <c r="N108" s="51">
        <f t="shared" si="48"/>
        <v>35.892294648861558</v>
      </c>
      <c r="O108" s="51"/>
      <c r="P108" s="51"/>
    </row>
    <row r="109" spans="1:16" s="52" customFormat="1" ht="56.25" x14ac:dyDescent="0.25">
      <c r="A109" s="21" t="s">
        <v>27</v>
      </c>
      <c r="B109" s="21" t="s">
        <v>26</v>
      </c>
      <c r="C109" s="21" t="s">
        <v>21</v>
      </c>
      <c r="D109" s="22" t="s">
        <v>44</v>
      </c>
      <c r="E109" s="48">
        <f t="shared" si="34"/>
        <v>970000</v>
      </c>
      <c r="F109" s="49">
        <v>970000</v>
      </c>
      <c r="G109" s="49"/>
      <c r="H109" s="49"/>
      <c r="I109" s="48">
        <f t="shared" si="33"/>
        <v>477692.83</v>
      </c>
      <c r="J109" s="50">
        <v>477692.83</v>
      </c>
      <c r="K109" s="50"/>
      <c r="L109" s="50"/>
      <c r="M109" s="51">
        <f t="shared" si="47"/>
        <v>49.246683505154643</v>
      </c>
      <c r="N109" s="51">
        <f t="shared" si="48"/>
        <v>49.246683505154643</v>
      </c>
      <c r="O109" s="51"/>
      <c r="P109" s="51"/>
    </row>
    <row r="110" spans="1:16" s="52" customFormat="1" ht="56.25" x14ac:dyDescent="0.25">
      <c r="A110" s="21" t="s">
        <v>46</v>
      </c>
      <c r="B110" s="21" t="s">
        <v>47</v>
      </c>
      <c r="C110" s="21" t="s">
        <v>21</v>
      </c>
      <c r="D110" s="22" t="s">
        <v>48</v>
      </c>
      <c r="E110" s="48">
        <f t="shared" si="34"/>
        <v>300000</v>
      </c>
      <c r="F110" s="49">
        <v>300000</v>
      </c>
      <c r="G110" s="49"/>
      <c r="H110" s="49"/>
      <c r="I110" s="48">
        <f t="shared" si="33"/>
        <v>120519.76</v>
      </c>
      <c r="J110" s="50">
        <v>120519.76</v>
      </c>
      <c r="K110" s="50"/>
      <c r="L110" s="50"/>
      <c r="M110" s="51">
        <f t="shared" si="47"/>
        <v>40.173253333333328</v>
      </c>
      <c r="N110" s="51">
        <f t="shared" si="48"/>
        <v>40.173253333333328</v>
      </c>
      <c r="O110" s="51"/>
      <c r="P110" s="51"/>
    </row>
    <row r="111" spans="1:16" s="52" customFormat="1" ht="56.25" x14ac:dyDescent="0.25">
      <c r="A111" s="32" t="s">
        <v>354</v>
      </c>
      <c r="B111" s="32" t="s">
        <v>355</v>
      </c>
      <c r="C111" s="32" t="s">
        <v>21</v>
      </c>
      <c r="D111" s="80" t="s">
        <v>356</v>
      </c>
      <c r="E111" s="48">
        <f t="shared" si="34"/>
        <v>98088</v>
      </c>
      <c r="F111" s="49">
        <v>98088</v>
      </c>
      <c r="G111" s="49"/>
      <c r="H111" s="49"/>
      <c r="I111" s="48">
        <f t="shared" si="33"/>
        <v>29426.400000000001</v>
      </c>
      <c r="J111" s="50">
        <v>29426.400000000001</v>
      </c>
      <c r="K111" s="50"/>
      <c r="L111" s="50"/>
      <c r="M111" s="51">
        <f t="shared" si="47"/>
        <v>30</v>
      </c>
      <c r="N111" s="51">
        <f t="shared" si="48"/>
        <v>30</v>
      </c>
      <c r="O111" s="51"/>
      <c r="P111" s="51"/>
    </row>
    <row r="112" spans="1:16" s="47" customFormat="1" ht="93.75" x14ac:dyDescent="0.25">
      <c r="A112" s="21" t="s">
        <v>51</v>
      </c>
      <c r="B112" s="21" t="s">
        <v>52</v>
      </c>
      <c r="C112" s="21" t="s">
        <v>21</v>
      </c>
      <c r="D112" s="22" t="s">
        <v>278</v>
      </c>
      <c r="E112" s="48">
        <f t="shared" si="34"/>
        <v>1414000</v>
      </c>
      <c r="F112" s="49">
        <v>1414000</v>
      </c>
      <c r="G112" s="49"/>
      <c r="H112" s="49"/>
      <c r="I112" s="48">
        <f t="shared" si="33"/>
        <v>1107691.69</v>
      </c>
      <c r="J112" s="50">
        <v>1107691.69</v>
      </c>
      <c r="K112" s="50"/>
      <c r="L112" s="50"/>
      <c r="M112" s="51">
        <f t="shared" si="47"/>
        <v>78.337460396039603</v>
      </c>
      <c r="N112" s="51">
        <f t="shared" si="48"/>
        <v>78.337460396039603</v>
      </c>
      <c r="O112" s="51"/>
      <c r="P112" s="51"/>
    </row>
    <row r="113" spans="1:16" s="47" customFormat="1" ht="75" x14ac:dyDescent="0.25">
      <c r="A113" s="19" t="s">
        <v>87</v>
      </c>
      <c r="B113" s="19" t="s">
        <v>242</v>
      </c>
      <c r="C113" s="19" t="s">
        <v>242</v>
      </c>
      <c r="D113" s="20" t="s">
        <v>279</v>
      </c>
      <c r="E113" s="42">
        <f t="shared" si="34"/>
        <v>196562446.86000001</v>
      </c>
      <c r="F113" s="43">
        <f>F114</f>
        <v>166585127.68000001</v>
      </c>
      <c r="G113" s="43">
        <f t="shared" ref="G113:H113" si="54">G114</f>
        <v>29977319.180000003</v>
      </c>
      <c r="H113" s="43">
        <f t="shared" si="54"/>
        <v>23076549.520000003</v>
      </c>
      <c r="I113" s="42">
        <f t="shared" si="33"/>
        <v>123111965.65000001</v>
      </c>
      <c r="J113" s="46">
        <f>J114</f>
        <v>113457573.84</v>
      </c>
      <c r="K113" s="46">
        <f t="shared" ref="K113:L113" si="55">K114</f>
        <v>9654391.8100000005</v>
      </c>
      <c r="L113" s="46">
        <f t="shared" si="55"/>
        <v>5852648.1399999997</v>
      </c>
      <c r="M113" s="44">
        <f t="shared" si="47"/>
        <v>62.632495482560557</v>
      </c>
      <c r="N113" s="44">
        <f t="shared" si="48"/>
        <v>68.107864981767861</v>
      </c>
      <c r="O113" s="44">
        <f t="shared" si="49"/>
        <v>32.2056543883388</v>
      </c>
      <c r="P113" s="44">
        <f t="shared" si="50"/>
        <v>25.361885818014613</v>
      </c>
    </row>
    <row r="114" spans="1:16" s="52" customFormat="1" ht="75" x14ac:dyDescent="0.25">
      <c r="A114" s="19" t="s">
        <v>88</v>
      </c>
      <c r="B114" s="19" t="s">
        <v>242</v>
      </c>
      <c r="C114" s="19" t="s">
        <v>242</v>
      </c>
      <c r="D114" s="20" t="s">
        <v>279</v>
      </c>
      <c r="E114" s="42">
        <f t="shared" si="34"/>
        <v>196562446.86000001</v>
      </c>
      <c r="F114" s="43">
        <f>SUM(F115:F135)</f>
        <v>166585127.68000001</v>
      </c>
      <c r="G114" s="43">
        <f t="shared" ref="G114:L114" si="56">SUM(G115:G135)</f>
        <v>29977319.180000003</v>
      </c>
      <c r="H114" s="43">
        <f t="shared" si="56"/>
        <v>23076549.520000003</v>
      </c>
      <c r="I114" s="43">
        <f t="shared" si="56"/>
        <v>123111965.65000002</v>
      </c>
      <c r="J114" s="43">
        <f t="shared" si="56"/>
        <v>113457573.84</v>
      </c>
      <c r="K114" s="43">
        <f t="shared" si="56"/>
        <v>9654391.8100000005</v>
      </c>
      <c r="L114" s="43">
        <f t="shared" si="56"/>
        <v>5852648.1399999997</v>
      </c>
      <c r="M114" s="44">
        <f t="shared" si="47"/>
        <v>62.632495482560572</v>
      </c>
      <c r="N114" s="44">
        <f t="shared" si="48"/>
        <v>68.107864981767861</v>
      </c>
      <c r="O114" s="44">
        <f t="shared" si="49"/>
        <v>32.2056543883388</v>
      </c>
      <c r="P114" s="44">
        <f t="shared" si="50"/>
        <v>25.361885818014613</v>
      </c>
    </row>
    <row r="115" spans="1:16" s="58" customFormat="1" ht="56.25" x14ac:dyDescent="0.25">
      <c r="A115" s="21" t="s">
        <v>89</v>
      </c>
      <c r="B115" s="21" t="s">
        <v>57</v>
      </c>
      <c r="C115" s="21" t="s">
        <v>3</v>
      </c>
      <c r="D115" s="22" t="s">
        <v>259</v>
      </c>
      <c r="E115" s="48">
        <f t="shared" si="34"/>
        <v>3950760</v>
      </c>
      <c r="F115" s="49">
        <v>3750960</v>
      </c>
      <c r="G115" s="49">
        <v>199800</v>
      </c>
      <c r="H115" s="49">
        <v>199800</v>
      </c>
      <c r="I115" s="48">
        <f t="shared" si="33"/>
        <v>2680488.09</v>
      </c>
      <c r="J115" s="50">
        <v>2572488.09</v>
      </c>
      <c r="K115" s="50">
        <v>108000</v>
      </c>
      <c r="L115" s="50">
        <v>108000</v>
      </c>
      <c r="M115" s="51">
        <f t="shared" si="47"/>
        <v>67.847403790663066</v>
      </c>
      <c r="N115" s="51">
        <f t="shared" si="48"/>
        <v>68.582125375903772</v>
      </c>
      <c r="O115" s="51">
        <f t="shared" si="49"/>
        <v>54.054054054054056</v>
      </c>
      <c r="P115" s="51">
        <f t="shared" si="50"/>
        <v>54.054054054054056</v>
      </c>
    </row>
    <row r="116" spans="1:16" s="52" customFormat="1" ht="56.25" x14ac:dyDescent="0.25">
      <c r="A116" s="21" t="s">
        <v>196</v>
      </c>
      <c r="B116" s="21" t="s">
        <v>113</v>
      </c>
      <c r="C116" s="21" t="s">
        <v>114</v>
      </c>
      <c r="D116" s="22" t="s">
        <v>115</v>
      </c>
      <c r="E116" s="48">
        <f t="shared" si="34"/>
        <v>25000</v>
      </c>
      <c r="F116" s="49">
        <v>25000</v>
      </c>
      <c r="G116" s="49"/>
      <c r="H116" s="49"/>
      <c r="I116" s="48">
        <f t="shared" si="33"/>
        <v>0</v>
      </c>
      <c r="J116" s="50">
        <v>0</v>
      </c>
      <c r="K116" s="50"/>
      <c r="L116" s="50"/>
      <c r="M116" s="51">
        <f t="shared" si="47"/>
        <v>0</v>
      </c>
      <c r="N116" s="51">
        <f t="shared" si="48"/>
        <v>0</v>
      </c>
      <c r="O116" s="51"/>
      <c r="P116" s="51"/>
    </row>
    <row r="117" spans="1:16" s="52" customFormat="1" ht="37.5" x14ac:dyDescent="0.25">
      <c r="A117" s="21" t="s">
        <v>280</v>
      </c>
      <c r="B117" s="21" t="s">
        <v>10</v>
      </c>
      <c r="C117" s="21" t="s">
        <v>6</v>
      </c>
      <c r="D117" s="22" t="s">
        <v>104</v>
      </c>
      <c r="E117" s="48">
        <f t="shared" si="34"/>
        <v>99000</v>
      </c>
      <c r="F117" s="49">
        <v>99000</v>
      </c>
      <c r="G117" s="49"/>
      <c r="H117" s="49"/>
      <c r="I117" s="48">
        <f t="shared" si="33"/>
        <v>44775</v>
      </c>
      <c r="J117" s="50">
        <v>44775</v>
      </c>
      <c r="K117" s="50"/>
      <c r="L117" s="50"/>
      <c r="M117" s="51">
        <f t="shared" si="47"/>
        <v>45.227272727272727</v>
      </c>
      <c r="N117" s="51">
        <f t="shared" si="48"/>
        <v>45.227272727272727</v>
      </c>
      <c r="O117" s="51"/>
      <c r="P117" s="51"/>
    </row>
    <row r="118" spans="1:16" s="52" customFormat="1" ht="37.5" x14ac:dyDescent="0.25">
      <c r="A118" s="21" t="s">
        <v>146</v>
      </c>
      <c r="B118" s="21" t="s">
        <v>145</v>
      </c>
      <c r="C118" s="21" t="s">
        <v>122</v>
      </c>
      <c r="D118" s="22" t="s">
        <v>123</v>
      </c>
      <c r="E118" s="48">
        <f t="shared" si="34"/>
        <v>30000</v>
      </c>
      <c r="F118" s="49">
        <v>30000</v>
      </c>
      <c r="G118" s="49"/>
      <c r="H118" s="49"/>
      <c r="I118" s="48">
        <f t="shared" si="33"/>
        <v>0</v>
      </c>
      <c r="J118" s="50">
        <v>0</v>
      </c>
      <c r="K118" s="50"/>
      <c r="L118" s="50"/>
      <c r="M118" s="51">
        <f t="shared" si="47"/>
        <v>0</v>
      </c>
      <c r="N118" s="51">
        <f t="shared" si="48"/>
        <v>0</v>
      </c>
      <c r="O118" s="51"/>
      <c r="P118" s="51"/>
    </row>
    <row r="119" spans="1:16" s="52" customFormat="1" ht="37.5" x14ac:dyDescent="0.25">
      <c r="A119" s="29">
        <v>1216011</v>
      </c>
      <c r="B119" s="29">
        <v>6011</v>
      </c>
      <c r="C119" s="26" t="s">
        <v>302</v>
      </c>
      <c r="D119" s="30" t="s">
        <v>101</v>
      </c>
      <c r="E119" s="48">
        <f t="shared" si="34"/>
        <v>11995327.07</v>
      </c>
      <c r="F119" s="49">
        <v>319069</v>
      </c>
      <c r="G119" s="49">
        <f>H119</f>
        <v>11676258.07</v>
      </c>
      <c r="H119" s="49">
        <f>7054951.07+4621307</f>
        <v>11676258.07</v>
      </c>
      <c r="I119" s="48">
        <f t="shared" si="33"/>
        <v>618739.96</v>
      </c>
      <c r="J119" s="50">
        <v>0</v>
      </c>
      <c r="K119" s="50">
        <f>L119</f>
        <v>618739.96</v>
      </c>
      <c r="L119" s="50">
        <f>457791.36+160948.6</f>
        <v>618739.96</v>
      </c>
      <c r="M119" s="51">
        <f t="shared" si="47"/>
        <v>5.1581749825517678</v>
      </c>
      <c r="N119" s="51">
        <f t="shared" si="48"/>
        <v>0</v>
      </c>
      <c r="O119" s="51">
        <f t="shared" si="49"/>
        <v>5.2991288501042861</v>
      </c>
      <c r="P119" s="51">
        <f t="shared" si="50"/>
        <v>5.2991288501042861</v>
      </c>
    </row>
    <row r="120" spans="1:16" s="52" customFormat="1" ht="56.25" x14ac:dyDescent="0.25">
      <c r="A120" s="31" t="s">
        <v>130</v>
      </c>
      <c r="B120" s="31" t="s">
        <v>129</v>
      </c>
      <c r="C120" s="31" t="s">
        <v>9</v>
      </c>
      <c r="D120" s="30" t="s">
        <v>131</v>
      </c>
      <c r="E120" s="48">
        <f t="shared" si="34"/>
        <v>30000000</v>
      </c>
      <c r="F120" s="49">
        <v>30000000</v>
      </c>
      <c r="G120" s="49"/>
      <c r="H120" s="49"/>
      <c r="I120" s="48">
        <f t="shared" si="33"/>
        <v>19999617.32</v>
      </c>
      <c r="J120" s="50">
        <v>19999617.32</v>
      </c>
      <c r="K120" s="50"/>
      <c r="L120" s="50"/>
      <c r="M120" s="51">
        <f t="shared" si="47"/>
        <v>66.665391066666672</v>
      </c>
      <c r="N120" s="51">
        <f t="shared" si="48"/>
        <v>66.665391066666672</v>
      </c>
      <c r="O120" s="51"/>
      <c r="P120" s="51"/>
    </row>
    <row r="121" spans="1:16" s="52" customFormat="1" ht="37.5" x14ac:dyDescent="0.25">
      <c r="A121" s="29">
        <v>1216013</v>
      </c>
      <c r="B121" s="29">
        <v>6013</v>
      </c>
      <c r="C121" s="31" t="s">
        <v>9</v>
      </c>
      <c r="D121" s="30" t="s">
        <v>102</v>
      </c>
      <c r="E121" s="48">
        <f t="shared" si="34"/>
        <v>338110</v>
      </c>
      <c r="F121" s="49">
        <v>338110</v>
      </c>
      <c r="G121" s="49"/>
      <c r="H121" s="49"/>
      <c r="I121" s="48">
        <f t="shared" si="33"/>
        <v>338108.38</v>
      </c>
      <c r="J121" s="50">
        <v>338108.38</v>
      </c>
      <c r="K121" s="50"/>
      <c r="L121" s="50"/>
      <c r="M121" s="51">
        <f t="shared" si="47"/>
        <v>99.999520865990348</v>
      </c>
      <c r="N121" s="51">
        <f t="shared" si="48"/>
        <v>99.999520865990348</v>
      </c>
      <c r="O121" s="51"/>
      <c r="P121" s="51"/>
    </row>
    <row r="122" spans="1:16" s="52" customFormat="1" ht="37.5" x14ac:dyDescent="0.25">
      <c r="A122" s="21" t="s">
        <v>125</v>
      </c>
      <c r="B122" s="21" t="s">
        <v>124</v>
      </c>
      <c r="C122" s="21" t="s">
        <v>9</v>
      </c>
      <c r="D122" s="22" t="s">
        <v>126</v>
      </c>
      <c r="E122" s="48">
        <f t="shared" si="34"/>
        <v>1691959.38</v>
      </c>
      <c r="F122" s="49">
        <v>300000</v>
      </c>
      <c r="G122" s="49">
        <v>1391959.38</v>
      </c>
      <c r="H122" s="49">
        <v>1391959.38</v>
      </c>
      <c r="I122" s="48">
        <f t="shared" si="33"/>
        <v>427536.7</v>
      </c>
      <c r="J122" s="50">
        <v>0</v>
      </c>
      <c r="K122" s="50">
        <f>L122</f>
        <v>427536.7</v>
      </c>
      <c r="L122" s="50">
        <v>427536.7</v>
      </c>
      <c r="M122" s="51">
        <f t="shared" si="47"/>
        <v>25.268733106346797</v>
      </c>
      <c r="N122" s="51">
        <f t="shared" si="48"/>
        <v>0</v>
      </c>
      <c r="O122" s="51">
        <f t="shared" si="49"/>
        <v>30.714739678682296</v>
      </c>
      <c r="P122" s="51">
        <f t="shared" si="50"/>
        <v>30.714739678682296</v>
      </c>
    </row>
    <row r="123" spans="1:16" s="52" customFormat="1" ht="56.25" x14ac:dyDescent="0.25">
      <c r="A123" s="21" t="s">
        <v>160</v>
      </c>
      <c r="B123" s="21" t="s">
        <v>161</v>
      </c>
      <c r="C123" s="21" t="s">
        <v>9</v>
      </c>
      <c r="D123" s="22" t="s">
        <v>281</v>
      </c>
      <c r="E123" s="48">
        <f t="shared" si="34"/>
        <v>1080600</v>
      </c>
      <c r="F123" s="49">
        <v>1080600</v>
      </c>
      <c r="G123" s="49"/>
      <c r="H123" s="49"/>
      <c r="I123" s="48">
        <f t="shared" si="33"/>
        <v>707092.39</v>
      </c>
      <c r="J123" s="50">
        <v>707092.39</v>
      </c>
      <c r="K123" s="50"/>
      <c r="L123" s="50"/>
      <c r="M123" s="51">
        <f t="shared" si="47"/>
        <v>65.435164723301881</v>
      </c>
      <c r="N123" s="51">
        <f t="shared" si="48"/>
        <v>65.435164723301881</v>
      </c>
      <c r="O123" s="51"/>
      <c r="P123" s="51"/>
    </row>
    <row r="124" spans="1:16" s="58" customFormat="1" ht="37.5" x14ac:dyDescent="0.25">
      <c r="A124" s="21" t="s">
        <v>90</v>
      </c>
      <c r="B124" s="21" t="s">
        <v>41</v>
      </c>
      <c r="C124" s="21" t="s">
        <v>9</v>
      </c>
      <c r="D124" s="22" t="s">
        <v>251</v>
      </c>
      <c r="E124" s="48">
        <f t="shared" si="34"/>
        <v>73630221.280000001</v>
      </c>
      <c r="F124" s="49">
        <f>33795000+17736100+584000+18325000</f>
        <v>70440100</v>
      </c>
      <c r="G124" s="49">
        <f>H124</f>
        <v>3190121.2800000003</v>
      </c>
      <c r="H124" s="49">
        <f>2052499.08+100800+1036822.2</f>
        <v>3190121.2800000003</v>
      </c>
      <c r="I124" s="48">
        <f t="shared" si="33"/>
        <v>46926208.290000007</v>
      </c>
      <c r="J124" s="50">
        <f>23781916.46+12234959.02+575789.12+9557891.38</f>
        <v>46150555.980000004</v>
      </c>
      <c r="K124" s="50">
        <f>L124</f>
        <v>775652.31</v>
      </c>
      <c r="L124" s="50">
        <f>676673.31+98979</f>
        <v>775652.31</v>
      </c>
      <c r="M124" s="51">
        <f t="shared" si="47"/>
        <v>63.732265738479398</v>
      </c>
      <c r="N124" s="51">
        <f t="shared" si="48"/>
        <v>65.517448129687494</v>
      </c>
      <c r="O124" s="51">
        <f t="shared" si="49"/>
        <v>24.314195039004911</v>
      </c>
      <c r="P124" s="51">
        <f t="shared" si="50"/>
        <v>24.314195039004911</v>
      </c>
    </row>
    <row r="125" spans="1:16" s="58" customFormat="1" ht="37.5" x14ac:dyDescent="0.25">
      <c r="A125" s="27" t="s">
        <v>324</v>
      </c>
      <c r="B125" s="27" t="s">
        <v>325</v>
      </c>
      <c r="C125" s="27" t="s">
        <v>132</v>
      </c>
      <c r="D125" s="22" t="s">
        <v>326</v>
      </c>
      <c r="E125" s="48">
        <f t="shared" si="34"/>
        <v>3635206.64</v>
      </c>
      <c r="F125" s="49"/>
      <c r="G125" s="49">
        <f>H125</f>
        <v>3635206.64</v>
      </c>
      <c r="H125" s="49">
        <f>300000+1150000+2185206.64</f>
        <v>3635206.64</v>
      </c>
      <c r="I125" s="48">
        <f t="shared" si="33"/>
        <v>2185206.64</v>
      </c>
      <c r="J125" s="50"/>
      <c r="K125" s="50">
        <f>L125</f>
        <v>2185206.64</v>
      </c>
      <c r="L125" s="50">
        <v>2185206.64</v>
      </c>
      <c r="M125" s="51">
        <f t="shared" si="47"/>
        <v>60.112308773731769</v>
      </c>
      <c r="N125" s="51"/>
      <c r="O125" s="51">
        <f t="shared" si="49"/>
        <v>60.112308773731769</v>
      </c>
      <c r="P125" s="51">
        <f t="shared" si="50"/>
        <v>60.112308773731769</v>
      </c>
    </row>
    <row r="126" spans="1:16" s="52" customFormat="1" ht="37.5" x14ac:dyDescent="0.25">
      <c r="A126" s="26">
        <v>1217370</v>
      </c>
      <c r="B126" s="26">
        <v>7370</v>
      </c>
      <c r="C126" s="26" t="s">
        <v>23</v>
      </c>
      <c r="D126" s="22" t="s">
        <v>128</v>
      </c>
      <c r="E126" s="48">
        <f t="shared" si="34"/>
        <v>100000</v>
      </c>
      <c r="F126" s="49">
        <v>100000</v>
      </c>
      <c r="G126" s="49"/>
      <c r="H126" s="49"/>
      <c r="I126" s="48">
        <f t="shared" si="33"/>
        <v>0</v>
      </c>
      <c r="J126" s="50">
        <v>0</v>
      </c>
      <c r="K126" s="50"/>
      <c r="L126" s="50"/>
      <c r="M126" s="51">
        <f t="shared" si="47"/>
        <v>0</v>
      </c>
      <c r="N126" s="51">
        <f t="shared" si="48"/>
        <v>0</v>
      </c>
      <c r="O126" s="51"/>
      <c r="P126" s="51"/>
    </row>
    <row r="127" spans="1:16" s="52" customFormat="1" ht="56.25" x14ac:dyDescent="0.25">
      <c r="A127" s="21" t="s">
        <v>127</v>
      </c>
      <c r="B127" s="21" t="s">
        <v>99</v>
      </c>
      <c r="C127" s="21" t="s">
        <v>42</v>
      </c>
      <c r="D127" s="22" t="s">
        <v>100</v>
      </c>
      <c r="E127" s="48">
        <f t="shared" si="34"/>
        <v>24000000</v>
      </c>
      <c r="F127" s="49">
        <v>24000000</v>
      </c>
      <c r="G127" s="49"/>
      <c r="H127" s="49"/>
      <c r="I127" s="48">
        <f t="shared" si="33"/>
        <v>17798491.199999999</v>
      </c>
      <c r="J127" s="50">
        <v>17798491.199999999</v>
      </c>
      <c r="K127" s="50"/>
      <c r="L127" s="50"/>
      <c r="M127" s="51">
        <f t="shared" si="47"/>
        <v>74.160379999999989</v>
      </c>
      <c r="N127" s="51">
        <f t="shared" si="48"/>
        <v>74.160379999999989</v>
      </c>
      <c r="O127" s="51"/>
      <c r="P127" s="51"/>
    </row>
    <row r="128" spans="1:16" s="52" customFormat="1" ht="18.75" x14ac:dyDescent="0.25">
      <c r="A128" s="25">
        <v>1217640</v>
      </c>
      <c r="B128" s="25">
        <v>7640</v>
      </c>
      <c r="C128" s="26" t="s">
        <v>7</v>
      </c>
      <c r="D128" s="22" t="s">
        <v>8</v>
      </c>
      <c r="E128" s="48">
        <f t="shared" si="34"/>
        <v>324089.55</v>
      </c>
      <c r="F128" s="49"/>
      <c r="G128" s="49">
        <v>324089.55</v>
      </c>
      <c r="H128" s="49">
        <v>324089.55</v>
      </c>
      <c r="I128" s="48">
        <f t="shared" si="33"/>
        <v>248624.64000000001</v>
      </c>
      <c r="J128" s="50"/>
      <c r="K128" s="50">
        <f>L128</f>
        <v>248624.64000000001</v>
      </c>
      <c r="L128" s="50">
        <v>248624.64000000001</v>
      </c>
      <c r="M128" s="51">
        <f t="shared" si="47"/>
        <v>76.714796882528319</v>
      </c>
      <c r="N128" s="51"/>
      <c r="O128" s="51">
        <f t="shared" si="49"/>
        <v>76.714796882528319</v>
      </c>
      <c r="P128" s="51">
        <f t="shared" si="50"/>
        <v>76.714796882528319</v>
      </c>
    </row>
    <row r="129" spans="1:18" s="52" customFormat="1" ht="168.75" x14ac:dyDescent="0.25">
      <c r="A129" s="25">
        <v>1217691</v>
      </c>
      <c r="B129" s="25">
        <v>7691</v>
      </c>
      <c r="C129" s="26" t="s">
        <v>23</v>
      </c>
      <c r="D129" s="22" t="s">
        <v>163</v>
      </c>
      <c r="E129" s="48">
        <f t="shared" si="34"/>
        <v>2819095.86</v>
      </c>
      <c r="F129" s="49"/>
      <c r="G129" s="49">
        <v>2819095.86</v>
      </c>
      <c r="H129" s="49">
        <v>0</v>
      </c>
      <c r="I129" s="48">
        <f t="shared" si="33"/>
        <v>113958.63</v>
      </c>
      <c r="J129" s="50"/>
      <c r="K129" s="50">
        <v>113958.63</v>
      </c>
      <c r="L129" s="50">
        <v>0</v>
      </c>
      <c r="M129" s="51">
        <f t="shared" si="47"/>
        <v>4.0423822267611724</v>
      </c>
      <c r="N129" s="51"/>
      <c r="O129" s="51">
        <f t="shared" si="49"/>
        <v>4.0423822267611724</v>
      </c>
      <c r="P129" s="51"/>
    </row>
    <row r="130" spans="1:18" s="52" customFormat="1" ht="37.5" x14ac:dyDescent="0.25">
      <c r="A130" s="25">
        <v>1217693</v>
      </c>
      <c r="B130" s="21" t="s">
        <v>143</v>
      </c>
      <c r="C130" s="21" t="s">
        <v>23</v>
      </c>
      <c r="D130" s="22" t="s">
        <v>282</v>
      </c>
      <c r="E130" s="48">
        <f t="shared" si="34"/>
        <v>31844960</v>
      </c>
      <c r="F130" s="49">
        <f>9196360+587400+22061200</f>
        <v>31844960</v>
      </c>
      <c r="G130" s="49"/>
      <c r="H130" s="49"/>
      <c r="I130" s="48">
        <f t="shared" si="33"/>
        <v>23742844.23</v>
      </c>
      <c r="J130" s="50">
        <f>4813181.23+18929663</f>
        <v>23742844.23</v>
      </c>
      <c r="K130" s="50"/>
      <c r="L130" s="50"/>
      <c r="M130" s="51">
        <f t="shared" si="47"/>
        <v>74.557619887103016</v>
      </c>
      <c r="N130" s="51">
        <f t="shared" si="48"/>
        <v>74.557619887103016</v>
      </c>
      <c r="O130" s="51"/>
      <c r="P130" s="51"/>
    </row>
    <row r="131" spans="1:18" s="52" customFormat="1" ht="75" x14ac:dyDescent="0.25">
      <c r="A131" s="25">
        <v>1217700</v>
      </c>
      <c r="B131" s="25">
        <v>7700</v>
      </c>
      <c r="C131" s="27" t="s">
        <v>6</v>
      </c>
      <c r="D131" s="22" t="s">
        <v>372</v>
      </c>
      <c r="E131" s="48">
        <f t="shared" si="34"/>
        <v>3514793.36</v>
      </c>
      <c r="F131" s="49"/>
      <c r="G131" s="49">
        <v>3514793.36</v>
      </c>
      <c r="H131" s="49"/>
      <c r="I131" s="48">
        <f t="shared" si="33"/>
        <v>3514793.36</v>
      </c>
      <c r="J131" s="50"/>
      <c r="K131" s="50">
        <v>3514793.36</v>
      </c>
      <c r="L131" s="50"/>
      <c r="M131" s="51">
        <f t="shared" si="47"/>
        <v>100</v>
      </c>
      <c r="N131" s="51"/>
      <c r="O131" s="51">
        <f t="shared" si="49"/>
        <v>100</v>
      </c>
      <c r="P131" s="51"/>
    </row>
    <row r="132" spans="1:18" s="47" customFormat="1" ht="56.25" x14ac:dyDescent="0.25">
      <c r="A132" s="25">
        <v>1218110</v>
      </c>
      <c r="B132" s="25">
        <v>8110</v>
      </c>
      <c r="C132" s="26" t="s">
        <v>5</v>
      </c>
      <c r="D132" s="22" t="s">
        <v>144</v>
      </c>
      <c r="E132" s="48">
        <f t="shared" si="34"/>
        <v>6735743.2800000003</v>
      </c>
      <c r="F132" s="49">
        <f>3569400.68+200000+41300+265928</f>
        <v>4076628.68</v>
      </c>
      <c r="G132" s="49">
        <f>H132</f>
        <v>2659114.6</v>
      </c>
      <c r="H132" s="49">
        <f>75000+1414114.6+1170000</f>
        <v>2659114.6</v>
      </c>
      <c r="I132" s="48">
        <f t="shared" si="33"/>
        <v>3524289.1399999997</v>
      </c>
      <c r="J132" s="60">
        <f>1769473.25+265928</f>
        <v>2035401.25</v>
      </c>
      <c r="K132" s="60">
        <f>L132</f>
        <v>1488887.89</v>
      </c>
      <c r="L132" s="60">
        <f>75000+1413887.89</f>
        <v>1488887.89</v>
      </c>
      <c r="M132" s="51">
        <f t="shared" si="47"/>
        <v>52.32220103257854</v>
      </c>
      <c r="N132" s="51">
        <f t="shared" si="48"/>
        <v>49.928541689011517</v>
      </c>
      <c r="O132" s="51">
        <f t="shared" si="49"/>
        <v>55.991866239988298</v>
      </c>
      <c r="P132" s="51">
        <f t="shared" si="50"/>
        <v>55.991866239988298</v>
      </c>
    </row>
    <row r="133" spans="1:18" s="47" customFormat="1" ht="37.5" x14ac:dyDescent="0.25">
      <c r="A133" s="25">
        <v>1218240</v>
      </c>
      <c r="B133" s="25">
        <v>8240</v>
      </c>
      <c r="C133" s="27" t="s">
        <v>167</v>
      </c>
      <c r="D133" s="28" t="s">
        <v>258</v>
      </c>
      <c r="E133" s="48">
        <f t="shared" si="34"/>
        <v>112500</v>
      </c>
      <c r="F133" s="49">
        <v>112500</v>
      </c>
      <c r="G133" s="49"/>
      <c r="H133" s="49"/>
      <c r="I133" s="48">
        <f t="shared" si="33"/>
        <v>0</v>
      </c>
      <c r="J133" s="60">
        <v>0</v>
      </c>
      <c r="K133" s="60"/>
      <c r="L133" s="60"/>
      <c r="M133" s="51">
        <f t="shared" si="47"/>
        <v>0</v>
      </c>
      <c r="N133" s="51">
        <f t="shared" si="48"/>
        <v>0</v>
      </c>
      <c r="O133" s="51"/>
      <c r="P133" s="51"/>
    </row>
    <row r="134" spans="1:18" s="63" customFormat="1" ht="37.5" x14ac:dyDescent="0.25">
      <c r="A134" s="21" t="s">
        <v>136</v>
      </c>
      <c r="B134" s="21" t="s">
        <v>133</v>
      </c>
      <c r="C134" s="21" t="s">
        <v>43</v>
      </c>
      <c r="D134" s="22" t="s">
        <v>142</v>
      </c>
      <c r="E134" s="48">
        <f t="shared" si="34"/>
        <v>566880.43999999994</v>
      </c>
      <c r="F134" s="49"/>
      <c r="G134" s="49">
        <f>308982.11+257898.33</f>
        <v>566880.43999999994</v>
      </c>
      <c r="H134" s="49"/>
      <c r="I134" s="48">
        <f t="shared" si="33"/>
        <v>172991.68</v>
      </c>
      <c r="J134" s="60"/>
      <c r="K134" s="60">
        <f>115093.35+57898.33</f>
        <v>172991.68</v>
      </c>
      <c r="L134" s="68"/>
      <c r="M134" s="51">
        <f t="shared" si="47"/>
        <v>30.516431295459761</v>
      </c>
      <c r="N134" s="51"/>
      <c r="O134" s="51">
        <f t="shared" si="49"/>
        <v>30.516431295459761</v>
      </c>
      <c r="P134" s="51"/>
    </row>
    <row r="135" spans="1:18" s="63" customFormat="1" ht="75" x14ac:dyDescent="0.25">
      <c r="A135" s="25">
        <v>1218771</v>
      </c>
      <c r="B135" s="27">
        <v>8771</v>
      </c>
      <c r="C135" s="27" t="s">
        <v>135</v>
      </c>
      <c r="D135" s="22" t="s">
        <v>357</v>
      </c>
      <c r="E135" s="48">
        <f t="shared" si="34"/>
        <v>68200</v>
      </c>
      <c r="F135" s="49">
        <v>68200</v>
      </c>
      <c r="G135" s="49"/>
      <c r="H135" s="49"/>
      <c r="I135" s="48">
        <f t="shared" si="33"/>
        <v>68200</v>
      </c>
      <c r="J135" s="60">
        <v>68200</v>
      </c>
      <c r="K135" s="60"/>
      <c r="L135" s="68"/>
      <c r="M135" s="51">
        <f t="shared" si="47"/>
        <v>100</v>
      </c>
      <c r="N135" s="51">
        <f t="shared" si="48"/>
        <v>100</v>
      </c>
      <c r="O135" s="51"/>
      <c r="P135" s="51"/>
    </row>
    <row r="136" spans="1:18" s="57" customFormat="1" ht="75" x14ac:dyDescent="0.25">
      <c r="A136" s="19" t="s">
        <v>28</v>
      </c>
      <c r="B136" s="19" t="s">
        <v>242</v>
      </c>
      <c r="C136" s="19" t="s">
        <v>242</v>
      </c>
      <c r="D136" s="20" t="s">
        <v>283</v>
      </c>
      <c r="E136" s="42">
        <f t="shared" si="34"/>
        <v>197050904.03999999</v>
      </c>
      <c r="F136" s="43">
        <f>F137</f>
        <v>7001935.1299999999</v>
      </c>
      <c r="G136" s="43">
        <f t="shared" ref="G136:L136" si="57">G137</f>
        <v>190048968.91</v>
      </c>
      <c r="H136" s="43">
        <f t="shared" si="57"/>
        <v>175924769.97</v>
      </c>
      <c r="I136" s="43">
        <f t="shared" si="57"/>
        <v>42214842.460000008</v>
      </c>
      <c r="J136" s="43">
        <f t="shared" si="57"/>
        <v>3290645.02</v>
      </c>
      <c r="K136" s="43">
        <f t="shared" si="57"/>
        <v>38924197.439999998</v>
      </c>
      <c r="L136" s="43">
        <f t="shared" si="57"/>
        <v>38308852.739999995</v>
      </c>
      <c r="M136" s="44">
        <f t="shared" si="47"/>
        <v>21.423318337798989</v>
      </c>
      <c r="N136" s="44">
        <f t="shared" si="48"/>
        <v>46.996222599965733</v>
      </c>
      <c r="O136" s="44">
        <f t="shared" si="49"/>
        <v>20.481141078136041</v>
      </c>
      <c r="P136" s="44">
        <f t="shared" si="50"/>
        <v>21.775701481111902</v>
      </c>
      <c r="Q136" s="63"/>
      <c r="R136" s="69"/>
    </row>
    <row r="137" spans="1:18" s="57" customFormat="1" ht="75" x14ac:dyDescent="0.25">
      <c r="A137" s="19" t="s">
        <v>29</v>
      </c>
      <c r="B137" s="19" t="s">
        <v>242</v>
      </c>
      <c r="C137" s="19" t="s">
        <v>242</v>
      </c>
      <c r="D137" s="20" t="s">
        <v>283</v>
      </c>
      <c r="E137" s="42">
        <f t="shared" si="34"/>
        <v>197050904.03999999</v>
      </c>
      <c r="F137" s="43">
        <f t="shared" ref="F137:J137" si="58">SUM(F138:F156)</f>
        <v>7001935.1299999999</v>
      </c>
      <c r="G137" s="43">
        <f>SUM(G138:G157)</f>
        <v>190048968.91</v>
      </c>
      <c r="H137" s="43">
        <f>SUM(H138:H157)</f>
        <v>175924769.97</v>
      </c>
      <c r="I137" s="43">
        <f t="shared" si="58"/>
        <v>42214842.460000008</v>
      </c>
      <c r="J137" s="43">
        <f t="shared" si="58"/>
        <v>3290645.02</v>
      </c>
      <c r="K137" s="43">
        <f>SUM(K138:K157)</f>
        <v>38924197.439999998</v>
      </c>
      <c r="L137" s="43">
        <f>SUM(L138:L157)</f>
        <v>38308852.739999995</v>
      </c>
      <c r="M137" s="44">
        <f t="shared" si="47"/>
        <v>21.423318337798989</v>
      </c>
      <c r="N137" s="44">
        <f t="shared" si="48"/>
        <v>46.996222599965733</v>
      </c>
      <c r="O137" s="44">
        <f t="shared" si="49"/>
        <v>20.481141078136041</v>
      </c>
      <c r="P137" s="44">
        <f t="shared" si="50"/>
        <v>21.775701481111902</v>
      </c>
      <c r="Q137" s="63"/>
      <c r="R137" s="69"/>
    </row>
    <row r="138" spans="1:18" s="57" customFormat="1" ht="112.5" x14ac:dyDescent="0.25">
      <c r="A138" s="32" t="s">
        <v>303</v>
      </c>
      <c r="B138" s="32" t="s">
        <v>53</v>
      </c>
      <c r="C138" s="32" t="s">
        <v>3</v>
      </c>
      <c r="D138" s="70" t="s">
        <v>244</v>
      </c>
      <c r="E138" s="48">
        <f t="shared" si="34"/>
        <v>550229.42000000004</v>
      </c>
      <c r="F138" s="43"/>
      <c r="G138" s="49">
        <v>550229.42000000004</v>
      </c>
      <c r="H138" s="49">
        <v>550229.42000000004</v>
      </c>
      <c r="I138" s="48">
        <f t="shared" si="33"/>
        <v>538945.43999999994</v>
      </c>
      <c r="J138" s="50"/>
      <c r="K138" s="50">
        <v>538945.43999999994</v>
      </c>
      <c r="L138" s="50">
        <v>538945.43999999994</v>
      </c>
      <c r="M138" s="51">
        <f t="shared" si="47"/>
        <v>97.949222707866085</v>
      </c>
      <c r="N138" s="51"/>
      <c r="O138" s="51">
        <f t="shared" si="49"/>
        <v>97.949222707866085</v>
      </c>
      <c r="P138" s="51">
        <f t="shared" si="50"/>
        <v>97.949222707866085</v>
      </c>
      <c r="Q138" s="63"/>
      <c r="R138" s="69"/>
    </row>
    <row r="139" spans="1:18" s="57" customFormat="1" ht="56.25" x14ac:dyDescent="0.25">
      <c r="A139" s="21" t="s">
        <v>91</v>
      </c>
      <c r="B139" s="21" t="s">
        <v>57</v>
      </c>
      <c r="C139" s="21" t="s">
        <v>3</v>
      </c>
      <c r="D139" s="22" t="s">
        <v>259</v>
      </c>
      <c r="E139" s="48">
        <f t="shared" si="34"/>
        <v>3919800</v>
      </c>
      <c r="F139" s="49">
        <v>3850800</v>
      </c>
      <c r="G139" s="49">
        <v>69000</v>
      </c>
      <c r="H139" s="49">
        <v>69000</v>
      </c>
      <c r="I139" s="48">
        <f t="shared" si="33"/>
        <v>2623327.87</v>
      </c>
      <c r="J139" s="50">
        <v>2623327.87</v>
      </c>
      <c r="K139" s="50">
        <v>0</v>
      </c>
      <c r="L139" s="50">
        <v>0</v>
      </c>
      <c r="M139" s="51">
        <f t="shared" si="47"/>
        <v>66.925043879789797</v>
      </c>
      <c r="N139" s="51">
        <f t="shared" si="48"/>
        <v>68.124230549496218</v>
      </c>
      <c r="O139" s="51">
        <f t="shared" si="49"/>
        <v>0</v>
      </c>
      <c r="P139" s="51">
        <f t="shared" si="50"/>
        <v>0</v>
      </c>
      <c r="Q139" s="63"/>
      <c r="R139" s="69"/>
    </row>
    <row r="140" spans="1:18" s="57" customFormat="1" ht="37.5" x14ac:dyDescent="0.25">
      <c r="A140" s="21" t="s">
        <v>284</v>
      </c>
      <c r="B140" s="21" t="s">
        <v>10</v>
      </c>
      <c r="C140" s="21" t="s">
        <v>6</v>
      </c>
      <c r="D140" s="22" t="s">
        <v>104</v>
      </c>
      <c r="E140" s="48">
        <f t="shared" si="34"/>
        <v>250000</v>
      </c>
      <c r="F140" s="49">
        <v>250000</v>
      </c>
      <c r="G140" s="49"/>
      <c r="H140" s="49"/>
      <c r="I140" s="48">
        <f t="shared" si="33"/>
        <v>112428</v>
      </c>
      <c r="J140" s="50">
        <v>112428</v>
      </c>
      <c r="K140" s="50"/>
      <c r="L140" s="50"/>
      <c r="M140" s="51">
        <f t="shared" si="47"/>
        <v>44.971200000000003</v>
      </c>
      <c r="N140" s="51">
        <f t="shared" si="48"/>
        <v>44.971200000000003</v>
      </c>
      <c r="O140" s="51"/>
      <c r="P140" s="51"/>
      <c r="Q140" s="63"/>
      <c r="R140" s="69"/>
    </row>
    <row r="141" spans="1:18" s="57" customFormat="1" ht="37.5" x14ac:dyDescent="0.25">
      <c r="A141" s="25">
        <v>1512010</v>
      </c>
      <c r="B141" s="25">
        <v>2010</v>
      </c>
      <c r="C141" s="26" t="s">
        <v>32</v>
      </c>
      <c r="D141" s="22" t="s">
        <v>162</v>
      </c>
      <c r="E141" s="48">
        <f t="shared" si="34"/>
        <v>11568240.16</v>
      </c>
      <c r="F141" s="43"/>
      <c r="G141" s="49">
        <v>11568240.16</v>
      </c>
      <c r="H141" s="49">
        <v>11568240.16</v>
      </c>
      <c r="I141" s="48">
        <f t="shared" si="33"/>
        <v>361602.09</v>
      </c>
      <c r="J141" s="50"/>
      <c r="K141" s="50">
        <f t="shared" ref="K141:K146" si="59">L141</f>
        <v>361602.09</v>
      </c>
      <c r="L141" s="50">
        <v>361602.09</v>
      </c>
      <c r="M141" s="51">
        <f t="shared" si="47"/>
        <v>3.1258176265247939</v>
      </c>
      <c r="N141" s="51"/>
      <c r="O141" s="51">
        <f t="shared" si="49"/>
        <v>3.1258176265247939</v>
      </c>
      <c r="P141" s="51">
        <f t="shared" si="50"/>
        <v>3.1258176265247939</v>
      </c>
      <c r="Q141" s="63"/>
      <c r="R141" s="69"/>
    </row>
    <row r="142" spans="1:18" s="57" customFormat="1" ht="37.5" x14ac:dyDescent="0.25">
      <c r="A142" s="25">
        <v>1516011</v>
      </c>
      <c r="B142" s="25">
        <v>6011</v>
      </c>
      <c r="C142" s="26" t="s">
        <v>302</v>
      </c>
      <c r="D142" s="22" t="s">
        <v>101</v>
      </c>
      <c r="E142" s="48">
        <f t="shared" si="34"/>
        <v>11847212.799999999</v>
      </c>
      <c r="F142" s="49"/>
      <c r="G142" s="49">
        <f>H142</f>
        <v>11847212.799999999</v>
      </c>
      <c r="H142" s="49">
        <f>583204.6+11264008.2</f>
        <v>11847212.799999999</v>
      </c>
      <c r="I142" s="48">
        <f t="shared" si="33"/>
        <v>2245675.2200000002</v>
      </c>
      <c r="J142" s="50"/>
      <c r="K142" s="50">
        <f t="shared" si="59"/>
        <v>2245675.2200000002</v>
      </c>
      <c r="L142" s="50">
        <f>2245675.22</f>
        <v>2245675.2200000002</v>
      </c>
      <c r="M142" s="51">
        <f t="shared" si="47"/>
        <v>18.955304153901924</v>
      </c>
      <c r="N142" s="51"/>
      <c r="O142" s="51">
        <f t="shared" si="49"/>
        <v>18.955304153901924</v>
      </c>
      <c r="P142" s="51">
        <f t="shared" si="50"/>
        <v>18.955304153901924</v>
      </c>
      <c r="Q142" s="63"/>
      <c r="R142" s="69"/>
    </row>
    <row r="143" spans="1:18" s="57" customFormat="1" ht="56.25" x14ac:dyDescent="0.25">
      <c r="A143" s="21" t="s">
        <v>130</v>
      </c>
      <c r="B143" s="21" t="s">
        <v>129</v>
      </c>
      <c r="C143" s="21" t="s">
        <v>9</v>
      </c>
      <c r="D143" s="22" t="s">
        <v>131</v>
      </c>
      <c r="E143" s="48">
        <f t="shared" si="34"/>
        <v>16360000</v>
      </c>
      <c r="F143" s="49"/>
      <c r="G143" s="49">
        <v>16360000</v>
      </c>
      <c r="H143" s="49">
        <v>16360000</v>
      </c>
      <c r="I143" s="48">
        <f t="shared" si="33"/>
        <v>4250429.46</v>
      </c>
      <c r="J143" s="50"/>
      <c r="K143" s="50">
        <f t="shared" si="59"/>
        <v>4250429.46</v>
      </c>
      <c r="L143" s="50">
        <v>4250429.46</v>
      </c>
      <c r="M143" s="51">
        <f t="shared" si="47"/>
        <v>25.980620171149145</v>
      </c>
      <c r="N143" s="51"/>
      <c r="O143" s="51">
        <f t="shared" si="49"/>
        <v>25.980620171149145</v>
      </c>
      <c r="P143" s="51">
        <f t="shared" si="50"/>
        <v>25.980620171149145</v>
      </c>
      <c r="Q143" s="63"/>
      <c r="R143" s="69"/>
    </row>
    <row r="144" spans="1:18" s="57" customFormat="1" ht="37.5" x14ac:dyDescent="0.25">
      <c r="A144" s="25">
        <v>1516013</v>
      </c>
      <c r="B144" s="25">
        <v>6013</v>
      </c>
      <c r="C144" s="27" t="s">
        <v>9</v>
      </c>
      <c r="D144" s="22" t="s">
        <v>102</v>
      </c>
      <c r="E144" s="48">
        <f t="shared" si="34"/>
        <v>21445813.359999999</v>
      </c>
      <c r="F144" s="49"/>
      <c r="G144" s="49">
        <f>H144</f>
        <v>21445813.359999999</v>
      </c>
      <c r="H144" s="49">
        <f>19745603.36+1700210</f>
        <v>21445813.359999999</v>
      </c>
      <c r="I144" s="48">
        <f t="shared" si="33"/>
        <v>1479780.11</v>
      </c>
      <c r="J144" s="50"/>
      <c r="K144" s="50">
        <f t="shared" si="59"/>
        <v>1479780.11</v>
      </c>
      <c r="L144" s="50">
        <v>1479780.11</v>
      </c>
      <c r="M144" s="51">
        <f t="shared" si="47"/>
        <v>6.9000885401718337</v>
      </c>
      <c r="N144" s="51"/>
      <c r="O144" s="51">
        <f t="shared" si="49"/>
        <v>6.9000885401718337</v>
      </c>
      <c r="P144" s="51">
        <f t="shared" si="50"/>
        <v>6.9000885401718337</v>
      </c>
      <c r="Q144" s="63"/>
      <c r="R144" s="69"/>
    </row>
    <row r="145" spans="1:18" s="57" customFormat="1" ht="37.5" x14ac:dyDescent="0.25">
      <c r="A145" s="25">
        <v>1516015</v>
      </c>
      <c r="B145" s="21" t="s">
        <v>124</v>
      </c>
      <c r="C145" s="21" t="s">
        <v>9</v>
      </c>
      <c r="D145" s="22" t="s">
        <v>126</v>
      </c>
      <c r="E145" s="48">
        <f t="shared" si="34"/>
        <v>27712038.559999999</v>
      </c>
      <c r="F145" s="49"/>
      <c r="G145" s="49">
        <f>25512000+2200038.56</f>
        <v>27712038.559999999</v>
      </c>
      <c r="H145" s="49">
        <f>25512000+2200038.56</f>
        <v>27712038.559999999</v>
      </c>
      <c r="I145" s="48">
        <f t="shared" si="33"/>
        <v>116154.63</v>
      </c>
      <c r="J145" s="50"/>
      <c r="K145" s="50">
        <f t="shared" si="59"/>
        <v>116154.63</v>
      </c>
      <c r="L145" s="50">
        <v>116154.63</v>
      </c>
      <c r="M145" s="51">
        <f t="shared" si="47"/>
        <v>0.41914863011073988</v>
      </c>
      <c r="N145" s="51"/>
      <c r="O145" s="51">
        <f t="shared" si="49"/>
        <v>0.41914863011073988</v>
      </c>
      <c r="P145" s="51">
        <f t="shared" si="50"/>
        <v>0.41914863011073988</v>
      </c>
      <c r="Q145" s="63"/>
      <c r="R145" s="69"/>
    </row>
    <row r="146" spans="1:18" s="57" customFormat="1" ht="37.5" x14ac:dyDescent="0.25">
      <c r="A146" s="25">
        <v>1516030</v>
      </c>
      <c r="B146" s="25">
        <v>6030</v>
      </c>
      <c r="C146" s="21" t="s">
        <v>9</v>
      </c>
      <c r="D146" s="22" t="s">
        <v>251</v>
      </c>
      <c r="E146" s="48">
        <f t="shared" si="34"/>
        <v>9514071.0999999996</v>
      </c>
      <c r="F146" s="49"/>
      <c r="G146" s="49">
        <f>H146</f>
        <v>9514071.0999999996</v>
      </c>
      <c r="H146" s="49">
        <v>9514071.0999999996</v>
      </c>
      <c r="I146" s="48">
        <f t="shared" si="33"/>
        <v>7322004.8899999997</v>
      </c>
      <c r="J146" s="50"/>
      <c r="K146" s="50">
        <f t="shared" si="59"/>
        <v>7322004.8899999997</v>
      </c>
      <c r="L146" s="50">
        <v>7322004.8899999997</v>
      </c>
      <c r="M146" s="51">
        <f t="shared" si="47"/>
        <v>76.959745339721081</v>
      </c>
      <c r="N146" s="51"/>
      <c r="O146" s="51">
        <f t="shared" si="49"/>
        <v>76.959745339721081</v>
      </c>
      <c r="P146" s="51">
        <f t="shared" si="50"/>
        <v>76.959745339721081</v>
      </c>
      <c r="Q146" s="63"/>
      <c r="R146" s="69"/>
    </row>
    <row r="147" spans="1:18" s="57" customFormat="1" ht="93.75" x14ac:dyDescent="0.25">
      <c r="A147" s="27" t="s">
        <v>327</v>
      </c>
      <c r="B147" s="27">
        <v>6050</v>
      </c>
      <c r="C147" s="27" t="s">
        <v>9</v>
      </c>
      <c r="D147" s="22" t="s">
        <v>328</v>
      </c>
      <c r="E147" s="48">
        <f t="shared" si="34"/>
        <v>1869686.13</v>
      </c>
      <c r="F147" s="49">
        <v>681135.13</v>
      </c>
      <c r="G147" s="49">
        <v>1188551</v>
      </c>
      <c r="H147" s="49">
        <v>1188551</v>
      </c>
      <c r="I147" s="48">
        <f t="shared" si="33"/>
        <v>554889.15</v>
      </c>
      <c r="J147" s="50">
        <v>554889.15</v>
      </c>
      <c r="K147" s="50">
        <v>0</v>
      </c>
      <c r="L147" s="50">
        <v>0</v>
      </c>
      <c r="M147" s="51">
        <f t="shared" si="47"/>
        <v>29.678197912288095</v>
      </c>
      <c r="N147" s="51">
        <f t="shared" ref="N147:N150" si="60">J147/F147*100</f>
        <v>81.465354752734612</v>
      </c>
      <c r="O147" s="51">
        <f t="shared" si="49"/>
        <v>0</v>
      </c>
      <c r="P147" s="51">
        <f t="shared" si="50"/>
        <v>0</v>
      </c>
      <c r="Q147" s="63"/>
      <c r="R147" s="69"/>
    </row>
    <row r="148" spans="1:18" s="57" customFormat="1" ht="37.5" x14ac:dyDescent="0.25">
      <c r="A148" s="25">
        <v>1517310</v>
      </c>
      <c r="B148" s="25">
        <v>7310</v>
      </c>
      <c r="C148" s="27" t="s">
        <v>132</v>
      </c>
      <c r="D148" s="22" t="s">
        <v>285</v>
      </c>
      <c r="E148" s="48">
        <f t="shared" si="34"/>
        <v>30772000</v>
      </c>
      <c r="F148" s="49"/>
      <c r="G148" s="49">
        <f>H148</f>
        <v>30772000</v>
      </c>
      <c r="H148" s="49">
        <f>19070000+9802000+1900000</f>
        <v>30772000</v>
      </c>
      <c r="I148" s="48">
        <f t="shared" si="33"/>
        <v>2706236.14</v>
      </c>
      <c r="J148" s="50"/>
      <c r="K148" s="50">
        <f>L148</f>
        <v>2706236.14</v>
      </c>
      <c r="L148" s="50">
        <f>856224.14+1850012</f>
        <v>2706236.14</v>
      </c>
      <c r="M148" s="51">
        <f t="shared" si="47"/>
        <v>8.7944759521643068</v>
      </c>
      <c r="N148" s="51"/>
      <c r="O148" s="51">
        <f t="shared" si="49"/>
        <v>8.7944759521643068</v>
      </c>
      <c r="P148" s="51">
        <f t="shared" si="50"/>
        <v>8.7944759521643068</v>
      </c>
      <c r="Q148" s="63"/>
      <c r="R148" s="69"/>
    </row>
    <row r="149" spans="1:18" s="57" customFormat="1" ht="37.5" x14ac:dyDescent="0.25">
      <c r="A149" s="25">
        <v>1517321</v>
      </c>
      <c r="B149" s="25">
        <v>7321</v>
      </c>
      <c r="C149" s="27" t="s">
        <v>132</v>
      </c>
      <c r="D149" s="22" t="s">
        <v>286</v>
      </c>
      <c r="E149" s="48">
        <f t="shared" si="34"/>
        <v>1777841.58</v>
      </c>
      <c r="F149" s="49"/>
      <c r="G149" s="49">
        <f>H149</f>
        <v>1777841.58</v>
      </c>
      <c r="H149" s="49">
        <v>1777841.58</v>
      </c>
      <c r="I149" s="48">
        <f t="shared" si="33"/>
        <v>632871.19999999995</v>
      </c>
      <c r="J149" s="50"/>
      <c r="K149" s="50">
        <f>L149</f>
        <v>632871.19999999995</v>
      </c>
      <c r="L149" s="50">
        <v>632871.19999999995</v>
      </c>
      <c r="M149" s="51">
        <f t="shared" si="47"/>
        <v>35.597727442059259</v>
      </c>
      <c r="N149" s="51"/>
      <c r="O149" s="51">
        <f t="shared" si="49"/>
        <v>35.597727442059259</v>
      </c>
      <c r="P149" s="51">
        <f t="shared" si="50"/>
        <v>35.597727442059259</v>
      </c>
      <c r="Q149" s="63"/>
      <c r="R149" s="69"/>
    </row>
    <row r="150" spans="1:18" s="57" customFormat="1" ht="37.5" x14ac:dyDescent="0.25">
      <c r="A150" s="25">
        <v>1517370</v>
      </c>
      <c r="B150" s="25">
        <v>7370</v>
      </c>
      <c r="C150" s="27" t="s">
        <v>23</v>
      </c>
      <c r="D150" s="22" t="s">
        <v>128</v>
      </c>
      <c r="E150" s="48">
        <f t="shared" ref="E150:E189" si="61">F150+G150</f>
        <v>11353642.129999999</v>
      </c>
      <c r="F150" s="49">
        <v>2220000</v>
      </c>
      <c r="G150" s="49">
        <f>H150</f>
        <v>9133642.129999999</v>
      </c>
      <c r="H150" s="49">
        <f>245600+3157787.28+5730254.85</f>
        <v>9133642.129999999</v>
      </c>
      <c r="I150" s="48">
        <f t="shared" si="33"/>
        <v>1319201.46</v>
      </c>
      <c r="J150" s="50">
        <v>0</v>
      </c>
      <c r="K150" s="50">
        <f>L150</f>
        <v>1319201.46</v>
      </c>
      <c r="L150" s="50">
        <f>245600+788117.17+285484.29</f>
        <v>1319201.46</v>
      </c>
      <c r="M150" s="51">
        <f t="shared" ref="M150:M157" si="62">I150/E150*100</f>
        <v>11.619191840777177</v>
      </c>
      <c r="N150" s="51">
        <f t="shared" si="60"/>
        <v>0</v>
      </c>
      <c r="O150" s="51">
        <f t="shared" si="49"/>
        <v>14.443323279187862</v>
      </c>
      <c r="P150" s="51">
        <f t="shared" si="50"/>
        <v>14.443323279187862</v>
      </c>
      <c r="Q150" s="63"/>
      <c r="R150" s="69"/>
    </row>
    <row r="151" spans="1:18" s="57" customFormat="1" ht="37.5" x14ac:dyDescent="0.25">
      <c r="A151" s="25">
        <v>1517390</v>
      </c>
      <c r="B151" s="25">
        <v>7390</v>
      </c>
      <c r="C151" s="27" t="s">
        <v>23</v>
      </c>
      <c r="D151" s="22" t="s">
        <v>287</v>
      </c>
      <c r="E151" s="48">
        <f t="shared" si="61"/>
        <v>1289432</v>
      </c>
      <c r="F151" s="49"/>
      <c r="G151" s="49">
        <v>1289432</v>
      </c>
      <c r="H151" s="49">
        <v>1289432</v>
      </c>
      <c r="I151" s="48">
        <f t="shared" ref="I151:I200" si="63">J151+K151</f>
        <v>385498.86</v>
      </c>
      <c r="J151" s="50"/>
      <c r="K151" s="50">
        <v>385498.86</v>
      </c>
      <c r="L151" s="50">
        <v>385498.86</v>
      </c>
      <c r="M151" s="51">
        <f t="shared" si="62"/>
        <v>29.896796418888314</v>
      </c>
      <c r="N151" s="51"/>
      <c r="O151" s="51">
        <f t="shared" si="49"/>
        <v>29.896796418888314</v>
      </c>
      <c r="P151" s="51">
        <f t="shared" si="50"/>
        <v>29.896796418888314</v>
      </c>
      <c r="Q151" s="63"/>
      <c r="R151" s="69"/>
    </row>
    <row r="152" spans="1:18" s="63" customFormat="1" ht="18.75" x14ac:dyDescent="0.25">
      <c r="A152" s="25">
        <v>1517640</v>
      </c>
      <c r="B152" s="25">
        <v>7640</v>
      </c>
      <c r="C152" s="27" t="s">
        <v>7</v>
      </c>
      <c r="D152" s="22" t="s">
        <v>8</v>
      </c>
      <c r="E152" s="48">
        <f t="shared" si="61"/>
        <v>7792030.96</v>
      </c>
      <c r="F152" s="49"/>
      <c r="G152" s="49">
        <f>H152</f>
        <v>7792030.96</v>
      </c>
      <c r="H152" s="49">
        <v>7792030.96</v>
      </c>
      <c r="I152" s="48">
        <f t="shared" si="63"/>
        <v>4353291.83</v>
      </c>
      <c r="J152" s="60"/>
      <c r="K152" s="60">
        <f>L152</f>
        <v>4353291.83</v>
      </c>
      <c r="L152" s="60">
        <v>4353291.83</v>
      </c>
      <c r="M152" s="51">
        <f t="shared" si="62"/>
        <v>55.868513001904198</v>
      </c>
      <c r="N152" s="51"/>
      <c r="O152" s="51">
        <f t="shared" si="49"/>
        <v>55.868513001904198</v>
      </c>
      <c r="P152" s="51">
        <f t="shared" si="50"/>
        <v>55.868513001904198</v>
      </c>
      <c r="R152" s="69"/>
    </row>
    <row r="153" spans="1:18" s="63" customFormat="1" ht="168.75" x14ac:dyDescent="0.25">
      <c r="A153" s="25">
        <v>1517691</v>
      </c>
      <c r="B153" s="25">
        <v>7691</v>
      </c>
      <c r="C153" s="26" t="s">
        <v>23</v>
      </c>
      <c r="D153" s="22" t="s">
        <v>163</v>
      </c>
      <c r="E153" s="48">
        <f t="shared" si="61"/>
        <v>13342373.939999999</v>
      </c>
      <c r="F153" s="49"/>
      <c r="G153" s="49">
        <v>13342373.939999999</v>
      </c>
      <c r="H153" s="49"/>
      <c r="I153" s="48">
        <f t="shared" si="63"/>
        <v>0</v>
      </c>
      <c r="J153" s="60"/>
      <c r="K153" s="60">
        <v>0</v>
      </c>
      <c r="L153" s="60">
        <v>0</v>
      </c>
      <c r="M153" s="51">
        <f t="shared" si="62"/>
        <v>0</v>
      </c>
      <c r="N153" s="51"/>
      <c r="O153" s="51"/>
      <c r="P153" s="51"/>
      <c r="R153" s="69"/>
    </row>
    <row r="154" spans="1:18" s="57" customFormat="1" ht="56.25" x14ac:dyDescent="0.25">
      <c r="A154" s="26" t="s">
        <v>297</v>
      </c>
      <c r="B154" s="25">
        <v>8110</v>
      </c>
      <c r="C154" s="27" t="s">
        <v>5</v>
      </c>
      <c r="D154" s="22" t="s">
        <v>144</v>
      </c>
      <c r="E154" s="48">
        <f t="shared" si="61"/>
        <v>20196146.899999999</v>
      </c>
      <c r="F154" s="49"/>
      <c r="G154" s="49">
        <f>H154</f>
        <v>20196146.899999999</v>
      </c>
      <c r="H154" s="49">
        <v>20196146.899999999</v>
      </c>
      <c r="I154" s="48">
        <f t="shared" si="63"/>
        <v>12554441.41</v>
      </c>
      <c r="J154" s="60"/>
      <c r="K154" s="60">
        <f>L154</f>
        <v>12554441.41</v>
      </c>
      <c r="L154" s="60">
        <v>12554441.41</v>
      </c>
      <c r="M154" s="51">
        <f t="shared" si="62"/>
        <v>62.162557403461946</v>
      </c>
      <c r="N154" s="51"/>
      <c r="O154" s="51">
        <f t="shared" si="49"/>
        <v>62.162557403461946</v>
      </c>
      <c r="P154" s="51">
        <f t="shared" si="50"/>
        <v>62.162557403461946</v>
      </c>
      <c r="Q154" s="63"/>
      <c r="R154" s="69"/>
    </row>
    <row r="155" spans="1:18" s="57" customFormat="1" ht="37.5" x14ac:dyDescent="0.25">
      <c r="A155" s="26" t="s">
        <v>308</v>
      </c>
      <c r="B155" s="25">
        <v>8311</v>
      </c>
      <c r="C155" s="27" t="s">
        <v>309</v>
      </c>
      <c r="D155" s="22" t="s">
        <v>310</v>
      </c>
      <c r="E155" s="48">
        <f t="shared" ref="E155" si="64">F155+G155</f>
        <v>133520</v>
      </c>
      <c r="F155" s="49"/>
      <c r="G155" s="49">
        <v>133520</v>
      </c>
      <c r="H155" s="49">
        <v>133520</v>
      </c>
      <c r="I155" s="48">
        <f t="shared" ref="I155" si="65">J155+K155</f>
        <v>42720</v>
      </c>
      <c r="J155" s="60"/>
      <c r="K155" s="60">
        <f>L155</f>
        <v>42720</v>
      </c>
      <c r="L155" s="60">
        <v>42720</v>
      </c>
      <c r="M155" s="51">
        <f t="shared" si="62"/>
        <v>31.995206710605149</v>
      </c>
      <c r="N155" s="51"/>
      <c r="O155" s="51">
        <f t="shared" si="49"/>
        <v>31.995206710605149</v>
      </c>
      <c r="P155" s="51">
        <f t="shared" si="50"/>
        <v>31.995206710605149</v>
      </c>
      <c r="Q155" s="63"/>
      <c r="R155" s="69"/>
    </row>
    <row r="156" spans="1:18" s="63" customFormat="1" ht="37.5" x14ac:dyDescent="0.25">
      <c r="A156" s="25">
        <v>1518340</v>
      </c>
      <c r="B156" s="21" t="s">
        <v>133</v>
      </c>
      <c r="C156" s="21" t="s">
        <v>43</v>
      </c>
      <c r="D156" s="22" t="s">
        <v>142</v>
      </c>
      <c r="E156" s="48">
        <f t="shared" si="61"/>
        <v>781825</v>
      </c>
      <c r="F156" s="49"/>
      <c r="G156" s="49">
        <v>781825</v>
      </c>
      <c r="H156" s="49"/>
      <c r="I156" s="48">
        <f t="shared" si="63"/>
        <v>615344.69999999995</v>
      </c>
      <c r="J156" s="50"/>
      <c r="K156" s="50">
        <v>615344.69999999995</v>
      </c>
      <c r="L156" s="50"/>
      <c r="M156" s="51">
        <f t="shared" si="62"/>
        <v>78.706193841332777</v>
      </c>
      <c r="N156" s="51"/>
      <c r="O156" s="51">
        <f t="shared" si="49"/>
        <v>78.706193841332777</v>
      </c>
      <c r="P156" s="51"/>
      <c r="R156" s="69"/>
    </row>
    <row r="157" spans="1:18" s="63" customFormat="1" ht="75" x14ac:dyDescent="0.25">
      <c r="A157" s="25">
        <v>1518742</v>
      </c>
      <c r="B157" s="27">
        <v>8742</v>
      </c>
      <c r="C157" s="27" t="s">
        <v>9</v>
      </c>
      <c r="D157" s="22" t="s">
        <v>373</v>
      </c>
      <c r="E157" s="48">
        <f t="shared" si="61"/>
        <v>4575000</v>
      </c>
      <c r="F157" s="49"/>
      <c r="G157" s="49">
        <v>4575000</v>
      </c>
      <c r="H157" s="49">
        <v>4575000</v>
      </c>
      <c r="I157" s="48"/>
      <c r="J157" s="50"/>
      <c r="K157" s="50"/>
      <c r="L157" s="50"/>
      <c r="M157" s="51">
        <f t="shared" si="62"/>
        <v>0</v>
      </c>
      <c r="N157" s="51"/>
      <c r="O157" s="51">
        <f t="shared" ref="O157" si="66">K157/G157*100</f>
        <v>0</v>
      </c>
      <c r="P157" s="51">
        <f t="shared" ref="P157" si="67">L157/H157*100</f>
        <v>0</v>
      </c>
      <c r="R157" s="69"/>
    </row>
    <row r="158" spans="1:18" s="52" customFormat="1" ht="75" x14ac:dyDescent="0.25">
      <c r="A158" s="19" t="s">
        <v>92</v>
      </c>
      <c r="B158" s="19" t="s">
        <v>242</v>
      </c>
      <c r="C158" s="19" t="s">
        <v>242</v>
      </c>
      <c r="D158" s="20" t="s">
        <v>288</v>
      </c>
      <c r="E158" s="42">
        <f t="shared" si="61"/>
        <v>24826700</v>
      </c>
      <c r="F158" s="43">
        <f>F159</f>
        <v>23986700</v>
      </c>
      <c r="G158" s="43">
        <f t="shared" ref="G158:H158" si="68">G159</f>
        <v>840000</v>
      </c>
      <c r="H158" s="43">
        <f t="shared" si="68"/>
        <v>840000</v>
      </c>
      <c r="I158" s="42">
        <f t="shared" si="63"/>
        <v>12491617.650000002</v>
      </c>
      <c r="J158" s="68">
        <f>J159</f>
        <v>12461617.650000002</v>
      </c>
      <c r="K158" s="68">
        <f>K159</f>
        <v>30000</v>
      </c>
      <c r="L158" s="68">
        <f>L159</f>
        <v>30000</v>
      </c>
      <c r="M158" s="44">
        <f t="shared" ref="M158:M201" si="69">I158/E158*100</f>
        <v>50.315255954275038</v>
      </c>
      <c r="N158" s="44">
        <f t="shared" ref="N158:N201" si="70">J158/F158*100</f>
        <v>51.952197050865699</v>
      </c>
      <c r="O158" s="44">
        <f t="shared" ref="O158:O165" si="71">K158/G158*100</f>
        <v>3.5714285714285712</v>
      </c>
      <c r="P158" s="44">
        <f t="shared" ref="P158:P165" si="72">L158/H158*100</f>
        <v>3.5714285714285712</v>
      </c>
    </row>
    <row r="159" spans="1:18" s="52" customFormat="1" ht="75" x14ac:dyDescent="0.25">
      <c r="A159" s="19" t="s">
        <v>93</v>
      </c>
      <c r="B159" s="19" t="s">
        <v>242</v>
      </c>
      <c r="C159" s="19" t="s">
        <v>242</v>
      </c>
      <c r="D159" s="20" t="s">
        <v>288</v>
      </c>
      <c r="E159" s="42">
        <f t="shared" si="61"/>
        <v>24826700</v>
      </c>
      <c r="F159" s="43">
        <f t="shared" ref="F159:L159" si="73">SUM(F160:F167)</f>
        <v>23986700</v>
      </c>
      <c r="G159" s="43">
        <f t="shared" si="73"/>
        <v>840000</v>
      </c>
      <c r="H159" s="43">
        <f t="shared" si="73"/>
        <v>840000</v>
      </c>
      <c r="I159" s="43">
        <f t="shared" si="73"/>
        <v>12491617.650000002</v>
      </c>
      <c r="J159" s="43">
        <f t="shared" si="73"/>
        <v>12461617.650000002</v>
      </c>
      <c r="K159" s="43">
        <f t="shared" si="73"/>
        <v>30000</v>
      </c>
      <c r="L159" s="43">
        <f t="shared" si="73"/>
        <v>30000</v>
      </c>
      <c r="M159" s="44">
        <f t="shared" si="69"/>
        <v>50.315255954275038</v>
      </c>
      <c r="N159" s="44">
        <f t="shared" si="70"/>
        <v>51.952197050865699</v>
      </c>
      <c r="O159" s="44">
        <f t="shared" si="71"/>
        <v>3.5714285714285712</v>
      </c>
      <c r="P159" s="44">
        <f t="shared" si="72"/>
        <v>3.5714285714285712</v>
      </c>
    </row>
    <row r="160" spans="1:18" s="52" customFormat="1" ht="56.25" x14ac:dyDescent="0.25">
      <c r="A160" s="21" t="s">
        <v>94</v>
      </c>
      <c r="B160" s="21" t="s">
        <v>57</v>
      </c>
      <c r="C160" s="21" t="s">
        <v>3</v>
      </c>
      <c r="D160" s="22" t="s">
        <v>259</v>
      </c>
      <c r="E160" s="48">
        <f t="shared" si="61"/>
        <v>2983300</v>
      </c>
      <c r="F160" s="49">
        <v>2953300</v>
      </c>
      <c r="G160" s="49">
        <v>30000</v>
      </c>
      <c r="H160" s="49">
        <v>30000</v>
      </c>
      <c r="I160" s="48">
        <f t="shared" si="63"/>
        <v>2080936.53</v>
      </c>
      <c r="J160" s="60">
        <v>2050936.53</v>
      </c>
      <c r="K160" s="60">
        <f>L160</f>
        <v>30000</v>
      </c>
      <c r="L160" s="60">
        <v>30000</v>
      </c>
      <c r="M160" s="51">
        <f t="shared" si="69"/>
        <v>69.752841819461679</v>
      </c>
      <c r="N160" s="51">
        <f t="shared" si="70"/>
        <v>69.445587309111843</v>
      </c>
      <c r="O160" s="51">
        <f t="shared" si="71"/>
        <v>100</v>
      </c>
      <c r="P160" s="51">
        <f t="shared" si="72"/>
        <v>100</v>
      </c>
    </row>
    <row r="161" spans="1:16" s="47" customFormat="1" ht="37.5" x14ac:dyDescent="0.25">
      <c r="A161" s="21" t="s">
        <v>103</v>
      </c>
      <c r="B161" s="21" t="s">
        <v>10</v>
      </c>
      <c r="C161" s="21" t="s">
        <v>6</v>
      </c>
      <c r="D161" s="22" t="s">
        <v>104</v>
      </c>
      <c r="E161" s="48">
        <f t="shared" si="61"/>
        <v>149000</v>
      </c>
      <c r="F161" s="49">
        <v>149000</v>
      </c>
      <c r="G161" s="49"/>
      <c r="H161" s="49"/>
      <c r="I161" s="48">
        <f t="shared" si="63"/>
        <v>30537.279999999999</v>
      </c>
      <c r="J161" s="60">
        <v>30537.279999999999</v>
      </c>
      <c r="K161" s="60"/>
      <c r="L161" s="60"/>
      <c r="M161" s="51">
        <f t="shared" si="69"/>
        <v>20.494818791946308</v>
      </c>
      <c r="N161" s="51">
        <f t="shared" si="70"/>
        <v>20.494818791946308</v>
      </c>
      <c r="O161" s="51"/>
      <c r="P161" s="51"/>
    </row>
    <row r="162" spans="1:16" s="47" customFormat="1" ht="56.25" x14ac:dyDescent="0.25">
      <c r="A162" s="21" t="s">
        <v>194</v>
      </c>
      <c r="B162" s="21" t="s">
        <v>161</v>
      </c>
      <c r="C162" s="21" t="s">
        <v>9</v>
      </c>
      <c r="D162" s="22" t="s">
        <v>281</v>
      </c>
      <c r="E162" s="48">
        <f t="shared" si="61"/>
        <v>130000</v>
      </c>
      <c r="F162" s="49">
        <v>130000</v>
      </c>
      <c r="G162" s="49"/>
      <c r="H162" s="49"/>
      <c r="I162" s="48">
        <f t="shared" si="63"/>
        <v>64465.599999999999</v>
      </c>
      <c r="J162" s="60">
        <v>64465.599999999999</v>
      </c>
      <c r="K162" s="60"/>
      <c r="L162" s="60"/>
      <c r="M162" s="51">
        <f t="shared" si="69"/>
        <v>49.588923076923074</v>
      </c>
      <c r="N162" s="51">
        <f t="shared" si="70"/>
        <v>49.588923076923074</v>
      </c>
      <c r="O162" s="51"/>
      <c r="P162" s="51"/>
    </row>
    <row r="163" spans="1:16" s="47" customFormat="1" ht="18.75" x14ac:dyDescent="0.25">
      <c r="A163" s="21" t="s">
        <v>329</v>
      </c>
      <c r="B163" s="21" t="s">
        <v>330</v>
      </c>
      <c r="C163" s="21" t="s">
        <v>331</v>
      </c>
      <c r="D163" s="22" t="s">
        <v>332</v>
      </c>
      <c r="E163" s="48">
        <f t="shared" si="61"/>
        <v>100000</v>
      </c>
      <c r="F163" s="49">
        <v>100000</v>
      </c>
      <c r="G163" s="49"/>
      <c r="H163" s="49"/>
      <c r="I163" s="48">
        <f t="shared" si="63"/>
        <v>0</v>
      </c>
      <c r="J163" s="60">
        <v>0</v>
      </c>
      <c r="K163" s="60"/>
      <c r="L163" s="60"/>
      <c r="M163" s="51">
        <f t="shared" si="69"/>
        <v>0</v>
      </c>
      <c r="N163" s="51">
        <f t="shared" si="70"/>
        <v>0</v>
      </c>
      <c r="O163" s="51"/>
      <c r="P163" s="51"/>
    </row>
    <row r="164" spans="1:16" s="47" customFormat="1" ht="56.25" x14ac:dyDescent="0.25">
      <c r="A164" s="25">
        <v>3117350</v>
      </c>
      <c r="B164" s="25">
        <v>7350</v>
      </c>
      <c r="C164" s="26" t="s">
        <v>132</v>
      </c>
      <c r="D164" s="22" t="s">
        <v>358</v>
      </c>
      <c r="E164" s="48">
        <f t="shared" si="61"/>
        <v>1500000</v>
      </c>
      <c r="F164" s="49">
        <v>1500000</v>
      </c>
      <c r="G164" s="49"/>
      <c r="H164" s="49"/>
      <c r="I164" s="48">
        <f t="shared" si="63"/>
        <v>787541.28</v>
      </c>
      <c r="J164" s="60">
        <v>787541.28</v>
      </c>
      <c r="K164" s="60"/>
      <c r="L164" s="60"/>
      <c r="M164" s="51">
        <f t="shared" si="69"/>
        <v>52.502751999999994</v>
      </c>
      <c r="N164" s="51">
        <f t="shared" si="70"/>
        <v>52.502751999999994</v>
      </c>
      <c r="O164" s="51"/>
      <c r="P164" s="51"/>
    </row>
    <row r="165" spans="1:16" s="52" customFormat="1" ht="37.5" x14ac:dyDescent="0.25">
      <c r="A165" s="21" t="s">
        <v>182</v>
      </c>
      <c r="B165" s="21" t="s">
        <v>143</v>
      </c>
      <c r="C165" s="21" t="s">
        <v>23</v>
      </c>
      <c r="D165" s="22" t="s">
        <v>282</v>
      </c>
      <c r="E165" s="48">
        <f t="shared" si="61"/>
        <v>19795800</v>
      </c>
      <c r="F165" s="49">
        <f>600000+509300+186500+17690000</f>
        <v>18985800</v>
      </c>
      <c r="G165" s="49">
        <f>H165</f>
        <v>810000</v>
      </c>
      <c r="H165" s="49">
        <v>810000</v>
      </c>
      <c r="I165" s="48">
        <f t="shared" si="63"/>
        <v>9461061.0899999999</v>
      </c>
      <c r="J165" s="60">
        <f>561013.5+476332.69+139750+8283964.9</f>
        <v>9461061.0899999999</v>
      </c>
      <c r="K165" s="60">
        <v>0</v>
      </c>
      <c r="L165" s="60">
        <v>0</v>
      </c>
      <c r="M165" s="51">
        <f t="shared" si="69"/>
        <v>47.793274785560577</v>
      </c>
      <c r="N165" s="51">
        <f t="shared" si="70"/>
        <v>49.832301456878298</v>
      </c>
      <c r="O165" s="51">
        <f t="shared" si="71"/>
        <v>0</v>
      </c>
      <c r="P165" s="51">
        <f t="shared" si="72"/>
        <v>0</v>
      </c>
    </row>
    <row r="166" spans="1:16" s="52" customFormat="1" ht="56.25" x14ac:dyDescent="0.25">
      <c r="A166" s="26" t="s">
        <v>307</v>
      </c>
      <c r="B166" s="25">
        <v>8110</v>
      </c>
      <c r="C166" s="27" t="s">
        <v>5</v>
      </c>
      <c r="D166" s="22" t="s">
        <v>144</v>
      </c>
      <c r="E166" s="48">
        <f t="shared" si="61"/>
        <v>38600</v>
      </c>
      <c r="F166" s="49">
        <f>20600+18000</f>
        <v>38600</v>
      </c>
      <c r="G166" s="49"/>
      <c r="H166" s="49"/>
      <c r="I166" s="48">
        <f t="shared" si="63"/>
        <v>22200.400000000001</v>
      </c>
      <c r="J166" s="60">
        <f>17076+5124.4</f>
        <v>22200.400000000001</v>
      </c>
      <c r="K166" s="60"/>
      <c r="L166" s="60"/>
      <c r="M166" s="51">
        <f t="shared" si="69"/>
        <v>57.513989637305706</v>
      </c>
      <c r="N166" s="51">
        <f t="shared" si="70"/>
        <v>57.513989637305706</v>
      </c>
      <c r="O166" s="51"/>
      <c r="P166" s="51"/>
    </row>
    <row r="167" spans="1:16" s="71" customFormat="1" ht="37.5" x14ac:dyDescent="0.25">
      <c r="A167" s="27" t="s">
        <v>296</v>
      </c>
      <c r="B167" s="27" t="s">
        <v>257</v>
      </c>
      <c r="C167" s="27" t="s">
        <v>167</v>
      </c>
      <c r="D167" s="28" t="s">
        <v>258</v>
      </c>
      <c r="E167" s="48">
        <f t="shared" si="61"/>
        <v>130000</v>
      </c>
      <c r="F167" s="49">
        <v>130000</v>
      </c>
      <c r="G167" s="49"/>
      <c r="H167" s="49"/>
      <c r="I167" s="48">
        <f t="shared" si="63"/>
        <v>44875.47</v>
      </c>
      <c r="J167" s="59">
        <v>44875.47</v>
      </c>
      <c r="K167" s="59"/>
      <c r="L167" s="59"/>
      <c r="M167" s="51">
        <f t="shared" si="69"/>
        <v>34.519592307692307</v>
      </c>
      <c r="N167" s="51">
        <f t="shared" si="70"/>
        <v>34.519592307692307</v>
      </c>
      <c r="O167" s="51"/>
      <c r="P167" s="51"/>
    </row>
    <row r="168" spans="1:16" s="71" customFormat="1" ht="56.25" x14ac:dyDescent="0.25">
      <c r="A168" s="19" t="s">
        <v>95</v>
      </c>
      <c r="B168" s="19" t="s">
        <v>242</v>
      </c>
      <c r="C168" s="19" t="s">
        <v>242</v>
      </c>
      <c r="D168" s="20" t="s">
        <v>289</v>
      </c>
      <c r="E168" s="42">
        <f t="shared" si="61"/>
        <v>72941300</v>
      </c>
      <c r="F168" s="43">
        <f>F169</f>
        <v>68831190</v>
      </c>
      <c r="G168" s="43">
        <f t="shared" ref="G168:H168" si="74">G169</f>
        <v>4110110</v>
      </c>
      <c r="H168" s="43">
        <f t="shared" si="74"/>
        <v>4110110</v>
      </c>
      <c r="I168" s="83">
        <f t="shared" si="63"/>
        <v>56916128.350000001</v>
      </c>
      <c r="J168" s="43">
        <f t="shared" ref="J168:L168" si="75">J169</f>
        <v>52805059.350000001</v>
      </c>
      <c r="K168" s="43">
        <f t="shared" si="75"/>
        <v>4111069</v>
      </c>
      <c r="L168" s="43">
        <f t="shared" si="75"/>
        <v>4110110</v>
      </c>
      <c r="M168" s="44">
        <f t="shared" si="69"/>
        <v>78.030043816054828</v>
      </c>
      <c r="N168" s="44">
        <f t="shared" si="70"/>
        <v>76.716760744656597</v>
      </c>
      <c r="O168" s="44">
        <f t="shared" ref="O168:O201" si="76">K168/G168*100</f>
        <v>100.02333270885696</v>
      </c>
      <c r="P168" s="44">
        <f t="shared" ref="P168:P201" si="77">L168/H168*100</f>
        <v>100</v>
      </c>
    </row>
    <row r="169" spans="1:16" s="71" customFormat="1" ht="56.25" x14ac:dyDescent="0.25">
      <c r="A169" s="19" t="s">
        <v>96</v>
      </c>
      <c r="B169" s="19" t="s">
        <v>242</v>
      </c>
      <c r="C169" s="19" t="s">
        <v>242</v>
      </c>
      <c r="D169" s="20" t="s">
        <v>289</v>
      </c>
      <c r="E169" s="42">
        <f t="shared" si="61"/>
        <v>72941300</v>
      </c>
      <c r="F169" s="43">
        <f>F170+F171+F172+F173+F174+F181</f>
        <v>68831190</v>
      </c>
      <c r="G169" s="43">
        <f>G170+G171+G172+G173+G174+G181</f>
        <v>4110110</v>
      </c>
      <c r="H169" s="43">
        <f>H170+H171+H172+H173+H174+H181</f>
        <v>4110110</v>
      </c>
      <c r="I169" s="83">
        <f t="shared" si="63"/>
        <v>56916128.350000001</v>
      </c>
      <c r="J169" s="43">
        <f>J170+J171+J172+J173+J174+J181</f>
        <v>52805059.350000001</v>
      </c>
      <c r="K169" s="43">
        <f>K170+K171+K172+K173+K174+K181</f>
        <v>4111069</v>
      </c>
      <c r="L169" s="43">
        <f>L170+L171+L172+L173+L174+L181</f>
        <v>4110110</v>
      </c>
      <c r="M169" s="44">
        <f t="shared" si="69"/>
        <v>78.030043816054828</v>
      </c>
      <c r="N169" s="44">
        <f t="shared" si="70"/>
        <v>76.716760744656597</v>
      </c>
      <c r="O169" s="44">
        <f t="shared" si="76"/>
        <v>100.02333270885696</v>
      </c>
      <c r="P169" s="44">
        <f t="shared" si="77"/>
        <v>100</v>
      </c>
    </row>
    <row r="170" spans="1:16" s="71" customFormat="1" ht="56.25" x14ac:dyDescent="0.25">
      <c r="A170" s="21" t="s">
        <v>97</v>
      </c>
      <c r="B170" s="21" t="s">
        <v>57</v>
      </c>
      <c r="C170" s="21" t="s">
        <v>3</v>
      </c>
      <c r="D170" s="22" t="s">
        <v>259</v>
      </c>
      <c r="E170" s="48">
        <f t="shared" si="61"/>
        <v>5057100</v>
      </c>
      <c r="F170" s="49">
        <v>5057100</v>
      </c>
      <c r="G170" s="49">
        <v>0</v>
      </c>
      <c r="H170" s="49"/>
      <c r="I170" s="48">
        <f t="shared" ref="I170" si="78">J170+K170</f>
        <v>3608120.35</v>
      </c>
      <c r="J170" s="60">
        <v>3607161.35</v>
      </c>
      <c r="K170" s="60">
        <v>959</v>
      </c>
      <c r="L170" s="60"/>
      <c r="M170" s="51">
        <f t="shared" si="69"/>
        <v>71.347617211445296</v>
      </c>
      <c r="N170" s="51">
        <f t="shared" si="70"/>
        <v>71.328653773902033</v>
      </c>
      <c r="O170" s="51"/>
      <c r="P170" s="51"/>
    </row>
    <row r="171" spans="1:16" s="52" customFormat="1" ht="37.5" x14ac:dyDescent="0.25">
      <c r="A171" s="21" t="s">
        <v>105</v>
      </c>
      <c r="B171" s="21" t="s">
        <v>10</v>
      </c>
      <c r="C171" s="21" t="s">
        <v>6</v>
      </c>
      <c r="D171" s="22" t="s">
        <v>104</v>
      </c>
      <c r="E171" s="48">
        <f t="shared" si="61"/>
        <v>44500</v>
      </c>
      <c r="F171" s="49">
        <v>44500</v>
      </c>
      <c r="G171" s="49"/>
      <c r="H171" s="49"/>
      <c r="I171" s="48">
        <f t="shared" si="63"/>
        <v>44408</v>
      </c>
      <c r="J171" s="60">
        <v>44408</v>
      </c>
      <c r="K171" s="60"/>
      <c r="L171" s="60"/>
      <c r="M171" s="51">
        <f t="shared" si="69"/>
        <v>99.79325842696629</v>
      </c>
      <c r="N171" s="51">
        <f t="shared" si="70"/>
        <v>99.79325842696629</v>
      </c>
      <c r="O171" s="51"/>
      <c r="P171" s="51"/>
    </row>
    <row r="172" spans="1:16" s="52" customFormat="1" ht="18.75" x14ac:dyDescent="0.25">
      <c r="A172" s="21" t="s">
        <v>221</v>
      </c>
      <c r="B172" s="21" t="s">
        <v>222</v>
      </c>
      <c r="C172" s="21" t="s">
        <v>6</v>
      </c>
      <c r="D172" s="22" t="s">
        <v>290</v>
      </c>
      <c r="E172" s="48">
        <f t="shared" si="61"/>
        <v>7002500</v>
      </c>
      <c r="F172" s="49">
        <v>7002500</v>
      </c>
      <c r="G172" s="49"/>
      <c r="H172" s="49"/>
      <c r="I172" s="48">
        <f t="shared" si="63"/>
        <v>0</v>
      </c>
      <c r="J172" s="60">
        <v>0</v>
      </c>
      <c r="K172" s="60"/>
      <c r="L172" s="60"/>
      <c r="M172" s="51">
        <f t="shared" si="69"/>
        <v>0</v>
      </c>
      <c r="N172" s="51">
        <f t="shared" si="70"/>
        <v>0</v>
      </c>
      <c r="O172" s="51"/>
      <c r="P172" s="51"/>
    </row>
    <row r="173" spans="1:16" s="71" customFormat="1" ht="18.75" x14ac:dyDescent="0.25">
      <c r="A173" s="21" t="s">
        <v>107</v>
      </c>
      <c r="B173" s="21" t="s">
        <v>106</v>
      </c>
      <c r="C173" s="21" t="s">
        <v>10</v>
      </c>
      <c r="D173" s="22" t="s">
        <v>2</v>
      </c>
      <c r="E173" s="48">
        <f t="shared" si="61"/>
        <v>10294700</v>
      </c>
      <c r="F173" s="49">
        <v>10294700</v>
      </c>
      <c r="G173" s="49"/>
      <c r="H173" s="49"/>
      <c r="I173" s="48">
        <f t="shared" si="63"/>
        <v>7721100</v>
      </c>
      <c r="J173" s="60">
        <v>7721100</v>
      </c>
      <c r="K173" s="59"/>
      <c r="L173" s="59"/>
      <c r="M173" s="51">
        <f t="shared" si="69"/>
        <v>75.000728530214573</v>
      </c>
      <c r="N173" s="51">
        <f t="shared" si="70"/>
        <v>75.000728530214573</v>
      </c>
      <c r="O173" s="51"/>
      <c r="P173" s="51"/>
    </row>
    <row r="174" spans="1:16" s="71" customFormat="1" ht="18.75" x14ac:dyDescent="0.25">
      <c r="A174" s="25">
        <v>3719770</v>
      </c>
      <c r="B174" s="33">
        <v>9770</v>
      </c>
      <c r="C174" s="27" t="s">
        <v>10</v>
      </c>
      <c r="D174" s="72" t="s">
        <v>165</v>
      </c>
      <c r="E174" s="48">
        <f t="shared" si="61"/>
        <v>20320000</v>
      </c>
      <c r="F174" s="49">
        <v>20320000</v>
      </c>
      <c r="G174" s="49"/>
      <c r="H174" s="49"/>
      <c r="I174" s="48">
        <f t="shared" si="63"/>
        <v>20320000</v>
      </c>
      <c r="J174" s="60">
        <v>20320000</v>
      </c>
      <c r="K174" s="60">
        <f>K176+K177</f>
        <v>0</v>
      </c>
      <c r="L174" s="60">
        <f>L176+L177</f>
        <v>0</v>
      </c>
      <c r="M174" s="51">
        <f t="shared" si="69"/>
        <v>100</v>
      </c>
      <c r="N174" s="51">
        <f t="shared" si="70"/>
        <v>100</v>
      </c>
      <c r="O174" s="51"/>
      <c r="P174" s="51"/>
    </row>
    <row r="175" spans="1:16" s="71" customFormat="1" ht="18.75" x14ac:dyDescent="0.25">
      <c r="A175" s="21"/>
      <c r="B175" s="33"/>
      <c r="C175" s="27"/>
      <c r="D175" s="22" t="s">
        <v>164</v>
      </c>
      <c r="E175" s="48">
        <f t="shared" si="61"/>
        <v>0</v>
      </c>
      <c r="F175" s="49"/>
      <c r="G175" s="49"/>
      <c r="H175" s="49"/>
      <c r="I175" s="53"/>
      <c r="J175" s="59"/>
      <c r="K175" s="59"/>
      <c r="L175" s="59"/>
      <c r="M175" s="51"/>
      <c r="N175" s="51"/>
      <c r="O175" s="51"/>
      <c r="P175" s="51"/>
    </row>
    <row r="176" spans="1:16" s="71" customFormat="1" ht="168.75" x14ac:dyDescent="0.25">
      <c r="A176" s="23"/>
      <c r="B176" s="23"/>
      <c r="C176" s="34"/>
      <c r="D176" s="24" t="s">
        <v>333</v>
      </c>
      <c r="E176" s="53">
        <f t="shared" si="61"/>
        <v>1420000</v>
      </c>
      <c r="F176" s="54">
        <v>1420000</v>
      </c>
      <c r="G176" s="54"/>
      <c r="H176" s="54"/>
      <c r="I176" s="53">
        <f t="shared" si="63"/>
        <v>1420000</v>
      </c>
      <c r="J176" s="59">
        <v>1420000</v>
      </c>
      <c r="K176" s="59"/>
      <c r="L176" s="59"/>
      <c r="M176" s="51">
        <f t="shared" si="69"/>
        <v>100</v>
      </c>
      <c r="N176" s="51">
        <f t="shared" si="70"/>
        <v>100</v>
      </c>
      <c r="O176" s="51"/>
      <c r="P176" s="51"/>
    </row>
    <row r="177" spans="1:16" s="71" customFormat="1" ht="37.5" x14ac:dyDescent="0.25">
      <c r="A177" s="23"/>
      <c r="B177" s="23"/>
      <c r="C177" s="34"/>
      <c r="D177" s="24" t="s">
        <v>334</v>
      </c>
      <c r="E177" s="53">
        <f t="shared" si="61"/>
        <v>200000</v>
      </c>
      <c r="F177" s="54">
        <v>200000</v>
      </c>
      <c r="G177" s="54"/>
      <c r="H177" s="54"/>
      <c r="I177" s="53">
        <f t="shared" si="63"/>
        <v>200000</v>
      </c>
      <c r="J177" s="59">
        <v>200000</v>
      </c>
      <c r="K177" s="59"/>
      <c r="L177" s="59"/>
      <c r="M177" s="51">
        <f t="shared" si="69"/>
        <v>100</v>
      </c>
      <c r="N177" s="51">
        <f t="shared" si="70"/>
        <v>100</v>
      </c>
      <c r="O177" s="51"/>
      <c r="P177" s="51"/>
    </row>
    <row r="178" spans="1:16" s="71" customFormat="1" ht="31.5" x14ac:dyDescent="0.25">
      <c r="A178" s="23"/>
      <c r="B178" s="23"/>
      <c r="C178" s="34"/>
      <c r="D178" s="89" t="s">
        <v>359</v>
      </c>
      <c r="E178" s="53">
        <f t="shared" si="61"/>
        <v>500000</v>
      </c>
      <c r="F178" s="54">
        <v>500000</v>
      </c>
      <c r="G178" s="54"/>
      <c r="H178" s="54"/>
      <c r="I178" s="53">
        <f t="shared" si="63"/>
        <v>500000</v>
      </c>
      <c r="J178" s="59">
        <v>500000</v>
      </c>
      <c r="K178" s="59"/>
      <c r="L178" s="59"/>
      <c r="M178" s="51">
        <f t="shared" si="69"/>
        <v>100</v>
      </c>
      <c r="N178" s="51">
        <f t="shared" si="70"/>
        <v>100</v>
      </c>
      <c r="O178" s="51"/>
      <c r="P178" s="51"/>
    </row>
    <row r="179" spans="1:16" s="71" customFormat="1" ht="31.5" x14ac:dyDescent="0.25">
      <c r="A179" s="23"/>
      <c r="B179" s="23"/>
      <c r="C179" s="34"/>
      <c r="D179" s="89" t="s">
        <v>360</v>
      </c>
      <c r="E179" s="53">
        <f t="shared" si="61"/>
        <v>200000</v>
      </c>
      <c r="F179" s="54">
        <v>200000</v>
      </c>
      <c r="G179" s="54"/>
      <c r="H179" s="54"/>
      <c r="I179" s="53">
        <f t="shared" si="63"/>
        <v>200000</v>
      </c>
      <c r="J179" s="59">
        <v>200000</v>
      </c>
      <c r="K179" s="59"/>
      <c r="L179" s="59"/>
      <c r="M179" s="51">
        <f t="shared" si="69"/>
        <v>100</v>
      </c>
      <c r="N179" s="51">
        <f t="shared" si="70"/>
        <v>100</v>
      </c>
      <c r="O179" s="51"/>
      <c r="P179" s="51"/>
    </row>
    <row r="180" spans="1:16" s="71" customFormat="1" ht="31.5" x14ac:dyDescent="0.25">
      <c r="A180" s="23"/>
      <c r="B180" s="23"/>
      <c r="C180" s="34"/>
      <c r="D180" s="89" t="s">
        <v>381</v>
      </c>
      <c r="E180" s="53">
        <f t="shared" si="61"/>
        <v>18000000</v>
      </c>
      <c r="F180" s="54">
        <v>18000000</v>
      </c>
      <c r="G180" s="54"/>
      <c r="H180" s="54"/>
      <c r="I180" s="53">
        <f t="shared" si="63"/>
        <v>18000000</v>
      </c>
      <c r="J180" s="59">
        <v>18000000</v>
      </c>
      <c r="K180" s="59"/>
      <c r="L180" s="59"/>
      <c r="M180" s="51">
        <f t="shared" si="69"/>
        <v>100</v>
      </c>
      <c r="N180" s="51">
        <f t="shared" si="70"/>
        <v>100</v>
      </c>
      <c r="O180" s="51"/>
      <c r="P180" s="51"/>
    </row>
    <row r="181" spans="1:16" s="71" customFormat="1" ht="75" x14ac:dyDescent="0.25">
      <c r="A181" s="25">
        <v>3719800</v>
      </c>
      <c r="B181" s="25">
        <v>9800</v>
      </c>
      <c r="C181" s="27" t="s">
        <v>10</v>
      </c>
      <c r="D181" s="22" t="s">
        <v>241</v>
      </c>
      <c r="E181" s="48">
        <f t="shared" si="61"/>
        <v>30222500</v>
      </c>
      <c r="F181" s="49">
        <f>SUM(F183:F189)</f>
        <v>26112390</v>
      </c>
      <c r="G181" s="49">
        <f>SUM(G183:G189)</f>
        <v>4110110</v>
      </c>
      <c r="H181" s="49">
        <f>SUM(H183:H189)</f>
        <v>4110110</v>
      </c>
      <c r="I181" s="49">
        <f t="shared" ref="I181" si="79">SUM(I183:I189)</f>
        <v>25222500</v>
      </c>
      <c r="J181" s="49">
        <f>SUM(J183:J189)</f>
        <v>21112390</v>
      </c>
      <c r="K181" s="49">
        <f>SUM(K183:K189)</f>
        <v>4110110</v>
      </c>
      <c r="L181" s="49">
        <f>SUM(L183:L189)</f>
        <v>4110110</v>
      </c>
      <c r="M181" s="51">
        <f t="shared" si="69"/>
        <v>83.456034411448428</v>
      </c>
      <c r="N181" s="51">
        <f t="shared" si="70"/>
        <v>80.852001674300979</v>
      </c>
      <c r="O181" s="51">
        <f t="shared" si="76"/>
        <v>100</v>
      </c>
      <c r="P181" s="51">
        <f t="shared" si="77"/>
        <v>100</v>
      </c>
    </row>
    <row r="182" spans="1:16" s="71" customFormat="1" ht="18.75" x14ac:dyDescent="0.25">
      <c r="A182" s="25"/>
      <c r="B182" s="25"/>
      <c r="C182" s="27"/>
      <c r="D182" s="22" t="s">
        <v>164</v>
      </c>
      <c r="E182" s="48"/>
      <c r="F182" s="49"/>
      <c r="G182" s="49"/>
      <c r="H182" s="49"/>
      <c r="I182" s="53"/>
      <c r="J182" s="59"/>
      <c r="K182" s="59"/>
      <c r="L182" s="59"/>
      <c r="M182" s="51"/>
      <c r="N182" s="51"/>
      <c r="O182" s="51"/>
      <c r="P182" s="51"/>
    </row>
    <row r="183" spans="1:16" s="71" customFormat="1" ht="75" x14ac:dyDescent="0.25">
      <c r="A183" s="25"/>
      <c r="B183" s="25"/>
      <c r="C183" s="27"/>
      <c r="D183" s="73" t="s">
        <v>291</v>
      </c>
      <c r="E183" s="53">
        <f t="shared" si="61"/>
        <v>1812000</v>
      </c>
      <c r="F183" s="54">
        <v>1446750</v>
      </c>
      <c r="G183" s="54">
        <v>365250</v>
      </c>
      <c r="H183" s="54">
        <v>365250</v>
      </c>
      <c r="I183" s="53">
        <f t="shared" si="63"/>
        <v>1812000</v>
      </c>
      <c r="J183" s="59">
        <v>1446750</v>
      </c>
      <c r="K183" s="59">
        <v>365250</v>
      </c>
      <c r="L183" s="59">
        <v>365250</v>
      </c>
      <c r="M183" s="51">
        <f t="shared" si="69"/>
        <v>100</v>
      </c>
      <c r="N183" s="51">
        <f t="shared" si="70"/>
        <v>100</v>
      </c>
      <c r="O183" s="51">
        <f t="shared" si="76"/>
        <v>100</v>
      </c>
      <c r="P183" s="51">
        <f t="shared" si="77"/>
        <v>100</v>
      </c>
    </row>
    <row r="184" spans="1:16" s="47" customFormat="1" ht="116.45" customHeight="1" x14ac:dyDescent="0.25">
      <c r="A184" s="35"/>
      <c r="B184" s="35"/>
      <c r="C184" s="34"/>
      <c r="D184" s="23" t="s">
        <v>335</v>
      </c>
      <c r="E184" s="53">
        <f t="shared" si="61"/>
        <v>22596000</v>
      </c>
      <c r="F184" s="54">
        <v>22186500</v>
      </c>
      <c r="G184" s="54">
        <v>409500</v>
      </c>
      <c r="H184" s="54">
        <v>409500</v>
      </c>
      <c r="I184" s="53">
        <f t="shared" si="63"/>
        <v>17596000</v>
      </c>
      <c r="J184" s="59">
        <v>17186500</v>
      </c>
      <c r="K184" s="59">
        <v>409500</v>
      </c>
      <c r="L184" s="59">
        <v>409500</v>
      </c>
      <c r="M184" s="51">
        <f t="shared" si="69"/>
        <v>77.872189768100554</v>
      </c>
      <c r="N184" s="51">
        <f t="shared" si="70"/>
        <v>77.463773015121802</v>
      </c>
      <c r="O184" s="51">
        <f t="shared" si="76"/>
        <v>100</v>
      </c>
      <c r="P184" s="51">
        <f t="shared" si="77"/>
        <v>100</v>
      </c>
    </row>
    <row r="185" spans="1:16" s="47" customFormat="1" ht="75.75" customHeight="1" x14ac:dyDescent="0.25">
      <c r="A185" s="35"/>
      <c r="B185" s="35"/>
      <c r="C185" s="34"/>
      <c r="D185" s="24" t="s">
        <v>336</v>
      </c>
      <c r="E185" s="53">
        <f t="shared" si="61"/>
        <v>255000</v>
      </c>
      <c r="F185" s="54">
        <v>255000</v>
      </c>
      <c r="G185" s="54"/>
      <c r="H185" s="54"/>
      <c r="I185" s="53">
        <f t="shared" si="63"/>
        <v>255000</v>
      </c>
      <c r="J185" s="59">
        <v>255000</v>
      </c>
      <c r="K185" s="59"/>
      <c r="L185" s="59"/>
      <c r="M185" s="51">
        <f t="shared" si="69"/>
        <v>100</v>
      </c>
      <c r="N185" s="51">
        <f t="shared" si="70"/>
        <v>100</v>
      </c>
      <c r="O185" s="51"/>
      <c r="P185" s="51"/>
    </row>
    <row r="186" spans="1:16" s="47" customFormat="1" ht="93" customHeight="1" x14ac:dyDescent="0.25">
      <c r="A186" s="35"/>
      <c r="B186" s="35"/>
      <c r="C186" s="34"/>
      <c r="D186" s="24" t="s">
        <v>337</v>
      </c>
      <c r="E186" s="53">
        <f t="shared" si="61"/>
        <v>2530000</v>
      </c>
      <c r="F186" s="54">
        <v>2105000</v>
      </c>
      <c r="G186" s="54">
        <v>425000</v>
      </c>
      <c r="H186" s="54">
        <v>425000</v>
      </c>
      <c r="I186" s="53">
        <f t="shared" si="63"/>
        <v>2530000</v>
      </c>
      <c r="J186" s="59">
        <v>2105000</v>
      </c>
      <c r="K186" s="59">
        <v>425000</v>
      </c>
      <c r="L186" s="59">
        <v>425000</v>
      </c>
      <c r="M186" s="51">
        <f t="shared" si="69"/>
        <v>100</v>
      </c>
      <c r="N186" s="51">
        <f t="shared" si="70"/>
        <v>100</v>
      </c>
      <c r="O186" s="51">
        <f t="shared" si="76"/>
        <v>100</v>
      </c>
      <c r="P186" s="51">
        <f t="shared" si="77"/>
        <v>100</v>
      </c>
    </row>
    <row r="187" spans="1:16" s="52" customFormat="1" ht="71.25" customHeight="1" x14ac:dyDescent="0.25">
      <c r="A187" s="35"/>
      <c r="B187" s="35"/>
      <c r="C187" s="34"/>
      <c r="D187" s="24" t="s">
        <v>338</v>
      </c>
      <c r="E187" s="53">
        <f t="shared" si="61"/>
        <v>1029500</v>
      </c>
      <c r="F187" s="54"/>
      <c r="G187" s="54">
        <v>1029500</v>
      </c>
      <c r="H187" s="54">
        <v>1029500</v>
      </c>
      <c r="I187" s="53">
        <f t="shared" si="63"/>
        <v>1029500</v>
      </c>
      <c r="J187" s="59">
        <v>0</v>
      </c>
      <c r="K187" s="54">
        <v>1029500</v>
      </c>
      <c r="L187" s="54">
        <v>1029500</v>
      </c>
      <c r="M187" s="51">
        <f t="shared" si="69"/>
        <v>100</v>
      </c>
      <c r="N187" s="51"/>
      <c r="O187" s="51">
        <f t="shared" si="76"/>
        <v>100</v>
      </c>
      <c r="P187" s="51">
        <f t="shared" si="77"/>
        <v>100</v>
      </c>
    </row>
    <row r="188" spans="1:16" s="52" customFormat="1" ht="81" customHeight="1" x14ac:dyDescent="0.25">
      <c r="A188" s="35"/>
      <c r="B188" s="35"/>
      <c r="C188" s="34"/>
      <c r="D188" s="24" t="s">
        <v>361</v>
      </c>
      <c r="E188" s="53">
        <f t="shared" si="61"/>
        <v>500000</v>
      </c>
      <c r="F188" s="54">
        <v>119140</v>
      </c>
      <c r="G188" s="54">
        <v>380860</v>
      </c>
      <c r="H188" s="54">
        <v>380860</v>
      </c>
      <c r="I188" s="53">
        <f t="shared" si="63"/>
        <v>500000</v>
      </c>
      <c r="J188" s="59">
        <v>119140</v>
      </c>
      <c r="K188" s="59">
        <v>380860</v>
      </c>
      <c r="L188" s="59">
        <v>380860</v>
      </c>
      <c r="M188" s="51">
        <f t="shared" si="69"/>
        <v>100</v>
      </c>
      <c r="N188" s="51">
        <f t="shared" si="70"/>
        <v>100</v>
      </c>
      <c r="O188" s="51">
        <f t="shared" si="76"/>
        <v>100</v>
      </c>
      <c r="P188" s="51">
        <f t="shared" si="77"/>
        <v>100</v>
      </c>
    </row>
    <row r="189" spans="1:16" s="52" customFormat="1" ht="174" customHeight="1" x14ac:dyDescent="0.25">
      <c r="A189" s="35"/>
      <c r="B189" s="35"/>
      <c r="C189" s="34"/>
      <c r="D189" s="24" t="s">
        <v>362</v>
      </c>
      <c r="E189" s="53">
        <f t="shared" si="61"/>
        <v>1500000</v>
      </c>
      <c r="F189" s="54"/>
      <c r="G189" s="54">
        <v>1500000</v>
      </c>
      <c r="H189" s="54">
        <v>1500000</v>
      </c>
      <c r="I189" s="53">
        <f t="shared" si="63"/>
        <v>1500000</v>
      </c>
      <c r="J189" s="59"/>
      <c r="K189" s="59">
        <v>1500000</v>
      </c>
      <c r="L189" s="59">
        <v>1500000</v>
      </c>
      <c r="M189" s="51">
        <f t="shared" si="69"/>
        <v>100</v>
      </c>
      <c r="N189" s="51"/>
      <c r="O189" s="51">
        <f t="shared" si="76"/>
        <v>100</v>
      </c>
      <c r="P189" s="51">
        <f t="shared" si="77"/>
        <v>100</v>
      </c>
    </row>
    <row r="190" spans="1:16" s="52" customFormat="1" ht="18.75" x14ac:dyDescent="0.25">
      <c r="A190" s="36" t="s">
        <v>292</v>
      </c>
      <c r="B190" s="19" t="s">
        <v>292</v>
      </c>
      <c r="C190" s="19" t="s">
        <v>292</v>
      </c>
      <c r="D190" s="19" t="s">
        <v>293</v>
      </c>
      <c r="E190" s="42">
        <f>F190+G190</f>
        <v>1247704164.04</v>
      </c>
      <c r="F190" s="42">
        <f>F16+F44+F67+F93+F104+F113+F136+F158+F168+F89</f>
        <v>975228628.94999993</v>
      </c>
      <c r="G190" s="42">
        <f t="shared" ref="G190:L190" si="80">G16+G44+G67+G93+G104+G113+G136+G158+G168+G89</f>
        <v>272475535.09000003</v>
      </c>
      <c r="H190" s="42">
        <f t="shared" si="80"/>
        <v>244414166.49000001</v>
      </c>
      <c r="I190" s="42">
        <f t="shared" si="80"/>
        <v>698298672.30999994</v>
      </c>
      <c r="J190" s="42">
        <f t="shared" si="80"/>
        <v>627544606.99000001</v>
      </c>
      <c r="K190" s="42">
        <f t="shared" si="80"/>
        <v>70754065.319999993</v>
      </c>
      <c r="L190" s="42">
        <f t="shared" si="80"/>
        <v>55179594.11999999</v>
      </c>
      <c r="M190" s="44">
        <f t="shared" si="69"/>
        <v>55.96668604911487</v>
      </c>
      <c r="N190" s="44">
        <f t="shared" si="70"/>
        <v>64.348460285221407</v>
      </c>
      <c r="O190" s="44">
        <f t="shared" si="76"/>
        <v>25.967125928068945</v>
      </c>
      <c r="P190" s="44">
        <f t="shared" si="77"/>
        <v>22.5762667166257</v>
      </c>
    </row>
    <row r="191" spans="1:16" s="52" customFormat="1" ht="18.75" x14ac:dyDescent="0.25">
      <c r="A191" s="74"/>
      <c r="B191" s="74"/>
      <c r="C191" s="75" t="s">
        <v>227</v>
      </c>
      <c r="D191" s="76" t="s">
        <v>228</v>
      </c>
      <c r="E191" s="77">
        <f>F191+G191</f>
        <v>107508958.42</v>
      </c>
      <c r="F191" s="60">
        <f>F18+F23+F24+F46+F47+F69+F70+F95+F96+F115+F139+F140+F160+F161+F170+F171+F106+F107+F116+F117+F91</f>
        <v>104769429</v>
      </c>
      <c r="G191" s="60">
        <f>G18+G23+G24+G46+G47+G69+G70+G95+G96+G115+G139+G140+G160+G161+G170+G171+G106+G107+G116+G117+G138+G91</f>
        <v>2739529.42</v>
      </c>
      <c r="H191" s="60">
        <f>H18+H23+H24+H46+H47+H69+H70+H95+H96+H115+H139+H140+H160+H161+H170+H171+H106+H107+H116+H117+H138+H91</f>
        <v>2599029.42</v>
      </c>
      <c r="I191" s="48">
        <f t="shared" si="63"/>
        <v>73968053.170000002</v>
      </c>
      <c r="J191" s="60">
        <f>J18+J23+J24+J46+J47+J69+J70+J95+J96+J115+J139+J140+J160+J161+J170+J171+J106+J107+J116+J117+J91</f>
        <v>72525841.159999996</v>
      </c>
      <c r="K191" s="60">
        <f>K18+K23+K24+K46+K47+K69+K70+K95+K96+K115+K139+K140+K160+K161+K170+K171+K106+K107+K116+K117+K138+K91</f>
        <v>1442212.0099999998</v>
      </c>
      <c r="L191" s="60">
        <f>L18+L23+L24+L46+L47+L69+L70+L95+L96+L115+L139+L140+L160+L161+L170+L171+L106+L107+L116+L117+L138+L91</f>
        <v>1142615.44</v>
      </c>
      <c r="M191" s="51">
        <f t="shared" si="69"/>
        <v>68.801757785646672</v>
      </c>
      <c r="N191" s="51">
        <f t="shared" si="70"/>
        <v>69.224240174106512</v>
      </c>
      <c r="O191" s="51">
        <f t="shared" si="76"/>
        <v>52.644516224979974</v>
      </c>
      <c r="P191" s="51">
        <f t="shared" si="77"/>
        <v>43.963159139614511</v>
      </c>
    </row>
    <row r="192" spans="1:16" s="52" customFormat="1" ht="18.75" x14ac:dyDescent="0.25">
      <c r="A192" s="74"/>
      <c r="B192" s="74"/>
      <c r="C192" s="75" t="s">
        <v>229</v>
      </c>
      <c r="D192" s="76" t="s">
        <v>230</v>
      </c>
      <c r="E192" s="77">
        <f t="shared" ref="E192:E200" si="81">F192+G192</f>
        <v>431028645</v>
      </c>
      <c r="F192" s="77">
        <f t="shared" ref="F192:L192" si="82">F48+F49+F50+F51+F52+F53+F54+F55+F56+F57+F58+F59+F97</f>
        <v>402259549</v>
      </c>
      <c r="G192" s="77">
        <f t="shared" si="82"/>
        <v>28769096</v>
      </c>
      <c r="H192" s="77">
        <f t="shared" si="82"/>
        <v>22447596</v>
      </c>
      <c r="I192" s="77">
        <f t="shared" si="82"/>
        <v>254384531.44999999</v>
      </c>
      <c r="J192" s="77">
        <f t="shared" si="82"/>
        <v>247488909.49999997</v>
      </c>
      <c r="K192" s="77">
        <f t="shared" si="82"/>
        <v>6895621.9500000002</v>
      </c>
      <c r="L192" s="77">
        <f t="shared" si="82"/>
        <v>758161.42</v>
      </c>
      <c r="M192" s="51">
        <f t="shared" ref="M192:M200" si="83">I192/E192*100</f>
        <v>59.018010612728531</v>
      </c>
      <c r="N192" s="51">
        <f t="shared" ref="N192:N200" si="84">J192/F192*100</f>
        <v>61.524682289145602</v>
      </c>
      <c r="O192" s="51">
        <f t="shared" ref="O192:O200" si="85">K192/G192*100</f>
        <v>23.968851680289156</v>
      </c>
      <c r="P192" s="51">
        <f t="shared" ref="P192:P200" si="86">L192/H192*100</f>
        <v>3.3774726701246758</v>
      </c>
    </row>
    <row r="193" spans="1:16" s="52" customFormat="1" ht="18.75" x14ac:dyDescent="0.25">
      <c r="A193" s="74"/>
      <c r="B193" s="74"/>
      <c r="C193" s="75" t="s">
        <v>231</v>
      </c>
      <c r="D193" s="76" t="s">
        <v>232</v>
      </c>
      <c r="E193" s="77">
        <f t="shared" si="81"/>
        <v>58181650.159999996</v>
      </c>
      <c r="F193" s="77">
        <f t="shared" ref="F193:L193" si="87">F25+F26+F27+F28+F141</f>
        <v>45566109.999999993</v>
      </c>
      <c r="G193" s="77">
        <f t="shared" si="87"/>
        <v>12615540.16</v>
      </c>
      <c r="H193" s="77">
        <f t="shared" si="87"/>
        <v>12615540.16</v>
      </c>
      <c r="I193" s="77">
        <f t="shared" si="87"/>
        <v>28191510.340000004</v>
      </c>
      <c r="J193" s="77">
        <f t="shared" si="87"/>
        <v>27733708.250000004</v>
      </c>
      <c r="K193" s="77">
        <f t="shared" si="87"/>
        <v>457802.09</v>
      </c>
      <c r="L193" s="77">
        <f t="shared" si="87"/>
        <v>457802.09</v>
      </c>
      <c r="M193" s="51">
        <f t="shared" si="83"/>
        <v>48.45429832683179</v>
      </c>
      <c r="N193" s="51">
        <f t="shared" si="84"/>
        <v>60.86477044013634</v>
      </c>
      <c r="O193" s="51">
        <f t="shared" si="85"/>
        <v>3.6288742629629902</v>
      </c>
      <c r="P193" s="51">
        <f t="shared" si="86"/>
        <v>3.6288742629629902</v>
      </c>
    </row>
    <row r="194" spans="1:16" s="52" customFormat="1" ht="37.5" x14ac:dyDescent="0.25">
      <c r="A194" s="74"/>
      <c r="B194" s="74"/>
      <c r="C194" s="75" t="s">
        <v>233</v>
      </c>
      <c r="D194" s="76" t="s">
        <v>234</v>
      </c>
      <c r="E194" s="77">
        <f t="shared" si="81"/>
        <v>99496821.140000001</v>
      </c>
      <c r="F194" s="77">
        <f>F30+F29+F63+F71+F72+F73+F74+F75+F76+F77+F78+F79+F80+F81+F85+F86+F108+F118+F62+F98+F92</f>
        <v>87260580.140000001</v>
      </c>
      <c r="G194" s="77">
        <f>G30+G29+G63+G71+G72+G73+G74+G75+G76+G77+G78+G79+G80+G81+G85+G86+G108+G118+G62+G98+G92+G83+G84+G82</f>
        <v>12236241</v>
      </c>
      <c r="H194" s="77">
        <f>H30+H29+H63+H71+H72+H73+H74+H75+H76+H77+H78+H79+H80+H81+H85+H86+H108+H118+H62+H98+H92+H83+H84+H82</f>
        <v>12179841</v>
      </c>
      <c r="I194" s="77">
        <f>I30+I29+I63+I71+I72+I73+I74+I75+I76+I77+I78+I79+I80+I81+I85+I86+I108+I118+I62+I98+I92+I83+I84</f>
        <v>68187629.829999998</v>
      </c>
      <c r="J194" s="77">
        <f>J30+J29+J63+J71+J72+J73+J74+J75+J76+J77+J78+J79+J80+J81+J85+J86+J108+J118+J62+J98+J92</f>
        <v>59212312.509999998</v>
      </c>
      <c r="K194" s="77">
        <f>K30+K29+K63+K71+K72+K73+K74+K75+K76+K77+K78+K79+K80+K81+K85+K86+K108+K118+K62+K98+K92+K83+K84</f>
        <v>8975317.3200000003</v>
      </c>
      <c r="L194" s="77">
        <f>L30+L29+L63+L71+L72+L73+L74+L75+L76+L77+L78+L79+L80+L81+L85+L86+L108+L118+L62+L98+L92+L83+L84</f>
        <v>4593831.82</v>
      </c>
      <c r="M194" s="51">
        <f t="shared" si="83"/>
        <v>68.532470734974069</v>
      </c>
      <c r="N194" s="51">
        <f t="shared" si="84"/>
        <v>67.856886139194074</v>
      </c>
      <c r="O194" s="51">
        <f t="shared" si="85"/>
        <v>73.350282329352623</v>
      </c>
      <c r="P194" s="51">
        <f t="shared" si="86"/>
        <v>37.716681358976686</v>
      </c>
    </row>
    <row r="195" spans="1:16" s="52" customFormat="1" ht="18.75" x14ac:dyDescent="0.25">
      <c r="A195" s="74"/>
      <c r="B195" s="74"/>
      <c r="C195" s="75" t="s">
        <v>235</v>
      </c>
      <c r="D195" s="76" t="s">
        <v>236</v>
      </c>
      <c r="E195" s="77">
        <f t="shared" si="81"/>
        <v>26870900</v>
      </c>
      <c r="F195" s="77">
        <f t="shared" ref="F195:L195" si="88">F99+F100+F101+F102+F103</f>
        <v>26454900</v>
      </c>
      <c r="G195" s="77">
        <f t="shared" si="88"/>
        <v>416000</v>
      </c>
      <c r="H195" s="77">
        <f t="shared" si="88"/>
        <v>94000</v>
      </c>
      <c r="I195" s="77">
        <f t="shared" si="88"/>
        <v>17461138.57</v>
      </c>
      <c r="J195" s="77">
        <f t="shared" si="88"/>
        <v>17028298.34</v>
      </c>
      <c r="K195" s="77">
        <f t="shared" si="88"/>
        <v>432840.23</v>
      </c>
      <c r="L195" s="77">
        <f t="shared" si="88"/>
        <v>94000</v>
      </c>
      <c r="M195" s="51">
        <f t="shared" si="83"/>
        <v>64.981591870759814</v>
      </c>
      <c r="N195" s="51">
        <f t="shared" si="84"/>
        <v>64.367275400776407</v>
      </c>
      <c r="O195" s="51">
        <f t="shared" si="85"/>
        <v>104.04813221153846</v>
      </c>
      <c r="P195" s="51">
        <f t="shared" si="86"/>
        <v>100</v>
      </c>
    </row>
    <row r="196" spans="1:16" s="52" customFormat="1" ht="18.75" x14ac:dyDescent="0.25">
      <c r="A196" s="74"/>
      <c r="B196" s="74"/>
      <c r="C196" s="75" t="s">
        <v>237</v>
      </c>
      <c r="D196" s="76" t="s">
        <v>238</v>
      </c>
      <c r="E196" s="77">
        <f t="shared" si="81"/>
        <v>13698898</v>
      </c>
      <c r="F196" s="77">
        <f>F64+F109+F110+F112+F111</f>
        <v>13698898</v>
      </c>
      <c r="G196" s="77"/>
      <c r="H196" s="77"/>
      <c r="I196" s="48">
        <f t="shared" si="63"/>
        <v>7937984.4299999997</v>
      </c>
      <c r="J196" s="77">
        <f>J64+J109+J110+J112+J111</f>
        <v>7937984.4299999997</v>
      </c>
      <c r="K196" s="77"/>
      <c r="L196" s="77"/>
      <c r="M196" s="51">
        <f t="shared" si="83"/>
        <v>57.94615325991915</v>
      </c>
      <c r="N196" s="51">
        <f t="shared" si="84"/>
        <v>57.94615325991915</v>
      </c>
      <c r="O196" s="51"/>
      <c r="P196" s="51"/>
    </row>
    <row r="197" spans="1:16" s="52" customFormat="1" ht="18.75" x14ac:dyDescent="0.25">
      <c r="A197" s="74"/>
      <c r="B197" s="74"/>
      <c r="C197" s="75" t="s">
        <v>239</v>
      </c>
      <c r="D197" s="76" t="s">
        <v>240</v>
      </c>
      <c r="E197" s="77">
        <f>F197+G197</f>
        <v>217201339.68000001</v>
      </c>
      <c r="F197" s="77">
        <f t="shared" ref="F197:L197" si="89">F31+F119+F120+F121+F122+F123+F124+F142+F144+F145+F146+F162+F87+F143+F147</f>
        <v>111875314.13</v>
      </c>
      <c r="G197" s="77">
        <f t="shared" si="89"/>
        <v>105326025.55</v>
      </c>
      <c r="H197" s="77">
        <f t="shared" si="89"/>
        <v>105326025.55</v>
      </c>
      <c r="I197" s="77">
        <f t="shared" si="89"/>
        <v>89736492.739999995</v>
      </c>
      <c r="J197" s="77">
        <f t="shared" si="89"/>
        <v>72500519.460000008</v>
      </c>
      <c r="K197" s="77">
        <f t="shared" si="89"/>
        <v>17235973.280000001</v>
      </c>
      <c r="L197" s="77">
        <f t="shared" si="89"/>
        <v>17235973.280000001</v>
      </c>
      <c r="M197" s="51">
        <f t="shared" si="83"/>
        <v>41.314889158698392</v>
      </c>
      <c r="N197" s="51">
        <f t="shared" si="84"/>
        <v>64.80475163247705</v>
      </c>
      <c r="O197" s="51">
        <f t="shared" si="85"/>
        <v>16.364401096496138</v>
      </c>
      <c r="P197" s="51">
        <f t="shared" si="86"/>
        <v>16.364401096496138</v>
      </c>
    </row>
    <row r="198" spans="1:16" s="52" customFormat="1" ht="18.75" x14ac:dyDescent="0.25">
      <c r="A198" s="74"/>
      <c r="B198" s="74"/>
      <c r="C198" s="75" t="s">
        <v>339</v>
      </c>
      <c r="D198" s="76" t="s">
        <v>340</v>
      </c>
      <c r="E198" s="77">
        <f t="shared" si="81"/>
        <v>155901966.01999998</v>
      </c>
      <c r="F198" s="77">
        <f>F126+F148+F149+F150+F151+F36+F37+F125+F163+F127+F38+F128+F129+F130+F153+F165+F164</f>
        <v>80691460</v>
      </c>
      <c r="G198" s="77">
        <f>G126+G148+G149+G150+G151+G36+G37+G125+G163+G127+G38+G128+G129+G130+G153+G165+G164+G152+G131</f>
        <v>75210506.019999981</v>
      </c>
      <c r="H198" s="77">
        <f>H126+H148+H149+H150+H151+H36+H37+H125+H163+H127+H38+H128+H129+H130+H153+H165+H164+H152</f>
        <v>55534242.859999992</v>
      </c>
      <c r="I198" s="77">
        <f>I126+I148+I149+I150+I151+I36+I37+I125+I163+I127+I38+I128+I129+I130+I153+I165+I164+I131+I152</f>
        <v>67336260.560000002</v>
      </c>
      <c r="J198" s="77">
        <f>J126+J148+J149+J150+J151+J36+J37+J125+J163+J127+J38+J128+J129+J130+J153+J165+J164</f>
        <v>51876577.799999997</v>
      </c>
      <c r="K198" s="77">
        <f>K126+K148+K149+K150+K151+K36+K37+K125+K163+K127+K38+K128+K129+K130+K153+K165+K164+K152+K131</f>
        <v>15459682.76</v>
      </c>
      <c r="L198" s="77">
        <f>L126+L148+L149+L150+L151+L36+L37+L125+L163+L127+L38+L128+L129+L130+L153+L165+L164+L152</f>
        <v>11830930.77</v>
      </c>
      <c r="M198" s="51">
        <f t="shared" si="83"/>
        <v>43.191412064272313</v>
      </c>
      <c r="N198" s="51">
        <f t="shared" si="84"/>
        <v>64.290047298685622</v>
      </c>
      <c r="O198" s="51">
        <f t="shared" si="85"/>
        <v>20.555217054235694</v>
      </c>
      <c r="P198" s="51">
        <f t="shared" si="86"/>
        <v>21.303848149735991</v>
      </c>
    </row>
    <row r="199" spans="1:16" s="52" customFormat="1" ht="18.75" x14ac:dyDescent="0.25">
      <c r="A199" s="74"/>
      <c r="B199" s="74"/>
      <c r="C199" s="75" t="s">
        <v>342</v>
      </c>
      <c r="D199" s="76" t="s">
        <v>341</v>
      </c>
      <c r="E199" s="77">
        <f t="shared" si="81"/>
        <v>76977785.620000005</v>
      </c>
      <c r="F199" s="77">
        <f>F39+F65+F132+F154+F88+F166+F40+F41+F42+F167+F133+F66+F43+F134+F156+F172+F135</f>
        <v>45925298.68</v>
      </c>
      <c r="G199" s="77">
        <f>G39+G65+G132+G154+G88+G166+G40+G41+G42+G167+G133+G66+G43+G134+G156+G172+G135+G155+G157</f>
        <v>31052486.940000001</v>
      </c>
      <c r="H199" s="77">
        <f>H39+H65+H132+H154+H88+H166+H40+H41+H42+H167+H133+H66+H43+H134+H156+H172+H135+H155+H157</f>
        <v>29507781.5</v>
      </c>
      <c r="I199" s="77">
        <f>I39+I65+I132+I154+I88+I166+I40+I41+I42+I167+I133+I66+I43+I134+I156+I172+I135+I155</f>
        <v>37831471.219999999</v>
      </c>
      <c r="J199" s="77">
        <f>J39+J65+J132+J154+J88+J166+J40+J41+J42+J167+J133+J66+J43+J134+J156+J172+J135</f>
        <v>22086965.539999999</v>
      </c>
      <c r="K199" s="77">
        <f>K39+K65+K132+K154+K88+K166+K40+K41+K42+K167+K133+K66+K43+K134+K156+K172+K135+K155</f>
        <v>15744505.68</v>
      </c>
      <c r="L199" s="77">
        <f>L39+L65+L132+L154+L88+L166+L40+L41+L42+L167+L133+L66+L43+L134+L156+L172+L135+L155</f>
        <v>14956169.300000001</v>
      </c>
      <c r="M199" s="51">
        <f t="shared" si="83"/>
        <v>49.145959337872668</v>
      </c>
      <c r="N199" s="51">
        <f t="shared" si="84"/>
        <v>48.093243103106147</v>
      </c>
      <c r="O199" s="51">
        <f t="shared" si="85"/>
        <v>50.702881577316901</v>
      </c>
      <c r="P199" s="51">
        <f t="shared" si="86"/>
        <v>50.685509176621771</v>
      </c>
    </row>
    <row r="200" spans="1:16" s="52" customFormat="1" ht="18.75" x14ac:dyDescent="0.25">
      <c r="A200" s="79"/>
      <c r="B200" s="79"/>
      <c r="C200" s="75" t="s">
        <v>343</v>
      </c>
      <c r="D200" s="78" t="s">
        <v>344</v>
      </c>
      <c r="E200" s="77">
        <f t="shared" si="81"/>
        <v>60837200</v>
      </c>
      <c r="F200" s="77">
        <f>F173+F174+F181</f>
        <v>56727090</v>
      </c>
      <c r="G200" s="77">
        <f>G173+G174+G181</f>
        <v>4110110</v>
      </c>
      <c r="H200" s="77">
        <f>H173+H174+H181</f>
        <v>4110110</v>
      </c>
      <c r="I200" s="48">
        <f t="shared" si="63"/>
        <v>53263600</v>
      </c>
      <c r="J200" s="77">
        <f>J173+J174+J181</f>
        <v>49153490</v>
      </c>
      <c r="K200" s="77">
        <f>K173+K174+K181</f>
        <v>4110110</v>
      </c>
      <c r="L200" s="77">
        <f>L173+L174+L181</f>
        <v>4110110</v>
      </c>
      <c r="M200" s="51">
        <f t="shared" si="83"/>
        <v>87.551037851840647</v>
      </c>
      <c r="N200" s="51">
        <f t="shared" si="84"/>
        <v>86.649059558669421</v>
      </c>
      <c r="O200" s="51">
        <f t="shared" si="85"/>
        <v>100</v>
      </c>
      <c r="P200" s="51">
        <f t="shared" si="86"/>
        <v>100</v>
      </c>
    </row>
    <row r="201" spans="1:16" s="41" customFormat="1" ht="20.25" x14ac:dyDescent="0.3">
      <c r="A201" s="39"/>
      <c r="B201" s="39"/>
      <c r="C201" s="39"/>
      <c r="D201" s="39" t="s">
        <v>1</v>
      </c>
      <c r="E201" s="40">
        <f>F201+G201</f>
        <v>1247704164.04</v>
      </c>
      <c r="F201" s="40">
        <f>SUM(F191:F200)</f>
        <v>975228628.94999993</v>
      </c>
      <c r="G201" s="40">
        <f t="shared" ref="G201:L201" si="90">SUM(G191:G200)</f>
        <v>272475535.08999997</v>
      </c>
      <c r="H201" s="40">
        <f t="shared" si="90"/>
        <v>244414166.48999998</v>
      </c>
      <c r="I201" s="40">
        <f t="shared" si="90"/>
        <v>698298672.30999994</v>
      </c>
      <c r="J201" s="40">
        <f t="shared" si="90"/>
        <v>627544606.98999989</v>
      </c>
      <c r="K201" s="40">
        <f t="shared" si="90"/>
        <v>70754065.319999993</v>
      </c>
      <c r="L201" s="40">
        <f t="shared" si="90"/>
        <v>55179594.120000005</v>
      </c>
      <c r="M201" s="91">
        <f t="shared" si="69"/>
        <v>55.96668604911487</v>
      </c>
      <c r="N201" s="91">
        <f t="shared" si="70"/>
        <v>64.348460285221392</v>
      </c>
      <c r="O201" s="91">
        <f t="shared" si="76"/>
        <v>25.967125928068953</v>
      </c>
      <c r="P201" s="91">
        <f t="shared" si="77"/>
        <v>22.576266716625707</v>
      </c>
    </row>
    <row r="202" spans="1:16" s="2" customFormat="1" ht="18.75" x14ac:dyDescent="0.3">
      <c r="A202" s="37"/>
      <c r="B202" s="37"/>
      <c r="C202" s="37"/>
      <c r="D202" s="17"/>
      <c r="E202" s="17"/>
      <c r="F202" s="18"/>
      <c r="G202" s="17"/>
      <c r="H202" s="17"/>
      <c r="I202" s="17"/>
      <c r="J202" s="17"/>
      <c r="K202" s="17"/>
      <c r="L202" s="17"/>
      <c r="M202" s="17"/>
      <c r="N202" s="17"/>
      <c r="O202" s="17"/>
      <c r="P202" s="17"/>
    </row>
    <row r="203" spans="1:16" s="2" customFormat="1" ht="18.75" x14ac:dyDescent="0.3">
      <c r="A203" s="37"/>
      <c r="B203" s="37"/>
      <c r="C203" s="37"/>
      <c r="D203" s="17"/>
      <c r="E203" s="18" t="s">
        <v>304</v>
      </c>
      <c r="F203" s="18"/>
      <c r="G203" s="18"/>
      <c r="H203" s="18">
        <f>H190-H201</f>
        <v>0</v>
      </c>
      <c r="I203" s="18"/>
      <c r="J203" s="18" t="s">
        <v>305</v>
      </c>
      <c r="K203" s="18"/>
      <c r="L203" s="18"/>
      <c r="M203" s="18"/>
      <c r="N203" s="18"/>
      <c r="O203" s="18"/>
      <c r="P203" s="18"/>
    </row>
    <row r="204" spans="1:16" s="2" customFormat="1" ht="18.75" x14ac:dyDescent="0.3">
      <c r="A204" s="37"/>
      <c r="B204" s="37"/>
      <c r="C204" s="37"/>
      <c r="D204" s="17"/>
      <c r="E204" s="18">
        <f>E201-E190</f>
        <v>0</v>
      </c>
      <c r="F204" s="18">
        <f>F201-F190</f>
        <v>0</v>
      </c>
      <c r="G204" s="18">
        <f>G201-G190</f>
        <v>0</v>
      </c>
      <c r="H204" s="18">
        <f>H201-H190</f>
        <v>0</v>
      </c>
      <c r="I204" s="18"/>
      <c r="J204" s="18">
        <f>J201-J190</f>
        <v>0</v>
      </c>
      <c r="K204" s="18"/>
      <c r="L204" s="18">
        <f>L201-L190</f>
        <v>0</v>
      </c>
      <c r="M204" s="18">
        <f>M201-M190</f>
        <v>0</v>
      </c>
      <c r="N204" s="18">
        <f>N201-N190</f>
        <v>0</v>
      </c>
      <c r="O204" s="18">
        <f>O201-O190</f>
        <v>0</v>
      </c>
      <c r="P204" s="18">
        <f>P201-P190</f>
        <v>0</v>
      </c>
    </row>
    <row r="205" spans="1:16" x14ac:dyDescent="0.25">
      <c r="A205" s="10"/>
      <c r="B205" s="10"/>
      <c r="C205" s="10"/>
      <c r="D205" s="9"/>
      <c r="E205" s="9"/>
      <c r="F205" s="9"/>
      <c r="G205" s="9"/>
      <c r="H205" s="9"/>
      <c r="J205" s="9"/>
      <c r="K205" s="38"/>
      <c r="L205" s="9"/>
      <c r="M205" s="9"/>
      <c r="N205" s="9"/>
      <c r="O205" s="9"/>
      <c r="P205" s="9"/>
    </row>
    <row r="206" spans="1:16" x14ac:dyDescent="0.25">
      <c r="A206" s="10"/>
      <c r="B206" s="10"/>
      <c r="C206" s="10"/>
      <c r="D206" s="9"/>
      <c r="E206" s="9"/>
      <c r="F206" s="9"/>
      <c r="G206" s="9"/>
      <c r="H206" s="9"/>
      <c r="I206" s="38"/>
      <c r="J206" s="9"/>
      <c r="K206" s="9"/>
      <c r="L206" s="9"/>
      <c r="M206" s="9"/>
      <c r="N206" s="9"/>
      <c r="O206" s="9"/>
      <c r="P206" s="9"/>
    </row>
    <row r="207" spans="1:16" ht="18.75" x14ac:dyDescent="0.3">
      <c r="A207" s="10"/>
      <c r="B207" s="10"/>
      <c r="C207" s="10"/>
      <c r="D207" s="9"/>
      <c r="E207" s="9"/>
      <c r="F207" s="9"/>
      <c r="G207" s="93"/>
      <c r="H207" s="9"/>
      <c r="J207" s="9"/>
      <c r="K207" s="94"/>
      <c r="L207" s="9"/>
      <c r="M207" s="9"/>
      <c r="N207" s="9"/>
      <c r="O207" s="9"/>
      <c r="P207" s="9"/>
    </row>
    <row r="208" spans="1:16" x14ac:dyDescent="0.25">
      <c r="A208" s="10"/>
      <c r="B208" s="10"/>
      <c r="C208" s="10"/>
      <c r="D208" s="9"/>
      <c r="E208" s="9"/>
      <c r="F208" s="9"/>
      <c r="G208" s="95"/>
      <c r="H208" s="9"/>
      <c r="J208" s="9"/>
      <c r="K208" s="38"/>
      <c r="L208" s="9"/>
      <c r="M208" s="9"/>
      <c r="N208" s="9"/>
      <c r="O208" s="9"/>
      <c r="P208" s="9"/>
    </row>
    <row r="209" spans="6:12" x14ac:dyDescent="0.25">
      <c r="F209" s="9"/>
      <c r="G209" s="38"/>
      <c r="H209" s="9"/>
      <c r="J209" s="9"/>
      <c r="K209" s="38"/>
      <c r="L209" s="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8"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  <mergeCell ref="M1:O1"/>
    <mergeCell ref="M2:O2"/>
    <mergeCell ref="M3:O3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</mergeCells>
  <pageMargins left="0.19685039370078741" right="0.19685039370078741" top="0.39370078740157483" bottom="0.59055118110236227" header="0.15748031496062992" footer="0.11811023622047245"/>
  <pageSetup paperSize="9" scale="42" fitToHeight="15" orientation="landscape" r:id="rId2"/>
  <rowBreaks count="2" manualBreakCount="2">
    <brk id="73" max="15" man="1"/>
    <brk id="10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</cp:lastModifiedBy>
  <cp:lastPrinted>2023-10-30T07:07:28Z</cp:lastPrinted>
  <dcterms:created xsi:type="dcterms:W3CDTF">2012-12-15T07:44:03Z</dcterms:created>
  <dcterms:modified xsi:type="dcterms:W3CDTF">2023-11-06T14:49:32Z</dcterms:modified>
</cp:coreProperties>
</file>