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-120" yWindow="-120" windowWidth="29040" windowHeight="15990"/>
  </bookViews>
  <sheets>
    <sheet name="рік" sheetId="10" r:id="rId1"/>
  </sheets>
  <definedNames>
    <definedName name="_xlnm.Print_Titles" localSheetId="0">рік!$3:$8</definedName>
    <definedName name="_xlnm.Print_Area" localSheetId="0">рік!$A$1:$T$160</definedName>
  </definedNames>
  <calcPr calcId="152511"/>
</workbook>
</file>

<file path=xl/calcChain.xml><?xml version="1.0" encoding="utf-8"?>
<calcChain xmlns="http://schemas.openxmlformats.org/spreadsheetml/2006/main">
  <c r="L36" i="10" l="1"/>
  <c r="K36" i="10"/>
  <c r="J36" i="10"/>
  <c r="H36" i="10"/>
  <c r="G36" i="10"/>
  <c r="F36" i="10"/>
  <c r="E51" i="10"/>
  <c r="N145" i="10" l="1"/>
  <c r="E145" i="10"/>
  <c r="N55" i="10" l="1"/>
  <c r="N52" i="10"/>
  <c r="N50" i="10"/>
  <c r="N38" i="10" l="1"/>
  <c r="K123" i="10" l="1"/>
  <c r="J123" i="10"/>
  <c r="G123" i="10"/>
  <c r="H123" i="10"/>
  <c r="F123" i="10"/>
  <c r="R141" i="10"/>
  <c r="S141" i="10"/>
  <c r="T141" i="10"/>
  <c r="I141" i="10"/>
  <c r="E141" i="10"/>
  <c r="R140" i="10"/>
  <c r="S140" i="10"/>
  <c r="T140" i="10"/>
  <c r="I140" i="10"/>
  <c r="Q140" i="10" s="1"/>
  <c r="E140" i="10"/>
  <c r="L136" i="10"/>
  <c r="K136" i="10"/>
  <c r="L134" i="10"/>
  <c r="K134" i="10"/>
  <c r="S134" i="10" s="1"/>
  <c r="R134" i="10"/>
  <c r="T134" i="10"/>
  <c r="R131" i="10"/>
  <c r="S131" i="10"/>
  <c r="T131" i="10"/>
  <c r="I131" i="10"/>
  <c r="E131" i="10"/>
  <c r="R130" i="10"/>
  <c r="S130" i="10"/>
  <c r="T130" i="10"/>
  <c r="I130" i="10"/>
  <c r="E130" i="10"/>
  <c r="L128" i="10"/>
  <c r="L123" i="10" s="1"/>
  <c r="K128" i="10"/>
  <c r="R127" i="10"/>
  <c r="S127" i="10"/>
  <c r="T127" i="10"/>
  <c r="I127" i="10"/>
  <c r="E127" i="10"/>
  <c r="L112" i="10"/>
  <c r="L104" i="10" s="1"/>
  <c r="K112" i="10"/>
  <c r="G104" i="10"/>
  <c r="H104" i="10"/>
  <c r="F104" i="10"/>
  <c r="K120" i="10"/>
  <c r="S120" i="10" s="1"/>
  <c r="R120" i="10"/>
  <c r="T120" i="10"/>
  <c r="E120" i="10"/>
  <c r="L119" i="10"/>
  <c r="K119" i="10"/>
  <c r="R118" i="10"/>
  <c r="S118" i="10"/>
  <c r="T118" i="10"/>
  <c r="I118" i="10"/>
  <c r="E118" i="10"/>
  <c r="R116" i="10"/>
  <c r="S116" i="10"/>
  <c r="T116" i="10"/>
  <c r="I116" i="10"/>
  <c r="E116" i="10"/>
  <c r="R115" i="10"/>
  <c r="S115" i="10"/>
  <c r="T115" i="10"/>
  <c r="I115" i="10"/>
  <c r="E115" i="10"/>
  <c r="R113" i="10"/>
  <c r="S113" i="10"/>
  <c r="T113" i="10"/>
  <c r="I113" i="10"/>
  <c r="E113" i="10"/>
  <c r="L107" i="10"/>
  <c r="R110" i="10"/>
  <c r="S110" i="10"/>
  <c r="T110" i="10"/>
  <c r="I110" i="10"/>
  <c r="E110" i="10"/>
  <c r="K107" i="10"/>
  <c r="K98" i="10"/>
  <c r="K90" i="10"/>
  <c r="K88" i="10"/>
  <c r="K89" i="10"/>
  <c r="K86" i="10"/>
  <c r="O86" i="10" s="1"/>
  <c r="K76" i="10"/>
  <c r="L59" i="10"/>
  <c r="G59" i="10"/>
  <c r="H59" i="10"/>
  <c r="F59" i="10"/>
  <c r="T74" i="10"/>
  <c r="S74" i="10"/>
  <c r="R74" i="10"/>
  <c r="I74" i="10"/>
  <c r="E74" i="10"/>
  <c r="R73" i="10"/>
  <c r="S73" i="10"/>
  <c r="T73" i="10"/>
  <c r="I73" i="10"/>
  <c r="E73" i="10"/>
  <c r="K75" i="10"/>
  <c r="K40" i="10"/>
  <c r="K104" i="10" l="1"/>
  <c r="K59" i="10"/>
  <c r="Q141" i="10"/>
  <c r="I134" i="10"/>
  <c r="Q134" i="10" s="1"/>
  <c r="Q131" i="10"/>
  <c r="Q127" i="10"/>
  <c r="Q116" i="10"/>
  <c r="Q130" i="10"/>
  <c r="Q118" i="10"/>
  <c r="I120" i="10"/>
  <c r="Q120" i="10" s="1"/>
  <c r="Q110" i="10"/>
  <c r="Q113" i="10"/>
  <c r="Q115" i="10"/>
  <c r="Q74" i="10"/>
  <c r="Q73" i="10"/>
  <c r="K45" i="10"/>
  <c r="K41" i="10"/>
  <c r="K39" i="10"/>
  <c r="K12" i="10"/>
  <c r="K15" i="10"/>
  <c r="K143" i="10" l="1"/>
  <c r="L143" i="10"/>
  <c r="G143" i="10"/>
  <c r="H143" i="10"/>
  <c r="F143" i="10"/>
  <c r="J149" i="10"/>
  <c r="R149" i="10" s="1"/>
  <c r="S149" i="10"/>
  <c r="T149" i="10"/>
  <c r="E149" i="10"/>
  <c r="J148" i="10"/>
  <c r="J117" i="10"/>
  <c r="J112" i="10"/>
  <c r="J143" i="10" l="1"/>
  <c r="I149" i="10"/>
  <c r="Q149" i="10" s="1"/>
  <c r="J119" i="10"/>
  <c r="J104" i="10" s="1"/>
  <c r="K95" i="10"/>
  <c r="L95" i="10"/>
  <c r="G95" i="10"/>
  <c r="H95" i="10"/>
  <c r="F95" i="10"/>
  <c r="R101" i="10"/>
  <c r="S101" i="10"/>
  <c r="T101" i="10"/>
  <c r="I101" i="10"/>
  <c r="E101" i="10"/>
  <c r="J98" i="10"/>
  <c r="J95" i="10" s="1"/>
  <c r="I80" i="10"/>
  <c r="Q80" i="10" s="1"/>
  <c r="I81" i="10"/>
  <c r="Q81" i="10" s="1"/>
  <c r="T81" i="10"/>
  <c r="S81" i="10"/>
  <c r="R81" i="10"/>
  <c r="T80" i="10"/>
  <c r="S80" i="10"/>
  <c r="R80" i="10"/>
  <c r="K79" i="10"/>
  <c r="K78" i="10" s="1"/>
  <c r="L79" i="10"/>
  <c r="J79" i="10"/>
  <c r="J78" i="10" s="1"/>
  <c r="G79" i="10"/>
  <c r="G78" i="10" s="1"/>
  <c r="H79" i="10"/>
  <c r="H78" i="10" s="1"/>
  <c r="F79" i="10"/>
  <c r="J77" i="10"/>
  <c r="J76" i="10"/>
  <c r="J75" i="10"/>
  <c r="R46" i="10"/>
  <c r="S46" i="10"/>
  <c r="T46" i="10"/>
  <c r="I46" i="10"/>
  <c r="E46" i="10"/>
  <c r="K11" i="10"/>
  <c r="L11" i="10"/>
  <c r="R32" i="10"/>
  <c r="S32" i="10"/>
  <c r="T32" i="10"/>
  <c r="I32" i="10"/>
  <c r="E32" i="10"/>
  <c r="J30" i="10"/>
  <c r="R28" i="10"/>
  <c r="S28" i="10"/>
  <c r="T28" i="10"/>
  <c r="I28" i="10"/>
  <c r="E28" i="10"/>
  <c r="J21" i="10"/>
  <c r="I16" i="10"/>
  <c r="J59" i="10" l="1"/>
  <c r="Q101" i="10"/>
  <c r="Q46" i="10"/>
  <c r="T79" i="10"/>
  <c r="E79" i="10"/>
  <c r="E78" i="10" s="1"/>
  <c r="F78" i="10"/>
  <c r="R78" i="10" s="1"/>
  <c r="S78" i="10"/>
  <c r="I79" i="10"/>
  <c r="R79" i="10"/>
  <c r="S79" i="10"/>
  <c r="L78" i="10"/>
  <c r="T78" i="10" s="1"/>
  <c r="Q32" i="10"/>
  <c r="Q28" i="10"/>
  <c r="K83" i="10"/>
  <c r="L83" i="10"/>
  <c r="J83" i="10"/>
  <c r="G83" i="10"/>
  <c r="H83" i="10"/>
  <c r="F83" i="10"/>
  <c r="R93" i="10"/>
  <c r="S93" i="10"/>
  <c r="T93" i="10"/>
  <c r="I93" i="10"/>
  <c r="E93" i="10"/>
  <c r="N63" i="10"/>
  <c r="N61" i="10"/>
  <c r="I78" i="10" l="1"/>
  <c r="Q79" i="10"/>
  <c r="Q93" i="10"/>
  <c r="Q78" i="10" l="1"/>
  <c r="N21" i="10"/>
  <c r="N20" i="10"/>
  <c r="E17" i="10"/>
  <c r="P157" i="10" l="1"/>
  <c r="O157" i="10"/>
  <c r="R150" i="10"/>
  <c r="T133" i="10"/>
  <c r="T135" i="10"/>
  <c r="S133" i="10"/>
  <c r="S135" i="10"/>
  <c r="N102" i="10"/>
  <c r="N17" i="10" l="1"/>
  <c r="I15" i="10"/>
  <c r="T138" i="10"/>
  <c r="R138" i="10"/>
  <c r="S138" i="10"/>
  <c r="I138" i="10"/>
  <c r="E138" i="10"/>
  <c r="T136" i="10"/>
  <c r="S136" i="10"/>
  <c r="R136" i="10"/>
  <c r="I136" i="10"/>
  <c r="E133" i="10"/>
  <c r="E135" i="10"/>
  <c r="E136" i="10"/>
  <c r="R135" i="10"/>
  <c r="I135" i="10"/>
  <c r="R129" i="10"/>
  <c r="S129" i="10"/>
  <c r="T129" i="10"/>
  <c r="I129" i="10"/>
  <c r="E129" i="10"/>
  <c r="T124" i="10"/>
  <c r="S124" i="10"/>
  <c r="R124" i="10"/>
  <c r="I124" i="10"/>
  <c r="E124" i="10"/>
  <c r="E150" i="10"/>
  <c r="I150" i="10"/>
  <c r="R147" i="10"/>
  <c r="S147" i="10"/>
  <c r="T147" i="10"/>
  <c r="I147" i="10"/>
  <c r="E147" i="10"/>
  <c r="R145" i="10"/>
  <c r="S145" i="10"/>
  <c r="T145" i="10"/>
  <c r="I145" i="10"/>
  <c r="R126" i="10"/>
  <c r="S126" i="10"/>
  <c r="T126" i="10"/>
  <c r="I126" i="10"/>
  <c r="E126" i="10"/>
  <c r="Q145" i="10" l="1"/>
  <c r="M145" i="10"/>
  <c r="Q150" i="10"/>
  <c r="Q138" i="10"/>
  <c r="Q147" i="10"/>
  <c r="Q136" i="10"/>
  <c r="Q135" i="10"/>
  <c r="Q129" i="10"/>
  <c r="Q124" i="10"/>
  <c r="Q126" i="10"/>
  <c r="R121" i="10"/>
  <c r="S121" i="10"/>
  <c r="T121" i="10"/>
  <c r="I121" i="10"/>
  <c r="E121" i="10"/>
  <c r="Q121" i="10" l="1"/>
  <c r="R87" i="10"/>
  <c r="S87" i="10"/>
  <c r="T87" i="10"/>
  <c r="I87" i="10"/>
  <c r="E87" i="10"/>
  <c r="T77" i="10"/>
  <c r="S77" i="10"/>
  <c r="R77" i="10"/>
  <c r="I77" i="10"/>
  <c r="E77" i="10"/>
  <c r="Q87" i="10" l="1"/>
  <c r="I76" i="10"/>
  <c r="Q77" i="10"/>
  <c r="S54" i="10"/>
  <c r="R54" i="10"/>
  <c r="I54" i="10"/>
  <c r="E54" i="10"/>
  <c r="J11" i="10"/>
  <c r="T29" i="10"/>
  <c r="S29" i="10"/>
  <c r="R29" i="10"/>
  <c r="J24" i="10"/>
  <c r="I29" i="10"/>
  <c r="E29" i="10"/>
  <c r="I14" i="10"/>
  <c r="I13" i="10"/>
  <c r="I12" i="10"/>
  <c r="I17" i="10"/>
  <c r="J10" i="10" l="1"/>
  <c r="I11" i="10"/>
  <c r="Q29" i="10"/>
  <c r="Q54" i="10"/>
  <c r="J103" i="10"/>
  <c r="N107" i="10"/>
  <c r="R107" i="10"/>
  <c r="S107" i="10"/>
  <c r="T107" i="10"/>
  <c r="I107" i="10"/>
  <c r="E107" i="10"/>
  <c r="N106" i="10"/>
  <c r="N97" i="10"/>
  <c r="R97" i="10"/>
  <c r="S97" i="10"/>
  <c r="T97" i="10"/>
  <c r="I97" i="10"/>
  <c r="E97" i="10"/>
  <c r="N85" i="10"/>
  <c r="R85" i="10"/>
  <c r="S85" i="10"/>
  <c r="T85" i="10"/>
  <c r="I85" i="10"/>
  <c r="E85" i="10"/>
  <c r="T68" i="10"/>
  <c r="S68" i="10"/>
  <c r="I68" i="10"/>
  <c r="R68" i="10"/>
  <c r="E68" i="10"/>
  <c r="M97" i="10" l="1"/>
  <c r="M85" i="10"/>
  <c r="Q97" i="10"/>
  <c r="Q85" i="10"/>
  <c r="Q107" i="10"/>
  <c r="Q68" i="10"/>
  <c r="E30" i="10"/>
  <c r="F24" i="10"/>
  <c r="G11" i="10" l="1"/>
  <c r="H11" i="10"/>
  <c r="F11" i="10"/>
  <c r="F10" i="10" s="1"/>
  <c r="G35" i="10" l="1"/>
  <c r="N155" i="10" l="1"/>
  <c r="N144" i="10"/>
  <c r="R133" i="10"/>
  <c r="S125" i="10"/>
  <c r="T125" i="10"/>
  <c r="S128" i="10"/>
  <c r="T128" i="10"/>
  <c r="R128" i="10"/>
  <c r="N105" i="10"/>
  <c r="N86" i="10"/>
  <c r="N60" i="10"/>
  <c r="N56" i="10"/>
  <c r="R51" i="10"/>
  <c r="N44" i="10"/>
  <c r="N40" i="10"/>
  <c r="R37" i="10"/>
  <c r="N37" i="10"/>
  <c r="N34" i="10"/>
  <c r="N23" i="10"/>
  <c r="N13" i="10"/>
  <c r="G142" i="10" l="1"/>
  <c r="H142" i="10"/>
  <c r="I37" i="10" l="1"/>
  <c r="I128" i="10" l="1"/>
  <c r="E128" i="10"/>
  <c r="Q128" i="10" l="1"/>
  <c r="K152" i="10"/>
  <c r="L152" i="10"/>
  <c r="J152" i="10"/>
  <c r="G152" i="10"/>
  <c r="H152" i="10"/>
  <c r="F152" i="10"/>
  <c r="I133" i="10"/>
  <c r="Q133" i="10" s="1"/>
  <c r="N117" i="10"/>
  <c r="I102" i="10"/>
  <c r="I99" i="10"/>
  <c r="I100" i="10"/>
  <c r="I96" i="10"/>
  <c r="N36" i="10"/>
  <c r="I51" i="10"/>
  <c r="Q51" i="10" l="1"/>
  <c r="N143" i="10"/>
  <c r="N148" i="10"/>
  <c r="I98" i="10"/>
  <c r="I36" i="10"/>
  <c r="K35" i="10"/>
  <c r="I35" i="10" l="1"/>
  <c r="J35" i="10"/>
  <c r="L24" i="10" l="1"/>
  <c r="L10" i="10" s="1"/>
  <c r="K24" i="10"/>
  <c r="K10" i="10" s="1"/>
  <c r="I24" i="10" l="1"/>
  <c r="N12" i="10"/>
  <c r="R12" i="10"/>
  <c r="T12" i="10"/>
  <c r="R13" i="10"/>
  <c r="T13" i="10"/>
  <c r="N14" i="10"/>
  <c r="R14" i="10"/>
  <c r="T14" i="10"/>
  <c r="N15" i="10"/>
  <c r="R15" i="10"/>
  <c r="T15" i="10"/>
  <c r="R16" i="10"/>
  <c r="S16" i="10"/>
  <c r="T16" i="10"/>
  <c r="R17" i="10"/>
  <c r="S17" i="10"/>
  <c r="T17" i="10"/>
  <c r="N18" i="10"/>
  <c r="R18" i="10"/>
  <c r="S18" i="10"/>
  <c r="T18" i="10"/>
  <c r="N19" i="10"/>
  <c r="R19" i="10"/>
  <c r="S19" i="10"/>
  <c r="R20" i="10"/>
  <c r="S20" i="10"/>
  <c r="T20" i="10"/>
  <c r="S21" i="10"/>
  <c r="T21" i="10"/>
  <c r="R22" i="10"/>
  <c r="S22" i="10"/>
  <c r="T22" i="10"/>
  <c r="R23" i="10"/>
  <c r="S23" i="10"/>
  <c r="T23" i="10"/>
  <c r="N25" i="10"/>
  <c r="R25" i="10"/>
  <c r="S25" i="10"/>
  <c r="T25" i="10"/>
  <c r="N26" i="10"/>
  <c r="R26" i="10"/>
  <c r="S26" i="10"/>
  <c r="T26" i="10"/>
  <c r="N27" i="10"/>
  <c r="R27" i="10"/>
  <c r="S27" i="10"/>
  <c r="T27" i="10"/>
  <c r="S30" i="10"/>
  <c r="T30" i="10"/>
  <c r="N31" i="10"/>
  <c r="R31" i="10"/>
  <c r="T31" i="10"/>
  <c r="R33" i="10"/>
  <c r="S33" i="10"/>
  <c r="T33" i="10"/>
  <c r="R34" i="10"/>
  <c r="S34" i="10"/>
  <c r="S37" i="10"/>
  <c r="T37" i="10"/>
  <c r="R38" i="10"/>
  <c r="S38" i="10"/>
  <c r="T38" i="10"/>
  <c r="R39" i="10"/>
  <c r="T39" i="10"/>
  <c r="R40" i="10"/>
  <c r="T40" i="10"/>
  <c r="N41" i="10"/>
  <c r="R41" i="10"/>
  <c r="T41" i="10"/>
  <c r="R42" i="10"/>
  <c r="S42" i="10"/>
  <c r="T42" i="10"/>
  <c r="R43" i="10"/>
  <c r="S43" i="10"/>
  <c r="T43" i="10"/>
  <c r="R44" i="10"/>
  <c r="S44" i="10"/>
  <c r="T44" i="10"/>
  <c r="N45" i="10"/>
  <c r="R45" i="10"/>
  <c r="T45" i="10"/>
  <c r="N47" i="10"/>
  <c r="R47" i="10"/>
  <c r="T47" i="10"/>
  <c r="N48" i="10"/>
  <c r="R48" i="10"/>
  <c r="S48" i="10"/>
  <c r="T48" i="10"/>
  <c r="R49" i="10"/>
  <c r="S49" i="10"/>
  <c r="T49" i="10"/>
  <c r="R50" i="10"/>
  <c r="S50" i="10"/>
  <c r="T50" i="10"/>
  <c r="R52" i="10"/>
  <c r="S52" i="10"/>
  <c r="T52" i="10"/>
  <c r="N53" i="10"/>
  <c r="R53" i="10"/>
  <c r="S53" i="10"/>
  <c r="T53" i="10"/>
  <c r="R55" i="10"/>
  <c r="S55" i="10"/>
  <c r="T55" i="10"/>
  <c r="R56" i="10"/>
  <c r="T56" i="10"/>
  <c r="R57" i="10"/>
  <c r="S57" i="10"/>
  <c r="R60" i="10"/>
  <c r="S60" i="10"/>
  <c r="R61" i="10"/>
  <c r="S61" i="10"/>
  <c r="T61" i="10"/>
  <c r="N62" i="10"/>
  <c r="R62" i="10"/>
  <c r="S62" i="10"/>
  <c r="T62" i="10"/>
  <c r="R63" i="10"/>
  <c r="S63" i="10"/>
  <c r="T63" i="10"/>
  <c r="R64" i="10"/>
  <c r="S64" i="10"/>
  <c r="T64" i="10"/>
  <c r="R65" i="10"/>
  <c r="S65" i="10"/>
  <c r="T65" i="10"/>
  <c r="N66" i="10"/>
  <c r="R66" i="10"/>
  <c r="S66" i="10"/>
  <c r="T66" i="10"/>
  <c r="N67" i="10"/>
  <c r="R67" i="10"/>
  <c r="S67" i="10"/>
  <c r="N69" i="10"/>
  <c r="R69" i="10"/>
  <c r="S69" i="10"/>
  <c r="T69" i="10"/>
  <c r="R70" i="10"/>
  <c r="S70" i="10"/>
  <c r="T70" i="10"/>
  <c r="R71" i="10"/>
  <c r="S71" i="10"/>
  <c r="T71" i="10"/>
  <c r="N72" i="10"/>
  <c r="R72" i="10"/>
  <c r="S72" i="10"/>
  <c r="T72" i="10"/>
  <c r="T75" i="10"/>
  <c r="S76" i="10"/>
  <c r="T76" i="10"/>
  <c r="N84" i="10"/>
  <c r="R84" i="10"/>
  <c r="S84" i="10"/>
  <c r="T84" i="10"/>
  <c r="R86" i="10"/>
  <c r="S86" i="10"/>
  <c r="T86" i="10"/>
  <c r="N88" i="10"/>
  <c r="R88" i="10"/>
  <c r="S88" i="10"/>
  <c r="T88" i="10"/>
  <c r="N89" i="10"/>
  <c r="R89" i="10"/>
  <c r="S89" i="10"/>
  <c r="T89" i="10"/>
  <c r="N90" i="10"/>
  <c r="R90" i="10"/>
  <c r="T90" i="10"/>
  <c r="N91" i="10"/>
  <c r="R91" i="10"/>
  <c r="S91" i="10"/>
  <c r="T91" i="10"/>
  <c r="R92" i="10"/>
  <c r="S92" i="10"/>
  <c r="T92" i="10"/>
  <c r="N96" i="10"/>
  <c r="R96" i="10"/>
  <c r="S96" i="10"/>
  <c r="R98" i="10"/>
  <c r="S98" i="10"/>
  <c r="T98" i="10"/>
  <c r="R99" i="10"/>
  <c r="S99" i="10"/>
  <c r="T99" i="10"/>
  <c r="R100" i="10"/>
  <c r="S100" i="10"/>
  <c r="T100" i="10"/>
  <c r="R102" i="10"/>
  <c r="S102" i="10"/>
  <c r="T102" i="10"/>
  <c r="R105" i="10"/>
  <c r="R106" i="10"/>
  <c r="S106" i="10"/>
  <c r="T106" i="10"/>
  <c r="R108" i="10"/>
  <c r="S108" i="10"/>
  <c r="T108" i="10"/>
  <c r="R109" i="10"/>
  <c r="S109" i="10"/>
  <c r="S111" i="10"/>
  <c r="T111" i="10"/>
  <c r="N114" i="10"/>
  <c r="R114" i="10"/>
  <c r="S114" i="10"/>
  <c r="T114" i="10"/>
  <c r="S117" i="10"/>
  <c r="T117" i="10"/>
  <c r="N125" i="10"/>
  <c r="R125" i="10"/>
  <c r="R132" i="10"/>
  <c r="S132" i="10"/>
  <c r="R137" i="10"/>
  <c r="S137" i="10"/>
  <c r="S139" i="10"/>
  <c r="R144" i="10"/>
  <c r="S144" i="10"/>
  <c r="R146" i="10"/>
  <c r="S146" i="10"/>
  <c r="T146" i="10"/>
  <c r="S148" i="10"/>
  <c r="T148" i="10"/>
  <c r="N153" i="10"/>
  <c r="R153" i="10"/>
  <c r="S153" i="10"/>
  <c r="T153" i="10"/>
  <c r="N154" i="10"/>
  <c r="R154" i="10"/>
  <c r="S154" i="10"/>
  <c r="T154" i="10"/>
  <c r="R155" i="10"/>
  <c r="S155" i="10"/>
  <c r="T155" i="10"/>
  <c r="R156" i="10"/>
  <c r="S156" i="10"/>
  <c r="R157" i="10"/>
  <c r="S157" i="10"/>
  <c r="S123" i="10" l="1"/>
  <c r="I34" i="10"/>
  <c r="E34" i="10"/>
  <c r="S14" i="10"/>
  <c r="S15" i="10"/>
  <c r="S13" i="10"/>
  <c r="I146" i="10"/>
  <c r="E146" i="10"/>
  <c r="E139" i="10"/>
  <c r="M34" i="10" l="1"/>
  <c r="S45" i="10"/>
  <c r="T139" i="10"/>
  <c r="T19" i="10"/>
  <c r="S112" i="10"/>
  <c r="R112" i="10"/>
  <c r="N112" i="10"/>
  <c r="S105" i="10"/>
  <c r="R139" i="10"/>
  <c r="T57" i="10"/>
  <c r="Q34" i="10"/>
  <c r="S56" i="10"/>
  <c r="R143" i="10"/>
  <c r="S119" i="10"/>
  <c r="Q146" i="10"/>
  <c r="S143" i="10"/>
  <c r="T34" i="10"/>
  <c r="S40" i="10"/>
  <c r="T157" i="10"/>
  <c r="S47" i="10"/>
  <c r="R148" i="10"/>
  <c r="S39" i="10"/>
  <c r="S75" i="10"/>
  <c r="S12" i="10"/>
  <c r="S31" i="10"/>
  <c r="S41" i="10"/>
  <c r="S90" i="10"/>
  <c r="I139" i="10"/>
  <c r="E119" i="10"/>
  <c r="E117" i="10"/>
  <c r="E75" i="10"/>
  <c r="I57" i="10"/>
  <c r="E57" i="10"/>
  <c r="R21" i="10"/>
  <c r="I20" i="10"/>
  <c r="E20" i="10"/>
  <c r="E21" i="10"/>
  <c r="Q20" i="10" l="1"/>
  <c r="R36" i="10"/>
  <c r="R30" i="10"/>
  <c r="S104" i="10"/>
  <c r="R119" i="10"/>
  <c r="Q139" i="10"/>
  <c r="T36" i="10"/>
  <c r="R123" i="10"/>
  <c r="N123" i="10"/>
  <c r="Q57" i="10"/>
  <c r="N83" i="10"/>
  <c r="R83" i="10"/>
  <c r="T83" i="10"/>
  <c r="T119" i="10"/>
  <c r="S59" i="10"/>
  <c r="O83" i="10"/>
  <c r="S83" i="10"/>
  <c r="R117" i="10"/>
  <c r="I75" i="10"/>
  <c r="R75" i="10"/>
  <c r="R111" i="10"/>
  <c r="N111" i="10"/>
  <c r="S36" i="10"/>
  <c r="O36" i="10"/>
  <c r="R76" i="10"/>
  <c r="I119" i="10"/>
  <c r="M119" i="10" s="1"/>
  <c r="I30" i="10"/>
  <c r="I117" i="10"/>
  <c r="M117" i="10" s="1"/>
  <c r="I21" i="10"/>
  <c r="I143" i="10"/>
  <c r="Q21" i="10" l="1"/>
  <c r="Q75" i="10"/>
  <c r="Q30" i="10"/>
  <c r="Q119" i="10"/>
  <c r="T137" i="10"/>
  <c r="N59" i="10"/>
  <c r="R59" i="10"/>
  <c r="Q117" i="10"/>
  <c r="I59" i="10"/>
  <c r="T156" i="10"/>
  <c r="T144" i="10"/>
  <c r="R104" i="10"/>
  <c r="N104" i="10"/>
  <c r="T132" i="10" l="1"/>
  <c r="T112" i="10"/>
  <c r="T143" i="10"/>
  <c r="T105" i="10"/>
  <c r="T109" i="10"/>
  <c r="T96" i="10"/>
  <c r="E52" i="10"/>
  <c r="T67" i="10" l="1"/>
  <c r="T104" i="10"/>
  <c r="T123" i="10"/>
  <c r="T60" i="10"/>
  <c r="T59" i="10" l="1"/>
  <c r="I137" i="10"/>
  <c r="E137" i="10"/>
  <c r="Q137" i="10" l="1"/>
  <c r="H122" i="10"/>
  <c r="G122" i="10" l="1"/>
  <c r="I33" i="10" l="1"/>
  <c r="E33" i="10"/>
  <c r="Q33" i="10" l="1"/>
  <c r="I132" i="10" l="1"/>
  <c r="E132" i="10"/>
  <c r="I106" i="10"/>
  <c r="E106" i="10"/>
  <c r="M106" i="10" l="1"/>
  <c r="N95" i="10"/>
  <c r="R95" i="10"/>
  <c r="S152" i="10"/>
  <c r="R152" i="10"/>
  <c r="T152" i="10"/>
  <c r="S95" i="10"/>
  <c r="Q106" i="10"/>
  <c r="Q132" i="10"/>
  <c r="T95" i="10"/>
  <c r="L103" i="10"/>
  <c r="E144" i="10"/>
  <c r="E148" i="10" l="1"/>
  <c r="I108" i="10" l="1"/>
  <c r="I109" i="10"/>
  <c r="E109" i="10"/>
  <c r="E108" i="10"/>
  <c r="Q108" i="10" l="1"/>
  <c r="Q109" i="10"/>
  <c r="E111" i="10"/>
  <c r="I38" i="10" l="1"/>
  <c r="E38" i="10"/>
  <c r="M38" i="10" l="1"/>
  <c r="Q38" i="10"/>
  <c r="H24" i="10"/>
  <c r="H10" i="10" s="1"/>
  <c r="G24" i="10"/>
  <c r="G10" i="10" s="1"/>
  <c r="S24" i="10" l="1"/>
  <c r="T24" i="10"/>
  <c r="I53" i="10"/>
  <c r="E53" i="10"/>
  <c r="I44" i="10"/>
  <c r="E44" i="10"/>
  <c r="M44" i="10" l="1"/>
  <c r="Q53" i="10"/>
  <c r="M53" i="10"/>
  <c r="Q44" i="10"/>
  <c r="L82" i="10"/>
  <c r="I156" i="10"/>
  <c r="E156" i="10"/>
  <c r="Q156" i="10" l="1"/>
  <c r="E41" i="10" l="1"/>
  <c r="I52" i="10" l="1"/>
  <c r="M52" i="10" s="1"/>
  <c r="Q52" i="10" l="1"/>
  <c r="E19" i="10"/>
  <c r="E18" i="10"/>
  <c r="E16" i="10"/>
  <c r="I19" i="10"/>
  <c r="I18" i="10"/>
  <c r="M19" i="10" l="1"/>
  <c r="Q19" i="10"/>
  <c r="M18" i="10"/>
  <c r="Q18" i="10"/>
  <c r="Q16" i="10"/>
  <c r="I50" i="10" l="1"/>
  <c r="I49" i="10"/>
  <c r="I43" i="10"/>
  <c r="I42" i="10"/>
  <c r="E157" i="10"/>
  <c r="E43" i="10"/>
  <c r="E42" i="10"/>
  <c r="E50" i="10"/>
  <c r="E49" i="10"/>
  <c r="I41" i="10"/>
  <c r="I40" i="10"/>
  <c r="I157" i="10"/>
  <c r="M50" i="10" l="1"/>
  <c r="Q41" i="10"/>
  <c r="M41" i="10"/>
  <c r="Q43" i="10"/>
  <c r="Q49" i="10"/>
  <c r="Q157" i="10"/>
  <c r="Q50" i="10"/>
  <c r="Q42" i="10"/>
  <c r="R24" i="10"/>
  <c r="N24" i="10"/>
  <c r="I152" i="10"/>
  <c r="I104" i="10"/>
  <c r="I123" i="10"/>
  <c r="E40" i="10"/>
  <c r="Q40" i="10" s="1"/>
  <c r="M40" i="10" l="1"/>
  <c r="I31" i="10"/>
  <c r="E31" i="10"/>
  <c r="E155" i="10"/>
  <c r="E154" i="10"/>
  <c r="E153" i="10"/>
  <c r="H151" i="10"/>
  <c r="G151" i="10"/>
  <c r="F151" i="10"/>
  <c r="E125" i="10"/>
  <c r="E114" i="10"/>
  <c r="E105" i="10"/>
  <c r="E102" i="10"/>
  <c r="M102" i="10" s="1"/>
  <c r="E100" i="10"/>
  <c r="E99" i="10"/>
  <c r="E98" i="10"/>
  <c r="E96" i="10"/>
  <c r="H94" i="10"/>
  <c r="G94" i="10"/>
  <c r="F94" i="10"/>
  <c r="E92" i="10"/>
  <c r="E91" i="10"/>
  <c r="E90" i="10"/>
  <c r="E89" i="10"/>
  <c r="E88" i="10"/>
  <c r="E84" i="10"/>
  <c r="H82" i="10"/>
  <c r="E72" i="10"/>
  <c r="E71" i="10"/>
  <c r="E70" i="10"/>
  <c r="E69" i="10"/>
  <c r="E67" i="10"/>
  <c r="E66" i="10"/>
  <c r="E65" i="10"/>
  <c r="E64" i="10"/>
  <c r="E63" i="10"/>
  <c r="E62" i="10"/>
  <c r="E61" i="10"/>
  <c r="E60" i="10"/>
  <c r="H58" i="10"/>
  <c r="G58" i="10"/>
  <c r="E56" i="10"/>
  <c r="E55" i="10"/>
  <c r="E48" i="10"/>
  <c r="E47" i="10"/>
  <c r="E45" i="10"/>
  <c r="E37" i="10"/>
  <c r="M37" i="10" s="1"/>
  <c r="H35" i="10"/>
  <c r="F35" i="10"/>
  <c r="N35" i="10" s="1"/>
  <c r="E27" i="10"/>
  <c r="E26" i="10"/>
  <c r="E25" i="10"/>
  <c r="E23" i="10"/>
  <c r="E22" i="10"/>
  <c r="M17" i="10"/>
  <c r="E15" i="10"/>
  <c r="E14" i="10"/>
  <c r="E13" i="10"/>
  <c r="M13" i="10" s="1"/>
  <c r="T82" i="10" l="1"/>
  <c r="Q31" i="10"/>
  <c r="M31" i="10"/>
  <c r="H9" i="10"/>
  <c r="G9" i="10"/>
  <c r="H103" i="10"/>
  <c r="H158" i="10" s="1"/>
  <c r="G103" i="10"/>
  <c r="F103" i="10"/>
  <c r="E86" i="10"/>
  <c r="G82" i="10"/>
  <c r="E76" i="10"/>
  <c r="E59" i="10"/>
  <c r="E39" i="10"/>
  <c r="E112" i="10"/>
  <c r="E24" i="10"/>
  <c r="E12" i="10"/>
  <c r="E11" i="10"/>
  <c r="E95" i="10"/>
  <c r="E94" i="10" s="1"/>
  <c r="F122" i="10"/>
  <c r="F82" i="10"/>
  <c r="F142" i="10"/>
  <c r="E152" i="10"/>
  <c r="G158" i="10" l="1"/>
  <c r="T103" i="10"/>
  <c r="E58" i="10"/>
  <c r="M59" i="10"/>
  <c r="Q59" i="10"/>
  <c r="E151" i="10"/>
  <c r="Q152" i="10"/>
  <c r="E123" i="10"/>
  <c r="E83" i="10"/>
  <c r="E82" i="10" s="1"/>
  <c r="E36" i="10"/>
  <c r="M36" i="10" s="1"/>
  <c r="F58" i="10"/>
  <c r="E104" i="10"/>
  <c r="E143" i="10"/>
  <c r="M143" i="10" s="1"/>
  <c r="E10" i="10"/>
  <c r="E9" i="10" s="1"/>
  <c r="F9" i="10"/>
  <c r="F158" i="10" l="1"/>
  <c r="E158" i="10" s="1"/>
  <c r="E142" i="10"/>
  <c r="Q143" i="10"/>
  <c r="E35" i="10"/>
  <c r="M35" i="10" s="1"/>
  <c r="Q36" i="10"/>
  <c r="E122" i="10"/>
  <c r="Q123" i="10"/>
  <c r="E103" i="10"/>
  <c r="M104" i="10"/>
  <c r="Q104" i="10"/>
  <c r="I22" i="10" l="1"/>
  <c r="I23" i="10"/>
  <c r="M23" i="10" s="1"/>
  <c r="I25" i="10"/>
  <c r="I26" i="10"/>
  <c r="I27" i="10"/>
  <c r="I39" i="10"/>
  <c r="I45" i="10"/>
  <c r="I47" i="10"/>
  <c r="I48" i="10"/>
  <c r="I55" i="10"/>
  <c r="M55" i="10" s="1"/>
  <c r="I56" i="10"/>
  <c r="M56" i="10" s="1"/>
  <c r="I60" i="10"/>
  <c r="M60" i="10" s="1"/>
  <c r="I61" i="10"/>
  <c r="I62" i="10"/>
  <c r="I63" i="10"/>
  <c r="I64" i="10"/>
  <c r="I65" i="10"/>
  <c r="I66" i="10"/>
  <c r="I67" i="10"/>
  <c r="I69" i="10"/>
  <c r="I70" i="10"/>
  <c r="I71" i="10"/>
  <c r="I72" i="10"/>
  <c r="I84" i="10"/>
  <c r="I86" i="10"/>
  <c r="M86" i="10" s="1"/>
  <c r="I88" i="10"/>
  <c r="I89" i="10"/>
  <c r="I90" i="10"/>
  <c r="I91" i="10"/>
  <c r="I92" i="10"/>
  <c r="I105" i="10"/>
  <c r="M105" i="10" s="1"/>
  <c r="I111" i="10"/>
  <c r="I112" i="10"/>
  <c r="I114" i="10"/>
  <c r="I125" i="10"/>
  <c r="I144" i="10"/>
  <c r="M144" i="10" s="1"/>
  <c r="I148" i="10"/>
  <c r="M148" i="10" s="1"/>
  <c r="I153" i="10"/>
  <c r="I154" i="10"/>
  <c r="I155" i="10"/>
  <c r="M155" i="10" s="1"/>
  <c r="Q47" i="10" l="1"/>
  <c r="M47" i="10"/>
  <c r="Q27" i="10"/>
  <c r="M27" i="10"/>
  <c r="Q148" i="10"/>
  <c r="Q71" i="10"/>
  <c r="Q63" i="10"/>
  <c r="Q26" i="10"/>
  <c r="M26" i="10"/>
  <c r="M125" i="10"/>
  <c r="Q125" i="10"/>
  <c r="M90" i="10"/>
  <c r="Q90" i="10"/>
  <c r="Q70" i="10"/>
  <c r="M62" i="10"/>
  <c r="Q62" i="10"/>
  <c r="Q45" i="10"/>
  <c r="M45" i="10"/>
  <c r="Q25" i="10"/>
  <c r="M25" i="10"/>
  <c r="M91" i="10"/>
  <c r="Q91" i="10"/>
  <c r="Q14" i="10"/>
  <c r="M14" i="10"/>
  <c r="Q99" i="10"/>
  <c r="M89" i="10"/>
  <c r="Q89" i="10"/>
  <c r="M69" i="10"/>
  <c r="Q69" i="10"/>
  <c r="Q61" i="10"/>
  <c r="Q39" i="10"/>
  <c r="Q23" i="10"/>
  <c r="Q144" i="10"/>
  <c r="Q13" i="10"/>
  <c r="M88" i="10"/>
  <c r="Q88" i="10"/>
  <c r="Q60" i="10"/>
  <c r="Q37" i="10"/>
  <c r="Q22" i="10"/>
  <c r="Q105" i="10"/>
  <c r="M12" i="10"/>
  <c r="Q12" i="10"/>
  <c r="Q100" i="10"/>
  <c r="M114" i="10"/>
  <c r="Q114" i="10"/>
  <c r="M67" i="10"/>
  <c r="Q67" i="10"/>
  <c r="Q155" i="10"/>
  <c r="Q112" i="10"/>
  <c r="M112" i="10"/>
  <c r="Q98" i="10"/>
  <c r="Q86" i="10"/>
  <c r="M66" i="10"/>
  <c r="Q66" i="10"/>
  <c r="Q56" i="10"/>
  <c r="Q17" i="10"/>
  <c r="Q92" i="10"/>
  <c r="Q102" i="10"/>
  <c r="Q111" i="10"/>
  <c r="M111" i="10"/>
  <c r="M84" i="10"/>
  <c r="Q84" i="10"/>
  <c r="Q65" i="10"/>
  <c r="Q55" i="10"/>
  <c r="M72" i="10"/>
  <c r="Q72" i="10"/>
  <c r="M15" i="10"/>
  <c r="Q15" i="10"/>
  <c r="Q154" i="10"/>
  <c r="M154" i="10"/>
  <c r="M153" i="10"/>
  <c r="Q153" i="10"/>
  <c r="M96" i="10"/>
  <c r="Q96" i="10"/>
  <c r="Q76" i="10"/>
  <c r="Q64" i="10"/>
  <c r="Q48" i="10"/>
  <c r="M48" i="10"/>
  <c r="K9" i="10"/>
  <c r="R10" i="10"/>
  <c r="J122" i="10"/>
  <c r="S11" i="10"/>
  <c r="K94" i="10"/>
  <c r="T11" i="10"/>
  <c r="L94" i="10"/>
  <c r="J94" i="10"/>
  <c r="J151" i="10"/>
  <c r="R11" i="10"/>
  <c r="Q11" i="10"/>
  <c r="K151" i="10"/>
  <c r="O151" i="10" s="1"/>
  <c r="L151" i="10"/>
  <c r="P151" i="10" s="1"/>
  <c r="K142" i="10"/>
  <c r="L142" i="10"/>
  <c r="L122" i="10"/>
  <c r="K103" i="10"/>
  <c r="L58" i="10"/>
  <c r="L35" i="10"/>
  <c r="K58" i="10"/>
  <c r="K82" i="10"/>
  <c r="J142" i="10"/>
  <c r="N142" i="10" s="1"/>
  <c r="J82" i="10"/>
  <c r="N11" i="10"/>
  <c r="K122" i="10"/>
  <c r="I95" i="10"/>
  <c r="I83" i="10"/>
  <c r="J58" i="10"/>
  <c r="K158" i="10" l="1"/>
  <c r="S35" i="10"/>
  <c r="O35" i="10"/>
  <c r="M95" i="10"/>
  <c r="Q95" i="10"/>
  <c r="S58" i="10"/>
  <c r="T151" i="10"/>
  <c r="S94" i="10"/>
  <c r="S151" i="10"/>
  <c r="S122" i="10"/>
  <c r="T35" i="10"/>
  <c r="R122" i="10"/>
  <c r="N122" i="10"/>
  <c r="M83" i="10"/>
  <c r="Q83" i="10"/>
  <c r="R82" i="10"/>
  <c r="N82" i="10"/>
  <c r="Q24" i="10"/>
  <c r="M24" i="10"/>
  <c r="S103" i="10"/>
  <c r="R151" i="10"/>
  <c r="S142" i="10"/>
  <c r="R142" i="10"/>
  <c r="R35" i="10"/>
  <c r="O82" i="10"/>
  <c r="S82" i="10"/>
  <c r="T122" i="10"/>
  <c r="R94" i="10"/>
  <c r="N94" i="10"/>
  <c r="T58" i="10"/>
  <c r="R103" i="10"/>
  <c r="N103" i="10"/>
  <c r="N58" i="10"/>
  <c r="R58" i="10"/>
  <c r="T142" i="10"/>
  <c r="T94" i="10"/>
  <c r="I151" i="10"/>
  <c r="I142" i="10"/>
  <c r="M142" i="10" s="1"/>
  <c r="S10" i="10"/>
  <c r="T10" i="10"/>
  <c r="I94" i="10"/>
  <c r="M11" i="10"/>
  <c r="I122" i="10"/>
  <c r="I103" i="10"/>
  <c r="L9" i="10"/>
  <c r="L158" i="10" s="1"/>
  <c r="I10" i="10"/>
  <c r="I82" i="10"/>
  <c r="I58" i="10"/>
  <c r="N10" i="10"/>
  <c r="J9" i="10"/>
  <c r="J158" i="10" s="1"/>
  <c r="I9" i="10" l="1"/>
  <c r="M10" i="10"/>
  <c r="M94" i="10"/>
  <c r="Q94" i="10"/>
  <c r="M58" i="10"/>
  <c r="Q58" i="10"/>
  <c r="M82" i="10"/>
  <c r="Q82" i="10"/>
  <c r="Q103" i="10"/>
  <c r="M103" i="10"/>
  <c r="R158" i="10"/>
  <c r="N158" i="10"/>
  <c r="Q122" i="10"/>
  <c r="Q151" i="10"/>
  <c r="S158" i="10"/>
  <c r="Q142" i="10"/>
  <c r="Q35" i="10"/>
  <c r="T9" i="10"/>
  <c r="S9" i="10"/>
  <c r="Q10" i="10"/>
  <c r="Q9" i="10"/>
  <c r="N9" i="10"/>
  <c r="R9" i="10"/>
  <c r="T158" i="10" l="1"/>
  <c r="M9" i="10"/>
  <c r="I158" i="10"/>
  <c r="M158" i="10" l="1"/>
  <c r="Q158" i="10"/>
</calcChain>
</file>

<file path=xl/sharedStrings.xml><?xml version="1.0" encoding="utf-8"?>
<sst xmlns="http://schemas.openxmlformats.org/spreadsheetml/2006/main" count="601" uniqueCount="377">
  <si>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</si>
  <si>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</si>
  <si>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</si>
  <si>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</si>
  <si>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</si>
  <si>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</si>
  <si>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</si>
  <si>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</si>
  <si>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</si>
  <si>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</si>
  <si>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</si>
  <si>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</si>
  <si>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</si>
  <si>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</si>
  <si>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</si>
  <si>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</si>
  <si>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</si>
  <si>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</si>
  <si>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</si>
  <si>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</si>
  <si>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</si>
  <si>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</si>
  <si>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</si>
  <si>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</si>
  <si>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</si>
  <si>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</si>
  <si>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</si>
  <si>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</si>
  <si>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</si>
  <si>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</si>
  <si>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</si>
  <si>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</si>
  <si>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</si>
  <si>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Надання пільг окремим категоріям громадян з оплати послуг зв'язку</t>
  </si>
  <si>
    <t>3112</t>
  </si>
  <si>
    <t>4060</t>
  </si>
  <si>
    <t>0824</t>
  </si>
  <si>
    <t>0828</t>
  </si>
  <si>
    <t>0829</t>
  </si>
  <si>
    <t>0610</t>
  </si>
  <si>
    <t>6030</t>
  </si>
  <si>
    <t>0456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</si>
  <si>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</si>
  <si>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</si>
  <si>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</si>
  <si>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</si>
  <si>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</si>
  <si>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</si>
  <si>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</si>
  <si>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</si>
  <si>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</si>
  <si>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</si>
  <si>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</si>
  <si>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</si>
  <si>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</si>
  <si>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Організація благоустрою  населених пунктів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</si>
  <si>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</si>
  <si>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</si>
  <si>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</si>
  <si>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</si>
  <si>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</si>
  <si>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</si>
  <si>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</si>
  <si>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</si>
  <si>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</si>
  <si>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</si>
  <si>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</si>
  <si>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</si>
  <si>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</si>
  <si>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</si>
  <si>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</si>
  <si>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</si>
  <si>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</si>
  <si>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</si>
  <si>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</si>
  <si>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</si>
  <si>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</si>
  <si>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</si>
  <si>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</si>
  <si>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</si>
  <si>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</si>
  <si>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</si>
  <si>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</si>
  <si>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</si>
  <si>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</si>
  <si>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</si>
  <si>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</si>
  <si>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1110160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</si>
  <si>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</si>
  <si>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</si>
  <si>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</si>
  <si>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</si>
  <si>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</si>
  <si>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</si>
  <si>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</si>
  <si>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</si>
  <si>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</si>
  <si>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</si>
  <si>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</si>
  <si>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</si>
  <si>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</si>
  <si>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</si>
  <si>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</si>
  <si>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</si>
  <si>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</si>
  <si>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</si>
  <si>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</si>
  <si>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</si>
  <si>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</si>
  <si>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</si>
  <si>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</si>
  <si>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</si>
  <si>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</si>
  <si>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</si>
  <si>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</si>
  <si>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</si>
  <si>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</si>
  <si>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</si>
  <si>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</si>
  <si>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</si>
  <si>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</si>
  <si>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</si>
  <si>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 xml:space="preserve">Інша діяльність у сфері державного управління </t>
  </si>
  <si>
    <t>3104</t>
  </si>
  <si>
    <t>0813104</t>
  </si>
  <si>
    <t>1217461</t>
  </si>
  <si>
    <t>6012</t>
  </si>
  <si>
    <t>1216012</t>
  </si>
  <si>
    <t>Забезпечення діяльності з виробництва, транспортування, постачання теплової енергії</t>
  </si>
  <si>
    <t>0763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</si>
  <si>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</si>
  <si>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</si>
  <si>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</si>
  <si>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</si>
  <si>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</si>
  <si>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</si>
  <si>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</si>
  <si>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</si>
  <si>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</si>
  <si>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</si>
  <si>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</si>
  <si>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</si>
  <si>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</si>
  <si>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</si>
  <si>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</si>
  <si>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</si>
  <si>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</si>
  <si>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</si>
  <si>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</si>
  <si>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</si>
  <si>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</si>
  <si>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</si>
  <si>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</si>
  <si>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</si>
  <si>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</si>
  <si>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Інші програми та заходи у сфері освіти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</si>
  <si>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</si>
  <si>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</si>
  <si>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</si>
  <si>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</si>
  <si>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</si>
  <si>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3719800</t>
  </si>
  <si>
    <t>Багатопрофільна стаціонарна медична допомога населенню</t>
  </si>
  <si>
    <t>9770</t>
  </si>
  <si>
    <t>Інші субвенції з місцевого бюджету</t>
  </si>
  <si>
    <t>3719770</t>
  </si>
  <si>
    <t>0810180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</si>
  <si>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</si>
  <si>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</si>
  <si>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</si>
  <si>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</si>
  <si>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</si>
  <si>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</si>
  <si>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</si>
  <si>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</si>
  <si>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</si>
  <si>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</si>
  <si>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</si>
  <si>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</si>
  <si>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</si>
  <si>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</si>
  <si>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</si>
  <si>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спеціальний фонд</t>
  </si>
  <si>
    <t>загальний  фонд</t>
  </si>
  <si>
    <t>всього</t>
  </si>
  <si>
    <t xml:space="preserve">з них </t>
  </si>
  <si>
    <t>в тому числ:</t>
  </si>
  <si>
    <t>Темп росту, %</t>
  </si>
  <si>
    <t>Начальник фінансового управління</t>
  </si>
  <si>
    <t>0218210</t>
  </si>
  <si>
    <t>8210</t>
  </si>
  <si>
    <t>Муніципальні формування з охорони громадського порядку</t>
  </si>
  <si>
    <t>2152</t>
  </si>
  <si>
    <t>0611021</t>
  </si>
  <si>
    <t>0611022</t>
  </si>
  <si>
    <t>1021</t>
  </si>
  <si>
    <t>1022</t>
  </si>
  <si>
    <t>Надання спеціальної освіти мистецькими школами</t>
  </si>
  <si>
    <t>1011080</t>
  </si>
  <si>
    <t>1080</t>
  </si>
  <si>
    <t>0611031</t>
  </si>
  <si>
    <t>1031</t>
  </si>
  <si>
    <t>0611032</t>
  </si>
  <si>
    <t>1032</t>
  </si>
  <si>
    <t>0611141</t>
  </si>
  <si>
    <t>1141</t>
  </si>
  <si>
    <t>0611142</t>
  </si>
  <si>
    <t>1142</t>
  </si>
  <si>
    <t>0611151</t>
  </si>
  <si>
    <t>1151</t>
  </si>
  <si>
    <t xml:space="preserve">Забезпечення діяльності інклюзивно - ресурсних центрів  за  рахунок  коштів  місцевого бюджету </t>
  </si>
  <si>
    <t>0611152</t>
  </si>
  <si>
    <t>1152</t>
  </si>
  <si>
    <t>Забезпечення діяльності інклюзивно - ресурсних центрів  за  рахунок  освітньої  субвенції</t>
  </si>
  <si>
    <t>Виконавчий комітет Чорноморської міської ради Одеського району  Одеської області</t>
  </si>
  <si>
    <t>Виконавчий комітет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</si>
  <si>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</si>
  <si>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Відділ  культури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</si>
  <si>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</si>
  <si>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Управління комунальної  власності  та земельних відносин Чорноморської 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</si>
  <si>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</si>
  <si>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Фінансове управління Чорноморської міської ради Одеського району 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</si>
  <si>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</si>
  <si>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</si>
  <si>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</si>
  <si>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Ольга ЯКОВЕНКО</t>
  </si>
  <si>
    <t>Відділ комунального господарства та благоустрою Чорноморської  міської ради Одеського району Одеської області</t>
  </si>
  <si>
    <t>0380</t>
  </si>
  <si>
    <t>Стоматологічна допомога населенню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</si>
  <si>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</si>
  <si>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</si>
  <si>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</si>
  <si>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</si>
  <si>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</si>
  <si>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</si>
  <si>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0611061</t>
  </si>
  <si>
    <t>1061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</si>
  <si>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</si>
  <si>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 освіти, заходи із позашкільної роботи з дітьми</t>
  </si>
  <si>
    <t>0610180</t>
  </si>
  <si>
    <t>1210180</t>
  </si>
  <si>
    <t>1516030</t>
  </si>
  <si>
    <t>0218230</t>
  </si>
  <si>
    <t>8230</t>
  </si>
  <si>
    <t>Інші заходи громадського порядку та безпеки</t>
  </si>
  <si>
    <t>7390</t>
  </si>
  <si>
    <t>Розвиток мережі центрів надання адміністративних послуг</t>
  </si>
  <si>
    <t>Керівництво і управління у відповідній сфері у містах (місті Києві), селищах, селах, територіальних громадах</t>
  </si>
  <si>
    <t>1517390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</si>
  <si>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</si>
  <si>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</si>
  <si>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</si>
  <si>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</si>
  <si>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</si>
  <si>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0618110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</si>
  <si>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</si>
  <si>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</si>
  <si>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Інші заходи, пов`язані з економічною діяльністю</t>
  </si>
  <si>
    <t>Заходи та роботи з територіальної оборони</t>
  </si>
  <si>
    <t>1518110</t>
  </si>
  <si>
    <t>3116017</t>
  </si>
  <si>
    <t>Інша діяльність, пов`язана з експлуатацією об`єктів житлово-комунального господарства</t>
  </si>
  <si>
    <t>8240</t>
  </si>
  <si>
    <t>0218240</t>
  </si>
  <si>
    <t>Відхилення, грн</t>
  </si>
  <si>
    <t>Забезпечення діяльності центрів професійного розвитку педагогічних працівників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</si>
  <si>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</si>
  <si>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</si>
  <si>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1516011</t>
  </si>
  <si>
    <t>у 8 разів</t>
  </si>
  <si>
    <t>Надання  загальної  середньої  освіти  закладами  загальної  середньої  освіти за  рахунок коштів  місцевого  бюджету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</si>
  <si>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розвитку, за  рахунок  місцевого бюджету</t>
  </si>
  <si>
    <t>Надання  загальної  середньої  освіти  закладами  загальної  середньої  освіти за  рахунок  освітньої  субвенції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</si>
  <si>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 за рахунок  освітньої  субвенції</t>
  </si>
  <si>
    <t>Управління освіти Чорноморської  міської ради Одеського району Одеської області</t>
  </si>
  <si>
    <t>Управління освіти Чорноморської  міської ради  Одеського району Одеської області</t>
  </si>
  <si>
    <t>Відділ молоді та спорту Чорноморської  міської ради  Одеського району Одеської області</t>
  </si>
  <si>
    <t>Відділ молоді та спорту Чорноморської  міської ради Одеського району Одеської області</t>
  </si>
  <si>
    <t>0813123</t>
  </si>
  <si>
    <t>3123</t>
  </si>
  <si>
    <t>Заходи державної політики з питань сім'ї</t>
  </si>
  <si>
    <t>1010180</t>
  </si>
  <si>
    <t>1110180</t>
  </si>
  <si>
    <t>0217680</t>
  </si>
  <si>
    <t>7680</t>
  </si>
  <si>
    <t>Членські внески до асоціацій органів місцевого самоврядування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</si>
  <si>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</si>
  <si>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</si>
  <si>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</si>
  <si>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0818110</t>
  </si>
  <si>
    <t>8110</t>
  </si>
  <si>
    <t>Заходи із запобігання поширенню інфекційних захворювань за рахунок коштів резервного фонду місцевого бюджету</t>
  </si>
  <si>
    <t>1510180</t>
  </si>
  <si>
    <t>3110180</t>
  </si>
  <si>
    <t>0443</t>
  </si>
  <si>
    <t>Розроблення схем планування та забудови територій (містобудівної документації)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</si>
  <si>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</si>
  <si>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1516012</t>
  </si>
  <si>
    <t>1517321</t>
  </si>
  <si>
    <t>7321</t>
  </si>
  <si>
    <t>Будівництво освітніх установ та закладів</t>
  </si>
  <si>
    <t>1517370</t>
  </si>
  <si>
    <t>7370</t>
  </si>
  <si>
    <t>Реалізація інших заходів щодо соціально-економічного розвитку територій</t>
  </si>
  <si>
    <t>1517640</t>
  </si>
  <si>
    <t>7640</t>
  </si>
  <si>
    <t>0470</t>
  </si>
  <si>
    <t>Заходи з енергозбереження</t>
  </si>
  <si>
    <t>у 2 рази</t>
  </si>
  <si>
    <t>у 3 рази</t>
  </si>
  <si>
    <t>в 20 разів</t>
  </si>
  <si>
    <t>в 3 рази</t>
  </si>
  <si>
    <t>Виконано за  9  місяців  2023 року, грн</t>
  </si>
  <si>
    <t>Виконано за  9  місяців  2022 року, грн</t>
  </si>
  <si>
    <t>Показники  бюджету Чорноморської міської територіальної громади за видатками за  9  місяців  2023 року порівняно з аналогічними показниками за відповідний період попереднього бюджетного періоду із зазначенням динаміки їх зміни</t>
  </si>
  <si>
    <t>1018110</t>
  </si>
  <si>
    <t>0217390</t>
  </si>
  <si>
    <t>0218220</t>
  </si>
  <si>
    <t>Заходи та роботи з мобілізаційної підготовки місцевого значення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</si>
  <si>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</si>
  <si>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</si>
  <si>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</si>
  <si>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</si>
  <si>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0900000</t>
  </si>
  <si>
    <t/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</si>
  <si>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</si>
  <si>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</si>
  <si>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</si>
  <si>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</si>
  <si>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</si>
  <si>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</si>
  <si>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</si>
  <si>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</si>
  <si>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</si>
  <si>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</si>
  <si>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</si>
  <si>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</si>
  <si>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</si>
  <si>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1216015</t>
  </si>
  <si>
    <t>6015</t>
  </si>
  <si>
    <t>Забезпечення надійної та безперебійної експлуатації ліфтів</t>
  </si>
  <si>
    <t>1217310</t>
  </si>
  <si>
    <t>7310</t>
  </si>
  <si>
    <t>Будівництво об'єктів житлово-комунального господарства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</si>
  <si>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</si>
  <si>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</si>
  <si>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1218340</t>
  </si>
  <si>
    <t>8340</t>
  </si>
  <si>
    <t>0540</t>
  </si>
  <si>
    <t>Природоохоронні заходи за рахунок цільових фондів</t>
  </si>
  <si>
    <t>1516013</t>
  </si>
  <si>
    <t>1516015</t>
  </si>
  <si>
    <t>1517310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</si>
  <si>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</si>
  <si>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</si>
  <si>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</si>
  <si>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</si>
  <si>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</si>
  <si>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в 11 разів</t>
  </si>
  <si>
    <t>у 12 раз</t>
  </si>
  <si>
    <t>в  3 рази</t>
  </si>
  <si>
    <t>у 63 рази</t>
  </si>
  <si>
    <t>у 16 разів</t>
  </si>
  <si>
    <t>у 196 разів</t>
  </si>
  <si>
    <t xml:space="preserve"> у 19 разів</t>
  </si>
  <si>
    <t>у 7 разів</t>
  </si>
  <si>
    <t xml:space="preserve">у  9  разів </t>
  </si>
  <si>
    <t>у 15 разів</t>
  </si>
  <si>
    <t>в 2 рази</t>
  </si>
  <si>
    <t>у 626 разів</t>
  </si>
  <si>
    <t>у 3443 разів</t>
  </si>
  <si>
    <t>у 50 разів</t>
  </si>
  <si>
    <t>у 20 разів</t>
  </si>
  <si>
    <t>у 193 разів</t>
  </si>
  <si>
    <t>в 4 рази</t>
  </si>
  <si>
    <t>у  8 разів</t>
  </si>
  <si>
    <t>0611130,                   0611160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</si>
</sst>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0.0%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1" fillId="0" borderId="0"/>
    <xf numFmtId="0" fontId="23" fillId="0" borderId="0"/>
    <xf numFmtId="0" fontId="22" fillId="0" borderId="0"/>
  </cellStyleXfs>
  <cellXfs count="8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8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9" fillId="2" borderId="0" xfId="0" applyFont="1" applyFill="1"/>
    <xf numFmtId="0" fontId="7" fillId="2" borderId="0" xfId="0" applyFont="1" applyFill="1"/>
    <xf numFmtId="0" fontId="10" fillId="2" borderId="0" xfId="0" applyFont="1" applyFill="1" applyAlignment="1">
      <alignment horizontal="left"/>
    </xf>
    <xf numFmtId="49" fontId="4" fillId="2" borderId="0" xfId="0" applyNumberFormat="1" applyFont="1" applyFill="1"/>
    <xf numFmtId="165" fontId="4" fillId="2" borderId="0" xfId="0" applyNumberFormat="1" applyFont="1" applyFill="1"/>
    <xf numFmtId="49" fontId="7" fillId="2" borderId="0" xfId="0" applyNumberFormat="1" applyFont="1" applyFill="1"/>
    <xf numFmtId="0" fontId="13" fillId="2" borderId="0" xfId="0" applyFont="1" applyFill="1" applyAlignment="1">
      <alignment horizontal="left"/>
    </xf>
    <xf numFmtId="0" fontId="17" fillId="2" borderId="0" xfId="0" applyFont="1" applyFill="1"/>
    <xf numFmtId="3" fontId="4" fillId="2" borderId="0" xfId="0" applyNumberFormat="1" applyFont="1" applyFill="1"/>
    <xf numFmtId="4" fontId="4" fillId="2" borderId="0" xfId="0" applyNumberFormat="1" applyFont="1" applyFill="1"/>
    <xf numFmtId="164" fontId="7" fillId="2" borderId="0" xfId="2" applyNumberFormat="1" applyFont="1" applyFill="1"/>
    <xf numFmtId="0" fontId="7" fillId="2" borderId="0" xfId="2" applyFont="1" applyFill="1"/>
    <xf numFmtId="4" fontId="7" fillId="2" borderId="0" xfId="0" applyNumberFormat="1" applyFont="1" applyFill="1"/>
    <xf numFmtId="3" fontId="8" fillId="2" borderId="0" xfId="0" applyNumberFormat="1" applyFont="1" applyFill="1"/>
    <xf numFmtId="0" fontId="4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2" fontId="7" fillId="2" borderId="0" xfId="0" applyNumberFormat="1" applyFont="1" applyFill="1"/>
    <xf numFmtId="3" fontId="7" fillId="2" borderId="0" xfId="2" applyNumberFormat="1" applyFont="1" applyFill="1"/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20" fillId="2" borderId="1" xfId="4" quotePrefix="1" applyFont="1" applyFill="1" applyBorder="1" applyAlignment="1">
      <alignment horizontal="left" vertical="center" wrapText="1"/>
    </xf>
    <xf numFmtId="0" fontId="20" fillId="2" borderId="5" xfId="4" quotePrefix="1" applyFont="1" applyFill="1" applyBorder="1" applyAlignment="1">
      <alignment horizontal="left" vertical="center" wrapText="1"/>
    </xf>
    <xf numFmtId="0" fontId="15" fillId="2" borderId="1" xfId="2" applyFont="1" applyFill="1" applyBorder="1" applyAlignment="1">
      <alignment horizontal="left" vertical="center" wrapText="1"/>
    </xf>
    <xf numFmtId="4" fontId="15" fillId="2" borderId="1" xfId="2" applyNumberFormat="1" applyFont="1" applyFill="1" applyBorder="1" applyAlignment="1">
      <alignment horizontal="left" vertical="center" wrapText="1"/>
    </xf>
    <xf numFmtId="166" fontId="15" fillId="2" borderId="1" xfId="2" applyNumberFormat="1" applyFont="1" applyFill="1" applyBorder="1" applyAlignment="1">
      <alignment horizontal="left" vertical="center"/>
    </xf>
    <xf numFmtId="4" fontId="15" fillId="2" borderId="1" xfId="0" applyNumberFormat="1" applyFont="1" applyFill="1" applyBorder="1" applyAlignment="1">
      <alignment horizontal="left" vertical="center"/>
    </xf>
    <xf numFmtId="0" fontId="14" fillId="2" borderId="0" xfId="0" applyFont="1" applyFill="1" applyAlignment="1">
      <alignment vertical="center"/>
    </xf>
    <xf numFmtId="4" fontId="15" fillId="2" borderId="1" xfId="2" applyNumberFormat="1" applyFont="1" applyFill="1" applyBorder="1" applyAlignment="1">
      <alignment horizontal="left" vertical="center"/>
    </xf>
    <xf numFmtId="0" fontId="18" fillId="2" borderId="0" xfId="0" applyFont="1" applyFill="1" applyAlignment="1">
      <alignment vertical="center"/>
    </xf>
    <xf numFmtId="0" fontId="7" fillId="2" borderId="1" xfId="2" applyFont="1" applyFill="1" applyBorder="1" applyAlignment="1">
      <alignment horizontal="left" vertical="center" wrapText="1"/>
    </xf>
    <xf numFmtId="4" fontId="7" fillId="2" borderId="1" xfId="2" applyNumberFormat="1" applyFont="1" applyFill="1" applyBorder="1" applyAlignment="1">
      <alignment horizontal="left" vertical="center"/>
    </xf>
    <xf numFmtId="166" fontId="7" fillId="2" borderId="1" xfId="2" applyNumberFormat="1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2" fontId="9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6" fillId="2" borderId="1" xfId="2" applyFont="1" applyFill="1" applyBorder="1" applyAlignment="1">
      <alignment horizontal="left" vertical="center" wrapText="1"/>
    </xf>
    <xf numFmtId="4" fontId="16" fillId="2" borderId="1" xfId="2" applyNumberFormat="1" applyFont="1" applyFill="1" applyBorder="1" applyAlignment="1">
      <alignment horizontal="left" vertical="center"/>
    </xf>
    <xf numFmtId="166" fontId="16" fillId="2" borderId="1" xfId="2" applyNumberFormat="1" applyFont="1" applyFill="1" applyBorder="1" applyAlignment="1">
      <alignment horizontal="left" vertical="center"/>
    </xf>
    <xf numFmtId="4" fontId="16" fillId="2" borderId="1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2" fontId="4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1" xfId="1" applyFont="1" applyFill="1" applyBorder="1" applyAlignment="1">
      <alignment horizontal="left" vertical="center" wrapText="1"/>
    </xf>
    <xf numFmtId="49" fontId="20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7" fillId="2" borderId="1" xfId="3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15" fillId="2" borderId="1" xfId="2" applyFont="1" applyFill="1" applyBorder="1" applyAlignment="1">
      <alignment horizontal="left" vertical="center"/>
    </xf>
    <xf numFmtId="166" fontId="24" fillId="2" borderId="1" xfId="2" applyNumberFormat="1" applyFont="1" applyFill="1" applyBorder="1" applyAlignment="1">
      <alignment horizontal="left" vertical="center"/>
    </xf>
    <xf numFmtId="49" fontId="20" fillId="2" borderId="1" xfId="4" applyNumberFormat="1" applyFont="1" applyFill="1" applyBorder="1" applyAlignment="1">
      <alignment horizontal="left" vertical="center" wrapText="1"/>
    </xf>
    <xf numFmtId="0" fontId="20" fillId="2" borderId="1" xfId="4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4" applyNumberFormat="1" applyFont="1" applyFill="1" applyBorder="1" applyAlignment="1">
      <alignment horizontal="left" vertical="center"/>
    </xf>
    <xf numFmtId="0" fontId="21" fillId="2" borderId="1" xfId="4" applyFont="1" applyFill="1" applyBorder="1" applyAlignment="1">
      <alignment horizontal="left" vertical="center" wrapText="1"/>
    </xf>
    <xf numFmtId="49" fontId="25" fillId="2" borderId="1" xfId="4" applyNumberFormat="1" applyFont="1" applyFill="1" applyBorder="1" applyAlignment="1">
      <alignment horizontal="left" vertical="center" wrapText="1"/>
    </xf>
    <xf numFmtId="0" fontId="25" fillId="2" borderId="1" xfId="4" applyFont="1" applyFill="1" applyBorder="1" applyAlignment="1">
      <alignment horizontal="left" vertical="center" wrapText="1"/>
    </xf>
    <xf numFmtId="0" fontId="25" fillId="2" borderId="1" xfId="4" quotePrefix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49" fontId="7" fillId="2" borderId="2" xfId="1" applyNumberFormat="1" applyFont="1" applyFill="1" applyBorder="1" applyAlignment="1" applyProtection="1">
      <alignment horizontal="center" vertical="center" wrapText="1"/>
    </xf>
    <xf numFmtId="49" fontId="7" fillId="2" borderId="3" xfId="1" applyNumberFormat="1" applyFont="1" applyFill="1" applyBorder="1" applyAlignment="1" applyProtection="1">
      <alignment horizontal="center" vertical="center" wrapText="1"/>
    </xf>
    <xf numFmtId="49" fontId="7" fillId="2" borderId="4" xfId="1" applyNumberFormat="1" applyFont="1" applyFill="1" applyBorder="1" applyAlignment="1" applyProtection="1">
      <alignment horizontal="center" vertical="center" wrapText="1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 wrapText="1"/>
    </xf>
  </cellXfs>
  <cellStyles count="6">
    <cellStyle name="Звичайний" xfId="0" builtinId="0"/>
    <cellStyle name="Звичайний 2" xfId="4"/>
    <cellStyle name="Обычный 2" xfId="5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7"/>
  <sheetViews>
    <sheetView showZeros="0" tabSelected="1" view="pageBreakPreview" zoomScale="87" zoomScaleNormal="75" zoomScaleSheetLayoutView="87" workbookViewId="0">
      <pane xSplit="4" ySplit="8" topLeftCell="E33" activePane="bottomRight" state="frozen"/>
      <selection pane="topRight" activeCell="E1" sqref="E1"/>
      <selection pane="bottomLeft" activeCell="A13" sqref="A13"/>
      <selection pane="bottomRight" activeCell="H36" sqref="H36"/>
    </sheetView>
  </sheetViews>
  <sheetFormatPr defaultColWidth="8.85546875" defaultRowHeight="15" x14ac:dyDescent="0.25"/>
  <cols>
    <col min="1" max="1" width="15.28515625" style="5" customWidth="1"/>
    <col min="2" max="2" width="11.42578125" style="5" customWidth="1"/>
    <col min="3" max="3" width="14.28515625" style="5" customWidth="1"/>
    <col min="4" max="4" width="49.85546875" style="3" customWidth="1"/>
    <col min="5" max="5" width="20.85546875" style="3" customWidth="1"/>
    <col min="6" max="6" width="22.5703125" style="3" customWidth="1"/>
    <col min="7" max="7" width="19.28515625" style="3" customWidth="1"/>
    <col min="8" max="8" width="19.7109375" style="3" customWidth="1"/>
    <col min="9" max="9" width="22.42578125" style="3" customWidth="1"/>
    <col min="10" max="10" width="19.7109375" style="3" customWidth="1"/>
    <col min="11" max="11" width="19.140625" style="3" customWidth="1"/>
    <col min="12" max="12" width="21.5703125" style="3" customWidth="1"/>
    <col min="13" max="13" width="14.140625" style="3" customWidth="1"/>
    <col min="14" max="14" width="14.5703125" style="3" customWidth="1"/>
    <col min="15" max="15" width="14.42578125" style="3" customWidth="1"/>
    <col min="16" max="16" width="15.7109375" style="3" customWidth="1"/>
    <col min="17" max="17" width="21.140625" style="3" customWidth="1"/>
    <col min="18" max="18" width="20.140625" style="3" customWidth="1"/>
    <col min="19" max="19" width="19.140625" style="3" customWidth="1"/>
    <col min="20" max="20" width="20" style="3" customWidth="1"/>
    <col min="21" max="21" width="14.28515625" style="3" bestFit="1" customWidth="1"/>
    <col min="22" max="16384" width="8.85546875" style="3"/>
  </cols>
  <sheetData>
    <row r="1" spans="1:21" x14ac:dyDescent="0.25">
      <c r="A1" s="12"/>
      <c r="D1" s="1"/>
      <c r="E1" s="2"/>
      <c r="F1" s="2"/>
      <c r="G1" s="2"/>
      <c r="H1" s="2"/>
      <c r="I1" s="2"/>
      <c r="J1" s="2"/>
      <c r="K1" s="4"/>
      <c r="L1" s="2"/>
      <c r="M1" s="2"/>
      <c r="N1" s="8"/>
    </row>
    <row r="2" spans="1:21" s="13" customFormat="1" ht="59.25" customHeight="1" x14ac:dyDescent="0.25">
      <c r="A2" s="77" t="s">
        <v>314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1" ht="20.45" customHeight="1" x14ac:dyDescent="0.25">
      <c r="A3" s="78" t="s">
        <v>168</v>
      </c>
      <c r="B3" s="81" t="s">
        <v>169</v>
      </c>
      <c r="C3" s="84" t="s">
        <v>170</v>
      </c>
      <c r="D3" s="85" t="s">
        <v>171</v>
      </c>
      <c r="E3" s="74" t="s">
        <v>313</v>
      </c>
      <c r="F3" s="75"/>
      <c r="G3" s="75"/>
      <c r="H3" s="76"/>
      <c r="I3" s="74" t="s">
        <v>312</v>
      </c>
      <c r="J3" s="75"/>
      <c r="K3" s="75"/>
      <c r="L3" s="76"/>
      <c r="M3" s="74" t="s">
        <v>187</v>
      </c>
      <c r="N3" s="75"/>
      <c r="O3" s="75"/>
      <c r="P3" s="76"/>
      <c r="Q3" s="74" t="s">
        <v>264</v>
      </c>
      <c r="R3" s="75"/>
      <c r="S3" s="75"/>
      <c r="T3" s="76"/>
    </row>
    <row r="4" spans="1:21" ht="25.5" customHeight="1" x14ac:dyDescent="0.25">
      <c r="A4" s="79"/>
      <c r="B4" s="82"/>
      <c r="C4" s="84"/>
      <c r="D4" s="85"/>
      <c r="E4" s="72" t="s">
        <v>184</v>
      </c>
      <c r="F4" s="72" t="s">
        <v>186</v>
      </c>
      <c r="G4" s="72"/>
      <c r="H4" s="72"/>
      <c r="I4" s="72" t="s">
        <v>184</v>
      </c>
      <c r="J4" s="72" t="s">
        <v>186</v>
      </c>
      <c r="K4" s="72"/>
      <c r="L4" s="72"/>
      <c r="M4" s="72" t="s">
        <v>184</v>
      </c>
      <c r="N4" s="72" t="s">
        <v>186</v>
      </c>
      <c r="O4" s="72"/>
      <c r="P4" s="72"/>
      <c r="Q4" s="72" t="s">
        <v>184</v>
      </c>
      <c r="R4" s="72" t="s">
        <v>186</v>
      </c>
      <c r="S4" s="72"/>
      <c r="T4" s="72"/>
    </row>
    <row r="5" spans="1:21" ht="15" customHeight="1" x14ac:dyDescent="0.25">
      <c r="A5" s="79"/>
      <c r="B5" s="82"/>
      <c r="C5" s="84"/>
      <c r="D5" s="85"/>
      <c r="E5" s="72"/>
      <c r="F5" s="72" t="s">
        <v>183</v>
      </c>
      <c r="G5" s="72" t="s">
        <v>182</v>
      </c>
      <c r="H5" s="72"/>
      <c r="I5" s="72"/>
      <c r="J5" s="72" t="s">
        <v>183</v>
      </c>
      <c r="K5" s="72" t="s">
        <v>182</v>
      </c>
      <c r="L5" s="72"/>
      <c r="M5" s="72"/>
      <c r="N5" s="72" t="s">
        <v>183</v>
      </c>
      <c r="O5" s="72" t="s">
        <v>182</v>
      </c>
      <c r="P5" s="72"/>
      <c r="Q5" s="72"/>
      <c r="R5" s="72" t="s">
        <v>183</v>
      </c>
      <c r="S5" s="72" t="s">
        <v>182</v>
      </c>
      <c r="T5" s="72"/>
    </row>
    <row r="6" spans="1:21" ht="24" customHeight="1" x14ac:dyDescent="0.25">
      <c r="A6" s="79"/>
      <c r="B6" s="82"/>
      <c r="C6" s="84"/>
      <c r="D6" s="85"/>
      <c r="E6" s="72"/>
      <c r="F6" s="73"/>
      <c r="G6" s="72" t="s">
        <v>184</v>
      </c>
      <c r="H6" s="21" t="s">
        <v>185</v>
      </c>
      <c r="I6" s="72"/>
      <c r="J6" s="73"/>
      <c r="K6" s="72" t="s">
        <v>184</v>
      </c>
      <c r="L6" s="21" t="s">
        <v>185</v>
      </c>
      <c r="M6" s="72"/>
      <c r="N6" s="73"/>
      <c r="O6" s="72" t="s">
        <v>184</v>
      </c>
      <c r="P6" s="21" t="s">
        <v>185</v>
      </c>
      <c r="Q6" s="72"/>
      <c r="R6" s="73"/>
      <c r="S6" s="72" t="s">
        <v>184</v>
      </c>
      <c r="T6" s="21" t="s">
        <v>185</v>
      </c>
    </row>
    <row r="7" spans="1:21" ht="168.75" customHeight="1" x14ac:dyDescent="0.25">
      <c r="A7" s="80"/>
      <c r="B7" s="83"/>
      <c r="C7" s="84"/>
      <c r="D7" s="85"/>
      <c r="E7" s="72"/>
      <c r="F7" s="73"/>
      <c r="G7" s="72"/>
      <c r="H7" s="21" t="s">
        <v>0</v>
      </c>
      <c r="I7" s="72"/>
      <c r="J7" s="73"/>
      <c r="K7" s="72"/>
      <c r="L7" s="21" t="s">
        <v>0</v>
      </c>
      <c r="M7" s="72"/>
      <c r="N7" s="73"/>
      <c r="O7" s="72"/>
      <c r="P7" s="21" t="s">
        <v>0</v>
      </c>
      <c r="Q7" s="72"/>
      <c r="R7" s="73"/>
      <c r="S7" s="72"/>
      <c r="T7" s="21" t="s">
        <v>0</v>
      </c>
    </row>
    <row r="8" spans="1:21" ht="18.75" x14ac:dyDescent="0.3">
      <c r="A8" s="24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  <c r="O8" s="25">
        <v>15</v>
      </c>
      <c r="P8" s="25">
        <v>16</v>
      </c>
      <c r="Q8" s="26">
        <v>17</v>
      </c>
      <c r="R8" s="26">
        <v>18</v>
      </c>
      <c r="S8" s="26">
        <v>19</v>
      </c>
      <c r="T8" s="26">
        <v>20</v>
      </c>
    </row>
    <row r="9" spans="1:21" s="33" customFormat="1" ht="56.25" x14ac:dyDescent="0.25">
      <c r="A9" s="63" t="s">
        <v>63</v>
      </c>
      <c r="B9" s="63"/>
      <c r="C9" s="63"/>
      <c r="D9" s="29" t="s">
        <v>214</v>
      </c>
      <c r="E9" s="30">
        <f t="shared" ref="E9:L9" si="0">E10</f>
        <v>87326511.859999999</v>
      </c>
      <c r="F9" s="30">
        <f t="shared" si="0"/>
        <v>87106562.469999999</v>
      </c>
      <c r="G9" s="30">
        <f t="shared" si="0"/>
        <v>219949.39</v>
      </c>
      <c r="H9" s="30">
        <f t="shared" si="0"/>
        <v>64350</v>
      </c>
      <c r="I9" s="30">
        <f t="shared" si="0"/>
        <v>101570465.08</v>
      </c>
      <c r="J9" s="30">
        <f t="shared" si="0"/>
        <v>100034247.51000001</v>
      </c>
      <c r="K9" s="30">
        <f t="shared" si="0"/>
        <v>1536217.5699999998</v>
      </c>
      <c r="L9" s="30">
        <f t="shared" si="0"/>
        <v>1237580</v>
      </c>
      <c r="M9" s="31">
        <f>I9/E9</f>
        <v>1.1631114413780272</v>
      </c>
      <c r="N9" s="31">
        <f t="shared" ref="N9:N11" si="1">J9/F9</f>
        <v>1.1484122972302158</v>
      </c>
      <c r="O9" s="60" t="s">
        <v>365</v>
      </c>
      <c r="P9" s="31" t="s">
        <v>269</v>
      </c>
      <c r="Q9" s="32">
        <f>I9-E9</f>
        <v>14243953.219999999</v>
      </c>
      <c r="R9" s="32">
        <f>J9-F9</f>
        <v>12927685.040000007</v>
      </c>
      <c r="S9" s="32">
        <f t="shared" ref="S9:T9" si="2">K9-G9</f>
        <v>1316268.1799999997</v>
      </c>
      <c r="T9" s="32">
        <f t="shared" si="2"/>
        <v>1173230</v>
      </c>
    </row>
    <row r="10" spans="1:21" s="35" customFormat="1" ht="56.25" x14ac:dyDescent="0.25">
      <c r="A10" s="63" t="s">
        <v>64</v>
      </c>
      <c r="B10" s="63"/>
      <c r="C10" s="63"/>
      <c r="D10" s="29" t="s">
        <v>215</v>
      </c>
      <c r="E10" s="34">
        <f>F10+G10</f>
        <v>87326511.859999999</v>
      </c>
      <c r="F10" s="34">
        <f>F11+F16+F17+F18+F19+F20+F21+F22+F23+F24+F30+F33+F31+F34+F28+F29+F32</f>
        <v>87106562.469999999</v>
      </c>
      <c r="G10" s="34">
        <f t="shared" ref="G10:H10" si="3">G11+G16+G17+G18+G19+G20+G21+G22+G23+G24+G30+G33+G31+G34+G28+G29+G32</f>
        <v>219949.39</v>
      </c>
      <c r="H10" s="34">
        <f t="shared" si="3"/>
        <v>64350</v>
      </c>
      <c r="I10" s="34">
        <f>J10+K10</f>
        <v>101570465.08</v>
      </c>
      <c r="J10" s="34">
        <f>J11+J16+J17+J18+J19+J20+J21+J22+J23+J24+J30+J33+J31+J34+J29+J28+J32</f>
        <v>100034247.51000001</v>
      </c>
      <c r="K10" s="34">
        <f t="shared" ref="K10:L10" si="4">K11+K16+K17+K18+K19+K20+K21+K22+K23+K24+K30+K33+K31+K34+K29+K28+K32</f>
        <v>1536217.5699999998</v>
      </c>
      <c r="L10" s="34">
        <f t="shared" si="4"/>
        <v>1237580</v>
      </c>
      <c r="M10" s="31">
        <f>I10/E10</f>
        <v>1.1631114413780272</v>
      </c>
      <c r="N10" s="31">
        <f t="shared" si="1"/>
        <v>1.1484122972302158</v>
      </c>
      <c r="O10" s="60" t="s">
        <v>365</v>
      </c>
      <c r="P10" s="31" t="s">
        <v>269</v>
      </c>
      <c r="Q10" s="32">
        <f t="shared" ref="Q10:Q11" si="5">I10-E10</f>
        <v>14243953.219999999</v>
      </c>
      <c r="R10" s="32">
        <f t="shared" ref="R10:R11" si="6">J10-F10</f>
        <v>12927685.040000007</v>
      </c>
      <c r="S10" s="32">
        <f t="shared" ref="S10:S11" si="7">K10-G10</f>
        <v>1316268.1799999997</v>
      </c>
      <c r="T10" s="32">
        <f t="shared" ref="T10:T11" si="8">L10-H10</f>
        <v>1173230</v>
      </c>
    </row>
    <row r="11" spans="1:21" s="41" customFormat="1" ht="112.5" x14ac:dyDescent="0.25">
      <c r="A11" s="64" t="s">
        <v>65</v>
      </c>
      <c r="B11" s="64" t="s">
        <v>52</v>
      </c>
      <c r="C11" s="64" t="s">
        <v>3</v>
      </c>
      <c r="D11" s="36" t="s">
        <v>53</v>
      </c>
      <c r="E11" s="37">
        <f>F11+G11</f>
        <v>38646498.200000003</v>
      </c>
      <c r="F11" s="37">
        <f>F12+F13+F14+F15</f>
        <v>38566688.810000002</v>
      </c>
      <c r="G11" s="37">
        <f t="shared" ref="G11:H11" si="9">G12+G13+G14+G15</f>
        <v>79809.39</v>
      </c>
      <c r="H11" s="37">
        <f t="shared" si="9"/>
        <v>0</v>
      </c>
      <c r="I11" s="37">
        <f>J11+K11</f>
        <v>45542002.32</v>
      </c>
      <c r="J11" s="37">
        <f>J12+J13+J14+J15</f>
        <v>44972104.75</v>
      </c>
      <c r="K11" s="37">
        <f t="shared" ref="K11:L11" si="10">K12+K13+K14+K15</f>
        <v>569897.56999999995</v>
      </c>
      <c r="L11" s="37">
        <f t="shared" si="10"/>
        <v>271260</v>
      </c>
      <c r="M11" s="38">
        <f>I11/E11</f>
        <v>1.178425069311972</v>
      </c>
      <c r="N11" s="38">
        <f t="shared" si="1"/>
        <v>1.1660867483738746</v>
      </c>
      <c r="O11" s="38" t="s">
        <v>365</v>
      </c>
      <c r="P11" s="38" t="s">
        <v>311</v>
      </c>
      <c r="Q11" s="39">
        <f t="shared" si="5"/>
        <v>6895504.1199999973</v>
      </c>
      <c r="R11" s="39">
        <f t="shared" si="6"/>
        <v>6405415.9399999976</v>
      </c>
      <c r="S11" s="39">
        <f t="shared" si="7"/>
        <v>490088.17999999993</v>
      </c>
      <c r="T11" s="39">
        <f t="shared" si="8"/>
        <v>271260</v>
      </c>
      <c r="U11" s="40"/>
    </row>
    <row r="12" spans="1:21" s="46" customFormat="1" ht="56.25" x14ac:dyDescent="0.25">
      <c r="A12" s="65"/>
      <c r="B12" s="65"/>
      <c r="C12" s="65"/>
      <c r="D12" s="42" t="s">
        <v>215</v>
      </c>
      <c r="E12" s="43">
        <f>F12+G12</f>
        <v>34571588.390000001</v>
      </c>
      <c r="F12" s="43">
        <v>34492485.600000001</v>
      </c>
      <c r="G12" s="43">
        <v>79102.789999999994</v>
      </c>
      <c r="H12" s="43"/>
      <c r="I12" s="43">
        <f>J12+K12</f>
        <v>40865883.210000001</v>
      </c>
      <c r="J12" s="43">
        <v>40303969.590000004</v>
      </c>
      <c r="K12" s="43">
        <f>86479.09+204174.53+271260</f>
        <v>561913.62</v>
      </c>
      <c r="L12" s="43">
        <v>271260</v>
      </c>
      <c r="M12" s="44">
        <f t="shared" ref="M12:M60" si="11">I12/E12</f>
        <v>1.1820655374290137</v>
      </c>
      <c r="N12" s="44">
        <f t="shared" ref="N12:N61" si="12">J12/F12</f>
        <v>1.1684855089132806</v>
      </c>
      <c r="O12" s="44" t="s">
        <v>365</v>
      </c>
      <c r="P12" s="44" t="s">
        <v>311</v>
      </c>
      <c r="Q12" s="45">
        <f t="shared" ref="Q12:Q59" si="13">I12-E12</f>
        <v>6294294.8200000003</v>
      </c>
      <c r="R12" s="45">
        <f t="shared" ref="R12:R59" si="14">J12-F12</f>
        <v>5811483.9900000021</v>
      </c>
      <c r="S12" s="45">
        <f t="shared" ref="S12:S59" si="15">K12-G12</f>
        <v>482810.83</v>
      </c>
      <c r="T12" s="45">
        <f t="shared" ref="T12:T59" si="16">L12-H12</f>
        <v>271260</v>
      </c>
    </row>
    <row r="13" spans="1:21" s="46" customFormat="1" ht="75" x14ac:dyDescent="0.25">
      <c r="A13" s="65"/>
      <c r="B13" s="65"/>
      <c r="C13" s="65"/>
      <c r="D13" s="42" t="s">
        <v>222</v>
      </c>
      <c r="E13" s="43">
        <f t="shared" ref="E13:E30" si="17">F13+G13</f>
        <v>1582468.1800000002</v>
      </c>
      <c r="F13" s="43">
        <v>1581761.58</v>
      </c>
      <c r="G13" s="43">
        <v>706.6</v>
      </c>
      <c r="H13" s="43"/>
      <c r="I13" s="43">
        <f t="shared" ref="I13:I14" si="18">J13+K13</f>
        <v>1821405.67</v>
      </c>
      <c r="J13" s="43">
        <v>1819942.72</v>
      </c>
      <c r="K13" s="43">
        <v>1462.95</v>
      </c>
      <c r="L13" s="43"/>
      <c r="M13" s="44">
        <f t="shared" ref="M13" si="19">I13/E13</f>
        <v>1.1509903914782031</v>
      </c>
      <c r="N13" s="44">
        <f t="shared" ref="N13" si="20">J13/F13</f>
        <v>1.1505796720641046</v>
      </c>
      <c r="O13" s="44" t="s">
        <v>368</v>
      </c>
      <c r="P13" s="44"/>
      <c r="Q13" s="45">
        <f t="shared" si="13"/>
        <v>238937.48999999976</v>
      </c>
      <c r="R13" s="45">
        <f t="shared" si="14"/>
        <v>238181.1399999999</v>
      </c>
      <c r="S13" s="45">
        <f t="shared" si="15"/>
        <v>756.35</v>
      </c>
      <c r="T13" s="45">
        <f t="shared" si="16"/>
        <v>0</v>
      </c>
    </row>
    <row r="14" spans="1:21" s="46" customFormat="1" ht="75" x14ac:dyDescent="0.25">
      <c r="A14" s="65"/>
      <c r="B14" s="65"/>
      <c r="C14" s="65"/>
      <c r="D14" s="42" t="s">
        <v>223</v>
      </c>
      <c r="E14" s="43">
        <f t="shared" si="17"/>
        <v>1115715.6100000001</v>
      </c>
      <c r="F14" s="43">
        <v>1115715.6100000001</v>
      </c>
      <c r="G14" s="43"/>
      <c r="H14" s="43"/>
      <c r="I14" s="43">
        <f t="shared" si="18"/>
        <v>1267213.53</v>
      </c>
      <c r="J14" s="43">
        <v>1267213.53</v>
      </c>
      <c r="K14" s="43"/>
      <c r="L14" s="43"/>
      <c r="M14" s="44">
        <f t="shared" si="11"/>
        <v>1.1357854265389367</v>
      </c>
      <c r="N14" s="44">
        <f t="shared" si="12"/>
        <v>1.1357854265389367</v>
      </c>
      <c r="O14" s="44"/>
      <c r="P14" s="44"/>
      <c r="Q14" s="45">
        <f t="shared" si="13"/>
        <v>151497.91999999993</v>
      </c>
      <c r="R14" s="45">
        <f t="shared" si="14"/>
        <v>151497.91999999993</v>
      </c>
      <c r="S14" s="45">
        <f t="shared" si="15"/>
        <v>0</v>
      </c>
      <c r="T14" s="45">
        <f t="shared" si="16"/>
        <v>0</v>
      </c>
    </row>
    <row r="15" spans="1:21" s="46" customFormat="1" ht="56.25" x14ac:dyDescent="0.25">
      <c r="A15" s="65"/>
      <c r="B15" s="65"/>
      <c r="C15" s="65"/>
      <c r="D15" s="42" t="s">
        <v>224</v>
      </c>
      <c r="E15" s="43">
        <f t="shared" si="17"/>
        <v>1376726.02</v>
      </c>
      <c r="F15" s="43">
        <v>1376726.02</v>
      </c>
      <c r="G15" s="43"/>
      <c r="H15" s="43"/>
      <c r="I15" s="37">
        <f t="shared" ref="I15:I63" si="21">J15+K15</f>
        <v>1587499.91</v>
      </c>
      <c r="J15" s="43">
        <v>1580978.91</v>
      </c>
      <c r="K15" s="43">
        <f>6521</f>
        <v>6521</v>
      </c>
      <c r="L15" s="43"/>
      <c r="M15" s="44">
        <f t="shared" si="11"/>
        <v>1.1530979199477902</v>
      </c>
      <c r="N15" s="44">
        <f t="shared" si="12"/>
        <v>1.1483613202865157</v>
      </c>
      <c r="O15" s="44"/>
      <c r="P15" s="44"/>
      <c r="Q15" s="45">
        <f t="shared" si="13"/>
        <v>210773.8899999999</v>
      </c>
      <c r="R15" s="45">
        <f t="shared" si="14"/>
        <v>204252.8899999999</v>
      </c>
      <c r="S15" s="45">
        <f t="shared" si="15"/>
        <v>6521</v>
      </c>
      <c r="T15" s="45">
        <f t="shared" si="16"/>
        <v>0</v>
      </c>
    </row>
    <row r="16" spans="1:21" s="47" customFormat="1" ht="56.25" x14ac:dyDescent="0.25">
      <c r="A16" s="64" t="s">
        <v>117</v>
      </c>
      <c r="B16" s="64" t="s">
        <v>118</v>
      </c>
      <c r="C16" s="64" t="s">
        <v>119</v>
      </c>
      <c r="D16" s="36" t="s">
        <v>120</v>
      </c>
      <c r="E16" s="37">
        <f>F16</f>
        <v>0</v>
      </c>
      <c r="F16" s="37"/>
      <c r="G16" s="37"/>
      <c r="H16" s="37"/>
      <c r="I16" s="37">
        <f t="shared" si="21"/>
        <v>8840</v>
      </c>
      <c r="J16" s="37">
        <v>8840</v>
      </c>
      <c r="K16" s="37"/>
      <c r="L16" s="37"/>
      <c r="M16" s="38"/>
      <c r="N16" s="38"/>
      <c r="O16" s="38"/>
      <c r="P16" s="38"/>
      <c r="Q16" s="39">
        <f t="shared" si="13"/>
        <v>8840</v>
      </c>
      <c r="R16" s="39">
        <f t="shared" si="14"/>
        <v>8840</v>
      </c>
      <c r="S16" s="39">
        <f t="shared" si="15"/>
        <v>0</v>
      </c>
      <c r="T16" s="39">
        <f t="shared" si="16"/>
        <v>0</v>
      </c>
    </row>
    <row r="17" spans="1:21" s="47" customFormat="1" ht="37.5" x14ac:dyDescent="0.25">
      <c r="A17" s="64" t="s">
        <v>121</v>
      </c>
      <c r="B17" s="64" t="s">
        <v>8</v>
      </c>
      <c r="C17" s="64" t="s">
        <v>6</v>
      </c>
      <c r="D17" s="36" t="s">
        <v>122</v>
      </c>
      <c r="E17" s="37">
        <f t="shared" si="17"/>
        <v>677711.37</v>
      </c>
      <c r="F17" s="37">
        <v>677711.37</v>
      </c>
      <c r="G17" s="37"/>
      <c r="H17" s="37"/>
      <c r="I17" s="37">
        <f t="shared" si="21"/>
        <v>716645.41</v>
      </c>
      <c r="J17" s="37">
        <v>716645.41</v>
      </c>
      <c r="K17" s="37"/>
      <c r="L17" s="37"/>
      <c r="M17" s="44">
        <f t="shared" si="11"/>
        <v>1.0574492943802907</v>
      </c>
      <c r="N17" s="44">
        <f t="shared" si="12"/>
        <v>1.0574492943802907</v>
      </c>
      <c r="O17" s="38"/>
      <c r="P17" s="38"/>
      <c r="Q17" s="39">
        <f t="shared" si="13"/>
        <v>38934.040000000037</v>
      </c>
      <c r="R17" s="39">
        <f t="shared" si="14"/>
        <v>38934.040000000037</v>
      </c>
      <c r="S17" s="39">
        <f t="shared" si="15"/>
        <v>0</v>
      </c>
      <c r="T17" s="39">
        <f t="shared" si="16"/>
        <v>0</v>
      </c>
    </row>
    <row r="18" spans="1:21" s="47" customFormat="1" ht="37.5" x14ac:dyDescent="0.25">
      <c r="A18" s="64" t="s">
        <v>66</v>
      </c>
      <c r="B18" s="64" t="s">
        <v>28</v>
      </c>
      <c r="C18" s="64" t="s">
        <v>29</v>
      </c>
      <c r="D18" s="48" t="s">
        <v>162</v>
      </c>
      <c r="E18" s="37">
        <f t="shared" si="17"/>
        <v>11309470.65</v>
      </c>
      <c r="F18" s="37">
        <v>11309470.65</v>
      </c>
      <c r="G18" s="37"/>
      <c r="H18" s="37"/>
      <c r="I18" s="37">
        <f t="shared" si="21"/>
        <v>21469983.690000001</v>
      </c>
      <c r="J18" s="37">
        <v>21469983.690000001</v>
      </c>
      <c r="K18" s="37"/>
      <c r="L18" s="37"/>
      <c r="M18" s="38">
        <f t="shared" si="11"/>
        <v>1.8984074811671225</v>
      </c>
      <c r="N18" s="38">
        <f t="shared" si="12"/>
        <v>1.8984074811671225</v>
      </c>
      <c r="O18" s="38"/>
      <c r="P18" s="38"/>
      <c r="Q18" s="39">
        <f t="shared" si="13"/>
        <v>10160513.040000001</v>
      </c>
      <c r="R18" s="39">
        <f t="shared" si="14"/>
        <v>10160513.040000001</v>
      </c>
      <c r="S18" s="39">
        <f t="shared" si="15"/>
        <v>0</v>
      </c>
      <c r="T18" s="39">
        <f t="shared" si="16"/>
        <v>0</v>
      </c>
      <c r="U18" s="49"/>
    </row>
    <row r="19" spans="1:21" s="47" customFormat="1" ht="18.75" x14ac:dyDescent="0.25">
      <c r="A19" s="64" t="s">
        <v>67</v>
      </c>
      <c r="B19" s="64" t="s">
        <v>54</v>
      </c>
      <c r="C19" s="64" t="s">
        <v>30</v>
      </c>
      <c r="D19" s="48" t="s">
        <v>228</v>
      </c>
      <c r="E19" s="37">
        <f t="shared" si="17"/>
        <v>3790569.98</v>
      </c>
      <c r="F19" s="37">
        <v>3790569.98</v>
      </c>
      <c r="G19" s="37"/>
      <c r="H19" s="37"/>
      <c r="I19" s="37">
        <f t="shared" si="21"/>
        <v>4450185.41</v>
      </c>
      <c r="J19" s="37">
        <v>4422885.41</v>
      </c>
      <c r="K19" s="37">
        <v>27300</v>
      </c>
      <c r="L19" s="37">
        <v>27300</v>
      </c>
      <c r="M19" s="38">
        <f t="shared" si="11"/>
        <v>1.1740148403750088</v>
      </c>
      <c r="N19" s="38">
        <f t="shared" si="12"/>
        <v>1.1668127572729841</v>
      </c>
      <c r="O19" s="38"/>
      <c r="P19" s="38"/>
      <c r="Q19" s="39">
        <f t="shared" si="13"/>
        <v>659615.43000000017</v>
      </c>
      <c r="R19" s="39">
        <f t="shared" si="14"/>
        <v>632315.43000000017</v>
      </c>
      <c r="S19" s="39">
        <f t="shared" si="15"/>
        <v>27300</v>
      </c>
      <c r="T19" s="39">
        <f t="shared" si="16"/>
        <v>27300</v>
      </c>
    </row>
    <row r="20" spans="1:21" s="47" customFormat="1" ht="56.25" x14ac:dyDescent="0.25">
      <c r="A20" s="62" t="s">
        <v>249</v>
      </c>
      <c r="B20" s="62">
        <v>2111</v>
      </c>
      <c r="C20" s="62" t="s">
        <v>250</v>
      </c>
      <c r="D20" s="27" t="s">
        <v>251</v>
      </c>
      <c r="E20" s="37">
        <f t="shared" si="17"/>
        <v>498845.51</v>
      </c>
      <c r="F20" s="37">
        <v>498845.51</v>
      </c>
      <c r="G20" s="37"/>
      <c r="H20" s="37"/>
      <c r="I20" s="37">
        <f t="shared" si="21"/>
        <v>788957.51</v>
      </c>
      <c r="J20" s="37">
        <v>720057.51</v>
      </c>
      <c r="K20" s="37">
        <v>68900</v>
      </c>
      <c r="L20" s="37">
        <v>68900</v>
      </c>
      <c r="M20" s="38"/>
      <c r="N20" s="38">
        <f t="shared" si="12"/>
        <v>1.4434479123606825</v>
      </c>
      <c r="O20" s="38"/>
      <c r="P20" s="38"/>
      <c r="Q20" s="39">
        <f t="shared" si="13"/>
        <v>290112</v>
      </c>
      <c r="R20" s="39">
        <f t="shared" si="14"/>
        <v>221212</v>
      </c>
      <c r="S20" s="39">
        <f t="shared" si="15"/>
        <v>68900</v>
      </c>
      <c r="T20" s="39">
        <f t="shared" si="16"/>
        <v>68900</v>
      </c>
    </row>
    <row r="21" spans="1:21" s="47" customFormat="1" ht="37.5" x14ac:dyDescent="0.25">
      <c r="A21" s="62" t="s">
        <v>252</v>
      </c>
      <c r="B21" s="62" t="s">
        <v>192</v>
      </c>
      <c r="C21" s="62" t="s">
        <v>129</v>
      </c>
      <c r="D21" s="27" t="s">
        <v>253</v>
      </c>
      <c r="E21" s="37">
        <f t="shared" si="17"/>
        <v>1117620.2</v>
      </c>
      <c r="F21" s="37">
        <v>1117620.2</v>
      </c>
      <c r="G21" s="37"/>
      <c r="H21" s="37"/>
      <c r="I21" s="37">
        <f t="shared" si="21"/>
        <v>1120781.6399999999</v>
      </c>
      <c r="J21" s="37">
        <f>472032.16+648749.48</f>
        <v>1120781.6399999999</v>
      </c>
      <c r="K21" s="37"/>
      <c r="L21" s="37"/>
      <c r="M21" s="38"/>
      <c r="N21" s="38">
        <f t="shared" si="12"/>
        <v>1.002828724820829</v>
      </c>
      <c r="O21" s="38"/>
      <c r="P21" s="38"/>
      <c r="Q21" s="39">
        <f t="shared" si="13"/>
        <v>3161.4399999999441</v>
      </c>
      <c r="R21" s="39">
        <f t="shared" si="14"/>
        <v>3161.4399999999441</v>
      </c>
      <c r="S21" s="39">
        <f t="shared" si="15"/>
        <v>0</v>
      </c>
      <c r="T21" s="39">
        <f t="shared" si="16"/>
        <v>0</v>
      </c>
    </row>
    <row r="22" spans="1:21" s="50" customFormat="1" ht="47.25" customHeight="1" x14ac:dyDescent="0.25">
      <c r="A22" s="64" t="s">
        <v>167</v>
      </c>
      <c r="B22" s="64" t="s">
        <v>34</v>
      </c>
      <c r="C22" s="64" t="s">
        <v>17</v>
      </c>
      <c r="D22" s="48" t="s">
        <v>43</v>
      </c>
      <c r="E22" s="37">
        <f t="shared" si="17"/>
        <v>13998.7</v>
      </c>
      <c r="F22" s="37">
        <v>13998.7</v>
      </c>
      <c r="G22" s="37"/>
      <c r="H22" s="37"/>
      <c r="I22" s="37">
        <f t="shared" si="21"/>
        <v>36000</v>
      </c>
      <c r="J22" s="37">
        <v>36000</v>
      </c>
      <c r="K22" s="37"/>
      <c r="L22" s="37"/>
      <c r="M22" s="38" t="s">
        <v>308</v>
      </c>
      <c r="N22" s="38" t="s">
        <v>308</v>
      </c>
      <c r="O22" s="38"/>
      <c r="P22" s="38"/>
      <c r="Q22" s="39">
        <f t="shared" si="13"/>
        <v>22001.3</v>
      </c>
      <c r="R22" s="39">
        <f t="shared" si="14"/>
        <v>22001.3</v>
      </c>
      <c r="S22" s="39">
        <f t="shared" si="15"/>
        <v>0</v>
      </c>
      <c r="T22" s="39">
        <f t="shared" si="16"/>
        <v>0</v>
      </c>
    </row>
    <row r="23" spans="1:21" s="47" customFormat="1" ht="37.5" x14ac:dyDescent="0.25">
      <c r="A23" s="64" t="s">
        <v>150</v>
      </c>
      <c r="B23" s="64" t="s">
        <v>148</v>
      </c>
      <c r="C23" s="64" t="s">
        <v>4</v>
      </c>
      <c r="D23" s="36" t="s">
        <v>149</v>
      </c>
      <c r="E23" s="37">
        <f t="shared" si="17"/>
        <v>2491000</v>
      </c>
      <c r="F23" s="37">
        <v>2491000</v>
      </c>
      <c r="G23" s="37"/>
      <c r="H23" s="37"/>
      <c r="I23" s="37">
        <f t="shared" si="21"/>
        <v>3060500</v>
      </c>
      <c r="J23" s="37">
        <v>3060500</v>
      </c>
      <c r="K23" s="37"/>
      <c r="L23" s="37"/>
      <c r="M23" s="38">
        <f t="shared" ref="M23" si="22">I23/E23</f>
        <v>1.2286230429546368</v>
      </c>
      <c r="N23" s="38">
        <f t="shared" ref="N23" si="23">J23/F23</f>
        <v>1.2286230429546368</v>
      </c>
      <c r="O23" s="38"/>
      <c r="P23" s="38"/>
      <c r="Q23" s="39">
        <f t="shared" si="13"/>
        <v>569500</v>
      </c>
      <c r="R23" s="39">
        <f t="shared" si="14"/>
        <v>569500</v>
      </c>
      <c r="S23" s="39">
        <f t="shared" si="15"/>
        <v>0</v>
      </c>
      <c r="T23" s="39">
        <f t="shared" si="16"/>
        <v>0</v>
      </c>
    </row>
    <row r="24" spans="1:21" s="47" customFormat="1" ht="37.5" x14ac:dyDescent="0.25">
      <c r="A24" s="64" t="s">
        <v>68</v>
      </c>
      <c r="B24" s="64" t="s">
        <v>40</v>
      </c>
      <c r="C24" s="64" t="s">
        <v>7</v>
      </c>
      <c r="D24" s="36" t="s">
        <v>55</v>
      </c>
      <c r="E24" s="37">
        <f t="shared" si="17"/>
        <v>2526762.9</v>
      </c>
      <c r="F24" s="37">
        <f>F25+F26+F27</f>
        <v>2526762.9</v>
      </c>
      <c r="G24" s="37">
        <f t="shared" ref="G24:L24" si="24">G25+G26+G27</f>
        <v>0</v>
      </c>
      <c r="H24" s="37">
        <f t="shared" si="24"/>
        <v>0</v>
      </c>
      <c r="I24" s="37">
        <f t="shared" si="21"/>
        <v>4685790.6400000006</v>
      </c>
      <c r="J24" s="37">
        <f>J25+J26+J27</f>
        <v>4685790.6400000006</v>
      </c>
      <c r="K24" s="37">
        <f t="shared" si="24"/>
        <v>0</v>
      </c>
      <c r="L24" s="37">
        <f t="shared" si="24"/>
        <v>0</v>
      </c>
      <c r="M24" s="38">
        <f t="shared" si="11"/>
        <v>1.8544639229901629</v>
      </c>
      <c r="N24" s="38">
        <f t="shared" si="12"/>
        <v>1.8544639229901629</v>
      </c>
      <c r="O24" s="38"/>
      <c r="P24" s="38"/>
      <c r="Q24" s="39">
        <f t="shared" si="13"/>
        <v>2159027.7400000007</v>
      </c>
      <c r="R24" s="39">
        <f t="shared" si="14"/>
        <v>2159027.7400000007</v>
      </c>
      <c r="S24" s="39">
        <f t="shared" si="15"/>
        <v>0</v>
      </c>
      <c r="T24" s="39">
        <f t="shared" si="16"/>
        <v>0</v>
      </c>
    </row>
    <row r="25" spans="1:21" s="46" customFormat="1" ht="75" x14ac:dyDescent="0.25">
      <c r="A25" s="65"/>
      <c r="B25" s="65"/>
      <c r="C25" s="65"/>
      <c r="D25" s="42" t="s">
        <v>222</v>
      </c>
      <c r="E25" s="43">
        <f t="shared" si="17"/>
        <v>1283556.3</v>
      </c>
      <c r="F25" s="43">
        <v>1283556.3</v>
      </c>
      <c r="G25" s="43"/>
      <c r="H25" s="43"/>
      <c r="I25" s="43">
        <f t="shared" si="21"/>
        <v>2386528.2400000002</v>
      </c>
      <c r="J25" s="43">
        <v>2386528.2400000002</v>
      </c>
      <c r="K25" s="43"/>
      <c r="L25" s="43"/>
      <c r="M25" s="44">
        <f t="shared" si="11"/>
        <v>1.8593093579144133</v>
      </c>
      <c r="N25" s="44">
        <f t="shared" si="12"/>
        <v>1.8593093579144133</v>
      </c>
      <c r="O25" s="44"/>
      <c r="P25" s="44"/>
      <c r="Q25" s="45">
        <f t="shared" si="13"/>
        <v>1102971.9400000002</v>
      </c>
      <c r="R25" s="45">
        <f t="shared" si="14"/>
        <v>1102971.9400000002</v>
      </c>
      <c r="S25" s="45">
        <f t="shared" si="15"/>
        <v>0</v>
      </c>
      <c r="T25" s="45">
        <f t="shared" si="16"/>
        <v>0</v>
      </c>
    </row>
    <row r="26" spans="1:21" s="46" customFormat="1" ht="75" x14ac:dyDescent="0.25">
      <c r="A26" s="65"/>
      <c r="B26" s="65"/>
      <c r="C26" s="65"/>
      <c r="D26" s="42" t="s">
        <v>223</v>
      </c>
      <c r="E26" s="43">
        <f t="shared" si="17"/>
        <v>392409.93</v>
      </c>
      <c r="F26" s="43">
        <v>392409.93</v>
      </c>
      <c r="G26" s="43"/>
      <c r="H26" s="43"/>
      <c r="I26" s="43">
        <f t="shared" si="21"/>
        <v>907011.39</v>
      </c>
      <c r="J26" s="43">
        <v>907011.39</v>
      </c>
      <c r="K26" s="43"/>
      <c r="L26" s="43"/>
      <c r="M26" s="44">
        <f t="shared" si="11"/>
        <v>2.3113874564795034</v>
      </c>
      <c r="N26" s="44">
        <f t="shared" si="12"/>
        <v>2.3113874564795034</v>
      </c>
      <c r="O26" s="44"/>
      <c r="P26" s="44"/>
      <c r="Q26" s="45">
        <f t="shared" si="13"/>
        <v>514601.46</v>
      </c>
      <c r="R26" s="45">
        <f t="shared" si="14"/>
        <v>514601.46</v>
      </c>
      <c r="S26" s="45">
        <f t="shared" si="15"/>
        <v>0</v>
      </c>
      <c r="T26" s="45">
        <f t="shared" si="16"/>
        <v>0</v>
      </c>
    </row>
    <row r="27" spans="1:21" s="46" customFormat="1" ht="56.25" x14ac:dyDescent="0.25">
      <c r="A27" s="65"/>
      <c r="B27" s="65"/>
      <c r="C27" s="65"/>
      <c r="D27" s="42" t="s">
        <v>224</v>
      </c>
      <c r="E27" s="43">
        <f t="shared" si="17"/>
        <v>850796.67</v>
      </c>
      <c r="F27" s="43">
        <v>850796.67</v>
      </c>
      <c r="G27" s="43"/>
      <c r="H27" s="43"/>
      <c r="I27" s="43">
        <f t="shared" si="21"/>
        <v>1392251.01</v>
      </c>
      <c r="J27" s="43">
        <v>1392251.01</v>
      </c>
      <c r="K27" s="43"/>
      <c r="L27" s="43"/>
      <c r="M27" s="44">
        <f t="shared" si="11"/>
        <v>1.6364086262819999</v>
      </c>
      <c r="N27" s="44">
        <f t="shared" si="12"/>
        <v>1.6364086262819999</v>
      </c>
      <c r="O27" s="44"/>
      <c r="P27" s="44"/>
      <c r="Q27" s="45">
        <f t="shared" si="13"/>
        <v>541454.34</v>
      </c>
      <c r="R27" s="45">
        <f t="shared" si="14"/>
        <v>541454.34</v>
      </c>
      <c r="S27" s="45">
        <f t="shared" si="15"/>
        <v>0</v>
      </c>
      <c r="T27" s="45">
        <f t="shared" si="16"/>
        <v>0</v>
      </c>
    </row>
    <row r="28" spans="1:21" s="46" customFormat="1" ht="37.5" x14ac:dyDescent="0.25">
      <c r="A28" s="61" t="s">
        <v>316</v>
      </c>
      <c r="B28" s="61" t="s">
        <v>245</v>
      </c>
      <c r="C28" s="61" t="s">
        <v>20</v>
      </c>
      <c r="D28" s="27" t="s">
        <v>246</v>
      </c>
      <c r="E28" s="43">
        <f t="shared" si="17"/>
        <v>0</v>
      </c>
      <c r="F28" s="43"/>
      <c r="G28" s="43"/>
      <c r="H28" s="43"/>
      <c r="I28" s="43">
        <f t="shared" si="21"/>
        <v>15940</v>
      </c>
      <c r="J28" s="43">
        <v>15940</v>
      </c>
      <c r="K28" s="43"/>
      <c r="L28" s="43"/>
      <c r="M28" s="44"/>
      <c r="N28" s="44"/>
      <c r="O28" s="44"/>
      <c r="P28" s="44"/>
      <c r="Q28" s="45">
        <f t="shared" ref="Q28" si="25">I28-E28</f>
        <v>15940</v>
      </c>
      <c r="R28" s="45">
        <f t="shared" ref="R28" si="26">J28-F28</f>
        <v>15940</v>
      </c>
      <c r="S28" s="45">
        <f t="shared" ref="S28" si="27">K28-G28</f>
        <v>0</v>
      </c>
      <c r="T28" s="45">
        <f t="shared" ref="T28" si="28">L28-H28</f>
        <v>0</v>
      </c>
    </row>
    <row r="29" spans="1:21" s="46" customFormat="1" ht="37.5" x14ac:dyDescent="0.25">
      <c r="A29" s="62" t="s">
        <v>283</v>
      </c>
      <c r="B29" s="62" t="s">
        <v>284</v>
      </c>
      <c r="C29" s="62" t="s">
        <v>20</v>
      </c>
      <c r="D29" s="27" t="s">
        <v>285</v>
      </c>
      <c r="E29" s="43">
        <f t="shared" si="17"/>
        <v>0</v>
      </c>
      <c r="F29" s="43"/>
      <c r="G29" s="43"/>
      <c r="H29" s="43"/>
      <c r="I29" s="43">
        <f t="shared" si="21"/>
        <v>70700</v>
      </c>
      <c r="J29" s="43">
        <v>70700</v>
      </c>
      <c r="K29" s="43"/>
      <c r="L29" s="43"/>
      <c r="M29" s="44"/>
      <c r="N29" s="44"/>
      <c r="O29" s="44"/>
      <c r="P29" s="44"/>
      <c r="Q29" s="45">
        <f t="shared" si="13"/>
        <v>70700</v>
      </c>
      <c r="R29" s="45">
        <f t="shared" si="14"/>
        <v>70700</v>
      </c>
      <c r="S29" s="45">
        <f t="shared" si="15"/>
        <v>0</v>
      </c>
      <c r="T29" s="45">
        <f t="shared" si="16"/>
        <v>0</v>
      </c>
    </row>
    <row r="30" spans="1:21" s="47" customFormat="1" ht="56.25" x14ac:dyDescent="0.25">
      <c r="A30" s="61" t="s">
        <v>101</v>
      </c>
      <c r="B30" s="62">
        <v>8110</v>
      </c>
      <c r="C30" s="61" t="s">
        <v>5</v>
      </c>
      <c r="D30" s="27" t="s">
        <v>137</v>
      </c>
      <c r="E30" s="37">
        <f t="shared" si="17"/>
        <v>6512771.7800000003</v>
      </c>
      <c r="F30" s="37">
        <v>6512771.7800000003</v>
      </c>
      <c r="G30" s="37"/>
      <c r="H30" s="37"/>
      <c r="I30" s="37">
        <f t="shared" si="21"/>
        <v>221500</v>
      </c>
      <c r="J30" s="37">
        <f>199000+22500</f>
        <v>221500</v>
      </c>
      <c r="K30" s="37"/>
      <c r="L30" s="37"/>
      <c r="M30" s="38"/>
      <c r="N30" s="38"/>
      <c r="O30" s="38"/>
      <c r="P30" s="38"/>
      <c r="Q30" s="39">
        <f t="shared" si="13"/>
        <v>-6291271.7800000003</v>
      </c>
      <c r="R30" s="39">
        <f t="shared" si="14"/>
        <v>-6291271.7800000003</v>
      </c>
      <c r="S30" s="39">
        <f t="shared" si="15"/>
        <v>0</v>
      </c>
      <c r="T30" s="39">
        <f t="shared" si="16"/>
        <v>0</v>
      </c>
    </row>
    <row r="31" spans="1:21" s="47" customFormat="1" ht="37.5" x14ac:dyDescent="0.25">
      <c r="A31" s="64" t="s">
        <v>189</v>
      </c>
      <c r="B31" s="64" t="s">
        <v>190</v>
      </c>
      <c r="C31" s="64" t="s">
        <v>5</v>
      </c>
      <c r="D31" s="48" t="s">
        <v>191</v>
      </c>
      <c r="E31" s="37">
        <f t="shared" ref="E31:E34" si="29">F31+G31</f>
        <v>12067761.789999999</v>
      </c>
      <c r="F31" s="37">
        <v>11991971.789999999</v>
      </c>
      <c r="G31" s="37">
        <v>75790</v>
      </c>
      <c r="H31" s="37"/>
      <c r="I31" s="37">
        <f t="shared" ref="I31:I34" si="30">J31+K31</f>
        <v>14820400.42</v>
      </c>
      <c r="J31" s="37">
        <v>13950280.42</v>
      </c>
      <c r="K31" s="37">
        <v>870120</v>
      </c>
      <c r="L31" s="37">
        <v>870120</v>
      </c>
      <c r="M31" s="38">
        <f t="shared" si="11"/>
        <v>1.2280985221535434</v>
      </c>
      <c r="N31" s="38">
        <f t="shared" si="12"/>
        <v>1.1633016374865905</v>
      </c>
      <c r="O31" s="38" t="s">
        <v>358</v>
      </c>
      <c r="P31" s="38" t="s">
        <v>358</v>
      </c>
      <c r="Q31" s="39">
        <f t="shared" si="13"/>
        <v>2752638.6300000008</v>
      </c>
      <c r="R31" s="39">
        <f t="shared" si="14"/>
        <v>1958308.6300000008</v>
      </c>
      <c r="S31" s="39">
        <f t="shared" si="15"/>
        <v>794330</v>
      </c>
      <c r="T31" s="39">
        <f t="shared" si="16"/>
        <v>870120</v>
      </c>
    </row>
    <row r="32" spans="1:21" s="47" customFormat="1" ht="37.5" x14ac:dyDescent="0.25">
      <c r="A32" s="61" t="s">
        <v>317</v>
      </c>
      <c r="B32" s="62">
        <v>8220</v>
      </c>
      <c r="C32" s="62" t="s">
        <v>227</v>
      </c>
      <c r="D32" s="27" t="s">
        <v>318</v>
      </c>
      <c r="E32" s="37">
        <f t="shared" si="29"/>
        <v>0</v>
      </c>
      <c r="F32" s="37"/>
      <c r="G32" s="37"/>
      <c r="H32" s="37"/>
      <c r="I32" s="37">
        <f t="shared" si="30"/>
        <v>317910.03999999998</v>
      </c>
      <c r="J32" s="37">
        <v>317910.03999999998</v>
      </c>
      <c r="K32" s="37"/>
      <c r="L32" s="37"/>
      <c r="M32" s="38"/>
      <c r="N32" s="38"/>
      <c r="O32" s="38"/>
      <c r="P32" s="38"/>
      <c r="Q32" s="39">
        <f t="shared" ref="Q32" si="31">I32-E32</f>
        <v>317910.03999999998</v>
      </c>
      <c r="R32" s="39">
        <f t="shared" ref="R32" si="32">J32-F32</f>
        <v>317910.03999999998</v>
      </c>
      <c r="S32" s="39">
        <f t="shared" ref="S32" si="33">K32-G32</f>
        <v>0</v>
      </c>
      <c r="T32" s="39">
        <f t="shared" ref="T32" si="34">L32-H32</f>
        <v>0</v>
      </c>
    </row>
    <row r="33" spans="1:20" s="47" customFormat="1" ht="37.5" x14ac:dyDescent="0.25">
      <c r="A33" s="64" t="s">
        <v>242</v>
      </c>
      <c r="B33" s="64" t="s">
        <v>243</v>
      </c>
      <c r="C33" s="64" t="s">
        <v>227</v>
      </c>
      <c r="D33" s="36" t="s">
        <v>244</v>
      </c>
      <c r="E33" s="37">
        <f t="shared" si="29"/>
        <v>4881165.5</v>
      </c>
      <c r="F33" s="37">
        <v>4881165.5</v>
      </c>
      <c r="G33" s="37"/>
      <c r="H33" s="37"/>
      <c r="I33" s="37">
        <f t="shared" si="30"/>
        <v>4244328</v>
      </c>
      <c r="J33" s="37">
        <v>4244328</v>
      </c>
      <c r="K33" s="37"/>
      <c r="L33" s="37"/>
      <c r="M33" s="38"/>
      <c r="N33" s="38"/>
      <c r="O33" s="38"/>
      <c r="P33" s="38"/>
      <c r="Q33" s="39">
        <f t="shared" si="13"/>
        <v>-636837.5</v>
      </c>
      <c r="R33" s="39">
        <f t="shared" si="14"/>
        <v>-636837.5</v>
      </c>
      <c r="S33" s="39">
        <f t="shared" si="15"/>
        <v>0</v>
      </c>
      <c r="T33" s="39">
        <f t="shared" si="16"/>
        <v>0</v>
      </c>
    </row>
    <row r="34" spans="1:20" s="47" customFormat="1" ht="37.5" x14ac:dyDescent="0.25">
      <c r="A34" s="61" t="s">
        <v>263</v>
      </c>
      <c r="B34" s="61" t="s">
        <v>262</v>
      </c>
      <c r="C34" s="61" t="s">
        <v>227</v>
      </c>
      <c r="D34" s="28" t="s">
        <v>258</v>
      </c>
      <c r="E34" s="37">
        <f t="shared" si="29"/>
        <v>2792335.28</v>
      </c>
      <c r="F34" s="37">
        <v>2727985.28</v>
      </c>
      <c r="G34" s="37">
        <v>64350</v>
      </c>
      <c r="H34" s="37">
        <v>64350</v>
      </c>
      <c r="I34" s="37">
        <f t="shared" si="30"/>
        <v>0</v>
      </c>
      <c r="J34" s="37"/>
      <c r="K34" s="37"/>
      <c r="L34" s="37"/>
      <c r="M34" s="38">
        <f t="shared" si="11"/>
        <v>0</v>
      </c>
      <c r="N34" s="38">
        <f t="shared" si="12"/>
        <v>0</v>
      </c>
      <c r="O34" s="38"/>
      <c r="P34" s="38"/>
      <c r="Q34" s="39">
        <f t="shared" si="13"/>
        <v>-2792335.28</v>
      </c>
      <c r="R34" s="39">
        <f t="shared" si="14"/>
        <v>-2727985.28</v>
      </c>
      <c r="S34" s="39">
        <f t="shared" si="15"/>
        <v>-64350</v>
      </c>
      <c r="T34" s="39">
        <f t="shared" si="16"/>
        <v>-64350</v>
      </c>
    </row>
    <row r="35" spans="1:20" s="51" customFormat="1" ht="56.25" x14ac:dyDescent="0.25">
      <c r="A35" s="63" t="s">
        <v>56</v>
      </c>
      <c r="B35" s="63"/>
      <c r="C35" s="63"/>
      <c r="D35" s="29" t="s">
        <v>274</v>
      </c>
      <c r="E35" s="34">
        <f t="shared" ref="E35:L35" si="35">E36</f>
        <v>255662752.66999999</v>
      </c>
      <c r="F35" s="34">
        <f t="shared" si="35"/>
        <v>253448817.66999999</v>
      </c>
      <c r="G35" s="34">
        <f t="shared" si="35"/>
        <v>2213935</v>
      </c>
      <c r="H35" s="34">
        <f t="shared" si="35"/>
        <v>717700</v>
      </c>
      <c r="I35" s="34">
        <f t="shared" si="35"/>
        <v>257995256.81999999</v>
      </c>
      <c r="J35" s="34">
        <f t="shared" si="35"/>
        <v>251289657.03999999</v>
      </c>
      <c r="K35" s="34">
        <f t="shared" si="35"/>
        <v>6705599.7800000003</v>
      </c>
      <c r="L35" s="34">
        <f t="shared" si="35"/>
        <v>758161.42</v>
      </c>
      <c r="M35" s="31">
        <f t="shared" si="11"/>
        <v>1.0091233632026591</v>
      </c>
      <c r="N35" s="31">
        <f t="shared" si="12"/>
        <v>0.99148088103211707</v>
      </c>
      <c r="O35" s="31">
        <f t="shared" ref="O35:O36" si="36">K35/G35</f>
        <v>3.0288151097480278</v>
      </c>
      <c r="P35" s="31"/>
      <c r="Q35" s="32">
        <f t="shared" si="13"/>
        <v>2332504.150000006</v>
      </c>
      <c r="R35" s="32">
        <f t="shared" si="14"/>
        <v>-2159160.6299999952</v>
      </c>
      <c r="S35" s="32">
        <f t="shared" si="15"/>
        <v>4491664.78</v>
      </c>
      <c r="T35" s="32">
        <f t="shared" si="16"/>
        <v>40461.420000000042</v>
      </c>
    </row>
    <row r="36" spans="1:20" s="51" customFormat="1" ht="56.25" x14ac:dyDescent="0.25">
      <c r="A36" s="63" t="s">
        <v>57</v>
      </c>
      <c r="B36" s="63"/>
      <c r="C36" s="63"/>
      <c r="D36" s="29" t="s">
        <v>275</v>
      </c>
      <c r="E36" s="34">
        <f t="shared" ref="E36:E41" si="37">F36+G36</f>
        <v>255662752.66999999</v>
      </c>
      <c r="F36" s="34">
        <f>F37+F38+F39+F40+F41+F42+F43+F44+F45+F47+F48+F49+F50+F52+F53+F55+F56+F57+F51+F46+F54</f>
        <v>253448817.66999999</v>
      </c>
      <c r="G36" s="34">
        <f>G37+G38+G39+G40+G41+G42+G43+G44+G45+G47+G48+G49+G50+G52+G53+G55+G56+G57+G51+G46+G54</f>
        <v>2213935</v>
      </c>
      <c r="H36" s="34">
        <f>H37+H38+H39+H40+H41+H42+H43+H44+H45+H47+H48+H49+H50+H52+H53+H55+H56+H57+H51+H46+H54</f>
        <v>717700</v>
      </c>
      <c r="I36" s="34">
        <f t="shared" si="21"/>
        <v>257995256.81999999</v>
      </c>
      <c r="J36" s="34">
        <f>J37+J38+J39+J40+J41+J42+J43+J44+J45+J47+J48+J49+J50+J52+J53+J55+J56+J57+J51+J54+J46</f>
        <v>251289657.03999999</v>
      </c>
      <c r="K36" s="34">
        <f>K37+K38+K39+K40+K41+K42+K43+K44+K45+K47+K48+K49+K50+K52+K53+K55+K56+K57+K51+K54+K46</f>
        <v>6705599.7800000003</v>
      </c>
      <c r="L36" s="34">
        <f>L37+L38+L39+L40+L41+L42+L43+L44+L45+L47+L48+L49+L50+L52+L53+L55+L56+L57+L51+L54+L46</f>
        <v>758161.42</v>
      </c>
      <c r="M36" s="31">
        <f t="shared" si="11"/>
        <v>1.0091233632026591</v>
      </c>
      <c r="N36" s="31">
        <f t="shared" si="12"/>
        <v>0.99148088103211707</v>
      </c>
      <c r="O36" s="31">
        <f t="shared" si="36"/>
        <v>3.0288151097480278</v>
      </c>
      <c r="P36" s="31"/>
      <c r="Q36" s="32">
        <f t="shared" si="13"/>
        <v>2332504.150000006</v>
      </c>
      <c r="R36" s="32">
        <f t="shared" si="14"/>
        <v>-2159160.6299999952</v>
      </c>
      <c r="S36" s="32">
        <f t="shared" si="15"/>
        <v>4491664.78</v>
      </c>
      <c r="T36" s="32">
        <f t="shared" si="16"/>
        <v>40461.420000000042</v>
      </c>
    </row>
    <row r="37" spans="1:20" s="47" customFormat="1" ht="63" customHeight="1" x14ac:dyDescent="0.25">
      <c r="A37" s="64" t="s">
        <v>59</v>
      </c>
      <c r="B37" s="64" t="s">
        <v>58</v>
      </c>
      <c r="C37" s="64" t="s">
        <v>3</v>
      </c>
      <c r="D37" s="52" t="s">
        <v>247</v>
      </c>
      <c r="E37" s="37">
        <f t="shared" si="37"/>
        <v>2292325.94</v>
      </c>
      <c r="F37" s="37">
        <v>2292325.94</v>
      </c>
      <c r="G37" s="37"/>
      <c r="H37" s="37"/>
      <c r="I37" s="37">
        <f>J37+K37</f>
        <v>2467318.65</v>
      </c>
      <c r="J37" s="37">
        <v>2467318.65</v>
      </c>
      <c r="K37" s="37"/>
      <c r="L37" s="37"/>
      <c r="M37" s="38">
        <f t="shared" si="11"/>
        <v>1.0763384939926999</v>
      </c>
      <c r="N37" s="38">
        <f t="shared" si="12"/>
        <v>1.0763384939926999</v>
      </c>
      <c r="O37" s="38"/>
      <c r="P37" s="38"/>
      <c r="Q37" s="39">
        <f t="shared" si="13"/>
        <v>174992.70999999996</v>
      </c>
      <c r="R37" s="39">
        <f t="shared" si="14"/>
        <v>174992.70999999996</v>
      </c>
      <c r="S37" s="39">
        <f t="shared" si="15"/>
        <v>0</v>
      </c>
      <c r="T37" s="39">
        <f t="shared" si="16"/>
        <v>0</v>
      </c>
    </row>
    <row r="38" spans="1:20" s="47" customFormat="1" ht="37.5" x14ac:dyDescent="0.25">
      <c r="A38" s="64" t="s">
        <v>239</v>
      </c>
      <c r="B38" s="64" t="s">
        <v>8</v>
      </c>
      <c r="C38" s="64" t="s">
        <v>6</v>
      </c>
      <c r="D38" s="52" t="s">
        <v>122</v>
      </c>
      <c r="E38" s="37">
        <f t="shared" si="37"/>
        <v>75351.399999999994</v>
      </c>
      <c r="F38" s="37">
        <v>75351.399999999994</v>
      </c>
      <c r="G38" s="37"/>
      <c r="H38" s="37"/>
      <c r="I38" s="37">
        <f t="shared" si="21"/>
        <v>134476.5</v>
      </c>
      <c r="J38" s="37">
        <v>134476.5</v>
      </c>
      <c r="K38" s="37"/>
      <c r="L38" s="37"/>
      <c r="M38" s="38">
        <f t="shared" si="11"/>
        <v>1.784658281067107</v>
      </c>
      <c r="N38" s="38">
        <f t="shared" si="12"/>
        <v>1.784658281067107</v>
      </c>
      <c r="O38" s="38"/>
      <c r="P38" s="38"/>
      <c r="Q38" s="39">
        <f t="shared" si="13"/>
        <v>59125.100000000006</v>
      </c>
      <c r="R38" s="39">
        <f t="shared" si="14"/>
        <v>59125.100000000006</v>
      </c>
      <c r="S38" s="39">
        <f t="shared" si="15"/>
        <v>0</v>
      </c>
      <c r="T38" s="39">
        <f t="shared" si="16"/>
        <v>0</v>
      </c>
    </row>
    <row r="39" spans="1:20" s="47" customFormat="1" ht="18.75" x14ac:dyDescent="0.25">
      <c r="A39" s="64" t="s">
        <v>60</v>
      </c>
      <c r="B39" s="64" t="s">
        <v>9</v>
      </c>
      <c r="C39" s="64" t="s">
        <v>10</v>
      </c>
      <c r="D39" s="48" t="s">
        <v>61</v>
      </c>
      <c r="E39" s="37">
        <f t="shared" si="37"/>
        <v>67250106</v>
      </c>
      <c r="F39" s="37">
        <v>65876219.659999996</v>
      </c>
      <c r="G39" s="39">
        <v>1373886.34</v>
      </c>
      <c r="H39" s="39"/>
      <c r="I39" s="37">
        <f t="shared" si="21"/>
        <v>57977405.75</v>
      </c>
      <c r="J39" s="37">
        <v>57439054.280000001</v>
      </c>
      <c r="K39" s="37">
        <f>36449.47+501902</f>
        <v>538351.47</v>
      </c>
      <c r="L39" s="39"/>
      <c r="M39" s="38"/>
      <c r="N39" s="38"/>
      <c r="O39" s="38"/>
      <c r="P39" s="38"/>
      <c r="Q39" s="39">
        <f t="shared" si="13"/>
        <v>-9272700.25</v>
      </c>
      <c r="R39" s="39">
        <f t="shared" si="14"/>
        <v>-8437165.3799999952</v>
      </c>
      <c r="S39" s="39">
        <f t="shared" si="15"/>
        <v>-835534.87000000011</v>
      </c>
      <c r="T39" s="39">
        <f t="shared" si="16"/>
        <v>0</v>
      </c>
    </row>
    <row r="40" spans="1:20" s="47" customFormat="1" ht="60" customHeight="1" x14ac:dyDescent="0.25">
      <c r="A40" s="64" t="s">
        <v>193</v>
      </c>
      <c r="B40" s="64" t="s">
        <v>195</v>
      </c>
      <c r="C40" s="64" t="s">
        <v>12</v>
      </c>
      <c r="D40" s="52" t="s">
        <v>270</v>
      </c>
      <c r="E40" s="37">
        <f t="shared" si="37"/>
        <v>34687471.819999993</v>
      </c>
      <c r="F40" s="37">
        <v>34370342.159999996</v>
      </c>
      <c r="G40" s="39">
        <v>317129.65999999997</v>
      </c>
      <c r="H40" s="39">
        <v>207400</v>
      </c>
      <c r="I40" s="37">
        <f t="shared" si="21"/>
        <v>49168202.219999999</v>
      </c>
      <c r="J40" s="37">
        <v>45339664.909999996</v>
      </c>
      <c r="K40" s="39">
        <f>36858.89+3033517+758161.42</f>
        <v>3828537.31</v>
      </c>
      <c r="L40" s="39">
        <v>758161.42</v>
      </c>
      <c r="M40" s="38">
        <f t="shared" si="11"/>
        <v>1.4174628371633229</v>
      </c>
      <c r="N40" s="38">
        <f t="shared" ref="N40" si="38">J40/F40</f>
        <v>1.3191508160999932</v>
      </c>
      <c r="O40" s="38" t="s">
        <v>359</v>
      </c>
      <c r="P40" s="38" t="s">
        <v>360</v>
      </c>
      <c r="Q40" s="39">
        <f t="shared" si="13"/>
        <v>14480730.400000006</v>
      </c>
      <c r="R40" s="39">
        <f t="shared" si="14"/>
        <v>10969322.75</v>
      </c>
      <c r="S40" s="39">
        <f t="shared" si="15"/>
        <v>3511407.65</v>
      </c>
      <c r="T40" s="39">
        <f t="shared" si="16"/>
        <v>550761.42000000004</v>
      </c>
    </row>
    <row r="41" spans="1:20" s="47" customFormat="1" ht="117.75" customHeight="1" x14ac:dyDescent="0.25">
      <c r="A41" s="64" t="s">
        <v>194</v>
      </c>
      <c r="B41" s="64" t="s">
        <v>196</v>
      </c>
      <c r="C41" s="64" t="s">
        <v>14</v>
      </c>
      <c r="D41" s="52" t="s">
        <v>271</v>
      </c>
      <c r="E41" s="37">
        <f t="shared" si="37"/>
        <v>1859844.36</v>
      </c>
      <c r="F41" s="37">
        <v>1848976.36</v>
      </c>
      <c r="G41" s="39">
        <v>10868</v>
      </c>
      <c r="H41" s="39"/>
      <c r="I41" s="37">
        <f t="shared" si="21"/>
        <v>3668475.08</v>
      </c>
      <c r="J41" s="37">
        <v>3441987.08</v>
      </c>
      <c r="K41" s="39">
        <f>226488</f>
        <v>226488</v>
      </c>
      <c r="L41" s="39"/>
      <c r="M41" s="38">
        <f t="shared" si="11"/>
        <v>1.9724634807613686</v>
      </c>
      <c r="N41" s="38">
        <f t="shared" si="12"/>
        <v>1.8615635951127032</v>
      </c>
      <c r="O41" s="38" t="s">
        <v>310</v>
      </c>
      <c r="P41" s="38"/>
      <c r="Q41" s="39">
        <f t="shared" si="13"/>
        <v>1808630.72</v>
      </c>
      <c r="R41" s="39">
        <f t="shared" si="14"/>
        <v>1593010.72</v>
      </c>
      <c r="S41" s="39">
        <f t="shared" si="15"/>
        <v>215620</v>
      </c>
      <c r="T41" s="39">
        <f t="shared" si="16"/>
        <v>0</v>
      </c>
    </row>
    <row r="42" spans="1:20" s="47" customFormat="1" ht="56.25" x14ac:dyDescent="0.25">
      <c r="A42" s="64" t="s">
        <v>200</v>
      </c>
      <c r="B42" s="64" t="s">
        <v>201</v>
      </c>
      <c r="C42" s="64" t="s">
        <v>12</v>
      </c>
      <c r="D42" s="52" t="s">
        <v>272</v>
      </c>
      <c r="E42" s="37">
        <f t="shared" ref="E42:E43" si="39">F42+G42</f>
        <v>104138965.66</v>
      </c>
      <c r="F42" s="37">
        <v>104138965.66</v>
      </c>
      <c r="G42" s="39"/>
      <c r="H42" s="39"/>
      <c r="I42" s="37">
        <f t="shared" si="21"/>
        <v>87647511.239999995</v>
      </c>
      <c r="J42" s="37">
        <v>87647511.239999995</v>
      </c>
      <c r="K42" s="39"/>
      <c r="L42" s="39"/>
      <c r="M42" s="38"/>
      <c r="N42" s="38"/>
      <c r="O42" s="38"/>
      <c r="P42" s="38"/>
      <c r="Q42" s="39">
        <f t="shared" si="13"/>
        <v>-16491454.420000002</v>
      </c>
      <c r="R42" s="39">
        <f t="shared" si="14"/>
        <v>-16491454.420000002</v>
      </c>
      <c r="S42" s="39">
        <f t="shared" si="15"/>
        <v>0</v>
      </c>
      <c r="T42" s="39">
        <f t="shared" si="16"/>
        <v>0</v>
      </c>
    </row>
    <row r="43" spans="1:20" s="47" customFormat="1" ht="119.25" customHeight="1" x14ac:dyDescent="0.25">
      <c r="A43" s="64" t="s">
        <v>202</v>
      </c>
      <c r="B43" s="64" t="s">
        <v>203</v>
      </c>
      <c r="C43" s="64" t="s">
        <v>14</v>
      </c>
      <c r="D43" s="52" t="s">
        <v>273</v>
      </c>
      <c r="E43" s="37">
        <f t="shared" si="39"/>
        <v>8755492.3900000006</v>
      </c>
      <c r="F43" s="37">
        <v>8755492.3900000006</v>
      </c>
      <c r="G43" s="39"/>
      <c r="H43" s="39"/>
      <c r="I43" s="37">
        <f t="shared" si="21"/>
        <v>7205379.3399999999</v>
      </c>
      <c r="J43" s="37">
        <v>7205379.3399999999</v>
      </c>
      <c r="K43" s="39"/>
      <c r="L43" s="39"/>
      <c r="M43" s="38"/>
      <c r="N43" s="38"/>
      <c r="O43" s="38"/>
      <c r="P43" s="38"/>
      <c r="Q43" s="39">
        <f t="shared" si="13"/>
        <v>-1550113.0500000007</v>
      </c>
      <c r="R43" s="39">
        <f t="shared" si="14"/>
        <v>-1550113.0500000007</v>
      </c>
      <c r="S43" s="39">
        <f t="shared" si="15"/>
        <v>0</v>
      </c>
      <c r="T43" s="39">
        <f t="shared" si="16"/>
        <v>0</v>
      </c>
    </row>
    <row r="44" spans="1:20" s="47" customFormat="1" ht="47.25" customHeight="1" x14ac:dyDescent="0.25">
      <c r="A44" s="64" t="s">
        <v>235</v>
      </c>
      <c r="B44" s="64" t="s">
        <v>236</v>
      </c>
      <c r="C44" s="64" t="s">
        <v>12</v>
      </c>
      <c r="D44" s="36" t="s">
        <v>237</v>
      </c>
      <c r="E44" s="37">
        <f>F44+G44</f>
        <v>89392.87</v>
      </c>
      <c r="F44" s="37">
        <v>89392.87</v>
      </c>
      <c r="G44" s="39"/>
      <c r="H44" s="39"/>
      <c r="I44" s="37">
        <f>J44</f>
        <v>0</v>
      </c>
      <c r="J44" s="37"/>
      <c r="K44" s="39"/>
      <c r="L44" s="39"/>
      <c r="M44" s="38">
        <f t="shared" ref="M44" si="40">I44/E44</f>
        <v>0</v>
      </c>
      <c r="N44" s="38">
        <f t="shared" ref="N44" si="41">J44/F44</f>
        <v>0</v>
      </c>
      <c r="O44" s="38"/>
      <c r="P44" s="38"/>
      <c r="Q44" s="39">
        <f t="shared" si="13"/>
        <v>-89392.87</v>
      </c>
      <c r="R44" s="39">
        <f t="shared" si="14"/>
        <v>-89392.87</v>
      </c>
      <c r="S44" s="39">
        <f t="shared" si="15"/>
        <v>0</v>
      </c>
      <c r="T44" s="39">
        <f t="shared" si="16"/>
        <v>0</v>
      </c>
    </row>
    <row r="45" spans="1:20" s="47" customFormat="1" ht="56.25" x14ac:dyDescent="0.25">
      <c r="A45" s="64" t="s">
        <v>62</v>
      </c>
      <c r="B45" s="64" t="s">
        <v>32</v>
      </c>
      <c r="C45" s="64" t="s">
        <v>15</v>
      </c>
      <c r="D45" s="52" t="s">
        <v>238</v>
      </c>
      <c r="E45" s="37">
        <f t="shared" ref="E45:E57" si="42">F45+G45</f>
        <v>13030687.130000001</v>
      </c>
      <c r="F45" s="37">
        <v>13030003.130000001</v>
      </c>
      <c r="G45" s="39">
        <v>684</v>
      </c>
      <c r="H45" s="39"/>
      <c r="I45" s="37">
        <f t="shared" si="21"/>
        <v>14602314.859999999</v>
      </c>
      <c r="J45" s="37">
        <v>14174058.859999999</v>
      </c>
      <c r="K45" s="39">
        <f>174123+254133</f>
        <v>428256</v>
      </c>
      <c r="L45" s="39"/>
      <c r="M45" s="38">
        <f t="shared" si="11"/>
        <v>1.1206097356433113</v>
      </c>
      <c r="N45" s="38">
        <f t="shared" si="12"/>
        <v>1.0878016465986835</v>
      </c>
      <c r="O45" s="38" t="s">
        <v>369</v>
      </c>
      <c r="P45" s="38"/>
      <c r="Q45" s="39">
        <f t="shared" si="13"/>
        <v>1571627.7299999986</v>
      </c>
      <c r="R45" s="39">
        <f t="shared" si="14"/>
        <v>1144055.7299999986</v>
      </c>
      <c r="S45" s="39">
        <f t="shared" si="15"/>
        <v>427572</v>
      </c>
      <c r="T45" s="39">
        <f t="shared" si="16"/>
        <v>0</v>
      </c>
    </row>
    <row r="46" spans="1:20" s="47" customFormat="1" ht="37.5" x14ac:dyDescent="0.25">
      <c r="A46" s="62" t="s">
        <v>319</v>
      </c>
      <c r="B46" s="62" t="s">
        <v>320</v>
      </c>
      <c r="C46" s="62" t="s">
        <v>321</v>
      </c>
      <c r="D46" s="27" t="s">
        <v>322</v>
      </c>
      <c r="E46" s="37">
        <f t="shared" si="42"/>
        <v>0</v>
      </c>
      <c r="F46" s="37"/>
      <c r="G46" s="39"/>
      <c r="H46" s="39"/>
      <c r="I46" s="37">
        <f t="shared" si="21"/>
        <v>3640</v>
      </c>
      <c r="J46" s="37">
        <v>3640</v>
      </c>
      <c r="K46" s="39"/>
      <c r="L46" s="39"/>
      <c r="M46" s="38"/>
      <c r="N46" s="38"/>
      <c r="O46" s="38"/>
      <c r="P46" s="38"/>
      <c r="Q46" s="39">
        <f t="shared" ref="Q46" si="43">I46-E46</f>
        <v>3640</v>
      </c>
      <c r="R46" s="39">
        <f t="shared" ref="R46" si="44">J46-F46</f>
        <v>3640</v>
      </c>
      <c r="S46" s="39">
        <f t="shared" ref="S46" si="45">K46-G46</f>
        <v>0</v>
      </c>
      <c r="T46" s="39">
        <f t="shared" ref="T46" si="46">L46-H46</f>
        <v>0</v>
      </c>
    </row>
    <row r="47" spans="1:20" s="47" customFormat="1" ht="37.5" x14ac:dyDescent="0.25">
      <c r="A47" s="64" t="s">
        <v>204</v>
      </c>
      <c r="B47" s="64" t="s">
        <v>205</v>
      </c>
      <c r="C47" s="64" t="s">
        <v>16</v>
      </c>
      <c r="D47" s="52" t="s">
        <v>154</v>
      </c>
      <c r="E47" s="37">
        <f t="shared" si="42"/>
        <v>8556771.2200000007</v>
      </c>
      <c r="F47" s="37">
        <v>8556282.2200000007</v>
      </c>
      <c r="G47" s="39">
        <v>489</v>
      </c>
      <c r="H47" s="39"/>
      <c r="I47" s="37">
        <f t="shared" si="21"/>
        <v>13720699.48</v>
      </c>
      <c r="J47" s="37">
        <v>12036732.48</v>
      </c>
      <c r="K47" s="39">
        <v>1683967</v>
      </c>
      <c r="L47" s="39"/>
      <c r="M47" s="38">
        <f t="shared" si="11"/>
        <v>1.6034902800638393</v>
      </c>
      <c r="N47" s="38">
        <f t="shared" si="12"/>
        <v>1.4067713255021641</v>
      </c>
      <c r="O47" s="38" t="s">
        <v>370</v>
      </c>
      <c r="P47" s="38"/>
      <c r="Q47" s="39">
        <f t="shared" si="13"/>
        <v>5163928.26</v>
      </c>
      <c r="R47" s="39">
        <f t="shared" si="14"/>
        <v>3480450.26</v>
      </c>
      <c r="S47" s="39">
        <f t="shared" si="15"/>
        <v>1683478</v>
      </c>
      <c r="T47" s="39">
        <f t="shared" si="16"/>
        <v>0</v>
      </c>
    </row>
    <row r="48" spans="1:20" s="47" customFormat="1" ht="18.75" x14ac:dyDescent="0.25">
      <c r="A48" s="64" t="s">
        <v>206</v>
      </c>
      <c r="B48" s="64" t="s">
        <v>207</v>
      </c>
      <c r="C48" s="64" t="s">
        <v>16</v>
      </c>
      <c r="D48" s="52" t="s">
        <v>155</v>
      </c>
      <c r="E48" s="37">
        <f t="shared" si="42"/>
        <v>19934.45</v>
      </c>
      <c r="F48" s="37">
        <v>19934.45</v>
      </c>
      <c r="G48" s="39"/>
      <c r="H48" s="39"/>
      <c r="I48" s="37">
        <f t="shared" si="21"/>
        <v>0</v>
      </c>
      <c r="J48" s="37"/>
      <c r="K48" s="39"/>
      <c r="L48" s="39"/>
      <c r="M48" s="38">
        <f t="shared" si="11"/>
        <v>0</v>
      </c>
      <c r="N48" s="38">
        <f t="shared" si="12"/>
        <v>0</v>
      </c>
      <c r="O48" s="38"/>
      <c r="P48" s="38"/>
      <c r="Q48" s="39">
        <f t="shared" si="13"/>
        <v>-19934.45</v>
      </c>
      <c r="R48" s="39">
        <f t="shared" si="14"/>
        <v>-19934.45</v>
      </c>
      <c r="S48" s="39">
        <f t="shared" si="15"/>
        <v>0</v>
      </c>
      <c r="T48" s="39">
        <f t="shared" si="16"/>
        <v>0</v>
      </c>
    </row>
    <row r="49" spans="1:20" s="47" customFormat="1" ht="56.25" x14ac:dyDescent="0.25">
      <c r="A49" s="64" t="s">
        <v>208</v>
      </c>
      <c r="B49" s="64" t="s">
        <v>209</v>
      </c>
      <c r="C49" s="64" t="s">
        <v>16</v>
      </c>
      <c r="D49" s="52" t="s">
        <v>210</v>
      </c>
      <c r="E49" s="37">
        <f t="shared" si="42"/>
        <v>186457.65</v>
      </c>
      <c r="F49" s="37">
        <v>186457.65</v>
      </c>
      <c r="G49" s="39"/>
      <c r="H49" s="39"/>
      <c r="I49" s="37">
        <f t="shared" si="21"/>
        <v>410455.9</v>
      </c>
      <c r="J49" s="37">
        <v>410455.9</v>
      </c>
      <c r="K49" s="39"/>
      <c r="L49" s="39"/>
      <c r="M49" s="38" t="s">
        <v>308</v>
      </c>
      <c r="N49" s="38" t="s">
        <v>308</v>
      </c>
      <c r="O49" s="38"/>
      <c r="P49" s="38"/>
      <c r="Q49" s="39">
        <f t="shared" si="13"/>
        <v>223998.25000000003</v>
      </c>
      <c r="R49" s="39">
        <f t="shared" si="14"/>
        <v>223998.25000000003</v>
      </c>
      <c r="S49" s="39">
        <f t="shared" si="15"/>
        <v>0</v>
      </c>
      <c r="T49" s="39">
        <f t="shared" si="16"/>
        <v>0</v>
      </c>
    </row>
    <row r="50" spans="1:20" s="47" customFormat="1" ht="56.25" x14ac:dyDescent="0.25">
      <c r="A50" s="64" t="s">
        <v>211</v>
      </c>
      <c r="B50" s="64" t="s">
        <v>212</v>
      </c>
      <c r="C50" s="64" t="s">
        <v>16</v>
      </c>
      <c r="D50" s="52" t="s">
        <v>213</v>
      </c>
      <c r="E50" s="37">
        <f t="shared" si="42"/>
        <v>1265800</v>
      </c>
      <c r="F50" s="37">
        <v>1265800</v>
      </c>
      <c r="G50" s="39"/>
      <c r="H50" s="39"/>
      <c r="I50" s="37">
        <f t="shared" si="21"/>
        <v>1484006.88</v>
      </c>
      <c r="J50" s="37">
        <v>1484006.88</v>
      </c>
      <c r="K50" s="39"/>
      <c r="L50" s="39"/>
      <c r="M50" s="38">
        <f t="shared" ref="M50" si="47">I50/E50</f>
        <v>1.1723865381576868</v>
      </c>
      <c r="N50" s="38">
        <f t="shared" ref="N50" si="48">J50/F50</f>
        <v>1.1723865381576868</v>
      </c>
      <c r="O50" s="38"/>
      <c r="P50" s="38"/>
      <c r="Q50" s="39">
        <f t="shared" si="13"/>
        <v>218206.87999999989</v>
      </c>
      <c r="R50" s="39">
        <f t="shared" si="14"/>
        <v>218206.87999999989</v>
      </c>
      <c r="S50" s="39">
        <f t="shared" si="15"/>
        <v>0</v>
      </c>
      <c r="T50" s="39">
        <f t="shared" si="16"/>
        <v>0</v>
      </c>
    </row>
    <row r="51" spans="1:20" s="47" customFormat="1" ht="56.25" x14ac:dyDescent="0.25">
      <c r="A51" s="61" t="s">
        <v>376</v>
      </c>
      <c r="B51" s="61">
        <v>1160</v>
      </c>
      <c r="C51" s="62" t="s">
        <v>16</v>
      </c>
      <c r="D51" s="27" t="s">
        <v>265</v>
      </c>
      <c r="E51" s="37">
        <f t="shared" ref="E51" si="49">F51+G51</f>
        <v>2281731.46</v>
      </c>
      <c r="F51" s="37">
        <v>2281153.46</v>
      </c>
      <c r="G51" s="39">
        <v>578</v>
      </c>
      <c r="H51" s="39"/>
      <c r="I51" s="37">
        <f t="shared" si="21"/>
        <v>2515090.41</v>
      </c>
      <c r="J51" s="37">
        <v>2515090.41</v>
      </c>
      <c r="K51" s="39"/>
      <c r="L51" s="39"/>
      <c r="M51" s="38"/>
      <c r="N51" s="38"/>
      <c r="O51" s="38"/>
      <c r="P51" s="38"/>
      <c r="Q51" s="39">
        <f t="shared" ref="Q51" si="50">I51-E51</f>
        <v>233358.95000000019</v>
      </c>
      <c r="R51" s="39">
        <f t="shared" ref="R51" si="51">J51-F51</f>
        <v>233936.95000000019</v>
      </c>
      <c r="S51" s="39"/>
      <c r="T51" s="39"/>
    </row>
    <row r="52" spans="1:20" s="47" customFormat="1" ht="93.75" x14ac:dyDescent="0.25">
      <c r="A52" s="64" t="s">
        <v>229</v>
      </c>
      <c r="B52" s="64" t="s">
        <v>230</v>
      </c>
      <c r="C52" s="64" t="s">
        <v>16</v>
      </c>
      <c r="D52" s="36" t="s">
        <v>231</v>
      </c>
      <c r="E52" s="37">
        <f t="shared" si="42"/>
        <v>150475.64000000001</v>
      </c>
      <c r="F52" s="37">
        <v>150475.64000000001</v>
      </c>
      <c r="G52" s="37"/>
      <c r="H52" s="37"/>
      <c r="I52" s="37">
        <f t="shared" si="21"/>
        <v>181111.43</v>
      </c>
      <c r="J52" s="37">
        <v>181111.43</v>
      </c>
      <c r="K52" s="37"/>
      <c r="L52" s="37"/>
      <c r="M52" s="38">
        <f t="shared" ref="M52" si="52">I52/E52</f>
        <v>1.2035930201061114</v>
      </c>
      <c r="N52" s="38">
        <f t="shared" ref="N52" si="53">J52/F52</f>
        <v>1.2035930201061114</v>
      </c>
      <c r="O52" s="38"/>
      <c r="P52" s="38"/>
      <c r="Q52" s="39">
        <f t="shared" si="13"/>
        <v>30635.789999999979</v>
      </c>
      <c r="R52" s="39">
        <f t="shared" si="14"/>
        <v>30635.789999999979</v>
      </c>
      <c r="S52" s="39">
        <f t="shared" si="15"/>
        <v>0</v>
      </c>
      <c r="T52" s="39">
        <f t="shared" si="16"/>
        <v>0</v>
      </c>
    </row>
    <row r="53" spans="1:20" s="47" customFormat="1" ht="93.75" x14ac:dyDescent="0.25">
      <c r="A53" s="64" t="s">
        <v>232</v>
      </c>
      <c r="B53" s="64" t="s">
        <v>233</v>
      </c>
      <c r="C53" s="64" t="s">
        <v>16</v>
      </c>
      <c r="D53" s="52" t="s">
        <v>234</v>
      </c>
      <c r="E53" s="37">
        <f>F53+G53</f>
        <v>202865.05</v>
      </c>
      <c r="F53" s="37">
        <v>202865.05</v>
      </c>
      <c r="G53" s="39"/>
      <c r="H53" s="39"/>
      <c r="I53" s="37">
        <f>J53+K53</f>
        <v>0</v>
      </c>
      <c r="J53" s="37"/>
      <c r="K53" s="39"/>
      <c r="L53" s="39"/>
      <c r="M53" s="38">
        <f t="shared" si="11"/>
        <v>0</v>
      </c>
      <c r="N53" s="38">
        <f t="shared" si="12"/>
        <v>0</v>
      </c>
      <c r="O53" s="38"/>
      <c r="P53" s="38"/>
      <c r="Q53" s="39">
        <f t="shared" si="13"/>
        <v>-202865.05</v>
      </c>
      <c r="R53" s="39">
        <f t="shared" si="14"/>
        <v>-202865.05</v>
      </c>
      <c r="S53" s="39">
        <f t="shared" si="15"/>
        <v>0</v>
      </c>
      <c r="T53" s="39">
        <f t="shared" si="16"/>
        <v>0</v>
      </c>
    </row>
    <row r="54" spans="1:20" s="47" customFormat="1" ht="112.5" x14ac:dyDescent="0.25">
      <c r="A54" s="62" t="s">
        <v>286</v>
      </c>
      <c r="B54" s="62" t="s">
        <v>287</v>
      </c>
      <c r="C54" s="62" t="s">
        <v>17</v>
      </c>
      <c r="D54" s="27" t="s">
        <v>288</v>
      </c>
      <c r="E54" s="37">
        <f>F54+G54</f>
        <v>0</v>
      </c>
      <c r="F54" s="37"/>
      <c r="G54" s="39"/>
      <c r="H54" s="39"/>
      <c r="I54" s="37">
        <f>J54+K54</f>
        <v>2251972.73</v>
      </c>
      <c r="J54" s="37">
        <v>2251972.73</v>
      </c>
      <c r="K54" s="39"/>
      <c r="L54" s="39"/>
      <c r="M54" s="38"/>
      <c r="N54" s="38"/>
      <c r="O54" s="38"/>
      <c r="P54" s="38"/>
      <c r="Q54" s="39">
        <f t="shared" si="13"/>
        <v>2251972.73</v>
      </c>
      <c r="R54" s="39">
        <f t="shared" si="14"/>
        <v>2251972.73</v>
      </c>
      <c r="S54" s="39">
        <f t="shared" si="15"/>
        <v>0</v>
      </c>
      <c r="T54" s="39"/>
    </row>
    <row r="55" spans="1:20" s="47" customFormat="1" ht="37.5" x14ac:dyDescent="0.25">
      <c r="A55" s="64" t="s">
        <v>151</v>
      </c>
      <c r="B55" s="64" t="s">
        <v>148</v>
      </c>
      <c r="C55" s="64" t="s">
        <v>4</v>
      </c>
      <c r="D55" s="52" t="s">
        <v>149</v>
      </c>
      <c r="E55" s="37">
        <f t="shared" si="42"/>
        <v>2763286.22</v>
      </c>
      <c r="F55" s="37">
        <v>2763286.22</v>
      </c>
      <c r="G55" s="37"/>
      <c r="H55" s="37"/>
      <c r="I55" s="37">
        <f t="shared" si="21"/>
        <v>7268272.6399999997</v>
      </c>
      <c r="J55" s="37">
        <v>7268272.6399999997</v>
      </c>
      <c r="K55" s="37"/>
      <c r="L55" s="37"/>
      <c r="M55" s="38">
        <f t="shared" ref="M55" si="54">I55/E55</f>
        <v>2.6303003240829677</v>
      </c>
      <c r="N55" s="38">
        <f t="shared" ref="N55" si="55">J55/F55</f>
        <v>2.6303003240829677</v>
      </c>
      <c r="O55" s="38"/>
      <c r="P55" s="38"/>
      <c r="Q55" s="39">
        <f t="shared" si="13"/>
        <v>4504986.42</v>
      </c>
      <c r="R55" s="39">
        <f t="shared" si="14"/>
        <v>4504986.42</v>
      </c>
      <c r="S55" s="39">
        <f t="shared" si="15"/>
        <v>0</v>
      </c>
      <c r="T55" s="39">
        <f t="shared" si="16"/>
        <v>0</v>
      </c>
    </row>
    <row r="56" spans="1:20" s="47" customFormat="1" ht="56.25" x14ac:dyDescent="0.25">
      <c r="A56" s="64" t="s">
        <v>69</v>
      </c>
      <c r="B56" s="64" t="s">
        <v>47</v>
      </c>
      <c r="C56" s="64" t="s">
        <v>18</v>
      </c>
      <c r="D56" s="48" t="s">
        <v>19</v>
      </c>
      <c r="E56" s="37">
        <f t="shared" si="42"/>
        <v>5435731.71</v>
      </c>
      <c r="F56" s="37">
        <v>5435731.71</v>
      </c>
      <c r="G56" s="39"/>
      <c r="H56" s="39"/>
      <c r="I56" s="37">
        <f t="shared" si="21"/>
        <v>6202653.75</v>
      </c>
      <c r="J56" s="37">
        <v>6202653.75</v>
      </c>
      <c r="K56" s="39"/>
      <c r="L56" s="39"/>
      <c r="M56" s="38">
        <f t="shared" ref="M56" si="56">I56/E56</f>
        <v>1.1410890163304253</v>
      </c>
      <c r="N56" s="38">
        <f t="shared" ref="N56" si="57">J56/F56</f>
        <v>1.1410890163304253</v>
      </c>
      <c r="O56" s="38"/>
      <c r="P56" s="38"/>
      <c r="Q56" s="39">
        <f t="shared" si="13"/>
        <v>766922.04</v>
      </c>
      <c r="R56" s="39">
        <f t="shared" si="14"/>
        <v>766922.04</v>
      </c>
      <c r="S56" s="39">
        <f t="shared" si="15"/>
        <v>0</v>
      </c>
      <c r="T56" s="39">
        <f t="shared" si="16"/>
        <v>0</v>
      </c>
    </row>
    <row r="57" spans="1:20" s="47" customFormat="1" ht="56.25" x14ac:dyDescent="0.25">
      <c r="A57" s="61" t="s">
        <v>254</v>
      </c>
      <c r="B57" s="62">
        <v>8110</v>
      </c>
      <c r="C57" s="61" t="s">
        <v>5</v>
      </c>
      <c r="D57" s="27" t="s">
        <v>137</v>
      </c>
      <c r="E57" s="37">
        <f t="shared" si="42"/>
        <v>2620061.7000000002</v>
      </c>
      <c r="F57" s="37">
        <v>2109761.7000000002</v>
      </c>
      <c r="G57" s="39">
        <v>510300</v>
      </c>
      <c r="H57" s="39">
        <v>510300</v>
      </c>
      <c r="I57" s="37">
        <f t="shared" si="21"/>
        <v>1086269.96</v>
      </c>
      <c r="J57" s="37">
        <v>1086269.96</v>
      </c>
      <c r="K57" s="39"/>
      <c r="L57" s="39"/>
      <c r="M57" s="31"/>
      <c r="N57" s="31"/>
      <c r="O57" s="38"/>
      <c r="P57" s="38"/>
      <c r="Q57" s="39">
        <f t="shared" si="13"/>
        <v>-1533791.7400000002</v>
      </c>
      <c r="R57" s="39">
        <f t="shared" si="14"/>
        <v>-1023491.7400000002</v>
      </c>
      <c r="S57" s="39">
        <f t="shared" si="15"/>
        <v>-510300</v>
      </c>
      <c r="T57" s="39">
        <f t="shared" si="16"/>
        <v>-510300</v>
      </c>
    </row>
    <row r="58" spans="1:20" s="51" customFormat="1" ht="56.25" x14ac:dyDescent="0.25">
      <c r="A58" s="63" t="s">
        <v>70</v>
      </c>
      <c r="B58" s="63"/>
      <c r="C58" s="63"/>
      <c r="D58" s="29" t="s">
        <v>216</v>
      </c>
      <c r="E58" s="34">
        <f t="shared" ref="E58:L58" si="58">E59</f>
        <v>50009127.63000001</v>
      </c>
      <c r="F58" s="34">
        <f t="shared" si="58"/>
        <v>46715152.640000008</v>
      </c>
      <c r="G58" s="34">
        <f t="shared" si="58"/>
        <v>3293974.9899999998</v>
      </c>
      <c r="H58" s="34">
        <f t="shared" si="58"/>
        <v>0</v>
      </c>
      <c r="I58" s="34">
        <f t="shared" si="58"/>
        <v>64843692.229999997</v>
      </c>
      <c r="J58" s="34">
        <f t="shared" si="58"/>
        <v>56165696.399999999</v>
      </c>
      <c r="K58" s="34">
        <f t="shared" si="58"/>
        <v>8677995.8300000001</v>
      </c>
      <c r="L58" s="34">
        <f t="shared" si="58"/>
        <v>4653291.82</v>
      </c>
      <c r="M58" s="31">
        <f t="shared" si="11"/>
        <v>1.2966371401188144</v>
      </c>
      <c r="N58" s="31">
        <f t="shared" si="12"/>
        <v>1.2023014637847491</v>
      </c>
      <c r="O58" s="31"/>
      <c r="P58" s="31"/>
      <c r="Q58" s="32">
        <f t="shared" si="13"/>
        <v>14834564.599999987</v>
      </c>
      <c r="R58" s="32">
        <f t="shared" si="14"/>
        <v>9450543.7599999905</v>
      </c>
      <c r="S58" s="32">
        <f t="shared" si="15"/>
        <v>5384020.8399999999</v>
      </c>
      <c r="T58" s="32">
        <f t="shared" si="16"/>
        <v>4653291.82</v>
      </c>
    </row>
    <row r="59" spans="1:20" s="51" customFormat="1" ht="56.25" x14ac:dyDescent="0.25">
      <c r="A59" s="63" t="s">
        <v>71</v>
      </c>
      <c r="B59" s="63"/>
      <c r="C59" s="63"/>
      <c r="D59" s="29" t="s">
        <v>216</v>
      </c>
      <c r="E59" s="34">
        <f t="shared" ref="E59:E69" si="59">F59+G59</f>
        <v>50009127.63000001</v>
      </c>
      <c r="F59" s="34">
        <f>F60+F61+F62+F63+F65+F66+F67+F69+F70+F71+F72+F76+F64+F75+F68+F77+F73+F74</f>
        <v>46715152.640000008</v>
      </c>
      <c r="G59" s="34">
        <f t="shared" ref="G59:H59" si="60">G60+G61+G62+G63+G65+G66+G67+G69+G70+G71+G72+G76+G64+G75+G68+G77+G73+G74</f>
        <v>3293974.9899999998</v>
      </c>
      <c r="H59" s="34">
        <f t="shared" si="60"/>
        <v>0</v>
      </c>
      <c r="I59" s="34">
        <f t="shared" ref="I59" si="61">J59+K59</f>
        <v>64843692.229999997</v>
      </c>
      <c r="J59" s="34">
        <f>J60+J61+J62+J63+J65+J66+J67+J69+J70+J71+J72+J76+J64+J75+J68+J77+J73+J74</f>
        <v>56165696.399999999</v>
      </c>
      <c r="K59" s="34">
        <f t="shared" ref="K59:L59" si="62">K60+K61+K62+K63+K65+K66+K67+K69+K70+K71+K72+K76+K64+K75+K68+K77+K73+K74</f>
        <v>8677995.8300000001</v>
      </c>
      <c r="L59" s="34">
        <f t="shared" si="62"/>
        <v>4653291.82</v>
      </c>
      <c r="M59" s="31">
        <f t="shared" si="11"/>
        <v>1.2966371401188144</v>
      </c>
      <c r="N59" s="31">
        <f t="shared" si="12"/>
        <v>1.2023014637847491</v>
      </c>
      <c r="O59" s="31"/>
      <c r="P59" s="31"/>
      <c r="Q59" s="32">
        <f t="shared" si="13"/>
        <v>14834564.599999987</v>
      </c>
      <c r="R59" s="32">
        <f t="shared" si="14"/>
        <v>9450543.7599999905</v>
      </c>
      <c r="S59" s="32">
        <f t="shared" si="15"/>
        <v>5384020.8399999999</v>
      </c>
      <c r="T59" s="32">
        <f t="shared" si="16"/>
        <v>4653291.82</v>
      </c>
    </row>
    <row r="60" spans="1:20" s="47" customFormat="1" ht="56.25" x14ac:dyDescent="0.25">
      <c r="A60" s="64" t="s">
        <v>72</v>
      </c>
      <c r="B60" s="64" t="s">
        <v>58</v>
      </c>
      <c r="C60" s="64" t="s">
        <v>3</v>
      </c>
      <c r="D60" s="36" t="s">
        <v>247</v>
      </c>
      <c r="E60" s="37">
        <f t="shared" si="59"/>
        <v>9412700.1099999994</v>
      </c>
      <c r="F60" s="37">
        <v>9412700.1099999994</v>
      </c>
      <c r="G60" s="37"/>
      <c r="H60" s="37"/>
      <c r="I60" s="37">
        <f t="shared" si="21"/>
        <v>10272073.529999999</v>
      </c>
      <c r="J60" s="37">
        <v>10212613.529999999</v>
      </c>
      <c r="K60" s="37">
        <v>59460</v>
      </c>
      <c r="L60" s="37">
        <v>59460</v>
      </c>
      <c r="M60" s="38">
        <f t="shared" si="11"/>
        <v>1.0912993519348404</v>
      </c>
      <c r="N60" s="38">
        <f t="shared" si="12"/>
        <v>1.0849823547602644</v>
      </c>
      <c r="O60" s="38"/>
      <c r="P60" s="38"/>
      <c r="Q60" s="39">
        <f t="shared" ref="Q60:Q119" si="63">I60-E60</f>
        <v>859373.41999999993</v>
      </c>
      <c r="R60" s="39">
        <f t="shared" ref="R60:R119" si="64">J60-F60</f>
        <v>799913.41999999993</v>
      </c>
      <c r="S60" s="39">
        <f t="shared" ref="S60:S119" si="65">K60-G60</f>
        <v>59460</v>
      </c>
      <c r="T60" s="39">
        <f t="shared" ref="T60:T119" si="66">L60-H60</f>
        <v>59460</v>
      </c>
    </row>
    <row r="61" spans="1:20" s="41" customFormat="1" ht="37.5" x14ac:dyDescent="0.25">
      <c r="A61" s="64" t="s">
        <v>166</v>
      </c>
      <c r="B61" s="64" t="s">
        <v>8</v>
      </c>
      <c r="C61" s="64" t="s">
        <v>6</v>
      </c>
      <c r="D61" s="53" t="s">
        <v>109</v>
      </c>
      <c r="E61" s="37">
        <f t="shared" si="59"/>
        <v>127279.8</v>
      </c>
      <c r="F61" s="37">
        <v>127279.8</v>
      </c>
      <c r="G61" s="37"/>
      <c r="H61" s="37"/>
      <c r="I61" s="37">
        <f t="shared" si="21"/>
        <v>136721.4</v>
      </c>
      <c r="J61" s="37">
        <v>136721.4</v>
      </c>
      <c r="K61" s="37"/>
      <c r="L61" s="37"/>
      <c r="M61" s="38"/>
      <c r="N61" s="38">
        <f t="shared" si="12"/>
        <v>1.0741798777182239</v>
      </c>
      <c r="O61" s="38"/>
      <c r="P61" s="38"/>
      <c r="Q61" s="39">
        <f t="shared" si="63"/>
        <v>9441.5999999999913</v>
      </c>
      <c r="R61" s="39">
        <f t="shared" si="64"/>
        <v>9441.5999999999913</v>
      </c>
      <c r="S61" s="39">
        <f t="shared" si="65"/>
        <v>0</v>
      </c>
      <c r="T61" s="39">
        <f t="shared" si="66"/>
        <v>0</v>
      </c>
    </row>
    <row r="62" spans="1:20" s="54" customFormat="1" ht="56.25" x14ac:dyDescent="0.25">
      <c r="A62" s="64" t="s">
        <v>114</v>
      </c>
      <c r="B62" s="64" t="s">
        <v>31</v>
      </c>
      <c r="C62" s="64" t="s">
        <v>13</v>
      </c>
      <c r="D62" s="48" t="s">
        <v>113</v>
      </c>
      <c r="E62" s="37">
        <f t="shared" si="59"/>
        <v>33866.89</v>
      </c>
      <c r="F62" s="37">
        <v>33866.89</v>
      </c>
      <c r="G62" s="37"/>
      <c r="H62" s="37"/>
      <c r="I62" s="37">
        <f t="shared" si="21"/>
        <v>78455.41</v>
      </c>
      <c r="J62" s="37">
        <v>78455.41</v>
      </c>
      <c r="K62" s="37"/>
      <c r="L62" s="37"/>
      <c r="M62" s="38">
        <f t="shared" ref="M62:M119" si="67">I62/E62</f>
        <v>2.3165814752993263</v>
      </c>
      <c r="N62" s="38">
        <f t="shared" ref="N62:N117" si="68">J62/F62</f>
        <v>2.3165814752993263</v>
      </c>
      <c r="O62" s="38"/>
      <c r="P62" s="38"/>
      <c r="Q62" s="39">
        <f t="shared" si="63"/>
        <v>44588.520000000004</v>
      </c>
      <c r="R62" s="39">
        <f t="shared" si="64"/>
        <v>44588.520000000004</v>
      </c>
      <c r="S62" s="39">
        <f t="shared" si="65"/>
        <v>0</v>
      </c>
      <c r="T62" s="39">
        <f t="shared" si="66"/>
        <v>0</v>
      </c>
    </row>
    <row r="63" spans="1:20" s="54" customFormat="1" ht="37.5" x14ac:dyDescent="0.25">
      <c r="A63" s="64" t="s">
        <v>115</v>
      </c>
      <c r="B63" s="64" t="s">
        <v>116</v>
      </c>
      <c r="C63" s="64" t="s">
        <v>32</v>
      </c>
      <c r="D63" s="48" t="s">
        <v>33</v>
      </c>
      <c r="E63" s="37">
        <f t="shared" si="59"/>
        <v>18931.82</v>
      </c>
      <c r="F63" s="37">
        <v>18931.82</v>
      </c>
      <c r="G63" s="37"/>
      <c r="H63" s="37"/>
      <c r="I63" s="37">
        <f t="shared" si="21"/>
        <v>8939.65</v>
      </c>
      <c r="J63" s="37">
        <v>8939.65</v>
      </c>
      <c r="K63" s="37"/>
      <c r="L63" s="37"/>
      <c r="M63" s="38"/>
      <c r="N63" s="38">
        <f t="shared" si="68"/>
        <v>0.47220235561081819</v>
      </c>
      <c r="O63" s="38"/>
      <c r="P63" s="38"/>
      <c r="Q63" s="39">
        <f t="shared" si="63"/>
        <v>-9992.17</v>
      </c>
      <c r="R63" s="39">
        <f t="shared" si="64"/>
        <v>-9992.17</v>
      </c>
      <c r="S63" s="39">
        <f t="shared" si="65"/>
        <v>0</v>
      </c>
      <c r="T63" s="39">
        <f t="shared" si="66"/>
        <v>0</v>
      </c>
    </row>
    <row r="64" spans="1:20" s="41" customFormat="1" ht="56.25" x14ac:dyDescent="0.25">
      <c r="A64" s="64" t="s">
        <v>174</v>
      </c>
      <c r="B64" s="64" t="s">
        <v>172</v>
      </c>
      <c r="C64" s="64" t="s">
        <v>32</v>
      </c>
      <c r="D64" s="55" t="s">
        <v>173</v>
      </c>
      <c r="E64" s="37">
        <f t="shared" si="59"/>
        <v>89811.1</v>
      </c>
      <c r="F64" s="37">
        <v>89811.1</v>
      </c>
      <c r="G64" s="37"/>
      <c r="H64" s="37"/>
      <c r="I64" s="37">
        <f t="shared" ref="I64:I141" si="69">J64+K64</f>
        <v>149764.54999999999</v>
      </c>
      <c r="J64" s="37">
        <v>149764.54999999999</v>
      </c>
      <c r="K64" s="37"/>
      <c r="L64" s="37"/>
      <c r="M64" s="38" t="s">
        <v>311</v>
      </c>
      <c r="N64" s="38" t="s">
        <v>311</v>
      </c>
      <c r="O64" s="38"/>
      <c r="P64" s="38"/>
      <c r="Q64" s="39">
        <f t="shared" si="63"/>
        <v>59953.449999999983</v>
      </c>
      <c r="R64" s="39">
        <f t="shared" si="64"/>
        <v>59953.449999999983</v>
      </c>
      <c r="S64" s="39">
        <f t="shared" si="65"/>
        <v>0</v>
      </c>
      <c r="T64" s="39">
        <f t="shared" si="66"/>
        <v>0</v>
      </c>
    </row>
    <row r="65" spans="1:20" s="47" customFormat="1" ht="56.25" x14ac:dyDescent="0.25">
      <c r="A65" s="64" t="s">
        <v>175</v>
      </c>
      <c r="B65" s="64" t="s">
        <v>176</v>
      </c>
      <c r="C65" s="64" t="s">
        <v>13</v>
      </c>
      <c r="D65" s="48" t="s">
        <v>177</v>
      </c>
      <c r="E65" s="37">
        <f t="shared" si="59"/>
        <v>144656</v>
      </c>
      <c r="F65" s="39">
        <v>144656</v>
      </c>
      <c r="G65" s="39"/>
      <c r="H65" s="39"/>
      <c r="I65" s="37">
        <f t="shared" si="69"/>
        <v>83818</v>
      </c>
      <c r="J65" s="39">
        <v>83818</v>
      </c>
      <c r="K65" s="39"/>
      <c r="L65" s="39"/>
      <c r="M65" s="38"/>
      <c r="N65" s="38"/>
      <c r="O65" s="38"/>
      <c r="P65" s="38"/>
      <c r="Q65" s="39">
        <f t="shared" si="63"/>
        <v>-60838</v>
      </c>
      <c r="R65" s="39">
        <f t="shared" si="64"/>
        <v>-60838</v>
      </c>
      <c r="S65" s="39">
        <f t="shared" si="65"/>
        <v>0</v>
      </c>
      <c r="T65" s="39">
        <f t="shared" si="66"/>
        <v>0</v>
      </c>
    </row>
    <row r="66" spans="1:20" s="41" customFormat="1" ht="93.75" x14ac:dyDescent="0.25">
      <c r="A66" s="64" t="s">
        <v>124</v>
      </c>
      <c r="B66" s="64" t="s">
        <v>123</v>
      </c>
      <c r="C66" s="64" t="s">
        <v>11</v>
      </c>
      <c r="D66" s="48" t="s">
        <v>138</v>
      </c>
      <c r="E66" s="37">
        <f t="shared" si="59"/>
        <v>9397685.3699999992</v>
      </c>
      <c r="F66" s="37">
        <v>9397685.3699999992</v>
      </c>
      <c r="G66" s="37"/>
      <c r="H66" s="37"/>
      <c r="I66" s="37">
        <f t="shared" si="69"/>
        <v>11419398.57</v>
      </c>
      <c r="J66" s="37">
        <v>11419398.57</v>
      </c>
      <c r="K66" s="37"/>
      <c r="L66" s="37"/>
      <c r="M66" s="38">
        <f t="shared" si="67"/>
        <v>1.2151288450721991</v>
      </c>
      <c r="N66" s="38">
        <f t="shared" si="68"/>
        <v>1.2151288450721991</v>
      </c>
      <c r="O66" s="38"/>
      <c r="P66" s="38"/>
      <c r="Q66" s="39">
        <f t="shared" si="63"/>
        <v>2021713.2000000011</v>
      </c>
      <c r="R66" s="39">
        <f t="shared" si="64"/>
        <v>2021713.2000000011</v>
      </c>
      <c r="S66" s="39">
        <f t="shared" si="65"/>
        <v>0</v>
      </c>
      <c r="T66" s="39">
        <f t="shared" si="66"/>
        <v>0</v>
      </c>
    </row>
    <row r="67" spans="1:20" s="54" customFormat="1" ht="56.25" x14ac:dyDescent="0.25">
      <c r="A67" s="64" t="s">
        <v>74</v>
      </c>
      <c r="B67" s="64" t="s">
        <v>73</v>
      </c>
      <c r="C67" s="64" t="s">
        <v>17</v>
      </c>
      <c r="D67" s="48" t="s">
        <v>75</v>
      </c>
      <c r="E67" s="37">
        <f t="shared" si="59"/>
        <v>3821132.3</v>
      </c>
      <c r="F67" s="37">
        <v>3821132.3</v>
      </c>
      <c r="G67" s="37"/>
      <c r="H67" s="37"/>
      <c r="I67" s="37">
        <f t="shared" si="69"/>
        <v>4785548.33</v>
      </c>
      <c r="J67" s="37">
        <v>4785548.33</v>
      </c>
      <c r="K67" s="37"/>
      <c r="L67" s="37"/>
      <c r="M67" s="38">
        <f t="shared" si="67"/>
        <v>1.2523901174528818</v>
      </c>
      <c r="N67" s="38">
        <f t="shared" si="68"/>
        <v>1.2523901174528818</v>
      </c>
      <c r="O67" s="38"/>
      <c r="P67" s="38"/>
      <c r="Q67" s="39">
        <f t="shared" si="63"/>
        <v>964416.03000000026</v>
      </c>
      <c r="R67" s="39">
        <f t="shared" si="64"/>
        <v>964416.03000000026</v>
      </c>
      <c r="S67" s="39">
        <f t="shared" si="65"/>
        <v>0</v>
      </c>
      <c r="T67" s="39">
        <f t="shared" si="66"/>
        <v>0</v>
      </c>
    </row>
    <row r="68" spans="1:20" s="54" customFormat="1" ht="37.5" x14ac:dyDescent="0.25">
      <c r="A68" s="62" t="s">
        <v>278</v>
      </c>
      <c r="B68" s="62" t="s">
        <v>279</v>
      </c>
      <c r="C68" s="62" t="s">
        <v>17</v>
      </c>
      <c r="D68" s="27" t="s">
        <v>280</v>
      </c>
      <c r="E68" s="37">
        <f t="shared" si="59"/>
        <v>505000</v>
      </c>
      <c r="F68" s="37">
        <v>505000</v>
      </c>
      <c r="G68" s="37"/>
      <c r="H68" s="37"/>
      <c r="I68" s="37">
        <f t="shared" si="69"/>
        <v>458000</v>
      </c>
      <c r="J68" s="37">
        <v>458000</v>
      </c>
      <c r="K68" s="37"/>
      <c r="L68" s="37"/>
      <c r="M68" s="38"/>
      <c r="N68" s="38"/>
      <c r="O68" s="38"/>
      <c r="P68" s="38"/>
      <c r="Q68" s="39">
        <f t="shared" si="63"/>
        <v>-47000</v>
      </c>
      <c r="R68" s="39">
        <f t="shared" si="64"/>
        <v>-47000</v>
      </c>
      <c r="S68" s="39">
        <f t="shared" si="65"/>
        <v>0</v>
      </c>
      <c r="T68" s="39">
        <f t="shared" si="66"/>
        <v>0</v>
      </c>
    </row>
    <row r="69" spans="1:20" s="41" customFormat="1" ht="131.25" x14ac:dyDescent="0.25">
      <c r="A69" s="64" t="s">
        <v>139</v>
      </c>
      <c r="B69" s="64" t="s">
        <v>140</v>
      </c>
      <c r="C69" s="64" t="s">
        <v>9</v>
      </c>
      <c r="D69" s="48" t="s">
        <v>141</v>
      </c>
      <c r="E69" s="37">
        <f t="shared" si="59"/>
        <v>1146351.46</v>
      </c>
      <c r="F69" s="37">
        <v>1146351.46</v>
      </c>
      <c r="G69" s="37"/>
      <c r="H69" s="37"/>
      <c r="I69" s="37">
        <f t="shared" si="69"/>
        <v>1795515.54</v>
      </c>
      <c r="J69" s="37">
        <v>1795515.54</v>
      </c>
      <c r="K69" s="37"/>
      <c r="L69" s="37"/>
      <c r="M69" s="38">
        <f t="shared" si="67"/>
        <v>1.566287131522474</v>
      </c>
      <c r="N69" s="38">
        <f t="shared" si="68"/>
        <v>1.566287131522474</v>
      </c>
      <c r="O69" s="38"/>
      <c r="P69" s="38"/>
      <c r="Q69" s="39">
        <f t="shared" si="63"/>
        <v>649164.08000000007</v>
      </c>
      <c r="R69" s="39">
        <f t="shared" si="64"/>
        <v>649164.08000000007</v>
      </c>
      <c r="S69" s="39">
        <f t="shared" si="65"/>
        <v>0</v>
      </c>
      <c r="T69" s="39">
        <f t="shared" si="66"/>
        <v>0</v>
      </c>
    </row>
    <row r="70" spans="1:20" s="41" customFormat="1" ht="93.75" x14ac:dyDescent="0.25">
      <c r="A70" s="64" t="s">
        <v>178</v>
      </c>
      <c r="B70" s="64" t="s">
        <v>179</v>
      </c>
      <c r="C70" s="64" t="s">
        <v>9</v>
      </c>
      <c r="D70" s="48" t="s">
        <v>180</v>
      </c>
      <c r="E70" s="37">
        <f t="shared" ref="E70:E77" si="70">F70+G70</f>
        <v>24830.62</v>
      </c>
      <c r="F70" s="37">
        <v>24830.62</v>
      </c>
      <c r="G70" s="37"/>
      <c r="H70" s="37"/>
      <c r="I70" s="37">
        <f t="shared" si="69"/>
        <v>24334.05</v>
      </c>
      <c r="J70" s="37">
        <v>24334.05</v>
      </c>
      <c r="K70" s="37"/>
      <c r="L70" s="37"/>
      <c r="M70" s="38"/>
      <c r="N70" s="38"/>
      <c r="O70" s="38"/>
      <c r="P70" s="38"/>
      <c r="Q70" s="39">
        <f t="shared" si="63"/>
        <v>-496.56999999999971</v>
      </c>
      <c r="R70" s="39">
        <f t="shared" si="64"/>
        <v>-496.56999999999971</v>
      </c>
      <c r="S70" s="39">
        <f t="shared" si="65"/>
        <v>0</v>
      </c>
      <c r="T70" s="39">
        <f t="shared" si="66"/>
        <v>0</v>
      </c>
    </row>
    <row r="71" spans="1:20" s="41" customFormat="1" ht="112.5" x14ac:dyDescent="0.25">
      <c r="A71" s="64" t="s">
        <v>142</v>
      </c>
      <c r="B71" s="64" t="s">
        <v>143</v>
      </c>
      <c r="C71" s="64" t="s">
        <v>27</v>
      </c>
      <c r="D71" s="48" t="s">
        <v>144</v>
      </c>
      <c r="E71" s="37">
        <f t="shared" si="70"/>
        <v>815212.63</v>
      </c>
      <c r="F71" s="37">
        <v>815212.63</v>
      </c>
      <c r="G71" s="37"/>
      <c r="H71" s="37"/>
      <c r="I71" s="37">
        <f t="shared" si="69"/>
        <v>801757.99</v>
      </c>
      <c r="J71" s="37">
        <v>801757.99</v>
      </c>
      <c r="K71" s="37"/>
      <c r="L71" s="37"/>
      <c r="M71" s="38"/>
      <c r="N71" s="38"/>
      <c r="O71" s="38"/>
      <c r="P71" s="38"/>
      <c r="Q71" s="39">
        <f t="shared" si="63"/>
        <v>-13454.640000000014</v>
      </c>
      <c r="R71" s="39">
        <f t="shared" si="64"/>
        <v>-13454.640000000014</v>
      </c>
      <c r="S71" s="39">
        <f t="shared" si="65"/>
        <v>0</v>
      </c>
      <c r="T71" s="39">
        <f t="shared" si="66"/>
        <v>0</v>
      </c>
    </row>
    <row r="72" spans="1:20" s="41" customFormat="1" ht="75" x14ac:dyDescent="0.25">
      <c r="A72" s="64" t="s">
        <v>145</v>
      </c>
      <c r="B72" s="64" t="s">
        <v>146</v>
      </c>
      <c r="C72" s="64" t="s">
        <v>13</v>
      </c>
      <c r="D72" s="48" t="s">
        <v>147</v>
      </c>
      <c r="E72" s="37">
        <f t="shared" si="70"/>
        <v>33477.85</v>
      </c>
      <c r="F72" s="37">
        <v>33477.85</v>
      </c>
      <c r="G72" s="37"/>
      <c r="H72" s="37"/>
      <c r="I72" s="37">
        <f t="shared" si="69"/>
        <v>34268.01</v>
      </c>
      <c r="J72" s="37">
        <v>34268.01</v>
      </c>
      <c r="K72" s="37"/>
      <c r="L72" s="37"/>
      <c r="M72" s="38">
        <f t="shared" si="67"/>
        <v>1.0236024714848775</v>
      </c>
      <c r="N72" s="38">
        <f t="shared" si="68"/>
        <v>1.0236024714848775</v>
      </c>
      <c r="O72" s="38"/>
      <c r="P72" s="38"/>
      <c r="Q72" s="39">
        <f t="shared" si="63"/>
        <v>790.16000000000349</v>
      </c>
      <c r="R72" s="39">
        <f t="shared" si="64"/>
        <v>790.16000000000349</v>
      </c>
      <c r="S72" s="39">
        <f t="shared" si="65"/>
        <v>0</v>
      </c>
      <c r="T72" s="39">
        <f t="shared" si="66"/>
        <v>0</v>
      </c>
    </row>
    <row r="73" spans="1:20" s="41" customFormat="1" ht="409.5" x14ac:dyDescent="0.25">
      <c r="A73" s="67" t="s">
        <v>332</v>
      </c>
      <c r="B73" s="67" t="s">
        <v>333</v>
      </c>
      <c r="C73" s="67" t="s">
        <v>27</v>
      </c>
      <c r="D73" s="68" t="s">
        <v>334</v>
      </c>
      <c r="E73" s="37">
        <f t="shared" si="70"/>
        <v>0</v>
      </c>
      <c r="F73" s="37"/>
      <c r="G73" s="37"/>
      <c r="H73" s="37"/>
      <c r="I73" s="37">
        <f t="shared" si="69"/>
        <v>2353299.9500000002</v>
      </c>
      <c r="J73" s="37"/>
      <c r="K73" s="37">
        <v>2353299.9500000002</v>
      </c>
      <c r="L73" s="37">
        <v>2353299.9500000002</v>
      </c>
      <c r="M73" s="38"/>
      <c r="N73" s="38"/>
      <c r="O73" s="38"/>
      <c r="P73" s="38"/>
      <c r="Q73" s="39">
        <f t="shared" ref="Q73:Q74" si="71">I73-E73</f>
        <v>2353299.9500000002</v>
      </c>
      <c r="R73" s="39">
        <f t="shared" ref="R73:R74" si="72">J73-F73</f>
        <v>0</v>
      </c>
      <c r="S73" s="39">
        <f t="shared" ref="S73:S74" si="73">K73-G73</f>
        <v>2353299.9500000002</v>
      </c>
      <c r="T73" s="39">
        <f t="shared" ref="T73:T74" si="74">L73-H73</f>
        <v>2353299.9500000002</v>
      </c>
    </row>
    <row r="74" spans="1:20" s="41" customFormat="1" ht="337.5" x14ac:dyDescent="0.25">
      <c r="A74" s="67" t="s">
        <v>335</v>
      </c>
      <c r="B74" s="67" t="s">
        <v>336</v>
      </c>
      <c r="C74" s="67" t="s">
        <v>27</v>
      </c>
      <c r="D74" s="68" t="s">
        <v>337</v>
      </c>
      <c r="E74" s="37">
        <f t="shared" si="70"/>
        <v>0</v>
      </c>
      <c r="F74" s="37"/>
      <c r="G74" s="37"/>
      <c r="H74" s="37"/>
      <c r="I74" s="37">
        <f t="shared" si="69"/>
        <v>2240531.87</v>
      </c>
      <c r="J74" s="37"/>
      <c r="K74" s="37">
        <v>2240531.87</v>
      </c>
      <c r="L74" s="37">
        <v>2240531.87</v>
      </c>
      <c r="M74" s="38"/>
      <c r="N74" s="38"/>
      <c r="O74" s="38"/>
      <c r="P74" s="38"/>
      <c r="Q74" s="39">
        <f t="shared" si="71"/>
        <v>2240531.87</v>
      </c>
      <c r="R74" s="39">
        <f t="shared" si="72"/>
        <v>0</v>
      </c>
      <c r="S74" s="39">
        <f t="shared" si="73"/>
        <v>2240531.87</v>
      </c>
      <c r="T74" s="39">
        <f t="shared" si="74"/>
        <v>2240531.87</v>
      </c>
    </row>
    <row r="75" spans="1:20" s="41" customFormat="1" ht="75" x14ac:dyDescent="0.25">
      <c r="A75" s="61" t="s">
        <v>255</v>
      </c>
      <c r="B75" s="62">
        <v>3230</v>
      </c>
      <c r="C75" s="62">
        <v>1070</v>
      </c>
      <c r="D75" s="27" t="s">
        <v>256</v>
      </c>
      <c r="E75" s="37">
        <f t="shared" si="70"/>
        <v>703336.78</v>
      </c>
      <c r="F75" s="37">
        <v>461663.36</v>
      </c>
      <c r="G75" s="37">
        <v>241673.42</v>
      </c>
      <c r="H75" s="37"/>
      <c r="I75" s="37">
        <f t="shared" si="69"/>
        <v>2768919.7399999998</v>
      </c>
      <c r="J75" s="37">
        <f>105622.05+168041.6</f>
        <v>273663.65000000002</v>
      </c>
      <c r="K75" s="37">
        <f>2495256.09</f>
        <v>2495256.09</v>
      </c>
      <c r="L75" s="37"/>
      <c r="M75" s="38"/>
      <c r="N75" s="38"/>
      <c r="O75" s="38"/>
      <c r="P75" s="38"/>
      <c r="Q75" s="39">
        <f t="shared" si="63"/>
        <v>2065582.9599999997</v>
      </c>
      <c r="R75" s="39">
        <f t="shared" si="64"/>
        <v>-187999.70999999996</v>
      </c>
      <c r="S75" s="39">
        <f t="shared" si="65"/>
        <v>2253582.67</v>
      </c>
      <c r="T75" s="39">
        <f t="shared" si="66"/>
        <v>0</v>
      </c>
    </row>
    <row r="76" spans="1:20" s="41" customFormat="1" ht="37.5" x14ac:dyDescent="0.25">
      <c r="A76" s="64" t="s">
        <v>152</v>
      </c>
      <c r="B76" s="64" t="s">
        <v>148</v>
      </c>
      <c r="C76" s="64" t="s">
        <v>4</v>
      </c>
      <c r="D76" s="48" t="s">
        <v>149</v>
      </c>
      <c r="E76" s="37">
        <f t="shared" si="70"/>
        <v>23734854.899999999</v>
      </c>
      <c r="F76" s="37">
        <v>20682553.329999998</v>
      </c>
      <c r="G76" s="37">
        <v>3052301.57</v>
      </c>
      <c r="H76" s="37"/>
      <c r="I76" s="37">
        <f t="shared" si="69"/>
        <v>27336345.640000001</v>
      </c>
      <c r="J76" s="37">
        <f>25444253.72+362644</f>
        <v>25806897.719999999</v>
      </c>
      <c r="K76" s="37">
        <f>1529447.92</f>
        <v>1529447.92</v>
      </c>
      <c r="L76" s="37"/>
      <c r="M76" s="38"/>
      <c r="N76" s="38"/>
      <c r="O76" s="38"/>
      <c r="P76" s="38"/>
      <c r="Q76" s="39">
        <f t="shared" si="63"/>
        <v>3601490.7400000021</v>
      </c>
      <c r="R76" s="39">
        <f t="shared" si="64"/>
        <v>5124344.3900000006</v>
      </c>
      <c r="S76" s="39">
        <f t="shared" si="65"/>
        <v>-1522853.65</v>
      </c>
      <c r="T76" s="39">
        <f t="shared" si="66"/>
        <v>0</v>
      </c>
    </row>
    <row r="77" spans="1:20" s="41" customFormat="1" ht="56.25" x14ac:dyDescent="0.25">
      <c r="A77" s="61" t="s">
        <v>289</v>
      </c>
      <c r="B77" s="61" t="s">
        <v>290</v>
      </c>
      <c r="C77" s="61" t="s">
        <v>5</v>
      </c>
      <c r="D77" s="27" t="s">
        <v>137</v>
      </c>
      <c r="E77" s="37">
        <f t="shared" si="70"/>
        <v>0</v>
      </c>
      <c r="F77" s="37"/>
      <c r="G77" s="37"/>
      <c r="H77" s="37"/>
      <c r="I77" s="37">
        <f t="shared" si="69"/>
        <v>96000</v>
      </c>
      <c r="J77" s="37">
        <f>96000</f>
        <v>96000</v>
      </c>
      <c r="K77" s="37"/>
      <c r="L77" s="37"/>
      <c r="M77" s="38"/>
      <c r="N77" s="38"/>
      <c r="O77" s="38"/>
      <c r="P77" s="38"/>
      <c r="Q77" s="39">
        <f t="shared" si="63"/>
        <v>96000</v>
      </c>
      <c r="R77" s="39">
        <f t="shared" si="64"/>
        <v>96000</v>
      </c>
      <c r="S77" s="39">
        <f t="shared" si="65"/>
        <v>0</v>
      </c>
      <c r="T77" s="39">
        <f t="shared" si="66"/>
        <v>0</v>
      </c>
    </row>
    <row r="78" spans="1:20" s="41" customFormat="1" ht="56.25" x14ac:dyDescent="0.25">
      <c r="A78" s="69" t="s">
        <v>323</v>
      </c>
      <c r="B78" s="70" t="s">
        <v>324</v>
      </c>
      <c r="C78" s="70" t="s">
        <v>324</v>
      </c>
      <c r="D78" s="71" t="s">
        <v>325</v>
      </c>
      <c r="E78" s="34">
        <f t="shared" ref="E78:L78" si="75">E79</f>
        <v>0</v>
      </c>
      <c r="F78" s="34">
        <f t="shared" si="75"/>
        <v>0</v>
      </c>
      <c r="G78" s="34">
        <f t="shared" si="75"/>
        <v>0</v>
      </c>
      <c r="H78" s="34">
        <f t="shared" si="75"/>
        <v>0</v>
      </c>
      <c r="I78" s="34">
        <f t="shared" si="75"/>
        <v>599080.92000000004</v>
      </c>
      <c r="J78" s="34">
        <f t="shared" si="75"/>
        <v>564080.92000000004</v>
      </c>
      <c r="K78" s="34">
        <f t="shared" si="75"/>
        <v>35000</v>
      </c>
      <c r="L78" s="34">
        <f t="shared" si="75"/>
        <v>35000</v>
      </c>
      <c r="M78" s="31"/>
      <c r="N78" s="31"/>
      <c r="O78" s="31"/>
      <c r="P78" s="31"/>
      <c r="Q78" s="32">
        <f t="shared" ref="Q78:Q81" si="76">I78-E78</f>
        <v>599080.92000000004</v>
      </c>
      <c r="R78" s="32">
        <f t="shared" ref="R78:R81" si="77">J78-F78</f>
        <v>564080.92000000004</v>
      </c>
      <c r="S78" s="32">
        <f t="shared" ref="S78:S81" si="78">K78-G78</f>
        <v>35000</v>
      </c>
      <c r="T78" s="32">
        <f t="shared" ref="T78:T81" si="79">L78-H78</f>
        <v>35000</v>
      </c>
    </row>
    <row r="79" spans="1:20" s="41" customFormat="1" ht="56.25" x14ac:dyDescent="0.25">
      <c r="A79" s="69" t="s">
        <v>326</v>
      </c>
      <c r="B79" s="70" t="s">
        <v>324</v>
      </c>
      <c r="C79" s="70" t="s">
        <v>324</v>
      </c>
      <c r="D79" s="71" t="s">
        <v>325</v>
      </c>
      <c r="E79" s="34">
        <f t="shared" ref="E79" si="80">F79+G79</f>
        <v>0</v>
      </c>
      <c r="F79" s="34">
        <f>F80+F81</f>
        <v>0</v>
      </c>
      <c r="G79" s="34">
        <f t="shared" ref="G79:H79" si="81">G80+G81</f>
        <v>0</v>
      </c>
      <c r="H79" s="34">
        <f t="shared" si="81"/>
        <v>0</v>
      </c>
      <c r="I79" s="34">
        <f t="shared" ref="I79:I81" si="82">J79+K79</f>
        <v>599080.92000000004</v>
      </c>
      <c r="J79" s="34">
        <f>J80+J81</f>
        <v>564080.92000000004</v>
      </c>
      <c r="K79" s="34">
        <f t="shared" ref="K79:L79" si="83">K80+K81</f>
        <v>35000</v>
      </c>
      <c r="L79" s="34">
        <f t="shared" si="83"/>
        <v>35000</v>
      </c>
      <c r="M79" s="31"/>
      <c r="N79" s="31"/>
      <c r="O79" s="31"/>
      <c r="P79" s="31"/>
      <c r="Q79" s="32">
        <f t="shared" si="76"/>
        <v>599080.92000000004</v>
      </c>
      <c r="R79" s="32">
        <f t="shared" si="77"/>
        <v>564080.92000000004</v>
      </c>
      <c r="S79" s="32">
        <f t="shared" si="78"/>
        <v>35000</v>
      </c>
      <c r="T79" s="32">
        <f t="shared" si="79"/>
        <v>35000</v>
      </c>
    </row>
    <row r="80" spans="1:20" s="41" customFormat="1" ht="56.25" x14ac:dyDescent="0.25">
      <c r="A80" s="61" t="s">
        <v>327</v>
      </c>
      <c r="B80" s="62" t="s">
        <v>58</v>
      </c>
      <c r="C80" s="62" t="s">
        <v>3</v>
      </c>
      <c r="D80" s="27" t="s">
        <v>247</v>
      </c>
      <c r="E80" s="37"/>
      <c r="F80" s="37"/>
      <c r="G80" s="37"/>
      <c r="H80" s="37"/>
      <c r="I80" s="37">
        <f t="shared" si="82"/>
        <v>591081.04</v>
      </c>
      <c r="J80" s="37">
        <v>556081.04</v>
      </c>
      <c r="K80" s="37">
        <v>35000</v>
      </c>
      <c r="L80" s="37">
        <v>35000</v>
      </c>
      <c r="M80" s="38"/>
      <c r="N80" s="38"/>
      <c r="O80" s="38"/>
      <c r="P80" s="38"/>
      <c r="Q80" s="39">
        <f t="shared" si="76"/>
        <v>591081.04</v>
      </c>
      <c r="R80" s="39">
        <f t="shared" si="77"/>
        <v>556081.04</v>
      </c>
      <c r="S80" s="39">
        <f t="shared" si="78"/>
        <v>35000</v>
      </c>
      <c r="T80" s="39">
        <f t="shared" si="79"/>
        <v>35000</v>
      </c>
    </row>
    <row r="81" spans="1:20" s="41" customFormat="1" ht="37.5" x14ac:dyDescent="0.25">
      <c r="A81" s="61" t="s">
        <v>328</v>
      </c>
      <c r="B81" s="62" t="s">
        <v>34</v>
      </c>
      <c r="C81" s="62" t="s">
        <v>17</v>
      </c>
      <c r="D81" s="27" t="s">
        <v>43</v>
      </c>
      <c r="E81" s="37"/>
      <c r="F81" s="37"/>
      <c r="G81" s="37"/>
      <c r="H81" s="37"/>
      <c r="I81" s="37">
        <f t="shared" si="82"/>
        <v>7999.88</v>
      </c>
      <c r="J81" s="37">
        <v>7999.88</v>
      </c>
      <c r="K81" s="37"/>
      <c r="L81" s="37"/>
      <c r="M81" s="38"/>
      <c r="N81" s="38"/>
      <c r="O81" s="38"/>
      <c r="P81" s="38"/>
      <c r="Q81" s="39">
        <f t="shared" si="76"/>
        <v>7999.88</v>
      </c>
      <c r="R81" s="39">
        <f t="shared" si="77"/>
        <v>7999.88</v>
      </c>
      <c r="S81" s="39">
        <f t="shared" si="78"/>
        <v>0</v>
      </c>
      <c r="T81" s="39">
        <f t="shared" si="79"/>
        <v>0</v>
      </c>
    </row>
    <row r="82" spans="1:20" s="33" customFormat="1" ht="56.25" x14ac:dyDescent="0.25">
      <c r="A82" s="63" t="s">
        <v>76</v>
      </c>
      <c r="B82" s="63"/>
      <c r="C82" s="63"/>
      <c r="D82" s="29" t="s">
        <v>217</v>
      </c>
      <c r="E82" s="34">
        <f t="shared" ref="E82:L82" si="84">E83</f>
        <v>30410729.699999999</v>
      </c>
      <c r="F82" s="34">
        <f t="shared" si="84"/>
        <v>30224823.460000001</v>
      </c>
      <c r="G82" s="34">
        <f t="shared" si="84"/>
        <v>185906.24000000002</v>
      </c>
      <c r="H82" s="34">
        <f t="shared" si="84"/>
        <v>0</v>
      </c>
      <c r="I82" s="34">
        <f t="shared" si="84"/>
        <v>34130004.25</v>
      </c>
      <c r="J82" s="34">
        <f t="shared" si="84"/>
        <v>33507141.850000001</v>
      </c>
      <c r="K82" s="34">
        <f t="shared" si="84"/>
        <v>622862.4</v>
      </c>
      <c r="L82" s="34">
        <f t="shared" si="84"/>
        <v>94000</v>
      </c>
      <c r="M82" s="31">
        <f t="shared" si="67"/>
        <v>1.1223013912093007</v>
      </c>
      <c r="N82" s="31">
        <f t="shared" si="68"/>
        <v>1.1085967762340736</v>
      </c>
      <c r="O82" s="31">
        <f t="shared" ref="O82:O83" si="85">K82/G82</f>
        <v>3.3504114762366233</v>
      </c>
      <c r="P82" s="31"/>
      <c r="Q82" s="32">
        <f t="shared" si="63"/>
        <v>3719274.5500000007</v>
      </c>
      <c r="R82" s="32">
        <f t="shared" si="64"/>
        <v>3282318.3900000006</v>
      </c>
      <c r="S82" s="32">
        <f t="shared" si="65"/>
        <v>436956.16000000003</v>
      </c>
      <c r="T82" s="32">
        <f t="shared" si="66"/>
        <v>94000</v>
      </c>
    </row>
    <row r="83" spans="1:20" s="35" customFormat="1" ht="56.25" x14ac:dyDescent="0.25">
      <c r="A83" s="63" t="s">
        <v>77</v>
      </c>
      <c r="B83" s="63"/>
      <c r="C83" s="63"/>
      <c r="D83" s="29" t="s">
        <v>217</v>
      </c>
      <c r="E83" s="34">
        <f t="shared" ref="E83:E93" si="86">F83+G83</f>
        <v>30410729.699999999</v>
      </c>
      <c r="F83" s="34">
        <f>F84+F86+F88+F89+F90+F91+F92+F85+F87+F93</f>
        <v>30224823.460000001</v>
      </c>
      <c r="G83" s="34">
        <f t="shared" ref="G83:H83" si="87">G84+G86+G88+G89+G90+G91+G92+G85+G87+G93</f>
        <v>185906.24000000002</v>
      </c>
      <c r="H83" s="34">
        <f t="shared" si="87"/>
        <v>0</v>
      </c>
      <c r="I83" s="34">
        <f t="shared" si="69"/>
        <v>34130004.25</v>
      </c>
      <c r="J83" s="34">
        <f>J84+J86+J88+J89+J90+J91+J92+J85+J87+J93</f>
        <v>33507141.850000001</v>
      </c>
      <c r="K83" s="34">
        <f t="shared" ref="K83:L83" si="88">K84+K86+K88+K89+K90+K91+K92+K85+K87+K93</f>
        <v>622862.4</v>
      </c>
      <c r="L83" s="34">
        <f t="shared" si="88"/>
        <v>94000</v>
      </c>
      <c r="M83" s="31">
        <f t="shared" si="67"/>
        <v>1.1223013912093007</v>
      </c>
      <c r="N83" s="31">
        <f t="shared" si="68"/>
        <v>1.1085967762340736</v>
      </c>
      <c r="O83" s="31">
        <f t="shared" si="85"/>
        <v>3.3504114762366233</v>
      </c>
      <c r="P83" s="31"/>
      <c r="Q83" s="32">
        <f t="shared" si="63"/>
        <v>3719274.5500000007</v>
      </c>
      <c r="R83" s="32">
        <f t="shared" si="64"/>
        <v>3282318.3900000006</v>
      </c>
      <c r="S83" s="32">
        <f t="shared" si="65"/>
        <v>436956.16000000003</v>
      </c>
      <c r="T83" s="32">
        <f t="shared" si="66"/>
        <v>94000</v>
      </c>
    </row>
    <row r="84" spans="1:20" s="41" customFormat="1" ht="56.25" x14ac:dyDescent="0.25">
      <c r="A84" s="64" t="s">
        <v>78</v>
      </c>
      <c r="B84" s="64" t="s">
        <v>58</v>
      </c>
      <c r="C84" s="64" t="s">
        <v>3</v>
      </c>
      <c r="D84" s="36" t="s">
        <v>247</v>
      </c>
      <c r="E84" s="37">
        <f t="shared" si="86"/>
        <v>527163.14</v>
      </c>
      <c r="F84" s="37">
        <v>527163.14</v>
      </c>
      <c r="G84" s="37"/>
      <c r="H84" s="37"/>
      <c r="I84" s="37">
        <f t="shared" si="69"/>
        <v>598722.81999999995</v>
      </c>
      <c r="J84" s="37">
        <v>598722.81999999995</v>
      </c>
      <c r="K84" s="37"/>
      <c r="L84" s="37"/>
      <c r="M84" s="38">
        <f t="shared" si="67"/>
        <v>1.135744847410993</v>
      </c>
      <c r="N84" s="38">
        <f t="shared" si="68"/>
        <v>1.135744847410993</v>
      </c>
      <c r="O84" s="38"/>
      <c r="P84" s="38"/>
      <c r="Q84" s="39">
        <f t="shared" si="63"/>
        <v>71559.679999999935</v>
      </c>
      <c r="R84" s="39">
        <f t="shared" si="64"/>
        <v>71559.679999999935</v>
      </c>
      <c r="S84" s="39">
        <f t="shared" si="65"/>
        <v>0</v>
      </c>
      <c r="T84" s="39">
        <f t="shared" si="66"/>
        <v>0</v>
      </c>
    </row>
    <row r="85" spans="1:20" s="41" customFormat="1" ht="37.5" x14ac:dyDescent="0.25">
      <c r="A85" s="62" t="s">
        <v>281</v>
      </c>
      <c r="B85" s="62" t="s">
        <v>8</v>
      </c>
      <c r="C85" s="62" t="s">
        <v>6</v>
      </c>
      <c r="D85" s="27" t="s">
        <v>109</v>
      </c>
      <c r="E85" s="37">
        <f t="shared" si="86"/>
        <v>164175</v>
      </c>
      <c r="F85" s="37">
        <v>164175</v>
      </c>
      <c r="G85" s="37"/>
      <c r="H85" s="37"/>
      <c r="I85" s="37">
        <f t="shared" si="69"/>
        <v>149904</v>
      </c>
      <c r="J85" s="37">
        <v>149904</v>
      </c>
      <c r="K85" s="37"/>
      <c r="L85" s="37"/>
      <c r="M85" s="38">
        <f t="shared" si="67"/>
        <v>0.91307446322521701</v>
      </c>
      <c r="N85" s="38">
        <f t="shared" ref="N85" si="89">J85/F85</f>
        <v>0.91307446322521701</v>
      </c>
      <c r="O85" s="38"/>
      <c r="P85" s="38"/>
      <c r="Q85" s="39">
        <f t="shared" ref="Q85" si="90">I85-E85</f>
        <v>-14271</v>
      </c>
      <c r="R85" s="39">
        <f t="shared" ref="R85" si="91">J85-F85</f>
        <v>-14271</v>
      </c>
      <c r="S85" s="39">
        <f t="shared" ref="S85" si="92">K85-G85</f>
        <v>0</v>
      </c>
      <c r="T85" s="39">
        <f t="shared" ref="T85" si="93">L85-H85</f>
        <v>0</v>
      </c>
    </row>
    <row r="86" spans="1:20" s="41" customFormat="1" ht="37.5" x14ac:dyDescent="0.25">
      <c r="A86" s="64" t="s">
        <v>198</v>
      </c>
      <c r="B86" s="64" t="s">
        <v>199</v>
      </c>
      <c r="C86" s="64" t="s">
        <v>15</v>
      </c>
      <c r="D86" s="56" t="s">
        <v>197</v>
      </c>
      <c r="E86" s="37">
        <f t="shared" si="86"/>
        <v>15017315.4</v>
      </c>
      <c r="F86" s="37">
        <v>14905812.82</v>
      </c>
      <c r="G86" s="39">
        <v>111502.58</v>
      </c>
      <c r="H86" s="39"/>
      <c r="I86" s="37">
        <f t="shared" si="69"/>
        <v>15800238.859999999</v>
      </c>
      <c r="J86" s="37">
        <v>15610216.689999999</v>
      </c>
      <c r="K86" s="39">
        <f>190022.17</f>
        <v>190022.17</v>
      </c>
      <c r="L86" s="39"/>
      <c r="M86" s="38">
        <f t="shared" ref="M86" si="94">I86/E86</f>
        <v>1.0521347151036062</v>
      </c>
      <c r="N86" s="38">
        <f t="shared" ref="N86:O86" si="95">J86/F86</f>
        <v>1.0472569915177561</v>
      </c>
      <c r="O86" s="38">
        <f t="shared" si="95"/>
        <v>1.704195275122782</v>
      </c>
      <c r="P86" s="38"/>
      <c r="Q86" s="39">
        <f t="shared" si="63"/>
        <v>782923.45999999903</v>
      </c>
      <c r="R86" s="39">
        <f t="shared" si="64"/>
        <v>704403.86999999918</v>
      </c>
      <c r="S86" s="39">
        <f t="shared" si="65"/>
        <v>78519.590000000011</v>
      </c>
      <c r="T86" s="39">
        <f t="shared" si="66"/>
        <v>0</v>
      </c>
    </row>
    <row r="87" spans="1:20" s="41" customFormat="1" ht="112.5" x14ac:dyDescent="0.25">
      <c r="A87" s="62">
        <v>1013140</v>
      </c>
      <c r="B87" s="62">
        <v>3140</v>
      </c>
      <c r="C87" s="62">
        <v>1040</v>
      </c>
      <c r="D87" s="27" t="s">
        <v>288</v>
      </c>
      <c r="E87" s="37">
        <f t="shared" si="86"/>
        <v>0</v>
      </c>
      <c r="F87" s="37"/>
      <c r="G87" s="39"/>
      <c r="H87" s="39"/>
      <c r="I87" s="37">
        <f t="shared" si="69"/>
        <v>120000</v>
      </c>
      <c r="J87" s="37">
        <v>120000</v>
      </c>
      <c r="K87" s="39"/>
      <c r="L87" s="39"/>
      <c r="M87" s="38"/>
      <c r="N87" s="38"/>
      <c r="O87" s="38"/>
      <c r="P87" s="38"/>
      <c r="Q87" s="39">
        <f t="shared" ref="Q87" si="96">I87-E87</f>
        <v>120000</v>
      </c>
      <c r="R87" s="39">
        <f t="shared" ref="R87" si="97">J87-F87</f>
        <v>120000</v>
      </c>
      <c r="S87" s="39">
        <f t="shared" ref="S87" si="98">K87-G87</f>
        <v>0</v>
      </c>
      <c r="T87" s="39">
        <f t="shared" ref="T87" si="99">L87-H87</f>
        <v>0</v>
      </c>
    </row>
    <row r="88" spans="1:20" s="41" customFormat="1" ht="18.75" x14ac:dyDescent="0.25">
      <c r="A88" s="64" t="s">
        <v>80</v>
      </c>
      <c r="B88" s="64" t="s">
        <v>79</v>
      </c>
      <c r="C88" s="64" t="s">
        <v>36</v>
      </c>
      <c r="D88" s="48" t="s">
        <v>81</v>
      </c>
      <c r="E88" s="37">
        <f t="shared" si="86"/>
        <v>5081982.12</v>
      </c>
      <c r="F88" s="37">
        <v>5051150.12</v>
      </c>
      <c r="G88" s="39">
        <v>30832</v>
      </c>
      <c r="H88" s="39"/>
      <c r="I88" s="37">
        <f t="shared" si="69"/>
        <v>5583935.9800000004</v>
      </c>
      <c r="J88" s="37">
        <v>5467147.9800000004</v>
      </c>
      <c r="K88" s="39">
        <f>42788+74000</f>
        <v>116788</v>
      </c>
      <c r="L88" s="39">
        <v>74000</v>
      </c>
      <c r="M88" s="38">
        <f t="shared" si="67"/>
        <v>1.0987712762751711</v>
      </c>
      <c r="N88" s="38">
        <f t="shared" si="68"/>
        <v>1.0823570573269756</v>
      </c>
      <c r="O88" s="38" t="s">
        <v>311</v>
      </c>
      <c r="P88" s="38"/>
      <c r="Q88" s="39">
        <f t="shared" si="63"/>
        <v>501953.86000000034</v>
      </c>
      <c r="R88" s="39">
        <f t="shared" si="64"/>
        <v>415997.86000000034</v>
      </c>
      <c r="S88" s="39">
        <f t="shared" si="65"/>
        <v>85956</v>
      </c>
      <c r="T88" s="39">
        <f t="shared" si="66"/>
        <v>74000</v>
      </c>
    </row>
    <row r="89" spans="1:20" s="41" customFormat="1" ht="37.5" x14ac:dyDescent="0.25">
      <c r="A89" s="64" t="s">
        <v>83</v>
      </c>
      <c r="B89" s="64" t="s">
        <v>82</v>
      </c>
      <c r="C89" s="64" t="s">
        <v>36</v>
      </c>
      <c r="D89" s="48" t="s">
        <v>84</v>
      </c>
      <c r="E89" s="37">
        <f t="shared" si="86"/>
        <v>1667419.14</v>
      </c>
      <c r="F89" s="37">
        <v>1655560.98</v>
      </c>
      <c r="G89" s="39">
        <v>11858.16</v>
      </c>
      <c r="H89" s="39"/>
      <c r="I89" s="37">
        <f t="shared" si="69"/>
        <v>2616995</v>
      </c>
      <c r="J89" s="37">
        <v>2570472.02</v>
      </c>
      <c r="K89" s="39">
        <f>9281.98+37241</f>
        <v>46522.979999999996</v>
      </c>
      <c r="L89" s="39"/>
      <c r="M89" s="38">
        <f t="shared" si="67"/>
        <v>1.5694884010987185</v>
      </c>
      <c r="N89" s="38">
        <f t="shared" si="68"/>
        <v>1.5526290188356577</v>
      </c>
      <c r="O89" s="38" t="s">
        <v>311</v>
      </c>
      <c r="P89" s="38"/>
      <c r="Q89" s="39">
        <f t="shared" si="63"/>
        <v>949575.8600000001</v>
      </c>
      <c r="R89" s="39">
        <f t="shared" si="64"/>
        <v>914911.04</v>
      </c>
      <c r="S89" s="39">
        <f t="shared" si="65"/>
        <v>34664.819999999992</v>
      </c>
      <c r="T89" s="39">
        <f t="shared" si="66"/>
        <v>0</v>
      </c>
    </row>
    <row r="90" spans="1:20" s="41" customFormat="1" ht="56.25" x14ac:dyDescent="0.25">
      <c r="A90" s="64" t="s">
        <v>85</v>
      </c>
      <c r="B90" s="64" t="s">
        <v>35</v>
      </c>
      <c r="C90" s="64" t="s">
        <v>37</v>
      </c>
      <c r="D90" s="48" t="s">
        <v>86</v>
      </c>
      <c r="E90" s="37">
        <f t="shared" si="86"/>
        <v>6418962.3099999996</v>
      </c>
      <c r="F90" s="37">
        <v>6387248.8099999996</v>
      </c>
      <c r="G90" s="39">
        <v>31713.5</v>
      </c>
      <c r="H90" s="39"/>
      <c r="I90" s="37">
        <f t="shared" si="69"/>
        <v>7511736.0099999998</v>
      </c>
      <c r="J90" s="37">
        <v>7242206.7599999998</v>
      </c>
      <c r="K90" s="39">
        <f>115683+133846.25+20000</f>
        <v>269529.25</v>
      </c>
      <c r="L90" s="39">
        <v>20000</v>
      </c>
      <c r="M90" s="38">
        <f t="shared" si="67"/>
        <v>1.1702414887679875</v>
      </c>
      <c r="N90" s="38">
        <f t="shared" si="68"/>
        <v>1.1338538665757723</v>
      </c>
      <c r="O90" s="38" t="s">
        <v>269</v>
      </c>
      <c r="P90" s="38"/>
      <c r="Q90" s="39">
        <f t="shared" si="63"/>
        <v>1092773.7000000002</v>
      </c>
      <c r="R90" s="39">
        <f t="shared" si="64"/>
        <v>854957.95000000019</v>
      </c>
      <c r="S90" s="39">
        <f t="shared" si="65"/>
        <v>237815.75</v>
      </c>
      <c r="T90" s="39">
        <f t="shared" si="66"/>
        <v>20000</v>
      </c>
    </row>
    <row r="91" spans="1:20" s="41" customFormat="1" ht="37.5" x14ac:dyDescent="0.25">
      <c r="A91" s="64" t="s">
        <v>153</v>
      </c>
      <c r="B91" s="64" t="s">
        <v>132</v>
      </c>
      <c r="C91" s="64" t="s">
        <v>38</v>
      </c>
      <c r="D91" s="48" t="s">
        <v>133</v>
      </c>
      <c r="E91" s="37">
        <f t="shared" si="86"/>
        <v>1437759.59</v>
      </c>
      <c r="F91" s="37">
        <v>1437759.59</v>
      </c>
      <c r="G91" s="39"/>
      <c r="H91" s="39"/>
      <c r="I91" s="37">
        <f t="shared" si="69"/>
        <v>1554786.58</v>
      </c>
      <c r="J91" s="37">
        <v>1554786.58</v>
      </c>
      <c r="K91" s="39"/>
      <c r="L91" s="39"/>
      <c r="M91" s="38">
        <f t="shared" si="67"/>
        <v>1.0813953812681576</v>
      </c>
      <c r="N91" s="38">
        <f t="shared" si="68"/>
        <v>1.0813953812681576</v>
      </c>
      <c r="O91" s="38"/>
      <c r="P91" s="38"/>
      <c r="Q91" s="39">
        <f t="shared" si="63"/>
        <v>117026.98999999999</v>
      </c>
      <c r="R91" s="39">
        <f t="shared" si="64"/>
        <v>117026.98999999999</v>
      </c>
      <c r="S91" s="39">
        <f t="shared" si="65"/>
        <v>0</v>
      </c>
      <c r="T91" s="39">
        <f t="shared" si="66"/>
        <v>0</v>
      </c>
    </row>
    <row r="92" spans="1:20" s="41" customFormat="1" ht="37.5" x14ac:dyDescent="0.25">
      <c r="A92" s="64" t="s">
        <v>130</v>
      </c>
      <c r="B92" s="64" t="s">
        <v>131</v>
      </c>
      <c r="C92" s="64" t="s">
        <v>38</v>
      </c>
      <c r="D92" s="48" t="s">
        <v>134</v>
      </c>
      <c r="E92" s="37">
        <f t="shared" si="86"/>
        <v>74903</v>
      </c>
      <c r="F92" s="37">
        <v>74903</v>
      </c>
      <c r="G92" s="39"/>
      <c r="H92" s="39"/>
      <c r="I92" s="37">
        <f t="shared" si="69"/>
        <v>193685</v>
      </c>
      <c r="J92" s="37">
        <v>193685</v>
      </c>
      <c r="K92" s="39"/>
      <c r="L92" s="39"/>
      <c r="M92" s="38" t="s">
        <v>308</v>
      </c>
      <c r="N92" s="38" t="s">
        <v>308</v>
      </c>
      <c r="O92" s="38"/>
      <c r="P92" s="38"/>
      <c r="Q92" s="39">
        <f t="shared" si="63"/>
        <v>118782</v>
      </c>
      <c r="R92" s="39">
        <f t="shared" si="64"/>
        <v>118782</v>
      </c>
      <c r="S92" s="39">
        <f t="shared" si="65"/>
        <v>0</v>
      </c>
      <c r="T92" s="39">
        <f t="shared" si="66"/>
        <v>0</v>
      </c>
    </row>
    <row r="93" spans="1:20" s="41" customFormat="1" ht="56.25" x14ac:dyDescent="0.25">
      <c r="A93" s="64" t="s">
        <v>315</v>
      </c>
      <c r="B93" s="64" t="s">
        <v>290</v>
      </c>
      <c r="C93" s="64" t="s">
        <v>5</v>
      </c>
      <c r="D93" s="27" t="s">
        <v>137</v>
      </c>
      <c r="E93" s="37">
        <f t="shared" si="86"/>
        <v>21050</v>
      </c>
      <c r="F93" s="37">
        <v>21050</v>
      </c>
      <c r="G93" s="39"/>
      <c r="H93" s="39"/>
      <c r="I93" s="37">
        <f t="shared" si="69"/>
        <v>0</v>
      </c>
      <c r="J93" s="37"/>
      <c r="K93" s="39"/>
      <c r="L93" s="39"/>
      <c r="M93" s="38"/>
      <c r="N93" s="38"/>
      <c r="O93" s="38"/>
      <c r="P93" s="38"/>
      <c r="Q93" s="39">
        <f t="shared" ref="Q93" si="100">I93-E93</f>
        <v>-21050</v>
      </c>
      <c r="R93" s="39">
        <f t="shared" ref="R93" si="101">J93-F93</f>
        <v>-21050</v>
      </c>
      <c r="S93" s="39">
        <f t="shared" ref="S93" si="102">K93-G93</f>
        <v>0</v>
      </c>
      <c r="T93" s="39">
        <f t="shared" ref="T93" si="103">L93-H93</f>
        <v>0</v>
      </c>
    </row>
    <row r="94" spans="1:20" s="35" customFormat="1" ht="56.25" x14ac:dyDescent="0.25">
      <c r="A94" s="63" t="s">
        <v>21</v>
      </c>
      <c r="B94" s="63"/>
      <c r="C94" s="63"/>
      <c r="D94" s="29" t="s">
        <v>276</v>
      </c>
      <c r="E94" s="34">
        <f t="shared" ref="E94:L94" si="104">E95</f>
        <v>2576816.1900000004</v>
      </c>
      <c r="F94" s="34">
        <f t="shared" si="104"/>
        <v>2576816.1900000004</v>
      </c>
      <c r="G94" s="34">
        <f t="shared" si="104"/>
        <v>0</v>
      </c>
      <c r="H94" s="34">
        <f t="shared" si="104"/>
        <v>0</v>
      </c>
      <c r="I94" s="34">
        <f t="shared" si="104"/>
        <v>4425618.8999999994</v>
      </c>
      <c r="J94" s="34">
        <f t="shared" si="104"/>
        <v>3968887.4099999997</v>
      </c>
      <c r="K94" s="34">
        <f t="shared" si="104"/>
        <v>456731.49</v>
      </c>
      <c r="L94" s="34">
        <f t="shared" si="104"/>
        <v>99950</v>
      </c>
      <c r="M94" s="31">
        <f t="shared" si="67"/>
        <v>1.7174755875777072</v>
      </c>
      <c r="N94" s="31">
        <f t="shared" si="68"/>
        <v>1.5402291499883811</v>
      </c>
      <c r="O94" s="31"/>
      <c r="P94" s="31"/>
      <c r="Q94" s="32">
        <f t="shared" si="63"/>
        <v>1848802.709999999</v>
      </c>
      <c r="R94" s="32">
        <f t="shared" si="64"/>
        <v>1392071.2199999993</v>
      </c>
      <c r="S94" s="32">
        <f t="shared" si="65"/>
        <v>456731.49</v>
      </c>
      <c r="T94" s="32">
        <f t="shared" si="66"/>
        <v>99950</v>
      </c>
    </row>
    <row r="95" spans="1:20" s="35" customFormat="1" ht="56.25" x14ac:dyDescent="0.25">
      <c r="A95" s="63" t="s">
        <v>22</v>
      </c>
      <c r="B95" s="63"/>
      <c r="C95" s="63"/>
      <c r="D95" s="29" t="s">
        <v>277</v>
      </c>
      <c r="E95" s="34">
        <f t="shared" ref="E95:E102" si="105">F95+G95</f>
        <v>2576816.1900000004</v>
      </c>
      <c r="F95" s="34">
        <f>F96+F98+F99+F100+F102+F97+F101</f>
        <v>2576816.1900000004</v>
      </c>
      <c r="G95" s="34">
        <f t="shared" ref="G95:H95" si="106">G96+G98+G99+G100+G102+G97+G101</f>
        <v>0</v>
      </c>
      <c r="H95" s="34">
        <f t="shared" si="106"/>
        <v>0</v>
      </c>
      <c r="I95" s="34">
        <f t="shared" si="69"/>
        <v>4425618.8999999994</v>
      </c>
      <c r="J95" s="34">
        <f>J96+J98+J99+J100+J102+J97+J101</f>
        <v>3968887.4099999997</v>
      </c>
      <c r="K95" s="34">
        <f t="shared" ref="K95:L95" si="107">K96+K98+K99+K100+K102+K97+K101</f>
        <v>456731.49</v>
      </c>
      <c r="L95" s="34">
        <f t="shared" si="107"/>
        <v>99950</v>
      </c>
      <c r="M95" s="31">
        <f t="shared" si="67"/>
        <v>1.7174755875777072</v>
      </c>
      <c r="N95" s="31">
        <f t="shared" si="68"/>
        <v>1.5402291499883811</v>
      </c>
      <c r="O95" s="31"/>
      <c r="P95" s="31"/>
      <c r="Q95" s="32">
        <f t="shared" si="63"/>
        <v>1848802.709999999</v>
      </c>
      <c r="R95" s="32">
        <f t="shared" si="64"/>
        <v>1392071.2199999993</v>
      </c>
      <c r="S95" s="32">
        <f t="shared" si="65"/>
        <v>456731.49</v>
      </c>
      <c r="T95" s="32">
        <f t="shared" si="66"/>
        <v>99950</v>
      </c>
    </row>
    <row r="96" spans="1:20" s="41" customFormat="1" ht="56.25" x14ac:dyDescent="0.25">
      <c r="A96" s="64" t="s">
        <v>87</v>
      </c>
      <c r="B96" s="64" t="s">
        <v>58</v>
      </c>
      <c r="C96" s="64" t="s">
        <v>3</v>
      </c>
      <c r="D96" s="36" t="s">
        <v>247</v>
      </c>
      <c r="E96" s="37">
        <f t="shared" si="105"/>
        <v>1135926.0900000001</v>
      </c>
      <c r="F96" s="39">
        <v>1135926.0900000001</v>
      </c>
      <c r="G96" s="37"/>
      <c r="H96" s="37"/>
      <c r="I96" s="37">
        <f t="shared" si="69"/>
        <v>1367659.71</v>
      </c>
      <c r="J96" s="39">
        <v>1267709.71</v>
      </c>
      <c r="K96" s="37">
        <v>99950</v>
      </c>
      <c r="L96" s="37">
        <v>99950</v>
      </c>
      <c r="M96" s="38">
        <f t="shared" si="67"/>
        <v>1.2040041355155422</v>
      </c>
      <c r="N96" s="38">
        <f t="shared" si="68"/>
        <v>1.1160142558218729</v>
      </c>
      <c r="O96" s="38"/>
      <c r="P96" s="38"/>
      <c r="Q96" s="39">
        <f t="shared" si="63"/>
        <v>231733.61999999988</v>
      </c>
      <c r="R96" s="39">
        <f t="shared" si="64"/>
        <v>131783.61999999988</v>
      </c>
      <c r="S96" s="39">
        <f t="shared" si="65"/>
        <v>99950</v>
      </c>
      <c r="T96" s="39">
        <f t="shared" si="66"/>
        <v>99950</v>
      </c>
    </row>
    <row r="97" spans="1:20" s="41" customFormat="1" ht="37.5" x14ac:dyDescent="0.25">
      <c r="A97" s="62" t="s">
        <v>282</v>
      </c>
      <c r="B97" s="62" t="s">
        <v>8</v>
      </c>
      <c r="C97" s="62" t="s">
        <v>6</v>
      </c>
      <c r="D97" s="27" t="s">
        <v>109</v>
      </c>
      <c r="E97" s="37">
        <f t="shared" si="105"/>
        <v>144275</v>
      </c>
      <c r="F97" s="39">
        <v>144275</v>
      </c>
      <c r="G97" s="37"/>
      <c r="H97" s="37"/>
      <c r="I97" s="37">
        <f t="shared" si="69"/>
        <v>218641.23</v>
      </c>
      <c r="J97" s="39">
        <v>218641.23</v>
      </c>
      <c r="K97" s="37"/>
      <c r="L97" s="37"/>
      <c r="M97" s="38">
        <f t="shared" ref="M97" si="108">I97/E97</f>
        <v>1.5154477906775257</v>
      </c>
      <c r="N97" s="38">
        <f t="shared" ref="N97" si="109">J97/F97</f>
        <v>1.5154477906775257</v>
      </c>
      <c r="O97" s="38"/>
      <c r="P97" s="38"/>
      <c r="Q97" s="39">
        <f t="shared" ref="Q97" si="110">I97-E97</f>
        <v>74366.23000000001</v>
      </c>
      <c r="R97" s="39">
        <f t="shared" ref="R97" si="111">J97-F97</f>
        <v>74366.23000000001</v>
      </c>
      <c r="S97" s="39">
        <f t="shared" ref="S97" si="112">K97-G97</f>
        <v>0</v>
      </c>
      <c r="T97" s="39">
        <f t="shared" ref="T97" si="113">L97-H97</f>
        <v>0</v>
      </c>
    </row>
    <row r="98" spans="1:20" s="41" customFormat="1" ht="37.5" x14ac:dyDescent="0.25">
      <c r="A98" s="64" t="s">
        <v>89</v>
      </c>
      <c r="B98" s="64" t="s">
        <v>88</v>
      </c>
      <c r="C98" s="64" t="s">
        <v>17</v>
      </c>
      <c r="D98" s="48" t="s">
        <v>48</v>
      </c>
      <c r="E98" s="37">
        <f t="shared" si="105"/>
        <v>240197.21</v>
      </c>
      <c r="F98" s="37">
        <v>240197.21</v>
      </c>
      <c r="G98" s="37"/>
      <c r="H98" s="37"/>
      <c r="I98" s="37">
        <f t="shared" si="69"/>
        <v>1103987.28</v>
      </c>
      <c r="J98" s="37">
        <f>352801.1+394404.69</f>
        <v>747205.79</v>
      </c>
      <c r="K98" s="37">
        <f>356781.49</f>
        <v>356781.49</v>
      </c>
      <c r="L98" s="37"/>
      <c r="M98" s="38" t="s">
        <v>309</v>
      </c>
      <c r="N98" s="38" t="s">
        <v>309</v>
      </c>
      <c r="O98" s="38"/>
      <c r="P98" s="38"/>
      <c r="Q98" s="39">
        <f t="shared" si="63"/>
        <v>863790.07000000007</v>
      </c>
      <c r="R98" s="39">
        <f t="shared" si="64"/>
        <v>507008.58000000007</v>
      </c>
      <c r="S98" s="39">
        <f t="shared" si="65"/>
        <v>356781.49</v>
      </c>
      <c r="T98" s="39">
        <f t="shared" si="66"/>
        <v>0</v>
      </c>
    </row>
    <row r="99" spans="1:20" s="41" customFormat="1" ht="56.25" x14ac:dyDescent="0.25">
      <c r="A99" s="64" t="s">
        <v>24</v>
      </c>
      <c r="B99" s="64" t="s">
        <v>23</v>
      </c>
      <c r="C99" s="64" t="s">
        <v>18</v>
      </c>
      <c r="D99" s="48" t="s">
        <v>42</v>
      </c>
      <c r="E99" s="37">
        <f t="shared" si="105"/>
        <v>168383.24</v>
      </c>
      <c r="F99" s="37">
        <v>168383.24</v>
      </c>
      <c r="G99" s="37"/>
      <c r="H99" s="37"/>
      <c r="I99" s="37">
        <f t="shared" si="69"/>
        <v>477692.83</v>
      </c>
      <c r="J99" s="37">
        <v>477692.83</v>
      </c>
      <c r="K99" s="37"/>
      <c r="L99" s="37"/>
      <c r="M99" s="38" t="s">
        <v>371</v>
      </c>
      <c r="N99" s="38" t="s">
        <v>371</v>
      </c>
      <c r="O99" s="38"/>
      <c r="P99" s="38"/>
      <c r="Q99" s="39">
        <f t="shared" si="63"/>
        <v>309309.59000000003</v>
      </c>
      <c r="R99" s="39">
        <f t="shared" si="64"/>
        <v>309309.59000000003</v>
      </c>
      <c r="S99" s="39">
        <f t="shared" si="65"/>
        <v>0</v>
      </c>
      <c r="T99" s="39">
        <f t="shared" si="66"/>
        <v>0</v>
      </c>
    </row>
    <row r="100" spans="1:20" s="41" customFormat="1" ht="56.25" x14ac:dyDescent="0.25">
      <c r="A100" s="64" t="s">
        <v>44</v>
      </c>
      <c r="B100" s="64" t="s">
        <v>45</v>
      </c>
      <c r="C100" s="64" t="s">
        <v>18</v>
      </c>
      <c r="D100" s="48" t="s">
        <v>46</v>
      </c>
      <c r="E100" s="37">
        <f t="shared" si="105"/>
        <v>48822.37</v>
      </c>
      <c r="F100" s="37">
        <v>48822.37</v>
      </c>
      <c r="G100" s="37"/>
      <c r="H100" s="37"/>
      <c r="I100" s="37">
        <f t="shared" si="69"/>
        <v>120519.76</v>
      </c>
      <c r="J100" s="37">
        <v>120519.76</v>
      </c>
      <c r="K100" s="37"/>
      <c r="L100" s="37"/>
      <c r="M100" s="38" t="s">
        <v>372</v>
      </c>
      <c r="N100" s="38" t="s">
        <v>372</v>
      </c>
      <c r="O100" s="38"/>
      <c r="P100" s="38"/>
      <c r="Q100" s="39">
        <f t="shared" si="63"/>
        <v>71697.389999999985</v>
      </c>
      <c r="R100" s="39">
        <f t="shared" si="64"/>
        <v>71697.389999999985</v>
      </c>
      <c r="S100" s="39">
        <f t="shared" si="65"/>
        <v>0</v>
      </c>
      <c r="T100" s="39">
        <f t="shared" si="66"/>
        <v>0</v>
      </c>
    </row>
    <row r="101" spans="1:20" s="41" customFormat="1" ht="56.25" x14ac:dyDescent="0.25">
      <c r="A101" s="67" t="s">
        <v>329</v>
      </c>
      <c r="B101" s="67" t="s">
        <v>330</v>
      </c>
      <c r="C101" s="67" t="s">
        <v>18</v>
      </c>
      <c r="D101" s="68" t="s">
        <v>331</v>
      </c>
      <c r="E101" s="37">
        <f t="shared" si="105"/>
        <v>0</v>
      </c>
      <c r="F101" s="37"/>
      <c r="G101" s="37"/>
      <c r="H101" s="37"/>
      <c r="I101" s="37">
        <f t="shared" si="69"/>
        <v>29426.400000000001</v>
      </c>
      <c r="J101" s="37">
        <v>29426.400000000001</v>
      </c>
      <c r="K101" s="37"/>
      <c r="L101" s="37"/>
      <c r="M101" s="38"/>
      <c r="N101" s="38"/>
      <c r="O101" s="38"/>
      <c r="P101" s="38"/>
      <c r="Q101" s="39">
        <f t="shared" ref="Q101" si="114">I101-E101</f>
        <v>29426.400000000001</v>
      </c>
      <c r="R101" s="39">
        <f t="shared" ref="R101" si="115">J101-F101</f>
        <v>29426.400000000001</v>
      </c>
      <c r="S101" s="39">
        <f t="shared" ref="S101" si="116">K101-G101</f>
        <v>0</v>
      </c>
      <c r="T101" s="39">
        <f t="shared" ref="T101" si="117">L101-H101</f>
        <v>0</v>
      </c>
    </row>
    <row r="102" spans="1:20" s="41" customFormat="1" ht="93.75" x14ac:dyDescent="0.25">
      <c r="A102" s="64" t="s">
        <v>49</v>
      </c>
      <c r="B102" s="64" t="s">
        <v>50</v>
      </c>
      <c r="C102" s="64" t="s">
        <v>18</v>
      </c>
      <c r="D102" s="36" t="s">
        <v>51</v>
      </c>
      <c r="E102" s="37">
        <f t="shared" si="105"/>
        <v>839212.28</v>
      </c>
      <c r="F102" s="37">
        <v>839212.28</v>
      </c>
      <c r="G102" s="37"/>
      <c r="H102" s="37"/>
      <c r="I102" s="37">
        <f t="shared" si="69"/>
        <v>1107691.69</v>
      </c>
      <c r="J102" s="37">
        <v>1107691.69</v>
      </c>
      <c r="K102" s="37"/>
      <c r="L102" s="37"/>
      <c r="M102" s="38">
        <f t="shared" ref="M102" si="118">I102/E102</f>
        <v>1.3199183524816867</v>
      </c>
      <c r="N102" s="38">
        <f t="shared" ref="N102" si="119">J102/F102</f>
        <v>1.3199183524816867</v>
      </c>
      <c r="O102" s="38"/>
      <c r="P102" s="38"/>
      <c r="Q102" s="39">
        <f t="shared" si="63"/>
        <v>268479.40999999992</v>
      </c>
      <c r="R102" s="39">
        <f t="shared" si="64"/>
        <v>268479.40999999992</v>
      </c>
      <c r="S102" s="39">
        <f t="shared" si="65"/>
        <v>0</v>
      </c>
      <c r="T102" s="39">
        <f t="shared" si="66"/>
        <v>0</v>
      </c>
    </row>
    <row r="103" spans="1:20" s="33" customFormat="1" ht="75" x14ac:dyDescent="0.25">
      <c r="A103" s="63" t="s">
        <v>90</v>
      </c>
      <c r="B103" s="63"/>
      <c r="C103" s="63"/>
      <c r="D103" s="29" t="s">
        <v>226</v>
      </c>
      <c r="E103" s="34">
        <f t="shared" ref="E103:L103" si="120">E104</f>
        <v>91692224.74000001</v>
      </c>
      <c r="F103" s="34">
        <f t="shared" si="120"/>
        <v>91692224.74000001</v>
      </c>
      <c r="G103" s="34">
        <f t="shared" si="120"/>
        <v>0</v>
      </c>
      <c r="H103" s="34">
        <f t="shared" si="120"/>
        <v>0</v>
      </c>
      <c r="I103" s="34">
        <f t="shared" si="120"/>
        <v>123111965.65000001</v>
      </c>
      <c r="J103" s="34">
        <f t="shared" si="120"/>
        <v>113457573.84</v>
      </c>
      <c r="K103" s="34">
        <f t="shared" si="120"/>
        <v>9654391.8099999987</v>
      </c>
      <c r="L103" s="34">
        <f t="shared" si="120"/>
        <v>5852648.1399999997</v>
      </c>
      <c r="M103" s="31">
        <f t="shared" si="67"/>
        <v>1.3426652695917562</v>
      </c>
      <c r="N103" s="31">
        <f t="shared" si="68"/>
        <v>1.2373739884893973</v>
      </c>
      <c r="O103" s="31"/>
      <c r="P103" s="31"/>
      <c r="Q103" s="32">
        <f t="shared" si="63"/>
        <v>31419740.909999996</v>
      </c>
      <c r="R103" s="32">
        <f t="shared" si="64"/>
        <v>21765349.099999994</v>
      </c>
      <c r="S103" s="32">
        <f t="shared" si="65"/>
        <v>9654391.8099999987</v>
      </c>
      <c r="T103" s="32">
        <f t="shared" si="66"/>
        <v>5852648.1399999997</v>
      </c>
    </row>
    <row r="104" spans="1:20" s="35" customFormat="1" ht="75" x14ac:dyDescent="0.25">
      <c r="A104" s="63" t="s">
        <v>91</v>
      </c>
      <c r="B104" s="63"/>
      <c r="C104" s="63"/>
      <c r="D104" s="29" t="s">
        <v>226</v>
      </c>
      <c r="E104" s="34">
        <f t="shared" ref="E104:E121" si="121">F104+G104</f>
        <v>91692224.74000001</v>
      </c>
      <c r="F104" s="34">
        <f>F105+F106+F108+F109+F111+F112+F114+F117+F119+F107+F121+F110+F113+F115+F116+F118+F120</f>
        <v>91692224.74000001</v>
      </c>
      <c r="G104" s="34">
        <f t="shared" ref="G104:H104" si="122">G105+G106+G108+G109+G111+G112+G114+G117+G119+G107+G121+G110+G113+G115+G116+G118+G120</f>
        <v>0</v>
      </c>
      <c r="H104" s="34">
        <f t="shared" si="122"/>
        <v>0</v>
      </c>
      <c r="I104" s="34">
        <f t="shared" ref="I104" si="123">J104+K104</f>
        <v>123111965.65000001</v>
      </c>
      <c r="J104" s="34">
        <f>J105+J106+J108+J109+J111+J112+J114+J117+J119+J107+J121+J110+J113+J115+J116+J118+J120</f>
        <v>113457573.84</v>
      </c>
      <c r="K104" s="34">
        <f t="shared" ref="K104:L104" si="124">K105+K106+K108+K109+K111+K112+K114+K117+K119+K107+K121+K110+K113+K115+K116+K118+K120</f>
        <v>9654391.8099999987</v>
      </c>
      <c r="L104" s="34">
        <f t="shared" si="124"/>
        <v>5852648.1399999997</v>
      </c>
      <c r="M104" s="31">
        <f t="shared" si="67"/>
        <v>1.3426652695917562</v>
      </c>
      <c r="N104" s="31">
        <f t="shared" si="68"/>
        <v>1.2373739884893973</v>
      </c>
      <c r="O104" s="31"/>
      <c r="P104" s="31"/>
      <c r="Q104" s="32">
        <f t="shared" si="63"/>
        <v>31419740.909999996</v>
      </c>
      <c r="R104" s="32">
        <f t="shared" si="64"/>
        <v>21765349.099999994</v>
      </c>
      <c r="S104" s="32">
        <f t="shared" si="65"/>
        <v>9654391.8099999987</v>
      </c>
      <c r="T104" s="32">
        <f t="shared" si="66"/>
        <v>5852648.1399999997</v>
      </c>
    </row>
    <row r="105" spans="1:20" s="41" customFormat="1" ht="56.25" x14ac:dyDescent="0.25">
      <c r="A105" s="64" t="s">
        <v>92</v>
      </c>
      <c r="B105" s="64" t="s">
        <v>58</v>
      </c>
      <c r="C105" s="64" t="s">
        <v>3</v>
      </c>
      <c r="D105" s="36" t="s">
        <v>247</v>
      </c>
      <c r="E105" s="37">
        <f t="shared" si="121"/>
        <v>2457184.4500000002</v>
      </c>
      <c r="F105" s="37">
        <v>2457184.4500000002</v>
      </c>
      <c r="G105" s="37"/>
      <c r="H105" s="37"/>
      <c r="I105" s="37">
        <f t="shared" si="69"/>
        <v>2680488.09</v>
      </c>
      <c r="J105" s="37">
        <v>2572488.09</v>
      </c>
      <c r="K105" s="37">
        <v>108000</v>
      </c>
      <c r="L105" s="37">
        <v>108000</v>
      </c>
      <c r="M105" s="38">
        <f t="shared" ref="M105:M106" si="125">I105/E105</f>
        <v>1.0908778500531369</v>
      </c>
      <c r="N105" s="38">
        <f t="shared" ref="N105:N106" si="126">J105/F105</f>
        <v>1.0469251056834581</v>
      </c>
      <c r="O105" s="38"/>
      <c r="P105" s="38"/>
      <c r="Q105" s="39">
        <f t="shared" si="63"/>
        <v>223303.63999999966</v>
      </c>
      <c r="R105" s="39">
        <f t="shared" si="64"/>
        <v>115303.63999999966</v>
      </c>
      <c r="S105" s="39">
        <f t="shared" si="65"/>
        <v>108000</v>
      </c>
      <c r="T105" s="39">
        <f t="shared" si="66"/>
        <v>108000</v>
      </c>
    </row>
    <row r="106" spans="1:20" s="41" customFormat="1" ht="37.5" x14ac:dyDescent="0.25">
      <c r="A106" s="64" t="s">
        <v>240</v>
      </c>
      <c r="B106" s="64" t="s">
        <v>8</v>
      </c>
      <c r="C106" s="64" t="s">
        <v>6</v>
      </c>
      <c r="D106" s="36" t="s">
        <v>109</v>
      </c>
      <c r="E106" s="37">
        <f t="shared" si="121"/>
        <v>29850</v>
      </c>
      <c r="F106" s="37">
        <v>29850</v>
      </c>
      <c r="G106" s="37"/>
      <c r="H106" s="37"/>
      <c r="I106" s="37">
        <f t="shared" si="69"/>
        <v>44775</v>
      </c>
      <c r="J106" s="37">
        <v>44775</v>
      </c>
      <c r="K106" s="37"/>
      <c r="L106" s="37"/>
      <c r="M106" s="38">
        <f t="shared" si="125"/>
        <v>1.5</v>
      </c>
      <c r="N106" s="38">
        <f t="shared" si="126"/>
        <v>1.5</v>
      </c>
      <c r="O106" s="38"/>
      <c r="P106" s="38"/>
      <c r="Q106" s="39">
        <f t="shared" si="63"/>
        <v>14925</v>
      </c>
      <c r="R106" s="39">
        <f t="shared" si="64"/>
        <v>14925</v>
      </c>
      <c r="S106" s="39">
        <f t="shared" si="65"/>
        <v>0</v>
      </c>
      <c r="T106" s="39">
        <f t="shared" si="66"/>
        <v>0</v>
      </c>
    </row>
    <row r="107" spans="1:20" s="41" customFormat="1" ht="37.5" x14ac:dyDescent="0.25">
      <c r="A107" s="61">
        <v>1216011</v>
      </c>
      <c r="B107" s="61">
        <v>6011</v>
      </c>
      <c r="C107" s="61" t="s">
        <v>39</v>
      </c>
      <c r="D107" s="27" t="s">
        <v>105</v>
      </c>
      <c r="E107" s="37">
        <f t="shared" si="121"/>
        <v>199994.22</v>
      </c>
      <c r="F107" s="37">
        <v>199994.22</v>
      </c>
      <c r="G107" s="37"/>
      <c r="H107" s="37"/>
      <c r="I107" s="37">
        <f t="shared" si="69"/>
        <v>618739.96</v>
      </c>
      <c r="J107" s="37"/>
      <c r="K107" s="37">
        <f>457791.36+160948.6</f>
        <v>618739.96</v>
      </c>
      <c r="L107" s="37">
        <f>457791.36+160948.6</f>
        <v>618739.96</v>
      </c>
      <c r="M107" s="38"/>
      <c r="N107" s="38">
        <f t="shared" ref="N107" si="127">J107/F107</f>
        <v>0</v>
      </c>
      <c r="O107" s="38"/>
      <c r="P107" s="38"/>
      <c r="Q107" s="39">
        <f t="shared" ref="Q107" si="128">I107-E107</f>
        <v>418745.74</v>
      </c>
      <c r="R107" s="39">
        <f t="shared" ref="R107" si="129">J107-F107</f>
        <v>-199994.22</v>
      </c>
      <c r="S107" s="39">
        <f t="shared" ref="S107" si="130">K107-G107</f>
        <v>618739.96</v>
      </c>
      <c r="T107" s="39">
        <f t="shared" ref="T107" si="131">L107-H107</f>
        <v>618739.96</v>
      </c>
    </row>
    <row r="108" spans="1:20" s="41" customFormat="1" ht="56.25" x14ac:dyDescent="0.25">
      <c r="A108" s="64" t="s">
        <v>127</v>
      </c>
      <c r="B108" s="64" t="s">
        <v>126</v>
      </c>
      <c r="C108" s="64" t="s">
        <v>7</v>
      </c>
      <c r="D108" s="48" t="s">
        <v>128</v>
      </c>
      <c r="E108" s="37">
        <f t="shared" si="121"/>
        <v>21700000</v>
      </c>
      <c r="F108" s="37">
        <v>21700000</v>
      </c>
      <c r="G108" s="37"/>
      <c r="H108" s="37"/>
      <c r="I108" s="37">
        <f t="shared" si="69"/>
        <v>19999617.32</v>
      </c>
      <c r="J108" s="37">
        <v>19999617.32</v>
      </c>
      <c r="K108" s="37"/>
      <c r="L108" s="37"/>
      <c r="M108" s="38"/>
      <c r="N108" s="38"/>
      <c r="O108" s="38"/>
      <c r="P108" s="38"/>
      <c r="Q108" s="39">
        <f t="shared" si="63"/>
        <v>-1700382.6799999997</v>
      </c>
      <c r="R108" s="39">
        <f t="shared" si="64"/>
        <v>-1700382.6799999997</v>
      </c>
      <c r="S108" s="39">
        <f t="shared" si="65"/>
        <v>0</v>
      </c>
      <c r="T108" s="39">
        <f t="shared" si="66"/>
        <v>0</v>
      </c>
    </row>
    <row r="109" spans="1:20" s="41" customFormat="1" ht="37.5" x14ac:dyDescent="0.25">
      <c r="A109" s="64" t="s">
        <v>107</v>
      </c>
      <c r="B109" s="64" t="s">
        <v>106</v>
      </c>
      <c r="C109" s="64" t="s">
        <v>7</v>
      </c>
      <c r="D109" s="48" t="s">
        <v>108</v>
      </c>
      <c r="E109" s="37">
        <f t="shared" si="121"/>
        <v>3975300</v>
      </c>
      <c r="F109" s="37">
        <v>3975300</v>
      </c>
      <c r="G109" s="37"/>
      <c r="H109" s="37"/>
      <c r="I109" s="37">
        <f t="shared" si="69"/>
        <v>338108.38</v>
      </c>
      <c r="J109" s="37">
        <v>338108.38</v>
      </c>
      <c r="K109" s="37"/>
      <c r="L109" s="37"/>
      <c r="M109" s="38"/>
      <c r="N109" s="38"/>
      <c r="O109" s="38"/>
      <c r="P109" s="38"/>
      <c r="Q109" s="39">
        <f t="shared" si="63"/>
        <v>-3637191.62</v>
      </c>
      <c r="R109" s="39">
        <f t="shared" si="64"/>
        <v>-3637191.62</v>
      </c>
      <c r="S109" s="39">
        <f t="shared" si="65"/>
        <v>0</v>
      </c>
      <c r="T109" s="39">
        <f t="shared" si="66"/>
        <v>0</v>
      </c>
    </row>
    <row r="110" spans="1:20" s="41" customFormat="1" ht="37.5" x14ac:dyDescent="0.25">
      <c r="A110" s="62" t="s">
        <v>338</v>
      </c>
      <c r="B110" s="62" t="s">
        <v>339</v>
      </c>
      <c r="C110" s="62" t="s">
        <v>7</v>
      </c>
      <c r="D110" s="27" t="s">
        <v>340</v>
      </c>
      <c r="E110" s="37">
        <f t="shared" si="121"/>
        <v>0</v>
      </c>
      <c r="F110" s="37"/>
      <c r="G110" s="37"/>
      <c r="H110" s="37"/>
      <c r="I110" s="37">
        <f t="shared" si="69"/>
        <v>427536.7</v>
      </c>
      <c r="J110" s="37"/>
      <c r="K110" s="37">
        <v>427536.7</v>
      </c>
      <c r="L110" s="37">
        <v>427536.7</v>
      </c>
      <c r="M110" s="38"/>
      <c r="N110" s="38"/>
      <c r="O110" s="38"/>
      <c r="P110" s="38"/>
      <c r="Q110" s="39">
        <f t="shared" ref="Q110" si="132">I110-E110</f>
        <v>427536.7</v>
      </c>
      <c r="R110" s="39">
        <f t="shared" ref="R110" si="133">J110-F110</f>
        <v>0</v>
      </c>
      <c r="S110" s="39">
        <f t="shared" ref="S110" si="134">K110-G110</f>
        <v>427536.7</v>
      </c>
      <c r="T110" s="39">
        <f t="shared" ref="T110" si="135">L110-H110</f>
        <v>427536.7</v>
      </c>
    </row>
    <row r="111" spans="1:20" s="41" customFormat="1" ht="56.25" x14ac:dyDescent="0.25">
      <c r="A111" s="64" t="s">
        <v>156</v>
      </c>
      <c r="B111" s="64" t="s">
        <v>157</v>
      </c>
      <c r="C111" s="64" t="s">
        <v>7</v>
      </c>
      <c r="D111" s="48" t="s">
        <v>158</v>
      </c>
      <c r="E111" s="37">
        <f t="shared" si="121"/>
        <v>570917.37</v>
      </c>
      <c r="F111" s="37">
        <v>570917.37</v>
      </c>
      <c r="G111" s="37"/>
      <c r="H111" s="37"/>
      <c r="I111" s="37">
        <f t="shared" si="69"/>
        <v>707092.39</v>
      </c>
      <c r="J111" s="37">
        <v>707092.39</v>
      </c>
      <c r="K111" s="37"/>
      <c r="L111" s="37"/>
      <c r="M111" s="38">
        <f t="shared" si="67"/>
        <v>1.2385196652888666</v>
      </c>
      <c r="N111" s="38">
        <f t="shared" si="68"/>
        <v>1.2385196652888666</v>
      </c>
      <c r="O111" s="38"/>
      <c r="P111" s="38"/>
      <c r="Q111" s="39">
        <f t="shared" si="63"/>
        <v>136175.02000000002</v>
      </c>
      <c r="R111" s="39">
        <f t="shared" si="64"/>
        <v>136175.02000000002</v>
      </c>
      <c r="S111" s="39">
        <f t="shared" si="65"/>
        <v>0</v>
      </c>
      <c r="T111" s="39">
        <f t="shared" si="66"/>
        <v>0</v>
      </c>
    </row>
    <row r="112" spans="1:20" s="41" customFormat="1" ht="37.5" x14ac:dyDescent="0.25">
      <c r="A112" s="64" t="s">
        <v>93</v>
      </c>
      <c r="B112" s="64" t="s">
        <v>40</v>
      </c>
      <c r="C112" s="64" t="s">
        <v>7</v>
      </c>
      <c r="D112" s="36" t="s">
        <v>55</v>
      </c>
      <c r="E112" s="37">
        <f t="shared" si="121"/>
        <v>34963311.460000001</v>
      </c>
      <c r="F112" s="37">
        <v>34963311.460000001</v>
      </c>
      <c r="G112" s="37"/>
      <c r="H112" s="37"/>
      <c r="I112" s="37">
        <f t="shared" si="69"/>
        <v>46926208.290000007</v>
      </c>
      <c r="J112" s="37">
        <f>23781916.46+12234959.02+575789.12+9557891.38</f>
        <v>46150555.980000004</v>
      </c>
      <c r="K112" s="37">
        <f>98979+676673.31</f>
        <v>775652.31</v>
      </c>
      <c r="L112" s="37">
        <f>98979+676673.31</f>
        <v>775652.31</v>
      </c>
      <c r="M112" s="38">
        <f t="shared" si="67"/>
        <v>1.342155714960988</v>
      </c>
      <c r="N112" s="38">
        <f t="shared" si="68"/>
        <v>1.3199709653588976</v>
      </c>
      <c r="O112" s="38"/>
      <c r="P112" s="38"/>
      <c r="Q112" s="39">
        <f t="shared" si="63"/>
        <v>11962896.830000006</v>
      </c>
      <c r="R112" s="39">
        <f t="shared" si="64"/>
        <v>11187244.520000003</v>
      </c>
      <c r="S112" s="39">
        <f t="shared" si="65"/>
        <v>775652.31</v>
      </c>
      <c r="T112" s="39">
        <f t="shared" si="66"/>
        <v>775652.31</v>
      </c>
    </row>
    <row r="113" spans="1:20" s="41" customFormat="1" ht="37.5" x14ac:dyDescent="0.25">
      <c r="A113" s="61" t="s">
        <v>341</v>
      </c>
      <c r="B113" s="61" t="s">
        <v>342</v>
      </c>
      <c r="C113" s="61" t="s">
        <v>294</v>
      </c>
      <c r="D113" s="27" t="s">
        <v>343</v>
      </c>
      <c r="E113" s="37">
        <f t="shared" si="121"/>
        <v>0</v>
      </c>
      <c r="F113" s="37"/>
      <c r="G113" s="37"/>
      <c r="H113" s="37"/>
      <c r="I113" s="37">
        <f t="shared" si="69"/>
        <v>2185206.64</v>
      </c>
      <c r="J113" s="37"/>
      <c r="K113" s="37">
        <v>2185206.64</v>
      </c>
      <c r="L113" s="37">
        <v>2185206.64</v>
      </c>
      <c r="M113" s="38"/>
      <c r="N113" s="38"/>
      <c r="O113" s="38"/>
      <c r="P113" s="38"/>
      <c r="Q113" s="39">
        <f t="shared" ref="Q113" si="136">I113-E113</f>
        <v>2185206.64</v>
      </c>
      <c r="R113" s="39">
        <f t="shared" ref="R113" si="137">J113-F113</f>
        <v>0</v>
      </c>
      <c r="S113" s="39">
        <f t="shared" ref="S113" si="138">K113-G113</f>
        <v>2185206.64</v>
      </c>
      <c r="T113" s="39">
        <f t="shared" ref="T113" si="139">L113-H113</f>
        <v>2185206.64</v>
      </c>
    </row>
    <row r="114" spans="1:20" s="41" customFormat="1" ht="56.25" x14ac:dyDescent="0.25">
      <c r="A114" s="64" t="s">
        <v>125</v>
      </c>
      <c r="B114" s="64" t="s">
        <v>102</v>
      </c>
      <c r="C114" s="64" t="s">
        <v>41</v>
      </c>
      <c r="D114" s="48" t="s">
        <v>103</v>
      </c>
      <c r="E114" s="37">
        <f t="shared" si="121"/>
        <v>12912698.800000001</v>
      </c>
      <c r="F114" s="37">
        <v>12912698.800000001</v>
      </c>
      <c r="G114" s="37"/>
      <c r="H114" s="37"/>
      <c r="I114" s="37">
        <f t="shared" si="69"/>
        <v>17798491.199999999</v>
      </c>
      <c r="J114" s="37">
        <v>17798491.199999999</v>
      </c>
      <c r="K114" s="37"/>
      <c r="L114" s="37"/>
      <c r="M114" s="38">
        <f t="shared" si="67"/>
        <v>1.3783711271883767</v>
      </c>
      <c r="N114" s="38">
        <f t="shared" si="68"/>
        <v>1.3783711271883767</v>
      </c>
      <c r="O114" s="38"/>
      <c r="P114" s="38"/>
      <c r="Q114" s="39">
        <f t="shared" si="63"/>
        <v>4885792.3999999985</v>
      </c>
      <c r="R114" s="39">
        <f t="shared" si="64"/>
        <v>4885792.3999999985</v>
      </c>
      <c r="S114" s="39">
        <f t="shared" si="65"/>
        <v>0</v>
      </c>
      <c r="T114" s="39">
        <f t="shared" si="66"/>
        <v>0</v>
      </c>
    </row>
    <row r="115" spans="1:20" s="41" customFormat="1" ht="18.75" x14ac:dyDescent="0.25">
      <c r="A115" s="62">
        <v>1217640</v>
      </c>
      <c r="B115" s="62">
        <v>7640</v>
      </c>
      <c r="C115" s="61" t="s">
        <v>306</v>
      </c>
      <c r="D115" s="27" t="s">
        <v>307</v>
      </c>
      <c r="E115" s="37">
        <f t="shared" si="121"/>
        <v>0</v>
      </c>
      <c r="F115" s="37"/>
      <c r="G115" s="37"/>
      <c r="H115" s="37"/>
      <c r="I115" s="37">
        <f t="shared" si="69"/>
        <v>248624.64000000001</v>
      </c>
      <c r="J115" s="37"/>
      <c r="K115" s="37">
        <v>248624.64000000001</v>
      </c>
      <c r="L115" s="37">
        <v>248624.64000000001</v>
      </c>
      <c r="M115" s="38"/>
      <c r="N115" s="38"/>
      <c r="O115" s="38"/>
      <c r="P115" s="38"/>
      <c r="Q115" s="39">
        <f t="shared" ref="Q115" si="140">I115-E115</f>
        <v>248624.64000000001</v>
      </c>
      <c r="R115" s="39">
        <f t="shared" ref="R115" si="141">J115-F115</f>
        <v>0</v>
      </c>
      <c r="S115" s="39">
        <f t="shared" ref="S115" si="142">K115-G115</f>
        <v>248624.64000000001</v>
      </c>
      <c r="T115" s="39">
        <f t="shared" ref="T115" si="143">L115-H115</f>
        <v>248624.64000000001</v>
      </c>
    </row>
    <row r="116" spans="1:20" s="41" customFormat="1" ht="168.75" x14ac:dyDescent="0.25">
      <c r="A116" s="61">
        <v>1217691</v>
      </c>
      <c r="B116" s="61">
        <v>7691</v>
      </c>
      <c r="C116" s="61" t="s">
        <v>20</v>
      </c>
      <c r="D116" s="27" t="s">
        <v>344</v>
      </c>
      <c r="E116" s="37">
        <f t="shared" si="121"/>
        <v>0</v>
      </c>
      <c r="F116" s="37"/>
      <c r="G116" s="37"/>
      <c r="H116" s="37"/>
      <c r="I116" s="37">
        <f t="shared" si="69"/>
        <v>113958.63</v>
      </c>
      <c r="J116" s="37"/>
      <c r="K116" s="37">
        <v>113958.63</v>
      </c>
      <c r="L116" s="37"/>
      <c r="M116" s="38"/>
      <c r="N116" s="38"/>
      <c r="O116" s="38"/>
      <c r="P116" s="38"/>
      <c r="Q116" s="39">
        <f t="shared" ref="Q116" si="144">I116-E116</f>
        <v>113958.63</v>
      </c>
      <c r="R116" s="39">
        <f t="shared" ref="R116" si="145">J116-F116</f>
        <v>0</v>
      </c>
      <c r="S116" s="39">
        <f t="shared" ref="S116" si="146">K116-G116</f>
        <v>113958.63</v>
      </c>
      <c r="T116" s="39">
        <f t="shared" ref="T116" si="147">L116-H116</f>
        <v>0</v>
      </c>
    </row>
    <row r="117" spans="1:20" s="41" customFormat="1" ht="37.5" x14ac:dyDescent="0.25">
      <c r="A117" s="62">
        <v>1217693</v>
      </c>
      <c r="B117" s="62" t="s">
        <v>135</v>
      </c>
      <c r="C117" s="62" t="s">
        <v>20</v>
      </c>
      <c r="D117" s="27" t="s">
        <v>257</v>
      </c>
      <c r="E117" s="37">
        <f t="shared" si="121"/>
        <v>12798867.9</v>
      </c>
      <c r="F117" s="37">
        <v>12798867.9</v>
      </c>
      <c r="G117" s="37"/>
      <c r="H117" s="37"/>
      <c r="I117" s="37">
        <f t="shared" si="69"/>
        <v>23742844.23</v>
      </c>
      <c r="J117" s="37">
        <f>4813181.23+18929663</f>
        <v>23742844.23</v>
      </c>
      <c r="K117" s="37"/>
      <c r="L117" s="37"/>
      <c r="M117" s="38">
        <f t="shared" si="67"/>
        <v>1.8550737780487601</v>
      </c>
      <c r="N117" s="38">
        <f t="shared" si="68"/>
        <v>1.8550737780487601</v>
      </c>
      <c r="O117" s="38"/>
      <c r="P117" s="38"/>
      <c r="Q117" s="39">
        <f t="shared" si="63"/>
        <v>10943976.33</v>
      </c>
      <c r="R117" s="39">
        <f t="shared" si="64"/>
        <v>10943976.33</v>
      </c>
      <c r="S117" s="39">
        <f t="shared" si="65"/>
        <v>0</v>
      </c>
      <c r="T117" s="39">
        <f t="shared" si="66"/>
        <v>0</v>
      </c>
    </row>
    <row r="118" spans="1:20" s="41" customFormat="1" ht="75" x14ac:dyDescent="0.25">
      <c r="A118" s="62">
        <v>1217700</v>
      </c>
      <c r="B118" s="62">
        <v>7700</v>
      </c>
      <c r="C118" s="61" t="s">
        <v>6</v>
      </c>
      <c r="D118" s="27" t="s">
        <v>345</v>
      </c>
      <c r="E118" s="37">
        <f t="shared" si="121"/>
        <v>0</v>
      </c>
      <c r="F118" s="37"/>
      <c r="G118" s="37"/>
      <c r="H118" s="37"/>
      <c r="I118" s="37">
        <f t="shared" si="69"/>
        <v>3514793.36</v>
      </c>
      <c r="J118" s="37"/>
      <c r="K118" s="37">
        <v>3514793.36</v>
      </c>
      <c r="L118" s="37"/>
      <c r="M118" s="38"/>
      <c r="N118" s="38"/>
      <c r="O118" s="38"/>
      <c r="P118" s="38"/>
      <c r="Q118" s="39">
        <f t="shared" ref="Q118" si="148">I118-E118</f>
        <v>3514793.36</v>
      </c>
      <c r="R118" s="39">
        <f t="shared" ref="R118" si="149">J118-F118</f>
        <v>0</v>
      </c>
      <c r="S118" s="39">
        <f t="shared" ref="S118" si="150">K118-G118</f>
        <v>3514793.36</v>
      </c>
      <c r="T118" s="39">
        <f t="shared" ref="T118" si="151">L118-H118</f>
        <v>0</v>
      </c>
    </row>
    <row r="119" spans="1:20" s="41" customFormat="1" ht="56.25" x14ac:dyDescent="0.25">
      <c r="A119" s="62">
        <v>1218110</v>
      </c>
      <c r="B119" s="62">
        <v>8110</v>
      </c>
      <c r="C119" s="61" t="s">
        <v>5</v>
      </c>
      <c r="D119" s="27" t="s">
        <v>137</v>
      </c>
      <c r="E119" s="37">
        <f t="shared" si="121"/>
        <v>2084100.54</v>
      </c>
      <c r="F119" s="37">
        <v>2084100.54</v>
      </c>
      <c r="G119" s="37"/>
      <c r="H119" s="37"/>
      <c r="I119" s="37">
        <f t="shared" si="69"/>
        <v>3524289.1399999997</v>
      </c>
      <c r="J119" s="37">
        <f>1769473.25+265928</f>
        <v>2035401.25</v>
      </c>
      <c r="K119" s="37">
        <f>75000+1413887.89</f>
        <v>1488887.89</v>
      </c>
      <c r="L119" s="37">
        <f>75000+1413887.89</f>
        <v>1488887.89</v>
      </c>
      <c r="M119" s="38">
        <f t="shared" si="67"/>
        <v>1.6910360476179329</v>
      </c>
      <c r="N119" s="38"/>
      <c r="O119" s="38"/>
      <c r="P119" s="38"/>
      <c r="Q119" s="39">
        <f t="shared" si="63"/>
        <v>1440188.5999999996</v>
      </c>
      <c r="R119" s="39">
        <f t="shared" si="64"/>
        <v>-48699.290000000037</v>
      </c>
      <c r="S119" s="39">
        <f t="shared" si="65"/>
        <v>1488887.89</v>
      </c>
      <c r="T119" s="39">
        <f t="shared" si="66"/>
        <v>1488887.89</v>
      </c>
    </row>
    <row r="120" spans="1:20" s="41" customFormat="1" ht="37.5" x14ac:dyDescent="0.25">
      <c r="A120" s="62" t="s">
        <v>346</v>
      </c>
      <c r="B120" s="62" t="s">
        <v>347</v>
      </c>
      <c r="C120" s="62" t="s">
        <v>348</v>
      </c>
      <c r="D120" s="27" t="s">
        <v>349</v>
      </c>
      <c r="E120" s="37">
        <f t="shared" si="121"/>
        <v>0</v>
      </c>
      <c r="F120" s="37"/>
      <c r="G120" s="37"/>
      <c r="H120" s="37"/>
      <c r="I120" s="37">
        <f t="shared" si="69"/>
        <v>172991.68</v>
      </c>
      <c r="J120" s="37"/>
      <c r="K120" s="37">
        <f>115093.35+57898.33</f>
        <v>172991.68</v>
      </c>
      <c r="L120" s="37"/>
      <c r="M120" s="38"/>
      <c r="N120" s="38"/>
      <c r="O120" s="38"/>
      <c r="P120" s="38"/>
      <c r="Q120" s="39">
        <f t="shared" ref="Q120" si="152">I120-E120</f>
        <v>172991.68</v>
      </c>
      <c r="R120" s="39">
        <f t="shared" ref="R120" si="153">J120-F120</f>
        <v>0</v>
      </c>
      <c r="S120" s="39">
        <f t="shared" ref="S120" si="154">K120-G120</f>
        <v>172991.68</v>
      </c>
      <c r="T120" s="39">
        <f t="shared" ref="T120" si="155">L120-H120</f>
        <v>0</v>
      </c>
    </row>
    <row r="121" spans="1:20" s="41" customFormat="1" ht="75" x14ac:dyDescent="0.25">
      <c r="A121" s="62">
        <v>1218771</v>
      </c>
      <c r="B121" s="61">
        <v>8771</v>
      </c>
      <c r="C121" s="61" t="s">
        <v>129</v>
      </c>
      <c r="D121" s="27" t="s">
        <v>291</v>
      </c>
      <c r="E121" s="37">
        <f t="shared" si="121"/>
        <v>0</v>
      </c>
      <c r="F121" s="37"/>
      <c r="G121" s="37"/>
      <c r="H121" s="37"/>
      <c r="I121" s="37">
        <f t="shared" si="69"/>
        <v>68200</v>
      </c>
      <c r="J121" s="37">
        <v>68200</v>
      </c>
      <c r="K121" s="37"/>
      <c r="L121" s="37"/>
      <c r="M121" s="38"/>
      <c r="N121" s="38"/>
      <c r="O121" s="38"/>
      <c r="P121" s="38"/>
      <c r="Q121" s="39">
        <f t="shared" ref="Q121" si="156">I121-E121</f>
        <v>68200</v>
      </c>
      <c r="R121" s="39">
        <f t="shared" ref="R121" si="157">J121-F121</f>
        <v>68200</v>
      </c>
      <c r="S121" s="39">
        <f t="shared" ref="S121" si="158">K121-G121</f>
        <v>0</v>
      </c>
      <c r="T121" s="39">
        <f t="shared" ref="T121" si="159">L121-H121</f>
        <v>0</v>
      </c>
    </row>
    <row r="122" spans="1:20" s="33" customFormat="1" ht="75" x14ac:dyDescent="0.25">
      <c r="A122" s="63" t="s">
        <v>25</v>
      </c>
      <c r="B122" s="63"/>
      <c r="C122" s="63"/>
      <c r="D122" s="29" t="s">
        <v>218</v>
      </c>
      <c r="E122" s="34">
        <f t="shared" ref="E122:L122" si="160">E123</f>
        <v>2491661.35</v>
      </c>
      <c r="F122" s="34">
        <f t="shared" si="160"/>
        <v>2293615.35</v>
      </c>
      <c r="G122" s="34">
        <f t="shared" si="160"/>
        <v>198046</v>
      </c>
      <c r="H122" s="34">
        <f t="shared" si="160"/>
        <v>198046</v>
      </c>
      <c r="I122" s="34">
        <f t="shared" si="160"/>
        <v>42214842.460000016</v>
      </c>
      <c r="J122" s="34">
        <f t="shared" si="160"/>
        <v>3290645.02</v>
      </c>
      <c r="K122" s="34">
        <f t="shared" si="160"/>
        <v>38924197.440000013</v>
      </c>
      <c r="L122" s="34">
        <f t="shared" si="160"/>
        <v>38308852.74000001</v>
      </c>
      <c r="M122" s="31" t="s">
        <v>362</v>
      </c>
      <c r="N122" s="31">
        <f t="shared" ref="N122:N158" si="161">J122/F122</f>
        <v>1.4346978537617479</v>
      </c>
      <c r="O122" s="31" t="s">
        <v>363</v>
      </c>
      <c r="P122" s="31" t="s">
        <v>373</v>
      </c>
      <c r="Q122" s="32">
        <f t="shared" ref="Q122:Q158" si="162">I122-E122</f>
        <v>39723181.110000014</v>
      </c>
      <c r="R122" s="32">
        <f t="shared" ref="R122:R158" si="163">J122-F122</f>
        <v>997029.66999999993</v>
      </c>
      <c r="S122" s="32">
        <f t="shared" ref="S122:S158" si="164">K122-G122</f>
        <v>38726151.440000013</v>
      </c>
      <c r="T122" s="32">
        <f t="shared" ref="T122:T158" si="165">L122-H122</f>
        <v>38110806.74000001</v>
      </c>
    </row>
    <row r="123" spans="1:20" s="35" customFormat="1" ht="75" x14ac:dyDescent="0.25">
      <c r="A123" s="63" t="s">
        <v>26</v>
      </c>
      <c r="B123" s="63"/>
      <c r="C123" s="63"/>
      <c r="D123" s="29" t="s">
        <v>218</v>
      </c>
      <c r="E123" s="34">
        <f t="shared" ref="E123:E141" si="166">F123+G123</f>
        <v>2491661.35</v>
      </c>
      <c r="F123" s="34">
        <f>F125+F132+F137+F139+F133+F128+F126+F124+F129+F135+F136+F138+F127+F130+F131+F134+F140+F141</f>
        <v>2293615.35</v>
      </c>
      <c r="G123" s="34">
        <f t="shared" ref="G123:H123" si="167">G125+G132+G137+G139+G133+G128+G126+G124+G129+G135+G136+G138+G127+G130+G131+G134+G140+G141</f>
        <v>198046</v>
      </c>
      <c r="H123" s="34">
        <f t="shared" si="167"/>
        <v>198046</v>
      </c>
      <c r="I123" s="34">
        <f t="shared" ref="I123:I124" si="168">J123+K123</f>
        <v>42214842.460000016</v>
      </c>
      <c r="J123" s="34">
        <f>J125+J132+J137+J139+J133+J128+J126+J124+J129+J135+J136+J138+J127+J130+J131+J134+J140+J141</f>
        <v>3290645.02</v>
      </c>
      <c r="K123" s="34">
        <f t="shared" ref="K123:L123" si="169">K125+K132+K137+K139+K133+K128+K126+K124+K129+K135+K136+K138+K127+K130+K131+K134+K140+K141</f>
        <v>38924197.440000013</v>
      </c>
      <c r="L123" s="34">
        <f t="shared" si="169"/>
        <v>38308852.74000001</v>
      </c>
      <c r="M123" s="31" t="s">
        <v>362</v>
      </c>
      <c r="N123" s="31">
        <f t="shared" si="161"/>
        <v>1.4346978537617479</v>
      </c>
      <c r="O123" s="31" t="s">
        <v>363</v>
      </c>
      <c r="P123" s="31" t="s">
        <v>373</v>
      </c>
      <c r="Q123" s="32">
        <f t="shared" si="162"/>
        <v>39723181.110000014</v>
      </c>
      <c r="R123" s="32">
        <f t="shared" si="163"/>
        <v>997029.66999999993</v>
      </c>
      <c r="S123" s="32">
        <f t="shared" si="164"/>
        <v>38726151.440000013</v>
      </c>
      <c r="T123" s="32">
        <f t="shared" si="165"/>
        <v>38110806.74000001</v>
      </c>
    </row>
    <row r="124" spans="1:20" s="35" customFormat="1" ht="112.5" x14ac:dyDescent="0.25">
      <c r="A124" s="61">
        <v>1510150</v>
      </c>
      <c r="B124" s="61">
        <v>150</v>
      </c>
      <c r="C124" s="61" t="s">
        <v>3</v>
      </c>
      <c r="D124" s="27" t="s">
        <v>296</v>
      </c>
      <c r="E124" s="37">
        <f t="shared" ref="E124" si="170">F124+G124</f>
        <v>0</v>
      </c>
      <c r="F124" s="37"/>
      <c r="G124" s="37"/>
      <c r="H124" s="37"/>
      <c r="I124" s="37">
        <f t="shared" si="168"/>
        <v>538945.43999999994</v>
      </c>
      <c r="J124" s="37"/>
      <c r="K124" s="37">
        <v>538945.43999999994</v>
      </c>
      <c r="L124" s="37">
        <v>538945.43999999994</v>
      </c>
      <c r="M124" s="38"/>
      <c r="N124" s="38"/>
      <c r="O124" s="38"/>
      <c r="P124" s="38"/>
      <c r="Q124" s="39">
        <f t="shared" ref="Q124" si="171">I124-E124</f>
        <v>538945.43999999994</v>
      </c>
      <c r="R124" s="39">
        <f t="shared" ref="R124" si="172">J124-F124</f>
        <v>0</v>
      </c>
      <c r="S124" s="39">
        <f t="shared" ref="S124" si="173">K124-G124</f>
        <v>538945.43999999994</v>
      </c>
      <c r="T124" s="39">
        <f t="shared" ref="T124" si="174">L124-H124</f>
        <v>538945.43999999994</v>
      </c>
    </row>
    <row r="125" spans="1:20" s="41" customFormat="1" ht="56.25" x14ac:dyDescent="0.25">
      <c r="A125" s="64" t="s">
        <v>94</v>
      </c>
      <c r="B125" s="64" t="s">
        <v>58</v>
      </c>
      <c r="C125" s="64" t="s">
        <v>3</v>
      </c>
      <c r="D125" s="36" t="s">
        <v>247</v>
      </c>
      <c r="E125" s="37">
        <f t="shared" si="166"/>
        <v>2216765.35</v>
      </c>
      <c r="F125" s="37">
        <v>2216765.35</v>
      </c>
      <c r="G125" s="37"/>
      <c r="H125" s="37"/>
      <c r="I125" s="37">
        <f t="shared" si="69"/>
        <v>2623327.87</v>
      </c>
      <c r="J125" s="37">
        <v>2623327.87</v>
      </c>
      <c r="K125" s="37"/>
      <c r="L125" s="37"/>
      <c r="M125" s="38">
        <f t="shared" ref="M125:P158" si="175">I125/E125</f>
        <v>1.1834034982547883</v>
      </c>
      <c r="N125" s="38">
        <f t="shared" si="161"/>
        <v>1.1834034982547883</v>
      </c>
      <c r="O125" s="38"/>
      <c r="P125" s="38"/>
      <c r="Q125" s="39">
        <f t="shared" si="162"/>
        <v>406562.52</v>
      </c>
      <c r="R125" s="39">
        <f t="shared" si="163"/>
        <v>406562.52</v>
      </c>
      <c r="S125" s="39">
        <f t="shared" si="164"/>
        <v>0</v>
      </c>
      <c r="T125" s="39">
        <f t="shared" si="165"/>
        <v>0</v>
      </c>
    </row>
    <row r="126" spans="1:20" s="41" customFormat="1" ht="37.5" x14ac:dyDescent="0.25">
      <c r="A126" s="62" t="s">
        <v>292</v>
      </c>
      <c r="B126" s="62" t="s">
        <v>8</v>
      </c>
      <c r="C126" s="62" t="s">
        <v>6</v>
      </c>
      <c r="D126" s="27" t="s">
        <v>109</v>
      </c>
      <c r="E126" s="37">
        <f t="shared" si="166"/>
        <v>29850</v>
      </c>
      <c r="F126" s="37">
        <v>29850</v>
      </c>
      <c r="G126" s="37"/>
      <c r="H126" s="37"/>
      <c r="I126" s="37">
        <f t="shared" si="69"/>
        <v>112428</v>
      </c>
      <c r="J126" s="37">
        <v>112428</v>
      </c>
      <c r="K126" s="37"/>
      <c r="L126" s="37"/>
      <c r="M126" s="38" t="s">
        <v>311</v>
      </c>
      <c r="N126" s="38" t="s">
        <v>311</v>
      </c>
      <c r="O126" s="38"/>
      <c r="P126" s="38"/>
      <c r="Q126" s="39">
        <f t="shared" ref="Q126" si="176">I126-E126</f>
        <v>82578</v>
      </c>
      <c r="R126" s="39">
        <f t="shared" ref="R126" si="177">J126-F126</f>
        <v>82578</v>
      </c>
      <c r="S126" s="39">
        <f t="shared" ref="S126" si="178">K126-G126</f>
        <v>0</v>
      </c>
      <c r="T126" s="39">
        <f t="shared" ref="T126" si="179">L126-H126</f>
        <v>0</v>
      </c>
    </row>
    <row r="127" spans="1:20" s="41" customFormat="1" ht="37.5" x14ac:dyDescent="0.25">
      <c r="A127" s="61">
        <v>1512010</v>
      </c>
      <c r="B127" s="61">
        <v>2010</v>
      </c>
      <c r="C127" s="61" t="s">
        <v>29</v>
      </c>
      <c r="D127" s="27" t="s">
        <v>162</v>
      </c>
      <c r="E127" s="37">
        <f t="shared" si="166"/>
        <v>0</v>
      </c>
      <c r="F127" s="37"/>
      <c r="G127" s="37"/>
      <c r="H127" s="37"/>
      <c r="I127" s="37">
        <f t="shared" si="69"/>
        <v>361602.09</v>
      </c>
      <c r="J127" s="37"/>
      <c r="K127" s="37">
        <v>361602.09</v>
      </c>
      <c r="L127" s="37">
        <v>361602.09</v>
      </c>
      <c r="M127" s="38"/>
      <c r="N127" s="38"/>
      <c r="O127" s="38"/>
      <c r="P127" s="38"/>
      <c r="Q127" s="39">
        <f t="shared" ref="Q127" si="180">I127-E127</f>
        <v>361602.09</v>
      </c>
      <c r="R127" s="39">
        <f t="shared" ref="R127" si="181">J127-F127</f>
        <v>0</v>
      </c>
      <c r="S127" s="39">
        <f t="shared" ref="S127" si="182">K127-G127</f>
        <v>361602.09</v>
      </c>
      <c r="T127" s="39">
        <f t="shared" ref="T127" si="183">L127-H127</f>
        <v>361602.09</v>
      </c>
    </row>
    <row r="128" spans="1:20" s="41" customFormat="1" ht="37.5" x14ac:dyDescent="0.25">
      <c r="A128" s="61" t="s">
        <v>268</v>
      </c>
      <c r="B128" s="61" t="s">
        <v>104</v>
      </c>
      <c r="C128" s="61" t="s">
        <v>39</v>
      </c>
      <c r="D128" s="27" t="s">
        <v>105</v>
      </c>
      <c r="E128" s="37">
        <f t="shared" si="166"/>
        <v>0</v>
      </c>
      <c r="F128" s="37"/>
      <c r="G128" s="37"/>
      <c r="H128" s="37"/>
      <c r="I128" s="37">
        <f t="shared" si="69"/>
        <v>2245675.2200000002</v>
      </c>
      <c r="J128" s="37"/>
      <c r="K128" s="37">
        <f>2245675.22</f>
        <v>2245675.2200000002</v>
      </c>
      <c r="L128" s="37">
        <f>2245675.22</f>
        <v>2245675.2200000002</v>
      </c>
      <c r="M128" s="38"/>
      <c r="N128" s="38"/>
      <c r="O128" s="38"/>
      <c r="P128" s="38"/>
      <c r="Q128" s="39">
        <f t="shared" ref="Q128" si="184">I128-E128</f>
        <v>2245675.2200000002</v>
      </c>
      <c r="R128" s="39">
        <f t="shared" ref="R128" si="185">J128-F128</f>
        <v>0</v>
      </c>
      <c r="S128" s="39">
        <f t="shared" si="164"/>
        <v>2245675.2200000002</v>
      </c>
      <c r="T128" s="39">
        <f t="shared" si="165"/>
        <v>2245675.2200000002</v>
      </c>
    </row>
    <row r="129" spans="1:20" s="41" customFormat="1" ht="56.25" x14ac:dyDescent="0.25">
      <c r="A129" s="61" t="s">
        <v>297</v>
      </c>
      <c r="B129" s="61" t="s">
        <v>126</v>
      </c>
      <c r="C129" s="61" t="s">
        <v>7</v>
      </c>
      <c r="D129" s="27" t="s">
        <v>128</v>
      </c>
      <c r="E129" s="37">
        <f t="shared" si="166"/>
        <v>0</v>
      </c>
      <c r="F129" s="37"/>
      <c r="G129" s="37"/>
      <c r="H129" s="37"/>
      <c r="I129" s="37">
        <f t="shared" si="69"/>
        <v>4250429.46</v>
      </c>
      <c r="J129" s="37"/>
      <c r="K129" s="37">
        <v>4250429.46</v>
      </c>
      <c r="L129" s="37">
        <v>4250429.46</v>
      </c>
      <c r="M129" s="38"/>
      <c r="N129" s="38"/>
      <c r="O129" s="38"/>
      <c r="P129" s="38"/>
      <c r="Q129" s="39">
        <f t="shared" ref="Q129" si="186">I129-E129</f>
        <v>4250429.46</v>
      </c>
      <c r="R129" s="39">
        <f t="shared" ref="R129" si="187">J129-F129</f>
        <v>0</v>
      </c>
      <c r="S129" s="39">
        <f t="shared" ref="S129" si="188">K129-G129</f>
        <v>4250429.46</v>
      </c>
      <c r="T129" s="39">
        <f t="shared" ref="T129" si="189">L129-H129</f>
        <v>4250429.46</v>
      </c>
    </row>
    <row r="130" spans="1:20" s="41" customFormat="1" ht="37.5" x14ac:dyDescent="0.25">
      <c r="A130" s="61" t="s">
        <v>350</v>
      </c>
      <c r="B130" s="61" t="s">
        <v>106</v>
      </c>
      <c r="C130" s="61" t="s">
        <v>7</v>
      </c>
      <c r="D130" s="27" t="s">
        <v>108</v>
      </c>
      <c r="E130" s="37">
        <f t="shared" si="166"/>
        <v>0</v>
      </c>
      <c r="F130" s="37"/>
      <c r="G130" s="37"/>
      <c r="H130" s="37"/>
      <c r="I130" s="37">
        <f t="shared" si="69"/>
        <v>1479780.11</v>
      </c>
      <c r="J130" s="37"/>
      <c r="K130" s="37">
        <v>1479780.11</v>
      </c>
      <c r="L130" s="37">
        <v>1479780.11</v>
      </c>
      <c r="M130" s="38"/>
      <c r="N130" s="38"/>
      <c r="O130" s="38"/>
      <c r="P130" s="38"/>
      <c r="Q130" s="39">
        <f t="shared" ref="Q130" si="190">I130-E130</f>
        <v>1479780.11</v>
      </c>
      <c r="R130" s="39">
        <f t="shared" ref="R130" si="191">J130-F130</f>
        <v>0</v>
      </c>
      <c r="S130" s="39">
        <f t="shared" ref="S130" si="192">K130-G130</f>
        <v>1479780.11</v>
      </c>
      <c r="T130" s="39">
        <f t="shared" ref="T130" si="193">L130-H130</f>
        <v>1479780.11</v>
      </c>
    </row>
    <row r="131" spans="1:20" s="41" customFormat="1" ht="37.5" x14ac:dyDescent="0.25">
      <c r="A131" s="61" t="s">
        <v>351</v>
      </c>
      <c r="B131" s="61" t="s">
        <v>339</v>
      </c>
      <c r="C131" s="61" t="s">
        <v>7</v>
      </c>
      <c r="D131" s="27" t="s">
        <v>340</v>
      </c>
      <c r="E131" s="37">
        <f t="shared" si="166"/>
        <v>0</v>
      </c>
      <c r="F131" s="37"/>
      <c r="G131" s="37"/>
      <c r="H131" s="37"/>
      <c r="I131" s="37">
        <f t="shared" si="69"/>
        <v>116154.63</v>
      </c>
      <c r="J131" s="37"/>
      <c r="K131" s="37">
        <v>116154.63</v>
      </c>
      <c r="L131" s="37">
        <v>116154.63</v>
      </c>
      <c r="M131" s="38"/>
      <c r="N131" s="38"/>
      <c r="O131" s="38"/>
      <c r="P131" s="38"/>
      <c r="Q131" s="39">
        <f t="shared" ref="Q131" si="194">I131-E131</f>
        <v>116154.63</v>
      </c>
      <c r="R131" s="39">
        <f t="shared" ref="R131" si="195">J131-F131</f>
        <v>0</v>
      </c>
      <c r="S131" s="39">
        <f t="shared" ref="S131" si="196">K131-G131</f>
        <v>116154.63</v>
      </c>
      <c r="T131" s="39">
        <f t="shared" ref="T131" si="197">L131-H131</f>
        <v>116154.63</v>
      </c>
    </row>
    <row r="132" spans="1:20" s="41" customFormat="1" ht="37.5" x14ac:dyDescent="0.25">
      <c r="A132" s="64" t="s">
        <v>241</v>
      </c>
      <c r="B132" s="64" t="s">
        <v>40</v>
      </c>
      <c r="C132" s="64" t="s">
        <v>7</v>
      </c>
      <c r="D132" s="36" t="s">
        <v>55</v>
      </c>
      <c r="E132" s="37">
        <f t="shared" si="166"/>
        <v>0</v>
      </c>
      <c r="F132" s="37"/>
      <c r="G132" s="37"/>
      <c r="H132" s="37"/>
      <c r="I132" s="37">
        <f t="shared" si="69"/>
        <v>7322004.8899999997</v>
      </c>
      <c r="J132" s="37"/>
      <c r="K132" s="37">
        <v>7322004.8899999997</v>
      </c>
      <c r="L132" s="37">
        <v>7322004.8899999997</v>
      </c>
      <c r="M132" s="38"/>
      <c r="N132" s="38"/>
      <c r="O132" s="38"/>
      <c r="P132" s="38"/>
      <c r="Q132" s="39">
        <f t="shared" si="162"/>
        <v>7322004.8899999997</v>
      </c>
      <c r="R132" s="39">
        <f t="shared" si="163"/>
        <v>0</v>
      </c>
      <c r="S132" s="39">
        <f t="shared" si="164"/>
        <v>7322004.8899999997</v>
      </c>
      <c r="T132" s="39">
        <f t="shared" si="165"/>
        <v>7322004.8899999997</v>
      </c>
    </row>
    <row r="133" spans="1:20" s="41" customFormat="1" ht="93.75" x14ac:dyDescent="0.25">
      <c r="A133" s="61" t="s">
        <v>266</v>
      </c>
      <c r="B133" s="61">
        <v>6050</v>
      </c>
      <c r="C133" s="61" t="s">
        <v>7</v>
      </c>
      <c r="D133" s="27" t="s">
        <v>267</v>
      </c>
      <c r="E133" s="37">
        <f t="shared" si="166"/>
        <v>0</v>
      </c>
      <c r="F133" s="37"/>
      <c r="G133" s="37"/>
      <c r="H133" s="37"/>
      <c r="I133" s="37">
        <f t="shared" si="69"/>
        <v>554889.15</v>
      </c>
      <c r="J133" s="37">
        <v>554889.15</v>
      </c>
      <c r="K133" s="37"/>
      <c r="L133" s="37"/>
      <c r="M133" s="38"/>
      <c r="N133" s="38"/>
      <c r="O133" s="38"/>
      <c r="P133" s="38"/>
      <c r="Q133" s="39">
        <f t="shared" ref="Q133" si="198">I133-E133</f>
        <v>554889.15</v>
      </c>
      <c r="R133" s="39">
        <f t="shared" ref="R133" si="199">J133-F133</f>
        <v>554889.15</v>
      </c>
      <c r="S133" s="39">
        <f t="shared" si="164"/>
        <v>0</v>
      </c>
      <c r="T133" s="39">
        <f t="shared" si="165"/>
        <v>0</v>
      </c>
    </row>
    <row r="134" spans="1:20" s="41" customFormat="1" ht="37.5" x14ac:dyDescent="0.25">
      <c r="A134" s="61" t="s">
        <v>352</v>
      </c>
      <c r="B134" s="61" t="s">
        <v>342</v>
      </c>
      <c r="C134" s="61" t="s">
        <v>294</v>
      </c>
      <c r="D134" s="27" t="s">
        <v>343</v>
      </c>
      <c r="E134" s="37"/>
      <c r="F134" s="37"/>
      <c r="G134" s="37"/>
      <c r="H134" s="37"/>
      <c r="I134" s="37">
        <f t="shared" si="69"/>
        <v>2706236.14</v>
      </c>
      <c r="J134" s="37"/>
      <c r="K134" s="37">
        <f>856224.14+1850012</f>
        <v>2706236.14</v>
      </c>
      <c r="L134" s="37">
        <f>856224.14+1850012</f>
        <v>2706236.14</v>
      </c>
      <c r="M134" s="38"/>
      <c r="N134" s="38"/>
      <c r="O134" s="38"/>
      <c r="P134" s="38"/>
      <c r="Q134" s="39">
        <f t="shared" ref="Q134" si="200">I134-E134</f>
        <v>2706236.14</v>
      </c>
      <c r="R134" s="39">
        <f t="shared" ref="R134" si="201">J134-F134</f>
        <v>0</v>
      </c>
      <c r="S134" s="39">
        <f t="shared" ref="S134" si="202">K134-G134</f>
        <v>2706236.14</v>
      </c>
      <c r="T134" s="39">
        <f t="shared" ref="T134" si="203">L134-H134</f>
        <v>2706236.14</v>
      </c>
    </row>
    <row r="135" spans="1:20" s="41" customFormat="1" ht="18.75" x14ac:dyDescent="0.25">
      <c r="A135" s="61" t="s">
        <v>298</v>
      </c>
      <c r="B135" s="61" t="s">
        <v>299</v>
      </c>
      <c r="C135" s="61" t="s">
        <v>294</v>
      </c>
      <c r="D135" s="27" t="s">
        <v>300</v>
      </c>
      <c r="E135" s="37">
        <f t="shared" si="166"/>
        <v>0</v>
      </c>
      <c r="F135" s="37"/>
      <c r="G135" s="37"/>
      <c r="H135" s="37"/>
      <c r="I135" s="37">
        <f t="shared" si="69"/>
        <v>632871.19999999995</v>
      </c>
      <c r="J135" s="37"/>
      <c r="K135" s="37">
        <v>632871.19999999995</v>
      </c>
      <c r="L135" s="37">
        <v>632871.19999999995</v>
      </c>
      <c r="M135" s="38"/>
      <c r="N135" s="38"/>
      <c r="O135" s="38"/>
      <c r="P135" s="38"/>
      <c r="Q135" s="39">
        <f t="shared" ref="Q135" si="204">I135-E135</f>
        <v>632871.19999999995</v>
      </c>
      <c r="R135" s="39">
        <f t="shared" ref="R135" si="205">J135-F135</f>
        <v>0</v>
      </c>
      <c r="S135" s="39">
        <f t="shared" si="164"/>
        <v>632871.19999999995</v>
      </c>
      <c r="T135" s="39">
        <f t="shared" si="165"/>
        <v>632871.19999999995</v>
      </c>
    </row>
    <row r="136" spans="1:20" s="41" customFormat="1" ht="37.5" x14ac:dyDescent="0.25">
      <c r="A136" s="61" t="s">
        <v>301</v>
      </c>
      <c r="B136" s="61" t="s">
        <v>302</v>
      </c>
      <c r="C136" s="61" t="s">
        <v>20</v>
      </c>
      <c r="D136" s="27" t="s">
        <v>303</v>
      </c>
      <c r="E136" s="37">
        <f t="shared" si="166"/>
        <v>0</v>
      </c>
      <c r="F136" s="37"/>
      <c r="G136" s="37"/>
      <c r="H136" s="37"/>
      <c r="I136" s="37">
        <f t="shared" si="69"/>
        <v>1319201.46</v>
      </c>
      <c r="J136" s="37"/>
      <c r="K136" s="37">
        <f>245600+788117.17+285484.29</f>
        <v>1319201.46</v>
      </c>
      <c r="L136" s="37">
        <f>245600+788117.17+285484.29</f>
        <v>1319201.46</v>
      </c>
      <c r="M136" s="38"/>
      <c r="N136" s="38"/>
      <c r="O136" s="38"/>
      <c r="P136" s="38"/>
      <c r="Q136" s="39">
        <f t="shared" ref="Q136" si="206">I136-E136</f>
        <v>1319201.46</v>
      </c>
      <c r="R136" s="39">
        <f t="shared" ref="R136" si="207">J136-F136</f>
        <v>0</v>
      </c>
      <c r="S136" s="39">
        <f t="shared" si="164"/>
        <v>1319201.46</v>
      </c>
      <c r="T136" s="39">
        <f t="shared" si="165"/>
        <v>1319201.46</v>
      </c>
    </row>
    <row r="137" spans="1:20" s="41" customFormat="1" ht="37.5" x14ac:dyDescent="0.25">
      <c r="A137" s="64" t="s">
        <v>248</v>
      </c>
      <c r="B137" s="64" t="s">
        <v>245</v>
      </c>
      <c r="C137" s="64" t="s">
        <v>20</v>
      </c>
      <c r="D137" s="36" t="s">
        <v>246</v>
      </c>
      <c r="E137" s="37">
        <f t="shared" si="166"/>
        <v>0</v>
      </c>
      <c r="F137" s="37"/>
      <c r="G137" s="37"/>
      <c r="H137" s="37"/>
      <c r="I137" s="37">
        <f t="shared" si="69"/>
        <v>385498.86</v>
      </c>
      <c r="J137" s="37"/>
      <c r="K137" s="37">
        <v>385498.86</v>
      </c>
      <c r="L137" s="37">
        <v>385498.86</v>
      </c>
      <c r="M137" s="38"/>
      <c r="N137" s="38"/>
      <c r="O137" s="38"/>
      <c r="P137" s="38"/>
      <c r="Q137" s="39">
        <f t="shared" si="162"/>
        <v>385498.86</v>
      </c>
      <c r="R137" s="39">
        <f t="shared" si="163"/>
        <v>0</v>
      </c>
      <c r="S137" s="39">
        <f t="shared" si="164"/>
        <v>385498.86</v>
      </c>
      <c r="T137" s="39">
        <f t="shared" si="165"/>
        <v>385498.86</v>
      </c>
    </row>
    <row r="138" spans="1:20" s="41" customFormat="1" ht="18.75" x14ac:dyDescent="0.25">
      <c r="A138" s="61" t="s">
        <v>304</v>
      </c>
      <c r="B138" s="61" t="s">
        <v>305</v>
      </c>
      <c r="C138" s="61" t="s">
        <v>306</v>
      </c>
      <c r="D138" s="27" t="s">
        <v>307</v>
      </c>
      <c r="E138" s="37">
        <f t="shared" si="166"/>
        <v>0</v>
      </c>
      <c r="F138" s="37"/>
      <c r="G138" s="37"/>
      <c r="H138" s="37"/>
      <c r="I138" s="37">
        <f t="shared" si="69"/>
        <v>4353291.83</v>
      </c>
      <c r="J138" s="37"/>
      <c r="K138" s="37">
        <v>4353291.83</v>
      </c>
      <c r="L138" s="37">
        <v>4353291.83</v>
      </c>
      <c r="M138" s="38"/>
      <c r="N138" s="38"/>
      <c r="O138" s="38"/>
      <c r="P138" s="38"/>
      <c r="Q138" s="39">
        <f t="shared" ref="Q138" si="208">I138-E138</f>
        <v>4353291.83</v>
      </c>
      <c r="R138" s="39">
        <f t="shared" ref="R138" si="209">J138-F138</f>
        <v>0</v>
      </c>
      <c r="S138" s="39">
        <f t="shared" ref="S138" si="210">K138-G138</f>
        <v>4353291.83</v>
      </c>
      <c r="T138" s="39">
        <f t="shared" ref="T138" si="211">L138-H138</f>
        <v>4353291.83</v>
      </c>
    </row>
    <row r="139" spans="1:20" s="41" customFormat="1" ht="56.25" x14ac:dyDescent="0.25">
      <c r="A139" s="61" t="s">
        <v>259</v>
      </c>
      <c r="B139" s="62">
        <v>8110</v>
      </c>
      <c r="C139" s="61" t="s">
        <v>5</v>
      </c>
      <c r="D139" s="27" t="s">
        <v>137</v>
      </c>
      <c r="E139" s="37">
        <f t="shared" si="166"/>
        <v>245046</v>
      </c>
      <c r="F139" s="37">
        <v>47000</v>
      </c>
      <c r="G139" s="37">
        <v>198046</v>
      </c>
      <c r="H139" s="37">
        <v>198046</v>
      </c>
      <c r="I139" s="37">
        <f t="shared" si="69"/>
        <v>12554441.41</v>
      </c>
      <c r="J139" s="37"/>
      <c r="K139" s="37">
        <v>12554441.41</v>
      </c>
      <c r="L139" s="37">
        <v>12554441.41</v>
      </c>
      <c r="M139" s="38"/>
      <c r="N139" s="38"/>
      <c r="O139" s="38" t="s">
        <v>361</v>
      </c>
      <c r="P139" s="38" t="s">
        <v>361</v>
      </c>
      <c r="Q139" s="39">
        <f t="shared" si="162"/>
        <v>12309395.41</v>
      </c>
      <c r="R139" s="39">
        <f t="shared" si="163"/>
        <v>-47000</v>
      </c>
      <c r="S139" s="39">
        <f t="shared" si="164"/>
        <v>12356395.41</v>
      </c>
      <c r="T139" s="39">
        <f t="shared" si="165"/>
        <v>12356395.41</v>
      </c>
    </row>
    <row r="140" spans="1:20" s="41" customFormat="1" ht="37.5" x14ac:dyDescent="0.25">
      <c r="A140" s="61" t="s">
        <v>353</v>
      </c>
      <c r="B140" s="61" t="s">
        <v>354</v>
      </c>
      <c r="C140" s="61" t="s">
        <v>355</v>
      </c>
      <c r="D140" s="27" t="s">
        <v>356</v>
      </c>
      <c r="E140" s="37">
        <f t="shared" si="166"/>
        <v>0</v>
      </c>
      <c r="F140" s="37"/>
      <c r="G140" s="37"/>
      <c r="H140" s="37"/>
      <c r="I140" s="37">
        <f t="shared" si="69"/>
        <v>42720</v>
      </c>
      <c r="J140" s="37"/>
      <c r="K140" s="37">
        <v>42720</v>
      </c>
      <c r="L140" s="37">
        <v>42720</v>
      </c>
      <c r="M140" s="38"/>
      <c r="N140" s="38"/>
      <c r="O140" s="38"/>
      <c r="P140" s="38"/>
      <c r="Q140" s="39">
        <f t="shared" ref="Q140" si="212">I140-E140</f>
        <v>42720</v>
      </c>
      <c r="R140" s="39">
        <f t="shared" ref="R140" si="213">J140-F140</f>
        <v>0</v>
      </c>
      <c r="S140" s="39">
        <f t="shared" ref="S140" si="214">K140-G140</f>
        <v>42720</v>
      </c>
      <c r="T140" s="39">
        <f t="shared" ref="T140" si="215">L140-H140</f>
        <v>42720</v>
      </c>
    </row>
    <row r="141" spans="1:20" s="41" customFormat="1" ht="37.5" x14ac:dyDescent="0.25">
      <c r="A141" s="61" t="s">
        <v>357</v>
      </c>
      <c r="B141" s="61" t="s">
        <v>347</v>
      </c>
      <c r="C141" s="61" t="s">
        <v>348</v>
      </c>
      <c r="D141" s="27" t="s">
        <v>349</v>
      </c>
      <c r="E141" s="37">
        <f t="shared" si="166"/>
        <v>0</v>
      </c>
      <c r="F141" s="37"/>
      <c r="G141" s="37"/>
      <c r="H141" s="37"/>
      <c r="I141" s="37">
        <f t="shared" si="69"/>
        <v>615344.69999999995</v>
      </c>
      <c r="J141" s="37"/>
      <c r="K141" s="37">
        <v>615344.69999999995</v>
      </c>
      <c r="L141" s="37"/>
      <c r="M141" s="38"/>
      <c r="N141" s="38"/>
      <c r="O141" s="38"/>
      <c r="P141" s="38"/>
      <c r="Q141" s="39">
        <f t="shared" ref="Q141" si="216">I141-E141</f>
        <v>615344.69999999995</v>
      </c>
      <c r="R141" s="39">
        <f t="shared" ref="R141" si="217">J141-F141</f>
        <v>0</v>
      </c>
      <c r="S141" s="39">
        <f t="shared" ref="S141" si="218">K141-G141</f>
        <v>615344.69999999995</v>
      </c>
      <c r="T141" s="39">
        <f t="shared" ref="T141" si="219">L141-H141</f>
        <v>0</v>
      </c>
    </row>
    <row r="142" spans="1:20" s="35" customFormat="1" ht="75" x14ac:dyDescent="0.25">
      <c r="A142" s="63" t="s">
        <v>95</v>
      </c>
      <c r="B142" s="63"/>
      <c r="C142" s="63"/>
      <c r="D142" s="29" t="s">
        <v>219</v>
      </c>
      <c r="E142" s="34">
        <f t="shared" ref="E142:L142" si="220">E143</f>
        <v>9960158.2200000007</v>
      </c>
      <c r="F142" s="34">
        <f t="shared" si="220"/>
        <v>9960158.2200000007</v>
      </c>
      <c r="G142" s="34">
        <f t="shared" si="220"/>
        <v>0</v>
      </c>
      <c r="H142" s="34">
        <f t="shared" si="220"/>
        <v>0</v>
      </c>
      <c r="I142" s="34">
        <f t="shared" si="220"/>
        <v>12491617.649999999</v>
      </c>
      <c r="J142" s="34">
        <f t="shared" si="220"/>
        <v>12461617.649999999</v>
      </c>
      <c r="K142" s="34">
        <f t="shared" si="220"/>
        <v>30000</v>
      </c>
      <c r="L142" s="34">
        <f t="shared" si="220"/>
        <v>30000</v>
      </c>
      <c r="M142" s="31">
        <f t="shared" ref="M142:M148" si="221">I142/E142</f>
        <v>1.2541585559270361</v>
      </c>
      <c r="N142" s="31">
        <f t="shared" ref="N142:N148" si="222">J142/F142</f>
        <v>1.2511465555815235</v>
      </c>
      <c r="O142" s="31"/>
      <c r="P142" s="31"/>
      <c r="Q142" s="32">
        <f t="shared" si="162"/>
        <v>2531459.4299999978</v>
      </c>
      <c r="R142" s="32">
        <f t="shared" si="163"/>
        <v>2501459.4299999978</v>
      </c>
      <c r="S142" s="32">
        <f t="shared" si="164"/>
        <v>30000</v>
      </c>
      <c r="T142" s="32">
        <f t="shared" si="165"/>
        <v>30000</v>
      </c>
    </row>
    <row r="143" spans="1:20" s="35" customFormat="1" ht="75" x14ac:dyDescent="0.25">
      <c r="A143" s="63" t="s">
        <v>96</v>
      </c>
      <c r="B143" s="63"/>
      <c r="C143" s="63"/>
      <c r="D143" s="29" t="s">
        <v>219</v>
      </c>
      <c r="E143" s="34">
        <f t="shared" ref="E143:E150" si="223">F143+G143</f>
        <v>9960158.2200000007</v>
      </c>
      <c r="F143" s="34">
        <f>F144+F148+F146+F150+F145+F147+F149</f>
        <v>9960158.2200000007</v>
      </c>
      <c r="G143" s="34">
        <f t="shared" ref="G143:H143" si="224">G144+G148+G146+G150+G145+G147+G149</f>
        <v>0</v>
      </c>
      <c r="H143" s="34">
        <f t="shared" si="224"/>
        <v>0</v>
      </c>
      <c r="I143" s="34">
        <f t="shared" ref="I143" si="225">J143+K143</f>
        <v>12491617.649999999</v>
      </c>
      <c r="J143" s="34">
        <f>J144+J148+J146+J150+J145+J147+J149</f>
        <v>12461617.649999999</v>
      </c>
      <c r="K143" s="34">
        <f t="shared" ref="K143:L143" si="226">K144+K148+K146+K150+K145+K147+K149</f>
        <v>30000</v>
      </c>
      <c r="L143" s="34">
        <f t="shared" si="226"/>
        <v>30000</v>
      </c>
      <c r="M143" s="31">
        <f t="shared" si="221"/>
        <v>1.2541585559270361</v>
      </c>
      <c r="N143" s="31">
        <f t="shared" si="222"/>
        <v>1.2511465555815235</v>
      </c>
      <c r="O143" s="31"/>
      <c r="P143" s="31"/>
      <c r="Q143" s="32">
        <f t="shared" si="162"/>
        <v>2531459.4299999978</v>
      </c>
      <c r="R143" s="32">
        <f t="shared" si="163"/>
        <v>2501459.4299999978</v>
      </c>
      <c r="S143" s="32">
        <f t="shared" si="164"/>
        <v>30000</v>
      </c>
      <c r="T143" s="32">
        <f t="shared" si="165"/>
        <v>30000</v>
      </c>
    </row>
    <row r="144" spans="1:20" s="41" customFormat="1" ht="56.25" x14ac:dyDescent="0.25">
      <c r="A144" s="64" t="s">
        <v>97</v>
      </c>
      <c r="B144" s="64" t="s">
        <v>58</v>
      </c>
      <c r="C144" s="64" t="s">
        <v>3</v>
      </c>
      <c r="D144" s="36" t="s">
        <v>247</v>
      </c>
      <c r="E144" s="37">
        <f t="shared" si="223"/>
        <v>1737767.88</v>
      </c>
      <c r="F144" s="37">
        <v>1737767.88</v>
      </c>
      <c r="G144" s="37"/>
      <c r="H144" s="37"/>
      <c r="I144" s="37">
        <f t="shared" ref="I144:I158" si="227">J144+K144</f>
        <v>2080936.53</v>
      </c>
      <c r="J144" s="37">
        <v>2050936.53</v>
      </c>
      <c r="K144" s="37">
        <v>30000</v>
      </c>
      <c r="L144" s="37">
        <v>30000</v>
      </c>
      <c r="M144" s="38">
        <f t="shared" si="221"/>
        <v>1.1974766906153198</v>
      </c>
      <c r="N144" s="38">
        <f t="shared" si="222"/>
        <v>1.1802131651783092</v>
      </c>
      <c r="O144" s="38"/>
      <c r="P144" s="38"/>
      <c r="Q144" s="39">
        <f t="shared" si="162"/>
        <v>343168.65000000014</v>
      </c>
      <c r="R144" s="39">
        <f t="shared" si="163"/>
        <v>313168.65000000014</v>
      </c>
      <c r="S144" s="39">
        <f t="shared" si="164"/>
        <v>30000</v>
      </c>
      <c r="T144" s="39">
        <f t="shared" si="165"/>
        <v>30000</v>
      </c>
    </row>
    <row r="145" spans="1:20" s="41" customFormat="1" ht="37.5" x14ac:dyDescent="0.25">
      <c r="A145" s="62" t="s">
        <v>293</v>
      </c>
      <c r="B145" s="62" t="s">
        <v>8</v>
      </c>
      <c r="C145" s="62" t="s">
        <v>6</v>
      </c>
      <c r="D145" s="27" t="s">
        <v>109</v>
      </c>
      <c r="E145" s="37">
        <f t="shared" si="223"/>
        <v>19967.599999999999</v>
      </c>
      <c r="F145" s="37">
        <v>19967.599999999999</v>
      </c>
      <c r="G145" s="37"/>
      <c r="H145" s="37"/>
      <c r="I145" s="37">
        <f t="shared" si="227"/>
        <v>30537.279999999999</v>
      </c>
      <c r="J145" s="37">
        <v>30537.279999999999</v>
      </c>
      <c r="K145" s="37"/>
      <c r="L145" s="37"/>
      <c r="M145" s="38">
        <f t="shared" si="221"/>
        <v>1.52934153328392</v>
      </c>
      <c r="N145" s="38">
        <f t="shared" si="222"/>
        <v>1.52934153328392</v>
      </c>
      <c r="O145" s="38"/>
      <c r="P145" s="38"/>
      <c r="Q145" s="39">
        <f t="shared" ref="Q145" si="228">I145-E145</f>
        <v>10569.68</v>
      </c>
      <c r="R145" s="39">
        <f t="shared" ref="R145" si="229">J145-F145</f>
        <v>10569.68</v>
      </c>
      <c r="S145" s="39">
        <f t="shared" ref="S145" si="230">K145-G145</f>
        <v>0</v>
      </c>
      <c r="T145" s="39">
        <f t="shared" ref="T145" si="231">L145-H145</f>
        <v>0</v>
      </c>
    </row>
    <row r="146" spans="1:20" s="41" customFormat="1" ht="56.25" x14ac:dyDescent="0.25">
      <c r="A146" s="62" t="s">
        <v>260</v>
      </c>
      <c r="B146" s="62" t="s">
        <v>157</v>
      </c>
      <c r="C146" s="62" t="s">
        <v>7</v>
      </c>
      <c r="D146" s="27" t="s">
        <v>261</v>
      </c>
      <c r="E146" s="37">
        <f t="shared" si="223"/>
        <v>3399.17</v>
      </c>
      <c r="F146" s="37">
        <v>3399.17</v>
      </c>
      <c r="G146" s="37"/>
      <c r="H146" s="37"/>
      <c r="I146" s="37">
        <f t="shared" si="227"/>
        <v>64465.599999999999</v>
      </c>
      <c r="J146" s="37">
        <v>64465.599999999999</v>
      </c>
      <c r="K146" s="37"/>
      <c r="L146" s="37"/>
      <c r="M146" s="38" t="s">
        <v>364</v>
      </c>
      <c r="N146" s="38" t="s">
        <v>364</v>
      </c>
      <c r="O146" s="38"/>
      <c r="P146" s="38"/>
      <c r="Q146" s="39">
        <f t="shared" si="162"/>
        <v>61066.43</v>
      </c>
      <c r="R146" s="39">
        <f t="shared" si="163"/>
        <v>61066.43</v>
      </c>
      <c r="S146" s="39">
        <f t="shared" si="164"/>
        <v>0</v>
      </c>
      <c r="T146" s="39">
        <f t="shared" si="165"/>
        <v>0</v>
      </c>
    </row>
    <row r="147" spans="1:20" s="41" customFormat="1" ht="56.25" x14ac:dyDescent="0.25">
      <c r="A147" s="62">
        <v>3117350</v>
      </c>
      <c r="B147" s="62">
        <v>7350</v>
      </c>
      <c r="C147" s="61" t="s">
        <v>294</v>
      </c>
      <c r="D147" s="27" t="s">
        <v>295</v>
      </c>
      <c r="E147" s="37">
        <f t="shared" si="223"/>
        <v>0</v>
      </c>
      <c r="F147" s="37"/>
      <c r="G147" s="37"/>
      <c r="H147" s="37"/>
      <c r="I147" s="37">
        <f t="shared" si="227"/>
        <v>787541.28</v>
      </c>
      <c r="J147" s="37">
        <v>787541.28</v>
      </c>
      <c r="K147" s="37"/>
      <c r="L147" s="37"/>
      <c r="M147" s="38"/>
      <c r="N147" s="38"/>
      <c r="O147" s="38"/>
      <c r="P147" s="38"/>
      <c r="Q147" s="39">
        <f t="shared" ref="Q147" si="232">I147-E147</f>
        <v>787541.28</v>
      </c>
      <c r="R147" s="39">
        <f t="shared" ref="R147" si="233">J147-F147</f>
        <v>787541.28</v>
      </c>
      <c r="S147" s="39">
        <f t="shared" ref="S147" si="234">K147-G147</f>
        <v>0</v>
      </c>
      <c r="T147" s="39">
        <f t="shared" ref="T147" si="235">L147-H147</f>
        <v>0</v>
      </c>
    </row>
    <row r="148" spans="1:20" s="41" customFormat="1" ht="37.5" x14ac:dyDescent="0.25">
      <c r="A148" s="64" t="s">
        <v>181</v>
      </c>
      <c r="B148" s="64" t="s">
        <v>135</v>
      </c>
      <c r="C148" s="64" t="s">
        <v>20</v>
      </c>
      <c r="D148" s="36" t="s">
        <v>136</v>
      </c>
      <c r="E148" s="37">
        <f t="shared" si="223"/>
        <v>8192695.2400000002</v>
      </c>
      <c r="F148" s="37">
        <v>8192695.2400000002</v>
      </c>
      <c r="G148" s="37"/>
      <c r="H148" s="37"/>
      <c r="I148" s="37">
        <f t="shared" si="227"/>
        <v>9461061.0899999999</v>
      </c>
      <c r="J148" s="37">
        <f>561013.5+476332.69+139750+8283964.9</f>
        <v>9461061.0899999999</v>
      </c>
      <c r="K148" s="37"/>
      <c r="L148" s="37"/>
      <c r="M148" s="38">
        <f t="shared" si="221"/>
        <v>1.1548166766667132</v>
      </c>
      <c r="N148" s="38">
        <f t="shared" si="222"/>
        <v>1.1548166766667132</v>
      </c>
      <c r="O148" s="38"/>
      <c r="P148" s="38"/>
      <c r="Q148" s="39">
        <f t="shared" si="162"/>
        <v>1268365.8499999996</v>
      </c>
      <c r="R148" s="39">
        <f t="shared" si="163"/>
        <v>1268365.8499999996</v>
      </c>
      <c r="S148" s="39">
        <f t="shared" si="164"/>
        <v>0</v>
      </c>
      <c r="T148" s="39">
        <f t="shared" si="165"/>
        <v>0</v>
      </c>
    </row>
    <row r="149" spans="1:20" s="41" customFormat="1" ht="56.25" x14ac:dyDescent="0.25">
      <c r="A149" s="62">
        <v>3118110</v>
      </c>
      <c r="B149" s="62">
        <v>8110</v>
      </c>
      <c r="C149" s="61" t="s">
        <v>5</v>
      </c>
      <c r="D149" s="27" t="s">
        <v>137</v>
      </c>
      <c r="E149" s="37">
        <f t="shared" si="223"/>
        <v>0</v>
      </c>
      <c r="F149" s="37"/>
      <c r="G149" s="37"/>
      <c r="H149" s="37"/>
      <c r="I149" s="37">
        <f t="shared" si="227"/>
        <v>22200.400000000001</v>
      </c>
      <c r="J149" s="37">
        <f>17076+5124.4</f>
        <v>22200.400000000001</v>
      </c>
      <c r="K149" s="37"/>
      <c r="L149" s="37"/>
      <c r="M149" s="38"/>
      <c r="N149" s="38"/>
      <c r="O149" s="38"/>
      <c r="P149" s="38"/>
      <c r="Q149" s="39">
        <f t="shared" ref="Q149" si="236">I149-E149</f>
        <v>22200.400000000001</v>
      </c>
      <c r="R149" s="39">
        <f t="shared" ref="R149" si="237">J149-F149</f>
        <v>22200.400000000001</v>
      </c>
      <c r="S149" s="39">
        <f t="shared" ref="S149" si="238">K149-G149</f>
        <v>0</v>
      </c>
      <c r="T149" s="39">
        <f t="shared" ref="T149" si="239">L149-H149</f>
        <v>0</v>
      </c>
    </row>
    <row r="150" spans="1:20" s="41" customFormat="1" ht="37.5" x14ac:dyDescent="0.25">
      <c r="A150" s="61">
        <v>3118240</v>
      </c>
      <c r="B150" s="61">
        <v>8240</v>
      </c>
      <c r="C150" s="61" t="s">
        <v>227</v>
      </c>
      <c r="D150" s="27" t="s">
        <v>258</v>
      </c>
      <c r="E150" s="37">
        <f t="shared" si="223"/>
        <v>6328.33</v>
      </c>
      <c r="F150" s="37">
        <v>6328.33</v>
      </c>
      <c r="G150" s="37"/>
      <c r="H150" s="37"/>
      <c r="I150" s="37">
        <f t="shared" si="227"/>
        <v>44875.47</v>
      </c>
      <c r="J150" s="37">
        <v>44875.47</v>
      </c>
      <c r="K150" s="37"/>
      <c r="L150" s="37"/>
      <c r="M150" s="38" t="s">
        <v>365</v>
      </c>
      <c r="N150" s="38" t="s">
        <v>365</v>
      </c>
      <c r="O150" s="38"/>
      <c r="P150" s="38"/>
      <c r="Q150" s="39">
        <f t="shared" si="162"/>
        <v>38547.14</v>
      </c>
      <c r="R150" s="39">
        <f t="shared" si="163"/>
        <v>38547.14</v>
      </c>
      <c r="S150" s="39"/>
      <c r="T150" s="39"/>
    </row>
    <row r="151" spans="1:20" s="33" customFormat="1" ht="56.25" x14ac:dyDescent="0.25">
      <c r="A151" s="63" t="s">
        <v>98</v>
      </c>
      <c r="B151" s="63"/>
      <c r="C151" s="63"/>
      <c r="D151" s="29" t="s">
        <v>220</v>
      </c>
      <c r="E151" s="34">
        <f t="shared" ref="E151:L151" si="240">E152</f>
        <v>18854036.620000001</v>
      </c>
      <c r="F151" s="34">
        <f t="shared" si="240"/>
        <v>16340678.620000001</v>
      </c>
      <c r="G151" s="34">
        <f t="shared" si="240"/>
        <v>2513358</v>
      </c>
      <c r="H151" s="34">
        <f t="shared" si="240"/>
        <v>2513358</v>
      </c>
      <c r="I151" s="34">
        <f t="shared" si="240"/>
        <v>56916128.350000001</v>
      </c>
      <c r="J151" s="34">
        <f t="shared" si="240"/>
        <v>52805059.350000001</v>
      </c>
      <c r="K151" s="34">
        <f t="shared" si="240"/>
        <v>4111069</v>
      </c>
      <c r="L151" s="34">
        <f t="shared" si="240"/>
        <v>4110110</v>
      </c>
      <c r="M151" s="31" t="s">
        <v>311</v>
      </c>
      <c r="N151" s="31" t="s">
        <v>311</v>
      </c>
      <c r="O151" s="38">
        <f t="shared" si="175"/>
        <v>1.635687792984525</v>
      </c>
      <c r="P151" s="38">
        <f t="shared" si="175"/>
        <v>1.6353062317425533</v>
      </c>
      <c r="Q151" s="32">
        <f t="shared" si="162"/>
        <v>38062091.730000004</v>
      </c>
      <c r="R151" s="32">
        <f t="shared" si="163"/>
        <v>36464380.730000004</v>
      </c>
      <c r="S151" s="32">
        <f t="shared" si="164"/>
        <v>1597711</v>
      </c>
      <c r="T151" s="32">
        <f t="shared" si="165"/>
        <v>1596752</v>
      </c>
    </row>
    <row r="152" spans="1:20" s="35" customFormat="1" ht="56.25" x14ac:dyDescent="0.25">
      <c r="A152" s="63" t="s">
        <v>99</v>
      </c>
      <c r="B152" s="63"/>
      <c r="C152" s="63"/>
      <c r="D152" s="29" t="s">
        <v>221</v>
      </c>
      <c r="E152" s="34">
        <f t="shared" ref="E152:E157" si="241">F152+G152</f>
        <v>18854036.620000001</v>
      </c>
      <c r="F152" s="34">
        <f>F153+F154+F155+F157+F156</f>
        <v>16340678.620000001</v>
      </c>
      <c r="G152" s="34">
        <f t="shared" ref="G152:H152" si="242">G153+G154+G155+G157+G156</f>
        <v>2513358</v>
      </c>
      <c r="H152" s="34">
        <f t="shared" si="242"/>
        <v>2513358</v>
      </c>
      <c r="I152" s="34">
        <f t="shared" ref="I152" si="243">J152+K152</f>
        <v>56916128.350000001</v>
      </c>
      <c r="J152" s="34">
        <f>J153+J154+J155+J157+J156</f>
        <v>52805059.350000001</v>
      </c>
      <c r="K152" s="34">
        <f t="shared" ref="K152:L152" si="244">K153+K154+K155+K157+K156</f>
        <v>4111069</v>
      </c>
      <c r="L152" s="34">
        <f t="shared" si="244"/>
        <v>4110110</v>
      </c>
      <c r="M152" s="31" t="s">
        <v>311</v>
      </c>
      <c r="N152" s="31" t="s">
        <v>311</v>
      </c>
      <c r="O152" s="31"/>
      <c r="P152" s="31"/>
      <c r="Q152" s="32">
        <f t="shared" si="162"/>
        <v>38062091.730000004</v>
      </c>
      <c r="R152" s="32">
        <f t="shared" si="163"/>
        <v>36464380.730000004</v>
      </c>
      <c r="S152" s="32">
        <f t="shared" si="164"/>
        <v>1597711</v>
      </c>
      <c r="T152" s="32">
        <f t="shared" si="165"/>
        <v>1596752</v>
      </c>
    </row>
    <row r="153" spans="1:20" s="41" customFormat="1" ht="56.25" x14ac:dyDescent="0.25">
      <c r="A153" s="64" t="s">
        <v>100</v>
      </c>
      <c r="B153" s="64" t="s">
        <v>58</v>
      </c>
      <c r="C153" s="64" t="s">
        <v>3</v>
      </c>
      <c r="D153" s="36" t="s">
        <v>247</v>
      </c>
      <c r="E153" s="37">
        <f t="shared" si="241"/>
        <v>3284974.96</v>
      </c>
      <c r="F153" s="37">
        <v>3284974.96</v>
      </c>
      <c r="G153" s="37"/>
      <c r="H153" s="37"/>
      <c r="I153" s="37">
        <f t="shared" si="227"/>
        <v>3608120.35</v>
      </c>
      <c r="J153" s="37">
        <v>3607161.35</v>
      </c>
      <c r="K153" s="37">
        <v>959</v>
      </c>
      <c r="L153" s="37"/>
      <c r="M153" s="38">
        <f t="shared" si="175"/>
        <v>1.0983707315686815</v>
      </c>
      <c r="N153" s="38">
        <f t="shared" si="161"/>
        <v>1.0980787963144778</v>
      </c>
      <c r="O153" s="38"/>
      <c r="P153" s="38"/>
      <c r="Q153" s="39">
        <f t="shared" si="162"/>
        <v>323145.39000000013</v>
      </c>
      <c r="R153" s="39">
        <f t="shared" si="163"/>
        <v>322186.39000000013</v>
      </c>
      <c r="S153" s="39">
        <f t="shared" si="164"/>
        <v>959</v>
      </c>
      <c r="T153" s="39">
        <f t="shared" si="165"/>
        <v>0</v>
      </c>
    </row>
    <row r="154" spans="1:20" s="41" customFormat="1" ht="37.5" x14ac:dyDescent="0.25">
      <c r="A154" s="64" t="s">
        <v>110</v>
      </c>
      <c r="B154" s="64" t="s">
        <v>8</v>
      </c>
      <c r="C154" s="64" t="s">
        <v>6</v>
      </c>
      <c r="D154" s="36" t="s">
        <v>109</v>
      </c>
      <c r="E154" s="37">
        <f t="shared" si="241"/>
        <v>35216</v>
      </c>
      <c r="F154" s="37">
        <v>35216</v>
      </c>
      <c r="G154" s="37"/>
      <c r="H154" s="37"/>
      <c r="I154" s="37">
        <f t="shared" si="227"/>
        <v>44408</v>
      </c>
      <c r="J154" s="37">
        <v>44408</v>
      </c>
      <c r="K154" s="37"/>
      <c r="L154" s="37"/>
      <c r="M154" s="38">
        <f t="shared" si="175"/>
        <v>1.261017719218537</v>
      </c>
      <c r="N154" s="38">
        <f t="shared" si="161"/>
        <v>1.261017719218537</v>
      </c>
      <c r="O154" s="38"/>
      <c r="P154" s="38"/>
      <c r="Q154" s="39">
        <f t="shared" si="162"/>
        <v>9192</v>
      </c>
      <c r="R154" s="39">
        <f t="shared" si="163"/>
        <v>9192</v>
      </c>
      <c r="S154" s="39">
        <f t="shared" si="164"/>
        <v>0</v>
      </c>
      <c r="T154" s="39">
        <f t="shared" si="165"/>
        <v>0</v>
      </c>
    </row>
    <row r="155" spans="1:20" s="41" customFormat="1" ht="18.75" x14ac:dyDescent="0.25">
      <c r="A155" s="64" t="s">
        <v>112</v>
      </c>
      <c r="B155" s="64" t="s">
        <v>111</v>
      </c>
      <c r="C155" s="64" t="s">
        <v>8</v>
      </c>
      <c r="D155" s="36" t="s">
        <v>2</v>
      </c>
      <c r="E155" s="37">
        <f t="shared" si="241"/>
        <v>6419166.6600000001</v>
      </c>
      <c r="F155" s="37">
        <v>6419166.6600000001</v>
      </c>
      <c r="G155" s="37"/>
      <c r="H155" s="37"/>
      <c r="I155" s="37">
        <f t="shared" si="227"/>
        <v>7721100</v>
      </c>
      <c r="J155" s="37">
        <v>7721100</v>
      </c>
      <c r="K155" s="37"/>
      <c r="L155" s="37"/>
      <c r="M155" s="38">
        <f t="shared" ref="M155" si="245">I155/E155</f>
        <v>1.202819681893101</v>
      </c>
      <c r="N155" s="38">
        <f t="shared" ref="N155" si="246">J155/F155</f>
        <v>1.202819681893101</v>
      </c>
      <c r="O155" s="38"/>
      <c r="P155" s="38"/>
      <c r="Q155" s="39">
        <f t="shared" si="162"/>
        <v>1301933.3399999999</v>
      </c>
      <c r="R155" s="39">
        <f t="shared" si="163"/>
        <v>1301933.3399999999</v>
      </c>
      <c r="S155" s="39">
        <f t="shared" si="164"/>
        <v>0</v>
      </c>
      <c r="T155" s="39">
        <f t="shared" si="165"/>
        <v>0</v>
      </c>
    </row>
    <row r="156" spans="1:20" s="41" customFormat="1" ht="18.75" x14ac:dyDescent="0.25">
      <c r="A156" s="64" t="s">
        <v>165</v>
      </c>
      <c r="B156" s="64" t="s">
        <v>163</v>
      </c>
      <c r="C156" s="64" t="s">
        <v>8</v>
      </c>
      <c r="D156" s="58" t="s">
        <v>164</v>
      </c>
      <c r="E156" s="37">
        <f t="shared" si="241"/>
        <v>2240000</v>
      </c>
      <c r="F156" s="37">
        <v>2240000</v>
      </c>
      <c r="G156" s="37"/>
      <c r="H156" s="37"/>
      <c r="I156" s="37">
        <f t="shared" si="227"/>
        <v>20320000</v>
      </c>
      <c r="J156" s="37">
        <v>20320000</v>
      </c>
      <c r="K156" s="37"/>
      <c r="L156" s="37"/>
      <c r="M156" s="38" t="s">
        <v>366</v>
      </c>
      <c r="N156" s="38" t="s">
        <v>366</v>
      </c>
      <c r="O156" s="38"/>
      <c r="P156" s="38"/>
      <c r="Q156" s="39">
        <f t="shared" si="162"/>
        <v>18080000</v>
      </c>
      <c r="R156" s="39">
        <f t="shared" si="163"/>
        <v>18080000</v>
      </c>
      <c r="S156" s="39">
        <f t="shared" si="164"/>
        <v>0</v>
      </c>
      <c r="T156" s="39">
        <f t="shared" si="165"/>
        <v>0</v>
      </c>
    </row>
    <row r="157" spans="1:20" s="41" customFormat="1" ht="75" x14ac:dyDescent="0.25">
      <c r="A157" s="64" t="s">
        <v>161</v>
      </c>
      <c r="B157" s="64" t="s">
        <v>159</v>
      </c>
      <c r="C157" s="66" t="s">
        <v>8</v>
      </c>
      <c r="D157" s="57" t="s">
        <v>160</v>
      </c>
      <c r="E157" s="37">
        <f t="shared" si="241"/>
        <v>6874679</v>
      </c>
      <c r="F157" s="37">
        <v>4361321</v>
      </c>
      <c r="G157" s="37">
        <v>2513358</v>
      </c>
      <c r="H157" s="37">
        <v>2513358</v>
      </c>
      <c r="I157" s="37">
        <f t="shared" si="227"/>
        <v>25222500</v>
      </c>
      <c r="J157" s="37">
        <v>21112390</v>
      </c>
      <c r="K157" s="37">
        <v>4110110</v>
      </c>
      <c r="L157" s="37">
        <v>4110110</v>
      </c>
      <c r="M157" s="38" t="s">
        <v>374</v>
      </c>
      <c r="N157" s="38" t="s">
        <v>375</v>
      </c>
      <c r="O157" s="31">
        <f t="shared" ref="O157:P157" si="247">K157/G157</f>
        <v>1.6353062317425533</v>
      </c>
      <c r="P157" s="31">
        <f t="shared" si="247"/>
        <v>1.6353062317425533</v>
      </c>
      <c r="Q157" s="39">
        <f t="shared" si="162"/>
        <v>18347821</v>
      </c>
      <c r="R157" s="39">
        <f t="shared" si="163"/>
        <v>16751069</v>
      </c>
      <c r="S157" s="39">
        <f t="shared" si="164"/>
        <v>1596752</v>
      </c>
      <c r="T157" s="39">
        <f t="shared" si="165"/>
        <v>1596752</v>
      </c>
    </row>
    <row r="158" spans="1:20" s="35" customFormat="1" ht="18.75" x14ac:dyDescent="0.25">
      <c r="A158" s="63"/>
      <c r="B158" s="63"/>
      <c r="C158" s="63"/>
      <c r="D158" s="59" t="s">
        <v>1</v>
      </c>
      <c r="E158" s="34">
        <f t="shared" ref="E158" si="248">F158+G158</f>
        <v>548984018.98000002</v>
      </c>
      <c r="F158" s="34">
        <f>F9+F35+F58+F82+F94+F103+F122+F142+F151+F78</f>
        <v>540358849.36000001</v>
      </c>
      <c r="G158" s="34">
        <f>G9+G35+G58+G82+G94+G103+G122+G142+G151+G78</f>
        <v>8625169.620000001</v>
      </c>
      <c r="H158" s="34">
        <f>H9+H35+H58+H82+H94+H103+H122+H142+H151+H78</f>
        <v>3493454</v>
      </c>
      <c r="I158" s="34">
        <f t="shared" si="227"/>
        <v>698298672.31000006</v>
      </c>
      <c r="J158" s="34">
        <f>J9+J35+J58+J82+J94+J103+J122+J142+J151+J78</f>
        <v>627544606.99000001</v>
      </c>
      <c r="K158" s="34">
        <f>K9+K35+K58+K82+K94+K103+K122+K142+K151+K78</f>
        <v>70754065.320000008</v>
      </c>
      <c r="L158" s="34">
        <f>L9+L35+L58+L82+L94+L103+L122+L142+L151+L78</f>
        <v>55179594.120000005</v>
      </c>
      <c r="M158" s="31">
        <f t="shared" si="175"/>
        <v>1.2719836063851608</v>
      </c>
      <c r="N158" s="31">
        <f t="shared" si="161"/>
        <v>1.1613478852678412</v>
      </c>
      <c r="O158" s="31" t="s">
        <v>269</v>
      </c>
      <c r="P158" s="31" t="s">
        <v>367</v>
      </c>
      <c r="Q158" s="32">
        <f t="shared" si="162"/>
        <v>149314653.33000004</v>
      </c>
      <c r="R158" s="32">
        <f t="shared" si="163"/>
        <v>87185757.629999995</v>
      </c>
      <c r="S158" s="32">
        <f t="shared" si="164"/>
        <v>62128895.700000003</v>
      </c>
      <c r="T158" s="32">
        <f t="shared" si="165"/>
        <v>51686140.120000005</v>
      </c>
    </row>
    <row r="159" spans="1:20" s="6" customFormat="1" ht="18.75" x14ac:dyDescent="0.3">
      <c r="A159" s="11"/>
      <c r="B159" s="11"/>
      <c r="C159" s="11"/>
      <c r="D159" s="16"/>
      <c r="E159" s="16"/>
      <c r="F159" s="16"/>
      <c r="G159" s="16"/>
      <c r="H159" s="16"/>
      <c r="I159" s="16"/>
      <c r="J159" s="7"/>
      <c r="K159" s="17"/>
      <c r="L159" s="17"/>
      <c r="M159" s="7"/>
      <c r="N159" s="17"/>
      <c r="O159" s="17"/>
      <c r="P159" s="17"/>
      <c r="Q159" s="18"/>
      <c r="R159" s="18"/>
      <c r="S159" s="18"/>
      <c r="T159" s="18"/>
    </row>
    <row r="160" spans="1:20" s="7" customFormat="1" ht="18.75" x14ac:dyDescent="0.3">
      <c r="D160" s="7" t="s">
        <v>188</v>
      </c>
      <c r="E160" s="11"/>
      <c r="F160" s="11"/>
      <c r="G160" s="18"/>
      <c r="H160" s="16"/>
      <c r="J160" s="22"/>
      <c r="K160" s="17" t="s">
        <v>225</v>
      </c>
      <c r="L160" s="23"/>
      <c r="M160" s="16"/>
      <c r="N160" s="17"/>
      <c r="O160" s="17"/>
      <c r="P160" s="17"/>
      <c r="R160" s="18"/>
      <c r="S160" s="18"/>
      <c r="T160" s="18"/>
    </row>
    <row r="161" spans="1:11" s="20" customFormat="1" ht="15.75" x14ac:dyDescent="0.25">
      <c r="A161" s="9"/>
      <c r="B161" s="9"/>
      <c r="C161" s="9"/>
      <c r="E161" s="10"/>
      <c r="F161" s="10"/>
      <c r="G161" s="15"/>
      <c r="J161" s="15"/>
      <c r="K161" s="14"/>
    </row>
    <row r="165" spans="1:11" x14ac:dyDescent="0.25">
      <c r="H165" s="19"/>
    </row>
    <row r="166" spans="1:11" x14ac:dyDescent="0.25">
      <c r="H166" s="19"/>
    </row>
    <row r="167" spans="1:11" x14ac:dyDescent="0.25">
      <c r="H167" s="19"/>
    </row>
  </sheetData>
  <mergeCells count="29">
    <mergeCell ref="A2:T2"/>
    <mergeCell ref="K5:L5"/>
    <mergeCell ref="N5:N7"/>
    <mergeCell ref="O5:P5"/>
    <mergeCell ref="K6:K7"/>
    <mergeCell ref="I3:L3"/>
    <mergeCell ref="I4:I7"/>
    <mergeCell ref="J4:L4"/>
    <mergeCell ref="J5:J7"/>
    <mergeCell ref="A3:A7"/>
    <mergeCell ref="B3:B7"/>
    <mergeCell ref="C3:C7"/>
    <mergeCell ref="D3:D7"/>
    <mergeCell ref="F5:F7"/>
    <mergeCell ref="Q3:T3"/>
    <mergeCell ref="Q4:Q7"/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</mergeCells>
  <pageMargins left="0.35433070866141736" right="0.15748031496062992" top="0.15748031496062992" bottom="0.11811023622047245" header="0.15748031496062992" footer="0.11811023622047245"/>
  <pageSetup paperSize="9" scale="35" fitToHeight="7" orientation="landscape" r:id="rId1"/>
  <rowBreaks count="2" manualBreakCount="2">
    <brk id="75" max="19" man="1"/>
    <brk id="11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рік</vt:lpstr>
      <vt:lpstr>рік!Заголовки_для_друку</vt:lpstr>
      <vt:lpstr>рік!Область_друку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220FU9</cp:lastModifiedBy>
  <cp:lastPrinted>2023-04-24T08:58:02Z</cp:lastPrinted>
  <dcterms:created xsi:type="dcterms:W3CDTF">2012-12-15T07:44:03Z</dcterms:created>
  <dcterms:modified xsi:type="dcterms:W3CDTF">2023-10-13T06:32:36Z</dcterms:modified>
</cp:coreProperties>
</file>