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 2\"/>
    </mc:Choice>
  </mc:AlternateContent>
  <bookViews>
    <workbookView xWindow="-109" yWindow="-109" windowWidth="23244" windowHeight="12566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O47" i="1"/>
  <c r="K47" i="1"/>
  <c r="F28" i="1" l="1"/>
  <c r="F30" i="1"/>
  <c r="J225" i="1" l="1"/>
  <c r="E225" i="1"/>
  <c r="O54" i="1" l="1"/>
  <c r="K54" i="1"/>
  <c r="H61" i="1"/>
  <c r="F61" i="1"/>
  <c r="F29" i="1" l="1"/>
  <c r="F27" i="1"/>
  <c r="G229" i="1" l="1"/>
  <c r="H234" i="1"/>
  <c r="G234" i="1"/>
  <c r="G235" i="1" s="1"/>
  <c r="Q207" i="1"/>
  <c r="R184" i="1"/>
  <c r="Q184" i="1"/>
  <c r="R174" i="1"/>
  <c r="Q174" i="1"/>
  <c r="R151" i="1"/>
  <c r="Q151" i="1"/>
  <c r="R124" i="1"/>
  <c r="Q124" i="1"/>
  <c r="R115" i="1"/>
  <c r="Q115" i="1"/>
  <c r="R104" i="1"/>
  <c r="Q104" i="1"/>
  <c r="R98" i="1"/>
  <c r="Q98" i="1"/>
  <c r="R77" i="1"/>
  <c r="Q77" i="1"/>
  <c r="Q50" i="1"/>
  <c r="Q18" i="1"/>
  <c r="K199" i="1" l="1"/>
  <c r="F199" i="1"/>
  <c r="O161" i="1"/>
  <c r="K161" i="1"/>
  <c r="O136" i="1"/>
  <c r="K136" i="1"/>
  <c r="I136" i="1"/>
  <c r="I132" i="1"/>
  <c r="O130" i="1"/>
  <c r="K130" i="1"/>
  <c r="I130" i="1"/>
  <c r="G73" i="1"/>
  <c r="F73" i="1"/>
  <c r="H56" i="1"/>
  <c r="F55" i="1"/>
  <c r="G55" i="1"/>
  <c r="G54" i="1"/>
  <c r="F54" i="1"/>
  <c r="F45" i="1"/>
  <c r="F35" i="1"/>
  <c r="F26" i="1"/>
  <c r="O199" i="1"/>
  <c r="O143" i="1" l="1"/>
  <c r="K143" i="1"/>
  <c r="L215" i="1" l="1"/>
  <c r="M215" i="1"/>
  <c r="N215" i="1"/>
  <c r="L99" i="1"/>
  <c r="M99" i="1"/>
  <c r="N99" i="1"/>
  <c r="O99" i="1"/>
  <c r="K99" i="1"/>
  <c r="H99" i="1"/>
  <c r="I99" i="1"/>
  <c r="L78" i="1"/>
  <c r="M78" i="1"/>
  <c r="N78" i="1"/>
  <c r="I78" i="1"/>
  <c r="J103" i="1"/>
  <c r="E103" i="1"/>
  <c r="P103" i="1" l="1"/>
  <c r="H217" i="1"/>
  <c r="I217" i="1"/>
  <c r="M217" i="1"/>
  <c r="N217" i="1"/>
  <c r="O201" i="1"/>
  <c r="K201" i="1"/>
  <c r="F201" i="1"/>
  <c r="O170" i="1"/>
  <c r="K170" i="1"/>
  <c r="O164" i="1"/>
  <c r="K164" i="1"/>
  <c r="O55" i="1"/>
  <c r="K55" i="1"/>
  <c r="J48" i="1"/>
  <c r="E48" i="1"/>
  <c r="P48" i="1" l="1"/>
  <c r="L190" i="1"/>
  <c r="M190" i="1"/>
  <c r="N190" i="1"/>
  <c r="I139" i="1"/>
  <c r="M125" i="1"/>
  <c r="N125" i="1"/>
  <c r="G216" i="1"/>
  <c r="H216" i="1"/>
  <c r="L216" i="1"/>
  <c r="M216" i="1"/>
  <c r="N216" i="1"/>
  <c r="O186" i="1"/>
  <c r="K186" i="1"/>
  <c r="O181" i="1" l="1"/>
  <c r="K181" i="1"/>
  <c r="I181" i="1"/>
  <c r="O168" i="1"/>
  <c r="K168" i="1"/>
  <c r="O167" i="1"/>
  <c r="K167" i="1"/>
  <c r="O163" i="1"/>
  <c r="K163" i="1"/>
  <c r="O162" i="1"/>
  <c r="K162" i="1"/>
  <c r="O160" i="1"/>
  <c r="K160" i="1"/>
  <c r="O158" i="1"/>
  <c r="K158" i="1"/>
  <c r="H125" i="1"/>
  <c r="F147" i="1"/>
  <c r="I145" i="1"/>
  <c r="J143" i="1"/>
  <c r="E142" i="1"/>
  <c r="E143" i="1"/>
  <c r="O137" i="1"/>
  <c r="K137" i="1"/>
  <c r="H112" i="1"/>
  <c r="G106" i="1"/>
  <c r="F106" i="1"/>
  <c r="G100" i="1"/>
  <c r="G99" i="1" s="1"/>
  <c r="F100" i="1"/>
  <c r="F99" i="1" s="1"/>
  <c r="F96" i="1"/>
  <c r="F88" i="1"/>
  <c r="F85" i="1"/>
  <c r="G85" i="1"/>
  <c r="F84" i="1"/>
  <c r="F83" i="1"/>
  <c r="G79" i="1"/>
  <c r="G78" i="1" s="1"/>
  <c r="F79" i="1"/>
  <c r="M51" i="1"/>
  <c r="N51" i="1"/>
  <c r="E74" i="1"/>
  <c r="P74" i="1" s="1"/>
  <c r="H73" i="1"/>
  <c r="L70" i="1"/>
  <c r="L51" i="1" s="1"/>
  <c r="F69" i="1"/>
  <c r="H59" i="1"/>
  <c r="G59" i="1"/>
  <c r="F59" i="1"/>
  <c r="F56" i="1"/>
  <c r="H55" i="1"/>
  <c r="H54" i="1"/>
  <c r="F37" i="1"/>
  <c r="O27" i="1"/>
  <c r="K27" i="1"/>
  <c r="F21" i="1"/>
  <c r="P143" i="1" l="1"/>
  <c r="F136" i="1" l="1"/>
  <c r="G33" i="1"/>
  <c r="G215" i="1" s="1"/>
  <c r="H33" i="1"/>
  <c r="H215" i="1" s="1"/>
  <c r="I33" i="1"/>
  <c r="E35" i="1" l="1"/>
  <c r="F186" i="1" l="1"/>
  <c r="G211" i="1" l="1"/>
  <c r="H211" i="1"/>
  <c r="I211" i="1"/>
  <c r="L211" i="1"/>
  <c r="M211" i="1"/>
  <c r="N211" i="1"/>
  <c r="K210" i="1"/>
  <c r="L210" i="1"/>
  <c r="M210" i="1"/>
  <c r="N210" i="1"/>
  <c r="O210" i="1"/>
  <c r="G176" i="1"/>
  <c r="F176" i="1"/>
  <c r="G154" i="1"/>
  <c r="G152" i="1" s="1"/>
  <c r="F154" i="1"/>
  <c r="E188" i="1"/>
  <c r="O173" i="1"/>
  <c r="K173" i="1"/>
  <c r="O166" i="1"/>
  <c r="K166" i="1"/>
  <c r="O165" i="1"/>
  <c r="K165" i="1"/>
  <c r="I163" i="1"/>
  <c r="L152" i="1"/>
  <c r="M152" i="1"/>
  <c r="N152" i="1"/>
  <c r="H152" i="1"/>
  <c r="J157" i="1"/>
  <c r="P157" i="1" s="1"/>
  <c r="O135" i="1" l="1"/>
  <c r="J135" i="1" s="1"/>
  <c r="K135" i="1"/>
  <c r="E135" i="1"/>
  <c r="F87" i="1"/>
  <c r="J70" i="1"/>
  <c r="J69" i="1"/>
  <c r="E69" i="1"/>
  <c r="E70" i="1"/>
  <c r="P135" i="1" l="1"/>
  <c r="P70" i="1"/>
  <c r="P69" i="1"/>
  <c r="I39" i="1" l="1"/>
  <c r="I38" i="1"/>
  <c r="I19" i="1" s="1"/>
  <c r="J38" i="1"/>
  <c r="E38" i="1" l="1"/>
  <c r="P38" i="1"/>
  <c r="I209" i="1" l="1"/>
  <c r="L197" i="1"/>
  <c r="M197" i="1"/>
  <c r="N197" i="1"/>
  <c r="G197" i="1"/>
  <c r="H197" i="1"/>
  <c r="I197" i="1"/>
  <c r="J206" i="1"/>
  <c r="P206" i="1" s="1"/>
  <c r="J205" i="1"/>
  <c r="P205" i="1" s="1"/>
  <c r="F198" i="1" l="1"/>
  <c r="F196" i="1"/>
  <c r="O171" i="1"/>
  <c r="K171" i="1"/>
  <c r="I166" i="1"/>
  <c r="O156" i="1"/>
  <c r="O211" i="1" s="1"/>
  <c r="K156" i="1"/>
  <c r="K211" i="1" s="1"/>
  <c r="F155" i="1"/>
  <c r="F152" i="1" s="1"/>
  <c r="O154" i="1"/>
  <c r="K154" i="1"/>
  <c r="O153" i="1"/>
  <c r="K153" i="1"/>
  <c r="O147" i="1"/>
  <c r="K147" i="1"/>
  <c r="O144" i="1"/>
  <c r="E139" i="1"/>
  <c r="E140" i="1"/>
  <c r="P140" i="1" s="1"/>
  <c r="I133" i="1"/>
  <c r="F123" i="1"/>
  <c r="F120" i="1"/>
  <c r="G119" i="1"/>
  <c r="F119" i="1"/>
  <c r="G117" i="1"/>
  <c r="F117" i="1"/>
  <c r="G113" i="1"/>
  <c r="F113" i="1"/>
  <c r="G111" i="1"/>
  <c r="G108" i="1"/>
  <c r="F108" i="1"/>
  <c r="E101" i="1"/>
  <c r="P101" i="1" s="1"/>
  <c r="O93" i="1"/>
  <c r="K93" i="1"/>
  <c r="F91" i="1"/>
  <c r="F89" i="1"/>
  <c r="O86" i="1"/>
  <c r="K86" i="1"/>
  <c r="K78" i="1" s="1"/>
  <c r="F86" i="1"/>
  <c r="F81" i="1"/>
  <c r="F80" i="1"/>
  <c r="F78" i="1" s="1"/>
  <c r="O75" i="1"/>
  <c r="O51" i="1" s="1"/>
  <c r="K75" i="1"/>
  <c r="K51" i="1" s="1"/>
  <c r="G62" i="1"/>
  <c r="F62" i="1"/>
  <c r="G56" i="1"/>
  <c r="G52" i="1"/>
  <c r="F52" i="1"/>
  <c r="O45" i="1"/>
  <c r="K45" i="1"/>
  <c r="F44" i="1"/>
  <c r="J42" i="1"/>
  <c r="E42" i="1"/>
  <c r="E40" i="1"/>
  <c r="P40" i="1" s="1"/>
  <c r="F36" i="1"/>
  <c r="F32" i="1"/>
  <c r="F25" i="1"/>
  <c r="H23" i="1"/>
  <c r="F23" i="1"/>
  <c r="O23" i="1"/>
  <c r="K23" i="1"/>
  <c r="G24" i="1"/>
  <c r="F24" i="1"/>
  <c r="G21" i="1"/>
  <c r="K217" i="1" l="1"/>
  <c r="P42" i="1"/>
  <c r="I152" i="1"/>
  <c r="I216" i="1"/>
  <c r="P139" i="1"/>
  <c r="F112" i="1"/>
  <c r="F111" i="1"/>
  <c r="F110" i="1"/>
  <c r="L175" i="1" l="1"/>
  <c r="M175" i="1"/>
  <c r="N175" i="1"/>
  <c r="O175" i="1"/>
  <c r="K175" i="1"/>
  <c r="G175" i="1"/>
  <c r="H175" i="1"/>
  <c r="I175" i="1"/>
  <c r="J179" i="1"/>
  <c r="F179" i="1"/>
  <c r="E179" i="1" s="1"/>
  <c r="P179" i="1" s="1"/>
  <c r="E148" i="1" l="1"/>
  <c r="P148" i="1" s="1"/>
  <c r="K152" i="1" l="1"/>
  <c r="O196" i="1" l="1"/>
  <c r="O190" i="1" s="1"/>
  <c r="K196" i="1"/>
  <c r="K190" i="1" s="1"/>
  <c r="F114" i="1"/>
  <c r="G45" i="1" l="1"/>
  <c r="G217" i="1" s="1"/>
  <c r="F75" i="1" l="1"/>
  <c r="G190" i="1"/>
  <c r="H190" i="1"/>
  <c r="I190" i="1"/>
  <c r="J196" i="1"/>
  <c r="E196" i="1"/>
  <c r="I131" i="1"/>
  <c r="I215" i="1" s="1"/>
  <c r="I125" i="1" l="1"/>
  <c r="P196" i="1"/>
  <c r="F31" i="1" l="1"/>
  <c r="J29" i="1" l="1"/>
  <c r="I212" i="1" l="1"/>
  <c r="K212" i="1"/>
  <c r="L212" i="1"/>
  <c r="M212" i="1"/>
  <c r="N212" i="1"/>
  <c r="O202" i="1"/>
  <c r="O197" i="1" s="1"/>
  <c r="O185" i="1" s="1"/>
  <c r="K202" i="1"/>
  <c r="K197" i="1" s="1"/>
  <c r="K185" i="1" s="1"/>
  <c r="F192" i="1"/>
  <c r="F190" i="1" s="1"/>
  <c r="F183" i="1"/>
  <c r="F182" i="1"/>
  <c r="F217" i="1" s="1"/>
  <c r="F178" i="1"/>
  <c r="F175" i="1" s="1"/>
  <c r="G126" i="1"/>
  <c r="G125" i="1" s="1"/>
  <c r="F126" i="1"/>
  <c r="O117" i="1"/>
  <c r="K117" i="1"/>
  <c r="J102" i="1"/>
  <c r="E102" i="1"/>
  <c r="J100" i="1"/>
  <c r="E100" i="1"/>
  <c r="G212" i="1"/>
  <c r="J75" i="1"/>
  <c r="F72" i="1"/>
  <c r="F41" i="1"/>
  <c r="F216" i="1" s="1"/>
  <c r="F211" i="1"/>
  <c r="F212" i="1" l="1"/>
  <c r="P102" i="1"/>
  <c r="P100" i="1"/>
  <c r="E34" i="1"/>
  <c r="P34" i="1" l="1"/>
  <c r="O21" i="1"/>
  <c r="K21" i="1"/>
  <c r="J93" i="1" l="1"/>
  <c r="P93" i="1" s="1"/>
  <c r="J145" i="1" l="1"/>
  <c r="J146" i="1"/>
  <c r="P146" i="1" s="1"/>
  <c r="G67" i="1" l="1"/>
  <c r="F67" i="1"/>
  <c r="G214" i="1"/>
  <c r="H214" i="1"/>
  <c r="I214" i="1"/>
  <c r="K214" i="1"/>
  <c r="L214" i="1"/>
  <c r="M214" i="1"/>
  <c r="N214" i="1"/>
  <c r="O214" i="1"/>
  <c r="F203" i="1"/>
  <c r="F197" i="1" s="1"/>
  <c r="F185" i="1" s="1"/>
  <c r="E195" i="1"/>
  <c r="P195" i="1" s="1"/>
  <c r="O142" i="1" l="1"/>
  <c r="O216" i="1" s="1"/>
  <c r="K142" i="1"/>
  <c r="K216" i="1" s="1"/>
  <c r="O133" i="1"/>
  <c r="O215" i="1" s="1"/>
  <c r="K133" i="1"/>
  <c r="K215" i="1" s="1"/>
  <c r="M77" i="1"/>
  <c r="K77" i="1"/>
  <c r="L116" i="1"/>
  <c r="L115" i="1" s="1"/>
  <c r="M116" i="1"/>
  <c r="M115" i="1" s="1"/>
  <c r="N116" i="1"/>
  <c r="N115" i="1" s="1"/>
  <c r="O116" i="1"/>
  <c r="O115" i="1" s="1"/>
  <c r="K116" i="1"/>
  <c r="K115" i="1" s="1"/>
  <c r="G116" i="1"/>
  <c r="G115" i="1" s="1"/>
  <c r="H116" i="1"/>
  <c r="H115" i="1" s="1"/>
  <c r="I116" i="1"/>
  <c r="I115" i="1" s="1"/>
  <c r="E122" i="1"/>
  <c r="P122" i="1" s="1"/>
  <c r="J94" i="1"/>
  <c r="P94" i="1" s="1"/>
  <c r="J92" i="1"/>
  <c r="P92" i="1" s="1"/>
  <c r="G68" i="1"/>
  <c r="G65" i="1" s="1"/>
  <c r="F68" i="1"/>
  <c r="G63" i="1"/>
  <c r="F63" i="1"/>
  <c r="E63" i="1" s="1"/>
  <c r="N213" i="1"/>
  <c r="M213" i="1"/>
  <c r="L213" i="1"/>
  <c r="K213" i="1"/>
  <c r="I213" i="1"/>
  <c r="H213" i="1"/>
  <c r="G213" i="1"/>
  <c r="J204" i="1"/>
  <c r="E204" i="1"/>
  <c r="J203" i="1"/>
  <c r="E203" i="1"/>
  <c r="J202" i="1"/>
  <c r="E202" i="1"/>
  <c r="J201" i="1"/>
  <c r="E201" i="1"/>
  <c r="J200" i="1"/>
  <c r="E200" i="1"/>
  <c r="J199" i="1"/>
  <c r="E199" i="1"/>
  <c r="J198" i="1"/>
  <c r="E198" i="1"/>
  <c r="O218" i="1"/>
  <c r="N185" i="1"/>
  <c r="M185" i="1"/>
  <c r="L185" i="1"/>
  <c r="K218" i="1"/>
  <c r="I185" i="1"/>
  <c r="I184" i="1" s="1"/>
  <c r="H218" i="1"/>
  <c r="G218" i="1"/>
  <c r="E194" i="1"/>
  <c r="P194" i="1" s="1"/>
  <c r="E193" i="1"/>
  <c r="P193" i="1" s="1"/>
  <c r="J192" i="1"/>
  <c r="E192" i="1"/>
  <c r="J190" i="1"/>
  <c r="E190" i="1"/>
  <c r="J189" i="1"/>
  <c r="E189" i="1"/>
  <c r="J188" i="1"/>
  <c r="P188" i="1" s="1"/>
  <c r="J187" i="1"/>
  <c r="E187" i="1"/>
  <c r="J186" i="1"/>
  <c r="G186" i="1"/>
  <c r="E186" i="1"/>
  <c r="H185" i="1"/>
  <c r="J183" i="1"/>
  <c r="E183" i="1"/>
  <c r="E182" i="1"/>
  <c r="P182" i="1" s="1"/>
  <c r="J181" i="1"/>
  <c r="E181" i="1"/>
  <c r="E180" i="1"/>
  <c r="P180" i="1" s="1"/>
  <c r="J178" i="1"/>
  <c r="E178" i="1"/>
  <c r="J177" i="1"/>
  <c r="E177" i="1"/>
  <c r="E176" i="1"/>
  <c r="P176" i="1" s="1"/>
  <c r="O174" i="1"/>
  <c r="N174" i="1"/>
  <c r="M174" i="1"/>
  <c r="L174" i="1"/>
  <c r="K174" i="1"/>
  <c r="I174" i="1"/>
  <c r="H174" i="1"/>
  <c r="G174" i="1"/>
  <c r="J173" i="1"/>
  <c r="P173" i="1" s="1"/>
  <c r="O172" i="1"/>
  <c r="E172" i="1"/>
  <c r="J171" i="1"/>
  <c r="E171" i="1"/>
  <c r="J170" i="1"/>
  <c r="E170" i="1"/>
  <c r="J169" i="1"/>
  <c r="E169" i="1"/>
  <c r="J168" i="1"/>
  <c r="E168" i="1"/>
  <c r="J167" i="1"/>
  <c r="E167" i="1"/>
  <c r="J166" i="1"/>
  <c r="E166" i="1"/>
  <c r="J165" i="1"/>
  <c r="E165" i="1"/>
  <c r="J164" i="1"/>
  <c r="E164" i="1"/>
  <c r="J163" i="1"/>
  <c r="E163" i="1"/>
  <c r="J162" i="1"/>
  <c r="E162" i="1"/>
  <c r="J161" i="1"/>
  <c r="E161" i="1"/>
  <c r="J160" i="1"/>
  <c r="E160" i="1"/>
  <c r="J159" i="1"/>
  <c r="P159" i="1" s="1"/>
  <c r="E158" i="1"/>
  <c r="E156" i="1"/>
  <c r="J155" i="1"/>
  <c r="E155" i="1"/>
  <c r="J154" i="1"/>
  <c r="G151" i="1"/>
  <c r="J153" i="1"/>
  <c r="E153" i="1"/>
  <c r="N151" i="1"/>
  <c r="M151" i="1"/>
  <c r="I151" i="1"/>
  <c r="H151" i="1"/>
  <c r="E150" i="1"/>
  <c r="P150" i="1" s="1"/>
  <c r="O149" i="1"/>
  <c r="O217" i="1" s="1"/>
  <c r="L149" i="1"/>
  <c r="L217" i="1" s="1"/>
  <c r="E149" i="1"/>
  <c r="E147" i="1"/>
  <c r="J144" i="1"/>
  <c r="E144" i="1"/>
  <c r="J142" i="1"/>
  <c r="P142" i="1" s="1"/>
  <c r="J141" i="1"/>
  <c r="E141" i="1"/>
  <c r="J138" i="1"/>
  <c r="E138" i="1"/>
  <c r="E137" i="1"/>
  <c r="J136" i="1"/>
  <c r="J134" i="1"/>
  <c r="E134" i="1"/>
  <c r="E133" i="1"/>
  <c r="J132" i="1"/>
  <c r="E132" i="1"/>
  <c r="J131" i="1"/>
  <c r="E131" i="1"/>
  <c r="E130" i="1"/>
  <c r="J129" i="1"/>
  <c r="E129" i="1"/>
  <c r="J128" i="1"/>
  <c r="F128" i="1"/>
  <c r="J127" i="1"/>
  <c r="E127" i="1"/>
  <c r="J126" i="1"/>
  <c r="E126" i="1"/>
  <c r="N124" i="1"/>
  <c r="M124" i="1"/>
  <c r="H124" i="1"/>
  <c r="J123" i="1"/>
  <c r="E123" i="1"/>
  <c r="J121" i="1"/>
  <c r="E121" i="1"/>
  <c r="J120" i="1"/>
  <c r="E120" i="1"/>
  <c r="J119" i="1"/>
  <c r="E119" i="1"/>
  <c r="J118" i="1"/>
  <c r="E118" i="1"/>
  <c r="J117" i="1"/>
  <c r="E117" i="1"/>
  <c r="J114" i="1"/>
  <c r="E114" i="1"/>
  <c r="J113" i="1"/>
  <c r="E113" i="1"/>
  <c r="O112" i="1"/>
  <c r="O213" i="1" s="1"/>
  <c r="E112" i="1"/>
  <c r="J111" i="1"/>
  <c r="J110" i="1"/>
  <c r="E110" i="1"/>
  <c r="J109" i="1"/>
  <c r="E109" i="1"/>
  <c r="J108" i="1"/>
  <c r="E108" i="1"/>
  <c r="J107" i="1"/>
  <c r="E107" i="1"/>
  <c r="J106" i="1"/>
  <c r="E106" i="1"/>
  <c r="N105" i="1"/>
  <c r="N104" i="1" s="1"/>
  <c r="N98" i="1" s="1"/>
  <c r="M105" i="1"/>
  <c r="M104" i="1" s="1"/>
  <c r="M98" i="1" s="1"/>
  <c r="L105" i="1"/>
  <c r="L104" i="1" s="1"/>
  <c r="K105" i="1"/>
  <c r="K104" i="1" s="1"/>
  <c r="K98" i="1" s="1"/>
  <c r="I105" i="1"/>
  <c r="I104" i="1" s="1"/>
  <c r="I98" i="1" s="1"/>
  <c r="H105" i="1"/>
  <c r="H104" i="1" s="1"/>
  <c r="H98" i="1" s="1"/>
  <c r="G105" i="1"/>
  <c r="G104" i="1" s="1"/>
  <c r="G98" i="1" s="1"/>
  <c r="J97" i="1"/>
  <c r="E97" i="1"/>
  <c r="J96" i="1"/>
  <c r="E96" i="1"/>
  <c r="J95" i="1"/>
  <c r="E95" i="1"/>
  <c r="J91" i="1"/>
  <c r="E91" i="1"/>
  <c r="J90" i="1"/>
  <c r="E90" i="1"/>
  <c r="J89" i="1"/>
  <c r="E89" i="1"/>
  <c r="J88" i="1"/>
  <c r="E88" i="1"/>
  <c r="J87" i="1"/>
  <c r="E87" i="1"/>
  <c r="J86" i="1"/>
  <c r="E86" i="1"/>
  <c r="O85" i="1"/>
  <c r="O78" i="1" s="1"/>
  <c r="H85" i="1"/>
  <c r="H78" i="1" s="1"/>
  <c r="E85" i="1"/>
  <c r="J84" i="1"/>
  <c r="E84" i="1"/>
  <c r="J83" i="1"/>
  <c r="E83" i="1"/>
  <c r="J82" i="1"/>
  <c r="E82" i="1"/>
  <c r="J81" i="1"/>
  <c r="E81" i="1"/>
  <c r="J80" i="1"/>
  <c r="E80" i="1"/>
  <c r="J79" i="1"/>
  <c r="L77" i="1"/>
  <c r="I77" i="1"/>
  <c r="N77" i="1"/>
  <c r="E76" i="1"/>
  <c r="P76" i="1" s="1"/>
  <c r="E75" i="1"/>
  <c r="P75" i="1" s="1"/>
  <c r="J73" i="1"/>
  <c r="F214" i="1"/>
  <c r="J72" i="1"/>
  <c r="J71" i="1"/>
  <c r="E71" i="1"/>
  <c r="E68" i="1"/>
  <c r="P68" i="1" s="1"/>
  <c r="P66" i="1"/>
  <c r="I65" i="1"/>
  <c r="H65" i="1"/>
  <c r="J64" i="1"/>
  <c r="F64" i="1"/>
  <c r="E64" i="1" s="1"/>
  <c r="J63" i="1"/>
  <c r="J62" i="1"/>
  <c r="E62" i="1"/>
  <c r="J61" i="1"/>
  <c r="G61" i="1"/>
  <c r="E61" i="1"/>
  <c r="J60" i="1"/>
  <c r="E60" i="1"/>
  <c r="J59" i="1"/>
  <c r="E59" i="1"/>
  <c r="J58" i="1"/>
  <c r="E58" i="1"/>
  <c r="J57" i="1"/>
  <c r="G57" i="1"/>
  <c r="F57" i="1"/>
  <c r="J56" i="1"/>
  <c r="E56" i="1"/>
  <c r="J55" i="1"/>
  <c r="E55" i="1"/>
  <c r="J54" i="1"/>
  <c r="J53" i="1"/>
  <c r="F53" i="1"/>
  <c r="J52" i="1"/>
  <c r="E52" i="1"/>
  <c r="O50" i="1"/>
  <c r="N50" i="1"/>
  <c r="M50" i="1"/>
  <c r="K50" i="1"/>
  <c r="J49" i="1"/>
  <c r="E49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K19" i="1" s="1"/>
  <c r="E21" i="1"/>
  <c r="N20" i="1"/>
  <c r="N19" i="1" s="1"/>
  <c r="M20" i="1"/>
  <c r="M19" i="1" s="1"/>
  <c r="L20" i="1"/>
  <c r="L19" i="1" s="1"/>
  <c r="H20" i="1"/>
  <c r="H19" i="1" s="1"/>
  <c r="H212" i="1" l="1"/>
  <c r="H77" i="1"/>
  <c r="M18" i="1"/>
  <c r="M207" i="1" s="1"/>
  <c r="M209" i="1"/>
  <c r="E128" i="1"/>
  <c r="F125" i="1"/>
  <c r="K125" i="1"/>
  <c r="K124" i="1" s="1"/>
  <c r="J172" i="1"/>
  <c r="P172" i="1" s="1"/>
  <c r="O152" i="1"/>
  <c r="N209" i="1"/>
  <c r="K18" i="1"/>
  <c r="K209" i="1"/>
  <c r="K219" i="1" s="1"/>
  <c r="J133" i="1"/>
  <c r="O125" i="1"/>
  <c r="O124" i="1" s="1"/>
  <c r="L209" i="1"/>
  <c r="L125" i="1"/>
  <c r="L124" i="1" s="1"/>
  <c r="E53" i="1"/>
  <c r="G210" i="1"/>
  <c r="G51" i="1"/>
  <c r="G50" i="1" s="1"/>
  <c r="I51" i="1"/>
  <c r="I50" i="1" s="1"/>
  <c r="I210" i="1"/>
  <c r="E57" i="1"/>
  <c r="P57" i="1" s="1"/>
  <c r="H18" i="1"/>
  <c r="H209" i="1"/>
  <c r="H51" i="1"/>
  <c r="H50" i="1" s="1"/>
  <c r="H210" i="1"/>
  <c r="P192" i="1"/>
  <c r="P29" i="1"/>
  <c r="P25" i="1"/>
  <c r="J210" i="1"/>
  <c r="P201" i="1"/>
  <c r="P198" i="1"/>
  <c r="J85" i="1"/>
  <c r="J212" i="1" s="1"/>
  <c r="O212" i="1"/>
  <c r="P35" i="1"/>
  <c r="F33" i="1"/>
  <c r="F215" i="1" s="1"/>
  <c r="N184" i="1"/>
  <c r="L184" i="1"/>
  <c r="M184" i="1"/>
  <c r="H184" i="1"/>
  <c r="K184" i="1"/>
  <c r="E175" i="1"/>
  <c r="N18" i="1"/>
  <c r="N207" i="1" s="1"/>
  <c r="L98" i="1"/>
  <c r="P106" i="1"/>
  <c r="P123" i="1"/>
  <c r="P128" i="1"/>
  <c r="P177" i="1"/>
  <c r="J51" i="1"/>
  <c r="I124" i="1"/>
  <c r="P183" i="1"/>
  <c r="P200" i="1"/>
  <c r="P163" i="1"/>
  <c r="P41" i="1"/>
  <c r="P52" i="1"/>
  <c r="O105" i="1"/>
  <c r="O104" i="1" s="1"/>
  <c r="P118" i="1"/>
  <c r="F116" i="1"/>
  <c r="E116" i="1" s="1"/>
  <c r="J115" i="1"/>
  <c r="G185" i="1"/>
  <c r="P167" i="1"/>
  <c r="P181" i="1"/>
  <c r="P203" i="1"/>
  <c r="P178" i="1"/>
  <c r="P169" i="1"/>
  <c r="O20" i="1"/>
  <c r="O19" i="1" s="1"/>
  <c r="G20" i="1"/>
  <c r="G19" i="1" s="1"/>
  <c r="F105" i="1"/>
  <c r="E105" i="1" s="1"/>
  <c r="G124" i="1"/>
  <c r="E145" i="1"/>
  <c r="P145" i="1" s="1"/>
  <c r="J149" i="1"/>
  <c r="P149" i="1" s="1"/>
  <c r="O151" i="1"/>
  <c r="F184" i="1"/>
  <c r="L218" i="1"/>
  <c r="E79" i="1"/>
  <c r="P79" i="1" s="1"/>
  <c r="P165" i="1"/>
  <c r="G77" i="1"/>
  <c r="P127" i="1"/>
  <c r="J130" i="1"/>
  <c r="P130" i="1" s="1"/>
  <c r="P204" i="1"/>
  <c r="P83" i="1"/>
  <c r="J112" i="1"/>
  <c r="J213" i="1" s="1"/>
  <c r="E136" i="1"/>
  <c r="P136" i="1" s="1"/>
  <c r="J147" i="1"/>
  <c r="P147" i="1" s="1"/>
  <c r="J156" i="1"/>
  <c r="P156" i="1" s="1"/>
  <c r="L151" i="1"/>
  <c r="J214" i="1"/>
  <c r="P108" i="1"/>
  <c r="P129" i="1"/>
  <c r="P138" i="1"/>
  <c r="P117" i="1"/>
  <c r="P141" i="1"/>
  <c r="P153" i="1"/>
  <c r="P114" i="1"/>
  <c r="P23" i="1"/>
  <c r="P126" i="1"/>
  <c r="J197" i="1"/>
  <c r="J218" i="1" s="1"/>
  <c r="P199" i="1"/>
  <c r="O184" i="1"/>
  <c r="F218" i="1"/>
  <c r="P36" i="1"/>
  <c r="P91" i="1"/>
  <c r="P132" i="1"/>
  <c r="P168" i="1"/>
  <c r="P189" i="1"/>
  <c r="P82" i="1"/>
  <c r="P95" i="1"/>
  <c r="P119" i="1"/>
  <c r="P171" i="1"/>
  <c r="P187" i="1"/>
  <c r="P190" i="1"/>
  <c r="P22" i="1"/>
  <c r="P39" i="1"/>
  <c r="P61" i="1"/>
  <c r="P109" i="1"/>
  <c r="P134" i="1"/>
  <c r="P155" i="1"/>
  <c r="P161" i="1"/>
  <c r="P164" i="1"/>
  <c r="P202" i="1"/>
  <c r="P121" i="1"/>
  <c r="P131" i="1"/>
  <c r="P160" i="1"/>
  <c r="P88" i="1"/>
  <c r="P133" i="1"/>
  <c r="P162" i="1"/>
  <c r="P170" i="1"/>
  <c r="P63" i="1"/>
  <c r="P56" i="1"/>
  <c r="P81" i="1"/>
  <c r="P113" i="1"/>
  <c r="P144" i="1"/>
  <c r="P107" i="1"/>
  <c r="P110" i="1"/>
  <c r="P120" i="1"/>
  <c r="P166" i="1"/>
  <c r="P64" i="1"/>
  <c r="P21" i="1"/>
  <c r="P59" i="1"/>
  <c r="P87" i="1"/>
  <c r="P26" i="1"/>
  <c r="P37" i="1"/>
  <c r="P43" i="1"/>
  <c r="P97" i="1"/>
  <c r="P89" i="1"/>
  <c r="P47" i="1"/>
  <c r="P96" i="1"/>
  <c r="P53" i="1"/>
  <c r="P58" i="1"/>
  <c r="P71" i="1"/>
  <c r="P84" i="1"/>
  <c r="P86" i="1"/>
  <c r="P90" i="1"/>
  <c r="P32" i="1"/>
  <c r="P24" i="1"/>
  <c r="P28" i="1"/>
  <c r="P80" i="1"/>
  <c r="P30" i="1"/>
  <c r="P62" i="1"/>
  <c r="P45" i="1"/>
  <c r="P49" i="1"/>
  <c r="P55" i="1"/>
  <c r="P60" i="1"/>
  <c r="F65" i="1"/>
  <c r="F51" i="1" s="1"/>
  <c r="E67" i="1"/>
  <c r="P67" i="1" s="1"/>
  <c r="P186" i="1"/>
  <c r="E152" i="1"/>
  <c r="F151" i="1"/>
  <c r="E151" i="1" s="1"/>
  <c r="J174" i="1"/>
  <c r="L50" i="1"/>
  <c r="J50" i="1" s="1"/>
  <c r="J158" i="1"/>
  <c r="P158" i="1" s="1"/>
  <c r="I218" i="1"/>
  <c r="E27" i="1"/>
  <c r="P31" i="1"/>
  <c r="E44" i="1"/>
  <c r="E217" i="1" s="1"/>
  <c r="E72" i="1"/>
  <c r="P72" i="1" s="1"/>
  <c r="K151" i="1"/>
  <c r="F213" i="1"/>
  <c r="F20" i="1"/>
  <c r="E54" i="1"/>
  <c r="E111" i="1"/>
  <c r="P111" i="1" s="1"/>
  <c r="J116" i="1"/>
  <c r="E154" i="1"/>
  <c r="P154" i="1" s="1"/>
  <c r="F174" i="1"/>
  <c r="E174" i="1" s="1"/>
  <c r="J175" i="1"/>
  <c r="E197" i="1"/>
  <c r="E185" i="1" s="1"/>
  <c r="M218" i="1"/>
  <c r="E73" i="1"/>
  <c r="E214" i="1" s="1"/>
  <c r="J137" i="1"/>
  <c r="J216" i="1" s="1"/>
  <c r="N218" i="1"/>
  <c r="J215" i="1" l="1"/>
  <c r="J105" i="1"/>
  <c r="J217" i="1"/>
  <c r="F209" i="1"/>
  <c r="F219" i="1" s="1"/>
  <c r="F19" i="1"/>
  <c r="H219" i="1"/>
  <c r="N219" i="1"/>
  <c r="N220" i="1" s="1"/>
  <c r="L219" i="1"/>
  <c r="I219" i="1"/>
  <c r="M219" i="1"/>
  <c r="M220" i="1" s="1"/>
  <c r="F210" i="1"/>
  <c r="G209" i="1"/>
  <c r="G219" i="1" s="1"/>
  <c r="O18" i="1"/>
  <c r="O209" i="1"/>
  <c r="O219" i="1" s="1"/>
  <c r="E216" i="1"/>
  <c r="P216" i="1" s="1"/>
  <c r="E213" i="1"/>
  <c r="P213" i="1" s="1"/>
  <c r="J211" i="1"/>
  <c r="H207" i="1"/>
  <c r="E211" i="1"/>
  <c r="E33" i="1"/>
  <c r="E215" i="1" s="1"/>
  <c r="J184" i="1"/>
  <c r="P85" i="1"/>
  <c r="P116" i="1"/>
  <c r="F115" i="1"/>
  <c r="E115" i="1" s="1"/>
  <c r="P115" i="1" s="1"/>
  <c r="P214" i="1"/>
  <c r="I207" i="1"/>
  <c r="G18" i="1"/>
  <c r="G207" i="1" s="1"/>
  <c r="G184" i="1"/>
  <c r="E212" i="1"/>
  <c r="P212" i="1" s="1"/>
  <c r="P175" i="1"/>
  <c r="J151" i="1"/>
  <c r="P151" i="1" s="1"/>
  <c r="K207" i="1"/>
  <c r="J124" i="1"/>
  <c r="F104" i="1"/>
  <c r="E104" i="1" s="1"/>
  <c r="J104" i="1"/>
  <c r="J78" i="1"/>
  <c r="O77" i="1"/>
  <c r="J77" i="1" s="1"/>
  <c r="J125" i="1"/>
  <c r="P112" i="1"/>
  <c r="J152" i="1"/>
  <c r="P152" i="1" s="1"/>
  <c r="J20" i="1"/>
  <c r="J209" i="1" s="1"/>
  <c r="J185" i="1"/>
  <c r="M224" i="1"/>
  <c r="N224" i="1"/>
  <c r="P174" i="1"/>
  <c r="P197" i="1"/>
  <c r="E218" i="1"/>
  <c r="P218" i="1" s="1"/>
  <c r="E65" i="1"/>
  <c r="P65" i="1" s="1"/>
  <c r="P73" i="1"/>
  <c r="P54" i="1"/>
  <c r="P44" i="1"/>
  <c r="P105" i="1"/>
  <c r="L18" i="1"/>
  <c r="L207" i="1" s="1"/>
  <c r="E20" i="1"/>
  <c r="P27" i="1"/>
  <c r="F124" i="1"/>
  <c r="E124" i="1" s="1"/>
  <c r="E125" i="1"/>
  <c r="P137" i="1"/>
  <c r="P125" i="1" s="1"/>
  <c r="F77" i="1"/>
  <c r="E77" i="1" s="1"/>
  <c r="E78" i="1"/>
  <c r="E51" i="1"/>
  <c r="P51" i="1" s="1"/>
  <c r="F50" i="1"/>
  <c r="E50" i="1" s="1"/>
  <c r="P50" i="1" s="1"/>
  <c r="R50" i="1" s="1"/>
  <c r="L220" i="1" l="1"/>
  <c r="P104" i="1"/>
  <c r="N222" i="1"/>
  <c r="M222" i="1"/>
  <c r="H220" i="1"/>
  <c r="J19" i="1"/>
  <c r="J219" i="1"/>
  <c r="E210" i="1"/>
  <c r="P210" i="1" s="1"/>
  <c r="E209" i="1"/>
  <c r="K220" i="1"/>
  <c r="P33" i="1"/>
  <c r="P215" i="1"/>
  <c r="I224" i="1"/>
  <c r="I220" i="1"/>
  <c r="G224" i="1"/>
  <c r="G220" i="1"/>
  <c r="P211" i="1"/>
  <c r="P78" i="1"/>
  <c r="P77" i="1"/>
  <c r="I222" i="1"/>
  <c r="P217" i="1"/>
  <c r="P124" i="1"/>
  <c r="H222" i="1"/>
  <c r="F98" i="1"/>
  <c r="E98" i="1" s="1"/>
  <c r="E99" i="1"/>
  <c r="O98" i="1"/>
  <c r="J98" i="1" s="1"/>
  <c r="J99" i="1"/>
  <c r="G222" i="1"/>
  <c r="H224" i="1"/>
  <c r="H235" i="1" s="1"/>
  <c r="K224" i="1"/>
  <c r="K222" i="1"/>
  <c r="E184" i="1"/>
  <c r="P184" i="1" s="1"/>
  <c r="P185" i="1"/>
  <c r="P20" i="1"/>
  <c r="J18" i="1"/>
  <c r="E19" i="1"/>
  <c r="F18" i="1"/>
  <c r="P19" i="1" l="1"/>
  <c r="E219" i="1"/>
  <c r="P219" i="1" s="1"/>
  <c r="P209" i="1"/>
  <c r="J207" i="1"/>
  <c r="O207" i="1"/>
  <c r="F207" i="1"/>
  <c r="F220" i="1" s="1"/>
  <c r="P98" i="1"/>
  <c r="P99" i="1"/>
  <c r="L224" i="1"/>
  <c r="L222" i="1"/>
  <c r="E18" i="1"/>
  <c r="O220" i="1" l="1"/>
  <c r="J220" i="1"/>
  <c r="E207" i="1"/>
  <c r="E220" i="1" s="1"/>
  <c r="J222" i="1"/>
  <c r="J224" i="1"/>
  <c r="J226" i="1" s="1"/>
  <c r="O224" i="1"/>
  <c r="O222" i="1"/>
  <c r="F222" i="1"/>
  <c r="F224" i="1"/>
  <c r="P18" i="1"/>
  <c r="R18" i="1" s="1"/>
  <c r="E222" i="1" l="1"/>
  <c r="E224" i="1"/>
  <c r="E226" i="1" s="1"/>
  <c r="P207" i="1"/>
  <c r="P220" i="1" l="1"/>
  <c r="R207" i="1"/>
  <c r="P222" i="1"/>
  <c r="P224" i="1"/>
  <c r="P226" i="1" s="1"/>
</calcChain>
</file>

<file path=xl/sharedStrings.xml><?xml version="1.0" encoding="utf-8"?>
<sst xmlns="http://schemas.openxmlformats.org/spreadsheetml/2006/main" count="691" uniqueCount="434">
  <si>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</si>
  <si>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</si>
  <si>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</si>
  <si>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</si>
  <si>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</si>
  <si>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</si>
  <si>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</si>
  <si>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</si>
  <si>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</si>
  <si>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</si>
  <si>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</si>
  <si>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</si>
  <si>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</si>
  <si>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</si>
  <si>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</si>
  <si>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</si>
  <si>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</si>
  <si>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</si>
  <si>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</si>
  <si>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</si>
  <si>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</si>
  <si>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</si>
  <si>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</si>
  <si>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</si>
  <si>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</si>
  <si>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</si>
  <si>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</si>
  <si>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</si>
  <si>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</si>
  <si>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</si>
  <si>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</si>
  <si>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</si>
  <si>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</si>
  <si>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</si>
  <si>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</si>
  <si>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</si>
  <si>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</si>
  <si>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</si>
  <si>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</si>
  <si>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</si>
  <si>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</si>
  <si>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</si>
  <si>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</si>
  <si>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</si>
  <si>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</si>
  <si>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</si>
  <si>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</si>
  <si>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</si>
  <si>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</si>
  <si>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</si>
  <si>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</si>
  <si>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</si>
  <si>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</si>
  <si>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</si>
  <si>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</si>
  <si>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</si>
  <si>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</si>
  <si>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</si>
  <si>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</si>
  <si>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</si>
  <si>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</si>
  <si>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</si>
  <si>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</si>
  <si>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</si>
  <si>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</si>
  <si>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</si>
  <si>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</si>
  <si>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</si>
  <si>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</si>
  <si>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</si>
  <si>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</si>
  <si>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</si>
  <si>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</si>
  <si>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</si>
  <si>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</si>
  <si>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</si>
  <si>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</si>
  <si>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</si>
  <si>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</si>
  <si>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</si>
  <si>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</si>
  <si>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</si>
  <si>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</si>
  <si>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</si>
  <si>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</si>
  <si>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</si>
  <si>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</si>
  <si>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</si>
  <si>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</si>
  <si>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</si>
  <si>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</si>
  <si>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</si>
  <si>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</si>
  <si>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</si>
  <si>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</si>
  <si>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</si>
  <si>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</si>
  <si>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</si>
  <si>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</si>
  <si>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</si>
  <si>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</si>
  <si>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</si>
  <si>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</si>
  <si>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</si>
  <si>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</si>
  <si>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</si>
  <si>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</si>
  <si>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</si>
  <si>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</si>
  <si>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</si>
  <si>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</si>
  <si>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</si>
  <si>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</si>
  <si>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</si>
  <si>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</si>
  <si>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</si>
  <si>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</si>
  <si>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</si>
  <si>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</si>
  <si>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</si>
  <si>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</si>
  <si>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</si>
  <si>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</si>
  <si>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</si>
  <si>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</si>
  <si>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</si>
  <si>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</si>
  <si>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</si>
  <si>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</si>
  <si>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</si>
  <si>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</si>
  <si>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</si>
  <si>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</si>
  <si>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</si>
  <si>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</si>
  <si>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</si>
  <si>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</si>
  <si>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</si>
  <si>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</si>
  <si>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</si>
  <si>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</si>
  <si>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</si>
  <si>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</si>
  <si>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</si>
  <si>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</si>
  <si>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</si>
  <si>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</si>
  <si>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</si>
  <si>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</si>
  <si>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</si>
  <si>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</si>
  <si>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</si>
  <si>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</si>
  <si>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</si>
  <si>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</si>
  <si>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</si>
  <si>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</si>
  <si>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</si>
  <si>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</si>
  <si>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</si>
  <si>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</si>
  <si>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</si>
  <si>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</si>
  <si>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</si>
  <si>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</si>
  <si>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</si>
  <si>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</si>
  <si>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</si>
  <si>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</si>
  <si>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</si>
  <si>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</si>
  <si>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</si>
  <si>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</si>
  <si>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</si>
  <si>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</si>
  <si>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</si>
  <si>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</si>
  <si>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</si>
  <si>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</si>
  <si>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</si>
  <si>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</si>
  <si>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</si>
  <si>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</si>
  <si>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</si>
  <si>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</si>
  <si>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</si>
  <si>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</si>
  <si>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</si>
  <si>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</si>
  <si>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</si>
  <si>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</si>
  <si>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</si>
  <si>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</si>
  <si>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</si>
  <si>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</si>
  <si>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</si>
  <si>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</si>
  <si>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</si>
  <si>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</si>
  <si>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</si>
  <si>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</si>
  <si>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</si>
  <si>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</si>
  <si>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</si>
  <si>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</si>
  <si>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</si>
  <si>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</si>
  <si>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</si>
  <si>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</si>
  <si>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</si>
  <si>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</si>
  <si>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</si>
  <si>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</si>
  <si>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</si>
  <si>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</si>
  <si>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</si>
  <si>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</si>
  <si>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</si>
  <si>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</si>
  <si>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</si>
  <si>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</si>
  <si>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</si>
  <si>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</si>
  <si>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</si>
  <si>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</si>
  <si>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</si>
  <si>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</si>
  <si>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</si>
  <si>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</si>
  <si>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</si>
  <si>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</si>
  <si>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</si>
  <si>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</si>
  <si>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</si>
  <si>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</si>
  <si>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</si>
  <si>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</si>
  <si>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</si>
  <si>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</si>
  <si>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</si>
  <si>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</si>
  <si>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</si>
  <si>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</si>
  <si>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</si>
  <si>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</si>
  <si>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</si>
  <si>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</si>
  <si>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</si>
  <si>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</si>
  <si>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</si>
  <si>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</si>
  <si>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</si>
  <si>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</si>
  <si>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</si>
  <si>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</si>
  <si>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</si>
  <si>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</si>
  <si>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</si>
  <si>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</si>
  <si>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</si>
  <si>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</si>
  <si>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</si>
  <si>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</si>
  <si>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</si>
  <si>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</si>
  <si>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</si>
  <si>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</si>
  <si>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</si>
  <si>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</si>
  <si>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</si>
  <si>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</si>
  <si>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</si>
  <si>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</si>
  <si>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</si>
  <si>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</si>
  <si>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</si>
  <si>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</si>
  <si>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</si>
  <si>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</si>
  <si>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</si>
  <si>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</si>
  <si>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</si>
  <si>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</si>
  <si>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</si>
  <si>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</si>
  <si>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</si>
  <si>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</si>
  <si>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</si>
  <si>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</si>
  <si>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</si>
  <si>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</si>
  <si>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</si>
  <si>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</si>
  <si>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</si>
  <si>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</si>
  <si>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</si>
  <si>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</si>
  <si>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</si>
  <si>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</si>
  <si>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</si>
  <si>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</si>
  <si>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</si>
  <si>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</si>
  <si>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</si>
  <si>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</si>
  <si>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</si>
  <si>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</si>
  <si>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</si>
  <si>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</si>
  <si>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</si>
  <si>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</si>
  <si>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</si>
  <si>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</si>
  <si>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</si>
  <si>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</si>
  <si>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</si>
  <si>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</si>
  <si>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</si>
  <si>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</si>
  <si>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</si>
  <si>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</si>
  <si>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</si>
  <si>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</si>
  <si>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</si>
  <si>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</si>
  <si>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</si>
  <si>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</si>
  <si>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</si>
  <si>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</si>
  <si>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</si>
  <si>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</si>
  <si>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</si>
  <si>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</si>
  <si>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</si>
  <si>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</si>
  <si>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</si>
  <si>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</si>
  <si>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</si>
  <si>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</si>
  <si>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</si>
  <si>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</si>
  <si>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</si>
  <si>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</si>
  <si>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</si>
  <si>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</si>
  <si>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</si>
  <si>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</si>
  <si>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</si>
  <si>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</si>
  <si>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</si>
  <si>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</si>
  <si>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</si>
  <si>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</si>
  <si>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</si>
  <si>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</si>
  <si>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</si>
  <si>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</si>
  <si>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</si>
  <si>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</si>
  <si>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</si>
  <si>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</si>
  <si>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</si>
  <si>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</si>
  <si>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</si>
  <si>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</si>
  <si>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</si>
  <si>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</si>
  <si>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</si>
  <si>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</si>
  <si>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</si>
  <si>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</si>
  <si>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</si>
  <si>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</si>
  <si>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</si>
  <si>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</si>
  <si>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</si>
  <si>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</si>
  <si>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</si>
  <si>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</si>
  <si>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</si>
  <si>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</si>
  <si>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</si>
  <si>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</si>
  <si>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</si>
  <si>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</si>
  <si>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</si>
  <si>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</si>
  <si>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</si>
  <si>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</si>
  <si>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</si>
  <si>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</si>
  <si>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</si>
  <si>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</si>
  <si>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</si>
  <si>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</si>
  <si>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</si>
  <si>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</si>
  <si>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</si>
  <si>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</si>
  <si>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</si>
  <si>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</si>
  <si>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</si>
  <si>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</si>
  <si>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</si>
  <si>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</si>
  <si>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</si>
  <si>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</si>
  <si>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</si>
  <si>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</si>
  <si>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</si>
  <si>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</si>
  <si>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</si>
  <si>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</si>
  <si>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</si>
  <si>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</si>
  <si>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</si>
  <si>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від                      2023 №          - VIII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</si>
  <si>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</si>
  <si>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</si>
  <si>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</si>
  <si>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</si>
  <si>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</si>
  <si>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</si>
  <si>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</si>
  <si>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</si>
  <si>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</si>
  <si>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</si>
  <si>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</si>
  <si>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Внески до статутного капіталу суб'єктів господарювання</t>
  </si>
  <si>
    <t>Начальник фінансового управління</t>
  </si>
  <si>
    <t>Ольга ЯКОВЕНКО</t>
  </si>
  <si>
    <t>0218240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</si>
  <si>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</si>
  <si>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0916083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</si>
</sst>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165" fontId="8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showZeros="0" tabSelected="1" view="pageBreakPreview" zoomScale="70" zoomScaleNormal="70" zoomScaleSheetLayoutView="70" workbookViewId="0">
      <pane xSplit="4" ySplit="17" topLeftCell="E210" activePane="bottomRight" state="frozen"/>
      <selection pane="topRight" activeCell="E1" sqref="E1"/>
      <selection pane="bottomLeft" activeCell="A14" sqref="A14"/>
      <selection pane="bottomRight" activeCell="F47" sqref="F47"/>
    </sheetView>
  </sheetViews>
  <sheetFormatPr defaultColWidth="8.85546875" defaultRowHeight="15.65" x14ac:dyDescent="0.25"/>
  <cols>
    <col min="1" max="3" width="12.140625" style="6" customWidth="1"/>
    <col min="4" max="4" width="40.7109375" style="6" customWidth="1"/>
    <col min="5" max="5" width="21.85546875" style="6" customWidth="1"/>
    <col min="6" max="6" width="21.28515625" style="6" customWidth="1"/>
    <col min="7" max="7" width="21.5703125" style="6" customWidth="1"/>
    <col min="8" max="8" width="19.5703125" style="6" customWidth="1"/>
    <col min="9" max="9" width="22" style="6" customWidth="1"/>
    <col min="10" max="11" width="20.5703125" style="6" customWidth="1"/>
    <col min="12" max="12" width="18.5703125" style="6" customWidth="1"/>
    <col min="13" max="14" width="15.7109375" style="6" customWidth="1"/>
    <col min="15" max="15" width="21.7109375" style="6" customWidth="1"/>
    <col min="16" max="16" width="22.85546875" style="6" customWidth="1"/>
    <col min="17" max="17" width="18.42578125" style="6" customWidth="1"/>
    <col min="18" max="18" width="18.140625" style="6" bestFit="1" customWidth="1"/>
    <col min="19" max="16384" width="8.85546875" style="6"/>
  </cols>
  <sheetData>
    <row r="1" spans="1:16" x14ac:dyDescent="0.25">
      <c r="M1" s="6" t="s">
        <v>400</v>
      </c>
    </row>
    <row r="2" spans="1:16" x14ac:dyDescent="0.25">
      <c r="M2" s="6" t="s">
        <v>240</v>
      </c>
    </row>
    <row r="3" spans="1:16" x14ac:dyDescent="0.25">
      <c r="M3" s="6" t="s">
        <v>416</v>
      </c>
    </row>
    <row r="5" spans="1:16" x14ac:dyDescent="0.25">
      <c r="M5" s="6" t="s">
        <v>291</v>
      </c>
    </row>
    <row r="6" spans="1:16" x14ac:dyDescent="0.25">
      <c r="M6" s="6" t="s">
        <v>240</v>
      </c>
    </row>
    <row r="7" spans="1:16" x14ac:dyDescent="0.25">
      <c r="M7" s="6" t="s">
        <v>241</v>
      </c>
    </row>
    <row r="8" spans="1:16" x14ac:dyDescent="0.25">
      <c r="M8" s="6" t="s">
        <v>292</v>
      </c>
    </row>
    <row r="9" spans="1:16" x14ac:dyDescent="0.25">
      <c r="A9" s="48" t="s">
        <v>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5">
      <c r="A10" s="48" t="s">
        <v>274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x14ac:dyDescent="0.25">
      <c r="A11" s="7" t="s">
        <v>262</v>
      </c>
    </row>
    <row r="12" spans="1:16" x14ac:dyDescent="0.25">
      <c r="A12" s="6" t="s">
        <v>1</v>
      </c>
      <c r="P12" s="8" t="s">
        <v>2</v>
      </c>
    </row>
    <row r="13" spans="1:16" s="9" customFormat="1" ht="24.65" customHeight="1" x14ac:dyDescent="0.25">
      <c r="A13" s="50" t="s">
        <v>3</v>
      </c>
      <c r="B13" s="50" t="s">
        <v>4</v>
      </c>
      <c r="C13" s="50" t="s">
        <v>5</v>
      </c>
      <c r="D13" s="50" t="s">
        <v>6</v>
      </c>
      <c r="E13" s="47" t="s">
        <v>7</v>
      </c>
      <c r="F13" s="47"/>
      <c r="G13" s="47"/>
      <c r="H13" s="47"/>
      <c r="I13" s="47"/>
      <c r="J13" s="47" t="s">
        <v>13</v>
      </c>
      <c r="K13" s="47"/>
      <c r="L13" s="47"/>
      <c r="M13" s="47"/>
      <c r="N13" s="47"/>
      <c r="O13" s="47"/>
      <c r="P13" s="47" t="s">
        <v>15</v>
      </c>
    </row>
    <row r="14" spans="1:16" s="9" customFormat="1" ht="13.6" x14ac:dyDescent="0.25">
      <c r="A14" s="50"/>
      <c r="B14" s="50"/>
      <c r="C14" s="50"/>
      <c r="D14" s="50"/>
      <c r="E14" s="47" t="s">
        <v>8</v>
      </c>
      <c r="F14" s="47" t="s">
        <v>9</v>
      </c>
      <c r="G14" s="47" t="s">
        <v>10</v>
      </c>
      <c r="H14" s="47"/>
      <c r="I14" s="47" t="s">
        <v>12</v>
      </c>
      <c r="J14" s="47" t="s">
        <v>8</v>
      </c>
      <c r="K14" s="47" t="s">
        <v>14</v>
      </c>
      <c r="L14" s="47" t="s">
        <v>9</v>
      </c>
      <c r="M14" s="47" t="s">
        <v>10</v>
      </c>
      <c r="N14" s="47"/>
      <c r="O14" s="47" t="s">
        <v>12</v>
      </c>
      <c r="P14" s="47"/>
    </row>
    <row r="15" spans="1:16" s="9" customFormat="1" ht="22.95" customHeight="1" x14ac:dyDescent="0.25">
      <c r="A15" s="50"/>
      <c r="B15" s="50"/>
      <c r="C15" s="50"/>
      <c r="D15" s="50"/>
      <c r="E15" s="47"/>
      <c r="F15" s="47"/>
      <c r="G15" s="47" t="s">
        <v>259</v>
      </c>
      <c r="H15" s="47" t="s">
        <v>11</v>
      </c>
      <c r="I15" s="47"/>
      <c r="J15" s="47"/>
      <c r="K15" s="47"/>
      <c r="L15" s="47"/>
      <c r="M15" s="47" t="s">
        <v>259</v>
      </c>
      <c r="N15" s="47" t="s">
        <v>11</v>
      </c>
      <c r="O15" s="47"/>
      <c r="P15" s="47"/>
    </row>
    <row r="16" spans="1:16" s="9" customFormat="1" ht="29.4" customHeight="1" x14ac:dyDescent="0.25">
      <c r="A16" s="50"/>
      <c r="B16" s="50"/>
      <c r="C16" s="50"/>
      <c r="D16" s="5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8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8" ht="62.5" x14ac:dyDescent="0.25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9" si="0">F18+I18</f>
        <v>160289108</v>
      </c>
      <c r="F18" s="24">
        <f>F19</f>
        <v>156379248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11281752</v>
      </c>
      <c r="K18" s="24">
        <f>K19</f>
        <v>10945252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10945252</v>
      </c>
      <c r="P18" s="24">
        <f>E18+J18</f>
        <v>171570860</v>
      </c>
      <c r="Q18" s="28">
        <f>164403860+7167000</f>
        <v>171570860</v>
      </c>
      <c r="R18" s="28">
        <f>P18-Q18</f>
        <v>0</v>
      </c>
    </row>
    <row r="19" spans="1:18" ht="62.5" x14ac:dyDescent="0.25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160289108</v>
      </c>
      <c r="F19" s="24">
        <f>F20+F25+F26+F27+F28+F29+F30+F31+F32+F33+F38+F39+F40+F41+F42+F43+F44+F45+F46+F47+F48+F49</f>
        <v>156379248</v>
      </c>
      <c r="G19" s="24">
        <f t="shared" ref="G19:K19" si="1">G20+G25+G26+G27+G28+G29+G30+G31+G32+G33+G38+G39+G40+G41+G42+G43+G44+G45+G46+G47+G48+G49</f>
        <v>71792100</v>
      </c>
      <c r="H19" s="24">
        <f t="shared" si="1"/>
        <v>5682200</v>
      </c>
      <c r="I19" s="24">
        <f t="shared" si="1"/>
        <v>3909860</v>
      </c>
      <c r="J19" s="24">
        <f>L19+O19</f>
        <v>11281752</v>
      </c>
      <c r="K19" s="24">
        <f t="shared" si="1"/>
        <v>10945252</v>
      </c>
      <c r="L19" s="24">
        <f t="shared" ref="L19" si="2">L20+L25+L26+L27+L28+L29+L30+L31+L32+L33+L38+L39+L40+L41+L42+L43+L44+L45+L46+L47+L48+L49</f>
        <v>336500</v>
      </c>
      <c r="M19" s="24">
        <f t="shared" ref="M19" si="3">M20+M25+M26+M27+M28+M29+M30+M31+M32+M33+M38+M39+M40+M41+M42+M43+M44+M45+M46+M47+M48+M49</f>
        <v>0</v>
      </c>
      <c r="N19" s="24">
        <f t="shared" ref="N19" si="4">N20+N25+N26+N27+N28+N29+N30+N31+N32+N33+N38+N39+N40+N41+N42+N43+N44+N45+N46+N47+N48+N49</f>
        <v>0</v>
      </c>
      <c r="O19" s="24">
        <f t="shared" ref="O19" si="5">O20+O25+O26+O27+O28+O29+O30+O31+O32+O33+O38+O39+O40+O41+O42+O43+O44+O45+O46+O47+O48+O49</f>
        <v>10945252</v>
      </c>
      <c r="P19" s="24">
        <f>E19+J19</f>
        <v>171570860</v>
      </c>
    </row>
    <row r="20" spans="1:18" ht="109.4" x14ac:dyDescent="0.25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65393600</v>
      </c>
      <c r="F20" s="25">
        <f>F21+F22+F23+F24</f>
        <v>65393600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1238900</v>
      </c>
      <c r="P20" s="25">
        <f>E20+J20</f>
        <v>66773000</v>
      </c>
      <c r="Q20" s="28"/>
    </row>
    <row r="21" spans="1:18" s="17" customFormat="1" ht="62.5" x14ac:dyDescent="0.25">
      <c r="A21" s="15"/>
      <c r="B21" s="15"/>
      <c r="C21" s="15"/>
      <c r="D21" s="16" t="s">
        <v>18</v>
      </c>
      <c r="E21" s="25">
        <f t="shared" si="0"/>
        <v>58677200</v>
      </c>
      <c r="F21" s="26">
        <f>53843500+500000+300000+10000+720000-10000+1528000+10300+90400+300000+1300000-10000+95000</f>
        <v>58677200</v>
      </c>
      <c r="G21" s="26">
        <f>45394700+720000+1528000+1300000</f>
        <v>48942700</v>
      </c>
      <c r="H21" s="26">
        <v>4867400</v>
      </c>
      <c r="I21" s="26"/>
      <c r="J21" s="26">
        <f t="shared" ref="J21:J49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9" si="8">E21+J21</f>
        <v>59861698</v>
      </c>
    </row>
    <row r="22" spans="1:18" s="17" customFormat="1" ht="62.5" x14ac:dyDescent="0.25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8"/>
        <v>2661501</v>
      </c>
    </row>
    <row r="23" spans="1:18" s="17" customFormat="1" ht="62.5" x14ac:dyDescent="0.25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7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8"/>
        <v>1930000</v>
      </c>
    </row>
    <row r="24" spans="1:18" s="17" customFormat="1" ht="57.75" customHeight="1" x14ac:dyDescent="0.25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7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8"/>
        <v>2319801</v>
      </c>
    </row>
    <row r="25" spans="1:18" ht="62.5" x14ac:dyDescent="0.25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27000</v>
      </c>
      <c r="Q25" s="28"/>
    </row>
    <row r="26" spans="1:18" ht="31.25" x14ac:dyDescent="0.25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1482500</v>
      </c>
      <c r="F26" s="25">
        <f>1738500+99000-260000-95000</f>
        <v>1482500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1482500</v>
      </c>
      <c r="Q26" s="28"/>
    </row>
    <row r="27" spans="1:18" ht="31.25" x14ac:dyDescent="0.25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33616100</v>
      </c>
      <c r="F27" s="25">
        <f>23270300+500000+2395000+199310+9194200+110800-1530000-399310+1595800-1000000+100000-900000+120000-40000</f>
        <v>33616100</v>
      </c>
      <c r="G27" s="25">
        <v>0</v>
      </c>
      <c r="H27" s="25">
        <v>0</v>
      </c>
      <c r="I27" s="25">
        <v>0</v>
      </c>
      <c r="J27" s="25">
        <f t="shared" si="7"/>
        <v>5300000</v>
      </c>
      <c r="K27" s="25">
        <f>800000+4500000</f>
        <v>5300000</v>
      </c>
      <c r="L27" s="25">
        <v>0</v>
      </c>
      <c r="M27" s="25">
        <v>0</v>
      </c>
      <c r="N27" s="25">
        <v>0</v>
      </c>
      <c r="O27" s="25">
        <f>800000+4500000</f>
        <v>5300000</v>
      </c>
      <c r="P27" s="25">
        <f t="shared" si="8"/>
        <v>38916100</v>
      </c>
      <c r="Q27" s="28"/>
    </row>
    <row r="28" spans="1:18" ht="31.25" x14ac:dyDescent="0.25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  <c r="Q28" s="28"/>
    </row>
    <row r="29" spans="1:18" ht="62.5" x14ac:dyDescent="0.25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2594600</v>
      </c>
      <c r="F29" s="25">
        <f>174800+3230100-70000+1650000-2445700+1500000-2600-1482000+40000</f>
        <v>2594600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2664600</v>
      </c>
      <c r="Q29" s="28"/>
    </row>
    <row r="30" spans="1:18" ht="31.25" x14ac:dyDescent="0.25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1976841.23</v>
      </c>
      <c r="F30" s="25">
        <f>1794900+244000-212058.77+150000</f>
        <v>1976841.23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1976841.23</v>
      </c>
      <c r="Q30" s="28"/>
    </row>
    <row r="31" spans="1:18" ht="46.9" x14ac:dyDescent="0.25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  <c r="Q31" s="28"/>
    </row>
    <row r="32" spans="1:18" ht="46.9" x14ac:dyDescent="0.25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5000000</v>
      </c>
      <c r="Q32" s="28"/>
    </row>
    <row r="33" spans="1:17" ht="31.25" x14ac:dyDescent="0.25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9245200</v>
      </c>
      <c r="F33" s="25">
        <f>F34+F35+F36+F37</f>
        <v>7715200</v>
      </c>
      <c r="G33" s="25">
        <f t="shared" ref="G33:I33" si="9">G34+G35+G36+G37</f>
        <v>0</v>
      </c>
      <c r="H33" s="25">
        <f t="shared" si="9"/>
        <v>0</v>
      </c>
      <c r="I33" s="25">
        <f t="shared" si="9"/>
        <v>1530000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9245200</v>
      </c>
      <c r="Q33" s="28"/>
    </row>
    <row r="34" spans="1:17" s="17" customFormat="1" ht="62.5" x14ac:dyDescent="0.25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8"/>
        <v>1530000</v>
      </c>
      <c r="Q34" s="42"/>
    </row>
    <row r="35" spans="1:17" s="17" customFormat="1" ht="58.1" customHeight="1" x14ac:dyDescent="0.25">
      <c r="A35" s="15"/>
      <c r="B35" s="15"/>
      <c r="C35" s="15"/>
      <c r="D35" s="16" t="s">
        <v>242</v>
      </c>
      <c r="E35" s="26">
        <f>F35+I35</f>
        <v>4249600</v>
      </c>
      <c r="F35" s="26">
        <f>3515000-15500-49900+400000+400000</f>
        <v>4249600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4249600</v>
      </c>
      <c r="Q35" s="42"/>
    </row>
    <row r="36" spans="1:17" s="17" customFormat="1" ht="62.5" x14ac:dyDescent="0.25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1380700</v>
      </c>
      <c r="Q36" s="42"/>
    </row>
    <row r="37" spans="1:17" s="17" customFormat="1" ht="55.55" customHeight="1" x14ac:dyDescent="0.25">
      <c r="A37" s="15"/>
      <c r="B37" s="15"/>
      <c r="C37" s="15"/>
      <c r="D37" s="16" t="s">
        <v>244</v>
      </c>
      <c r="E37" s="26">
        <f t="shared" si="0"/>
        <v>2084900</v>
      </c>
      <c r="F37" s="26">
        <f>1989700-104800+200000</f>
        <v>2084900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2084900</v>
      </c>
      <c r="Q37" s="42"/>
    </row>
    <row r="38" spans="1:17" ht="46.9" x14ac:dyDescent="0.25">
      <c r="A38" s="22" t="s">
        <v>414</v>
      </c>
      <c r="B38" s="22" t="s">
        <v>415</v>
      </c>
      <c r="C38" s="22" t="s">
        <v>266</v>
      </c>
      <c r="D38" s="14" t="s">
        <v>368</v>
      </c>
      <c r="E38" s="25">
        <f t="shared" ref="E38" si="10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1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2">E38+J38</f>
        <v>400000</v>
      </c>
      <c r="Q38" s="28"/>
    </row>
    <row r="39" spans="1:17" ht="46.9" x14ac:dyDescent="0.25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7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8"/>
        <v>1800000</v>
      </c>
      <c r="Q39" s="28"/>
    </row>
    <row r="40" spans="1:17" ht="93.75" x14ac:dyDescent="0.25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8"/>
        <v>179860</v>
      </c>
    </row>
    <row r="41" spans="1:17" ht="31.25" x14ac:dyDescent="0.25">
      <c r="A41" s="22" t="s">
        <v>352</v>
      </c>
      <c r="B41" s="22" t="s">
        <v>322</v>
      </c>
      <c r="C41" s="22" t="s">
        <v>56</v>
      </c>
      <c r="D41" s="14" t="s">
        <v>323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8"/>
        <v>70000</v>
      </c>
    </row>
    <row r="42" spans="1:17" x14ac:dyDescent="0.25">
      <c r="A42" s="22" t="s">
        <v>404</v>
      </c>
      <c r="B42" s="22" t="s">
        <v>325</v>
      </c>
      <c r="C42" s="22" t="s">
        <v>300</v>
      </c>
      <c r="D42" s="14" t="s">
        <v>301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8"/>
        <v>1750000</v>
      </c>
    </row>
    <row r="43" spans="1:17" ht="46.9" x14ac:dyDescent="0.25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7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8"/>
        <v>70700</v>
      </c>
    </row>
    <row r="44" spans="1:17" ht="46.9" x14ac:dyDescent="0.25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7"/>
        <v>0</v>
      </c>
      <c r="K44" s="25"/>
      <c r="L44" s="25"/>
      <c r="M44" s="25"/>
      <c r="N44" s="25"/>
      <c r="O44" s="25"/>
      <c r="P44" s="25">
        <f t="shared" si="8"/>
        <v>1311200</v>
      </c>
    </row>
    <row r="45" spans="1:17" ht="31.25" x14ac:dyDescent="0.25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21352480</v>
      </c>
      <c r="F45" s="25">
        <f>16137100+24600+1222000+2377600+250000+850000+106000+73880+300000+11300</f>
        <v>21352480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7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8"/>
        <v>22222600</v>
      </c>
    </row>
    <row r="46" spans="1:17" ht="31.25" x14ac:dyDescent="0.25">
      <c r="A46" s="22" t="s">
        <v>353</v>
      </c>
      <c r="B46" s="20">
        <v>8220</v>
      </c>
      <c r="C46" s="13" t="s">
        <v>60</v>
      </c>
      <c r="D46" s="14" t="s">
        <v>354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8"/>
        <v>1385000</v>
      </c>
    </row>
    <row r="47" spans="1:17" ht="31.25" x14ac:dyDescent="0.25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7089568</v>
      </c>
      <c r="F47" s="25">
        <f>1774000+649300+1216400+1165800+1350000+39068+280000+420000+195000</f>
        <v>7089568</v>
      </c>
      <c r="G47" s="25">
        <v>0</v>
      </c>
      <c r="H47" s="25">
        <v>0</v>
      </c>
      <c r="I47" s="25">
        <v>0</v>
      </c>
      <c r="J47" s="25">
        <f t="shared" si="7"/>
        <v>289932</v>
      </c>
      <c r="K47" s="25">
        <f>101232+188700</f>
        <v>289932</v>
      </c>
      <c r="L47" s="25">
        <v>0</v>
      </c>
      <c r="M47" s="25">
        <v>0</v>
      </c>
      <c r="N47" s="25">
        <v>0</v>
      </c>
      <c r="O47" s="25">
        <f>101232+188700</f>
        <v>289932</v>
      </c>
      <c r="P47" s="25">
        <f t="shared" si="8"/>
        <v>7379500</v>
      </c>
      <c r="Q47" s="28"/>
    </row>
    <row r="48" spans="1:17" ht="31.25" x14ac:dyDescent="0.25">
      <c r="A48" s="22" t="s">
        <v>431</v>
      </c>
      <c r="B48" s="22" t="s">
        <v>272</v>
      </c>
      <c r="C48" s="22" t="s">
        <v>60</v>
      </c>
      <c r="D48" s="14" t="s">
        <v>273</v>
      </c>
      <c r="E48" s="25">
        <f t="shared" si="0"/>
        <v>198000</v>
      </c>
      <c r="F48" s="25">
        <v>198000</v>
      </c>
      <c r="G48" s="25"/>
      <c r="H48" s="25"/>
      <c r="I48" s="25"/>
      <c r="J48" s="25">
        <f t="shared" si="7"/>
        <v>1399000</v>
      </c>
      <c r="K48" s="25">
        <v>1399000</v>
      </c>
      <c r="L48" s="25"/>
      <c r="M48" s="25"/>
      <c r="N48" s="25"/>
      <c r="O48" s="25">
        <v>1399000</v>
      </c>
      <c r="P48" s="25">
        <f t="shared" si="8"/>
        <v>1597000</v>
      </c>
    </row>
    <row r="49" spans="1:18" ht="31.25" x14ac:dyDescent="0.25">
      <c r="A49" s="13" t="s">
        <v>65</v>
      </c>
      <c r="B49" s="13" t="s">
        <v>66</v>
      </c>
      <c r="C49" s="13" t="s">
        <v>67</v>
      </c>
      <c r="D49" s="14" t="s">
        <v>68</v>
      </c>
      <c r="E49" s="25">
        <f t="shared" si="0"/>
        <v>0</v>
      </c>
      <c r="F49" s="25">
        <v>0</v>
      </c>
      <c r="G49" s="25">
        <v>0</v>
      </c>
      <c r="H49" s="25">
        <v>0</v>
      </c>
      <c r="I49" s="25">
        <v>0</v>
      </c>
      <c r="J49" s="25">
        <f t="shared" si="7"/>
        <v>196000</v>
      </c>
      <c r="K49" s="25">
        <v>0</v>
      </c>
      <c r="L49" s="25">
        <v>196000</v>
      </c>
      <c r="M49" s="25">
        <v>0</v>
      </c>
      <c r="N49" s="25">
        <v>0</v>
      </c>
      <c r="O49" s="25">
        <v>0</v>
      </c>
      <c r="P49" s="25">
        <f t="shared" si="8"/>
        <v>196000</v>
      </c>
    </row>
    <row r="50" spans="1:18" ht="62.5" x14ac:dyDescent="0.25">
      <c r="A50" s="11" t="s">
        <v>69</v>
      </c>
      <c r="B50" s="11" t="s">
        <v>17</v>
      </c>
      <c r="C50" s="11" t="s">
        <v>17</v>
      </c>
      <c r="D50" s="12" t="s">
        <v>367</v>
      </c>
      <c r="E50" s="24">
        <f>F50+I50</f>
        <v>386897298</v>
      </c>
      <c r="F50" s="24">
        <f>F51</f>
        <v>386890298</v>
      </c>
      <c r="G50" s="24">
        <f>G51</f>
        <v>303328973</v>
      </c>
      <c r="H50" s="24">
        <f>H51</f>
        <v>30390940.859999999</v>
      </c>
      <c r="I50" s="24">
        <f>I51</f>
        <v>7000</v>
      </c>
      <c r="J50" s="24">
        <f>L50+O50</f>
        <v>30370864</v>
      </c>
      <c r="K50" s="24">
        <f>K51</f>
        <v>24661596</v>
      </c>
      <c r="L50" s="24">
        <f>L51</f>
        <v>5709268</v>
      </c>
      <c r="M50" s="24">
        <f>M51</f>
        <v>0</v>
      </c>
      <c r="N50" s="24">
        <f>N51</f>
        <v>0</v>
      </c>
      <c r="O50" s="24">
        <f>O51</f>
        <v>24661596</v>
      </c>
      <c r="P50" s="24">
        <f>E50+J50</f>
        <v>417268162</v>
      </c>
      <c r="Q50" s="28">
        <f>438524222-21256060</f>
        <v>417268162</v>
      </c>
      <c r="R50" s="28">
        <f>P50-Q50</f>
        <v>0</v>
      </c>
    </row>
    <row r="51" spans="1:18" ht="62.5" x14ac:dyDescent="0.25">
      <c r="A51" s="11" t="s">
        <v>70</v>
      </c>
      <c r="B51" s="11" t="s">
        <v>17</v>
      </c>
      <c r="C51" s="11" t="s">
        <v>17</v>
      </c>
      <c r="D51" s="12" t="s">
        <v>367</v>
      </c>
      <c r="E51" s="24">
        <f>F51+I51</f>
        <v>386897298</v>
      </c>
      <c r="F51" s="24">
        <f>F52+F53+F54+F55+F56+F57+F58+F59+F60+F61+F62+F63+F64+F65+F69+F70+F71+F72+F73+F74+F75+F76</f>
        <v>386890298</v>
      </c>
      <c r="G51" s="24">
        <f t="shared" ref="G51:I51" si="13">G52+G53+G54+G55+G56+G57+G58+G59+G60+G61+G62+G63+G64+G65+G69+G70+G71+G72+G73+G74+G75+G76</f>
        <v>303328973</v>
      </c>
      <c r="H51" s="24">
        <f t="shared" si="13"/>
        <v>30390940.859999999</v>
      </c>
      <c r="I51" s="24">
        <f t="shared" si="13"/>
        <v>7000</v>
      </c>
      <c r="J51" s="24">
        <f>L51+O51</f>
        <v>30370864</v>
      </c>
      <c r="K51" s="24">
        <f>K52+K53+K54+K55+K56+K57+K58+K59+K60+K61+K62+K63+K64+K65+K69+K70+K71+K72+K73+K74+K75+K76</f>
        <v>24661596</v>
      </c>
      <c r="L51" s="24">
        <f t="shared" ref="L51:O51" si="14">L52+L53+L54+L55+L56+L57+L58+L59+L60+L61+L62+L63+L64+L65+L69+L70+L71+L72+L73+L74+L75+L76</f>
        <v>5709268</v>
      </c>
      <c r="M51" s="24">
        <f t="shared" si="14"/>
        <v>0</v>
      </c>
      <c r="N51" s="24">
        <f t="shared" si="14"/>
        <v>0</v>
      </c>
      <c r="O51" s="24">
        <f t="shared" si="14"/>
        <v>24661596</v>
      </c>
      <c r="P51" s="24">
        <f>E51+J51</f>
        <v>417268162</v>
      </c>
    </row>
    <row r="52" spans="1:18" ht="62.5" x14ac:dyDescent="0.25">
      <c r="A52" s="13" t="s">
        <v>71</v>
      </c>
      <c r="B52" s="13" t="s">
        <v>72</v>
      </c>
      <c r="C52" s="13" t="s">
        <v>22</v>
      </c>
      <c r="D52" s="14" t="s">
        <v>73</v>
      </c>
      <c r="E52" s="25">
        <f>F52+I52</f>
        <v>4281400</v>
      </c>
      <c r="F52" s="25">
        <f>3778800+3300+33500+65800+400000</f>
        <v>4281400</v>
      </c>
      <c r="G52" s="25">
        <f>3302500+33500+65800+400000</f>
        <v>3801800</v>
      </c>
      <c r="H52" s="25">
        <v>423800</v>
      </c>
      <c r="I52" s="25">
        <v>0</v>
      </c>
      <c r="J52" s="25">
        <f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>E52+J52</f>
        <v>4281400</v>
      </c>
    </row>
    <row r="53" spans="1:18" ht="31.25" x14ac:dyDescent="0.25">
      <c r="A53" s="13" t="s">
        <v>74</v>
      </c>
      <c r="B53" s="13" t="s">
        <v>28</v>
      </c>
      <c r="C53" s="13" t="s">
        <v>29</v>
      </c>
      <c r="D53" s="14" t="s">
        <v>30</v>
      </c>
      <c r="E53" s="25">
        <f t="shared" ref="E53:E76" si="15">F53+I53</f>
        <v>135469</v>
      </c>
      <c r="F53" s="25">
        <f>99000+36469</f>
        <v>135469</v>
      </c>
      <c r="G53" s="25">
        <v>0</v>
      </c>
      <c r="H53" s="25">
        <v>0</v>
      </c>
      <c r="I53" s="25">
        <v>0</v>
      </c>
      <c r="J53" s="25">
        <f t="shared" ref="J53:J73" si="16">L53+O53</f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ref="P53:P76" si="17">E53+J53</f>
        <v>135469</v>
      </c>
    </row>
    <row r="54" spans="1:18" x14ac:dyDescent="0.25">
      <c r="A54" s="13" t="s">
        <v>75</v>
      </c>
      <c r="B54" s="13" t="s">
        <v>76</v>
      </c>
      <c r="C54" s="13" t="s">
        <v>77</v>
      </c>
      <c r="D54" s="14" t="s">
        <v>78</v>
      </c>
      <c r="E54" s="25">
        <f t="shared" si="15"/>
        <v>93443766</v>
      </c>
      <c r="F54" s="25">
        <f>140661800-2584210-1961369-3443100-27832335+1431980-1700000-3329000-7800000-7000</f>
        <v>93436766</v>
      </c>
      <c r="G54" s="25">
        <f>111183400-3611200-4200220-27832335-3000000</f>
        <v>72539645</v>
      </c>
      <c r="H54" s="25">
        <f>20936600-1700000-3329000-4800000</f>
        <v>11107600</v>
      </c>
      <c r="I54" s="25">
        <v>7000</v>
      </c>
      <c r="J54" s="25">
        <f t="shared" si="16"/>
        <v>9970000</v>
      </c>
      <c r="K54" s="25">
        <f>7670000-2600000-300000</f>
        <v>4770000</v>
      </c>
      <c r="L54" s="25">
        <v>5200000</v>
      </c>
      <c r="M54" s="25">
        <v>0</v>
      </c>
      <c r="N54" s="25">
        <v>0</v>
      </c>
      <c r="O54" s="25">
        <f>7670000-2600000-300000</f>
        <v>4770000</v>
      </c>
      <c r="P54" s="25">
        <f t="shared" si="17"/>
        <v>103413766</v>
      </c>
    </row>
    <row r="55" spans="1:18" ht="62.5" x14ac:dyDescent="0.25">
      <c r="A55" s="13" t="s">
        <v>79</v>
      </c>
      <c r="B55" s="13" t="s">
        <v>80</v>
      </c>
      <c r="C55" s="13" t="s">
        <v>81</v>
      </c>
      <c r="D55" s="14" t="s">
        <v>278</v>
      </c>
      <c r="E55" s="25">
        <f t="shared" si="15"/>
        <v>82124985</v>
      </c>
      <c r="F55" s="25">
        <f>78979700+12259000-5770000+854880+1877650+949450+3224405-1350000-5700100-1000000-2200000</f>
        <v>82124985</v>
      </c>
      <c r="G55" s="25">
        <f>39129100+12259000-415100-1000000</f>
        <v>49973000</v>
      </c>
      <c r="H55" s="25">
        <f>23132400-1350000-3835000-1000000-1700000</f>
        <v>15247400</v>
      </c>
      <c r="I55" s="25">
        <v>0</v>
      </c>
      <c r="J55" s="25">
        <f t="shared" si="16"/>
        <v>11521095</v>
      </c>
      <c r="K55" s="25">
        <f>1486596+9527000+5000000-2500000-2000000</f>
        <v>11513596</v>
      </c>
      <c r="L55" s="25">
        <v>7499</v>
      </c>
      <c r="M55" s="25">
        <v>0</v>
      </c>
      <c r="N55" s="25">
        <v>0</v>
      </c>
      <c r="O55" s="25">
        <f>1486596+9527000+5000000-2500000-2000000</f>
        <v>11513596</v>
      </c>
      <c r="P55" s="25">
        <f t="shared" si="17"/>
        <v>93646080</v>
      </c>
    </row>
    <row r="56" spans="1:18" ht="109.4" x14ac:dyDescent="0.25">
      <c r="A56" s="13" t="s">
        <v>82</v>
      </c>
      <c r="B56" s="13" t="s">
        <v>83</v>
      </c>
      <c r="C56" s="13" t="s">
        <v>84</v>
      </c>
      <c r="D56" s="14" t="s">
        <v>279</v>
      </c>
      <c r="E56" s="25">
        <f t="shared" si="15"/>
        <v>6864728.5700000003</v>
      </c>
      <c r="F56" s="25">
        <f>5642100+1131700+23800+135720+143740+400000-200000-412331.43</f>
        <v>6864728.5700000003</v>
      </c>
      <c r="G56" s="25">
        <f>2967400+1131700+400000</f>
        <v>4499100</v>
      </c>
      <c r="H56" s="25">
        <f>1441800-200000-412331.43</f>
        <v>829468.57000000007</v>
      </c>
      <c r="I56" s="25">
        <v>0</v>
      </c>
      <c r="J56" s="25">
        <f t="shared" si="16"/>
        <v>2915000</v>
      </c>
      <c r="K56" s="25">
        <v>2915000</v>
      </c>
      <c r="L56" s="25">
        <v>0</v>
      </c>
      <c r="M56" s="25">
        <v>0</v>
      </c>
      <c r="N56" s="25">
        <v>0</v>
      </c>
      <c r="O56" s="25">
        <v>2915000</v>
      </c>
      <c r="P56" s="25">
        <f t="shared" si="17"/>
        <v>9779728.5700000003</v>
      </c>
    </row>
    <row r="57" spans="1:18" ht="62.5" x14ac:dyDescent="0.25">
      <c r="A57" s="13" t="s">
        <v>85</v>
      </c>
      <c r="B57" s="13" t="s">
        <v>86</v>
      </c>
      <c r="C57" s="13" t="s">
        <v>81</v>
      </c>
      <c r="D57" s="14" t="s">
        <v>280</v>
      </c>
      <c r="E57" s="25">
        <f t="shared" si="15"/>
        <v>117414500</v>
      </c>
      <c r="F57" s="25">
        <f>117393900+20600</f>
        <v>117414500</v>
      </c>
      <c r="G57" s="25">
        <f>117393900+20600</f>
        <v>117414500</v>
      </c>
      <c r="H57" s="25">
        <v>0</v>
      </c>
      <c r="I57" s="25">
        <v>0</v>
      </c>
      <c r="J57" s="25">
        <f t="shared" si="16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7"/>
        <v>117414500</v>
      </c>
    </row>
    <row r="58" spans="1:18" ht="109.4" x14ac:dyDescent="0.25">
      <c r="A58" s="13" t="s">
        <v>87</v>
      </c>
      <c r="B58" s="13" t="s">
        <v>88</v>
      </c>
      <c r="C58" s="13" t="s">
        <v>84</v>
      </c>
      <c r="D58" s="14" t="s">
        <v>281</v>
      </c>
      <c r="E58" s="25">
        <f t="shared" si="15"/>
        <v>9500000</v>
      </c>
      <c r="F58" s="25">
        <v>9500000</v>
      </c>
      <c r="G58" s="25">
        <v>9500000</v>
      </c>
      <c r="H58" s="25">
        <v>0</v>
      </c>
      <c r="I58" s="25">
        <v>0</v>
      </c>
      <c r="J58" s="25">
        <f t="shared" si="16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7"/>
        <v>9500000</v>
      </c>
    </row>
    <row r="59" spans="1:18" ht="62.5" x14ac:dyDescent="0.25">
      <c r="A59" s="13" t="s">
        <v>89</v>
      </c>
      <c r="B59" s="13" t="s">
        <v>90</v>
      </c>
      <c r="C59" s="13" t="s">
        <v>91</v>
      </c>
      <c r="D59" s="14" t="s">
        <v>92</v>
      </c>
      <c r="E59" s="25">
        <f t="shared" si="15"/>
        <v>20761790</v>
      </c>
      <c r="F59" s="25">
        <f>22745700+368000+319800+47250+137670+213370-1370000-1700000</f>
        <v>20761790</v>
      </c>
      <c r="G59" s="25">
        <f>18051000+368000-1370000-400000</f>
        <v>16649000</v>
      </c>
      <c r="H59" s="25">
        <f>2232900-1300000</f>
        <v>932900</v>
      </c>
      <c r="I59" s="25">
        <v>0</v>
      </c>
      <c r="J59" s="25">
        <f t="shared" si="16"/>
        <v>186000</v>
      </c>
      <c r="K59" s="25">
        <v>73500</v>
      </c>
      <c r="L59" s="25">
        <v>112500</v>
      </c>
      <c r="M59" s="25">
        <v>0</v>
      </c>
      <c r="N59" s="25">
        <v>0</v>
      </c>
      <c r="O59" s="25">
        <v>73500</v>
      </c>
      <c r="P59" s="25">
        <f t="shared" si="17"/>
        <v>20947790</v>
      </c>
    </row>
    <row r="60" spans="1:18" ht="46.9" x14ac:dyDescent="0.25">
      <c r="A60" s="13" t="s">
        <v>93</v>
      </c>
      <c r="B60" s="13" t="s">
        <v>94</v>
      </c>
      <c r="C60" s="13" t="s">
        <v>95</v>
      </c>
      <c r="D60" s="14" t="s">
        <v>96</v>
      </c>
      <c r="E60" s="25">
        <f t="shared" si="15"/>
        <v>30000</v>
      </c>
      <c r="F60" s="25">
        <v>30000</v>
      </c>
      <c r="G60" s="25">
        <v>0</v>
      </c>
      <c r="H60" s="25">
        <v>0</v>
      </c>
      <c r="I60" s="25">
        <v>0</v>
      </c>
      <c r="J60" s="25">
        <f t="shared" si="16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f t="shared" si="17"/>
        <v>30000</v>
      </c>
    </row>
    <row r="61" spans="1:18" ht="31.25" x14ac:dyDescent="0.25">
      <c r="A61" s="13" t="s">
        <v>98</v>
      </c>
      <c r="B61" s="13" t="s">
        <v>99</v>
      </c>
      <c r="C61" s="13" t="s">
        <v>97</v>
      </c>
      <c r="D61" s="14" t="s">
        <v>100</v>
      </c>
      <c r="E61" s="25">
        <f t="shared" si="15"/>
        <v>18712260</v>
      </c>
      <c r="F61" s="25">
        <f>14567200+1564200+521100+171010+350000+300000+1041850+1084900+612000-200000-1300000</f>
        <v>18712260</v>
      </c>
      <c r="G61" s="25">
        <f>13136200+1564200</f>
        <v>14700400</v>
      </c>
      <c r="H61" s="43">
        <f>696000+521100+171010+912000-200000-1300000</f>
        <v>800110</v>
      </c>
      <c r="I61" s="25">
        <v>0</v>
      </c>
      <c r="J61" s="25">
        <f t="shared" si="16"/>
        <v>1</v>
      </c>
      <c r="K61" s="25">
        <v>0</v>
      </c>
      <c r="L61" s="25">
        <v>1</v>
      </c>
      <c r="M61" s="25">
        <v>0</v>
      </c>
      <c r="N61" s="25">
        <v>0</v>
      </c>
      <c r="O61" s="25">
        <v>0</v>
      </c>
      <c r="P61" s="25">
        <f t="shared" si="17"/>
        <v>18712261</v>
      </c>
    </row>
    <row r="62" spans="1:18" ht="62.5" x14ac:dyDescent="0.25">
      <c r="A62" s="13" t="s">
        <v>101</v>
      </c>
      <c r="B62" s="13" t="s">
        <v>102</v>
      </c>
      <c r="C62" s="13" t="s">
        <v>97</v>
      </c>
      <c r="D62" s="14" t="s">
        <v>103</v>
      </c>
      <c r="E62" s="25">
        <f t="shared" si="15"/>
        <v>810060</v>
      </c>
      <c r="F62" s="25">
        <f>735300+21600+38060+15100</f>
        <v>810060</v>
      </c>
      <c r="G62" s="25">
        <f>274800+30000+15100</f>
        <v>319900</v>
      </c>
      <c r="H62" s="25">
        <v>261500</v>
      </c>
      <c r="I62" s="25">
        <v>0</v>
      </c>
      <c r="J62" s="25">
        <f t="shared" si="16"/>
        <v>40500</v>
      </c>
      <c r="K62" s="25">
        <v>40500</v>
      </c>
      <c r="L62" s="25">
        <v>0</v>
      </c>
      <c r="M62" s="25">
        <v>0</v>
      </c>
      <c r="N62" s="25">
        <v>0</v>
      </c>
      <c r="O62" s="25">
        <v>40500</v>
      </c>
      <c r="P62" s="25">
        <f t="shared" si="17"/>
        <v>850560</v>
      </c>
    </row>
    <row r="63" spans="1:18" ht="46.9" x14ac:dyDescent="0.25">
      <c r="A63" s="13" t="s">
        <v>104</v>
      </c>
      <c r="B63" s="13" t="s">
        <v>105</v>
      </c>
      <c r="C63" s="13" t="s">
        <v>97</v>
      </c>
      <c r="D63" s="14" t="s">
        <v>106</v>
      </c>
      <c r="E63" s="25">
        <f t="shared" si="15"/>
        <v>2295056</v>
      </c>
      <c r="F63" s="25">
        <f>1132828+1162228</f>
        <v>2295056</v>
      </c>
      <c r="G63" s="25">
        <f>1132828+1162228</f>
        <v>2295056</v>
      </c>
      <c r="H63" s="25">
        <v>0</v>
      </c>
      <c r="I63" s="25">
        <v>0</v>
      </c>
      <c r="J63" s="25">
        <f t="shared" si="16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f t="shared" si="17"/>
        <v>2295056</v>
      </c>
    </row>
    <row r="64" spans="1:18" ht="46.9" x14ac:dyDescent="0.25">
      <c r="A64" s="22" t="s">
        <v>294</v>
      </c>
      <c r="B64" s="22">
        <v>1160</v>
      </c>
      <c r="C64" s="13" t="s">
        <v>97</v>
      </c>
      <c r="D64" s="14" t="s">
        <v>295</v>
      </c>
      <c r="E64" s="25">
        <f t="shared" si="15"/>
        <v>3832400</v>
      </c>
      <c r="F64" s="25">
        <f>3810500+21900</f>
        <v>3832400</v>
      </c>
      <c r="G64" s="25">
        <v>3452400</v>
      </c>
      <c r="H64" s="25">
        <v>53100</v>
      </c>
      <c r="I64" s="25">
        <v>0</v>
      </c>
      <c r="J64" s="25">
        <f t="shared" si="16"/>
        <v>849000</v>
      </c>
      <c r="K64" s="25">
        <v>849000</v>
      </c>
      <c r="L64" s="25">
        <v>0</v>
      </c>
      <c r="M64" s="25">
        <v>0</v>
      </c>
      <c r="N64" s="25">
        <v>0</v>
      </c>
      <c r="O64" s="25">
        <v>849000</v>
      </c>
      <c r="P64" s="25">
        <f t="shared" si="17"/>
        <v>4681400</v>
      </c>
    </row>
    <row r="65" spans="1:18" ht="78.150000000000006" x14ac:dyDescent="0.25">
      <c r="A65" s="22" t="s">
        <v>355</v>
      </c>
      <c r="B65" s="22" t="s">
        <v>356</v>
      </c>
      <c r="C65" s="13" t="s">
        <v>97</v>
      </c>
      <c r="D65" s="14" t="s">
        <v>357</v>
      </c>
      <c r="E65" s="25">
        <f t="shared" si="15"/>
        <v>351372</v>
      </c>
      <c r="F65" s="25">
        <f>F67+F68</f>
        <v>351372</v>
      </c>
      <c r="G65" s="25">
        <f t="shared" ref="G65:I65" si="18">G67+G68</f>
        <v>351372</v>
      </c>
      <c r="H65" s="25">
        <f t="shared" si="18"/>
        <v>0</v>
      </c>
      <c r="I65" s="25">
        <f t="shared" si="18"/>
        <v>0</v>
      </c>
      <c r="J65" s="25"/>
      <c r="K65" s="25"/>
      <c r="L65" s="25"/>
      <c r="M65" s="25"/>
      <c r="N65" s="25"/>
      <c r="O65" s="25"/>
      <c r="P65" s="25">
        <f t="shared" si="17"/>
        <v>351372</v>
      </c>
    </row>
    <row r="66" spans="1:18" x14ac:dyDescent="0.25">
      <c r="A66" s="22"/>
      <c r="B66" s="22"/>
      <c r="C66" s="13"/>
      <c r="D66" s="31" t="s">
        <v>358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>
        <f t="shared" si="17"/>
        <v>0</v>
      </c>
    </row>
    <row r="67" spans="1:18" ht="78.150000000000006" x14ac:dyDescent="0.25">
      <c r="A67" s="22"/>
      <c r="B67" s="22"/>
      <c r="C67" s="13"/>
      <c r="D67" s="32" t="s">
        <v>359</v>
      </c>
      <c r="E67" s="26">
        <f t="shared" si="15"/>
        <v>123354</v>
      </c>
      <c r="F67" s="33">
        <f>63546+59808</f>
        <v>123354</v>
      </c>
      <c r="G67" s="33">
        <f>63546+59808</f>
        <v>123354</v>
      </c>
      <c r="H67" s="25"/>
      <c r="I67" s="25"/>
      <c r="J67" s="25"/>
      <c r="K67" s="25"/>
      <c r="L67" s="25"/>
      <c r="M67" s="25"/>
      <c r="N67" s="25"/>
      <c r="O67" s="25"/>
      <c r="P67" s="26">
        <f t="shared" si="17"/>
        <v>123354</v>
      </c>
    </row>
    <row r="68" spans="1:18" ht="78.150000000000006" x14ac:dyDescent="0.25">
      <c r="A68" s="22"/>
      <c r="B68" s="22"/>
      <c r="C68" s="13"/>
      <c r="D68" s="32" t="s">
        <v>360</v>
      </c>
      <c r="E68" s="26">
        <f t="shared" si="15"/>
        <v>228018</v>
      </c>
      <c r="F68" s="33">
        <f>97188+130830</f>
        <v>228018</v>
      </c>
      <c r="G68" s="33">
        <f>97188+130830</f>
        <v>228018</v>
      </c>
      <c r="H68" s="25"/>
      <c r="I68" s="25"/>
      <c r="J68" s="25"/>
      <c r="K68" s="25"/>
      <c r="L68" s="25"/>
      <c r="M68" s="25"/>
      <c r="N68" s="25"/>
      <c r="O68" s="25"/>
      <c r="P68" s="26">
        <f t="shared" si="17"/>
        <v>228018</v>
      </c>
    </row>
    <row r="69" spans="1:18" ht="93.75" x14ac:dyDescent="0.25">
      <c r="A69" s="22" t="s">
        <v>417</v>
      </c>
      <c r="B69" s="22" t="s">
        <v>418</v>
      </c>
      <c r="C69" s="22" t="s">
        <v>97</v>
      </c>
      <c r="D69" s="45" t="s">
        <v>421</v>
      </c>
      <c r="E69" s="25">
        <f t="shared" si="15"/>
        <v>166829.13999999998</v>
      </c>
      <c r="F69" s="35">
        <f>164707.71+2121.43</f>
        <v>166829.13999999998</v>
      </c>
      <c r="G69" s="35"/>
      <c r="H69" s="25"/>
      <c r="I69" s="25"/>
      <c r="J69" s="25">
        <f>L69+O69</f>
        <v>0</v>
      </c>
      <c r="K69" s="25"/>
      <c r="L69" s="25"/>
      <c r="M69" s="25"/>
      <c r="N69" s="25"/>
      <c r="O69" s="25"/>
      <c r="P69" s="25">
        <f t="shared" si="17"/>
        <v>166829.13999999998</v>
      </c>
    </row>
    <row r="70" spans="1:18" ht="78.150000000000006" x14ac:dyDescent="0.25">
      <c r="A70" s="22" t="s">
        <v>420</v>
      </c>
      <c r="B70" s="22" t="s">
        <v>419</v>
      </c>
      <c r="C70" s="22" t="s">
        <v>97</v>
      </c>
      <c r="D70" s="44" t="s">
        <v>422</v>
      </c>
      <c r="E70" s="25">
        <f t="shared" si="15"/>
        <v>0</v>
      </c>
      <c r="F70" s="35"/>
      <c r="G70" s="35"/>
      <c r="H70" s="25"/>
      <c r="I70" s="25"/>
      <c r="J70" s="25">
        <f>L70+O70</f>
        <v>389268</v>
      </c>
      <c r="K70" s="25"/>
      <c r="L70" s="25">
        <f>384318+4950</f>
        <v>389268</v>
      </c>
      <c r="M70" s="25"/>
      <c r="N70" s="25"/>
      <c r="O70" s="25"/>
      <c r="P70" s="25">
        <f t="shared" si="17"/>
        <v>389268</v>
      </c>
    </row>
    <row r="71" spans="1:18" ht="109.4" x14ac:dyDescent="0.25">
      <c r="A71" s="13" t="s">
        <v>107</v>
      </c>
      <c r="B71" s="13" t="s">
        <v>108</v>
      </c>
      <c r="C71" s="13" t="s">
        <v>44</v>
      </c>
      <c r="D71" s="14" t="s">
        <v>109</v>
      </c>
      <c r="E71" s="25">
        <f t="shared" si="15"/>
        <v>2283800</v>
      </c>
      <c r="F71" s="25">
        <v>2283800</v>
      </c>
      <c r="G71" s="25">
        <v>0</v>
      </c>
      <c r="H71" s="25">
        <v>0</v>
      </c>
      <c r="I71" s="25">
        <v>0</v>
      </c>
      <c r="J71" s="25">
        <f t="shared" si="16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f t="shared" si="17"/>
        <v>2283800</v>
      </c>
    </row>
    <row r="72" spans="1:18" ht="46.9" x14ac:dyDescent="0.25">
      <c r="A72" s="13" t="s">
        <v>110</v>
      </c>
      <c r="B72" s="13" t="s">
        <v>47</v>
      </c>
      <c r="C72" s="13" t="s">
        <v>48</v>
      </c>
      <c r="D72" s="14" t="s">
        <v>49</v>
      </c>
      <c r="E72" s="25">
        <f t="shared" si="15"/>
        <v>9530200</v>
      </c>
      <c r="F72" s="25">
        <f>3500200+5770000+30000+230000</f>
        <v>9530200</v>
      </c>
      <c r="G72" s="25">
        <v>0</v>
      </c>
      <c r="H72" s="25">
        <v>0</v>
      </c>
      <c r="I72" s="25">
        <v>0</v>
      </c>
      <c r="J72" s="25">
        <f t="shared" si="16"/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f t="shared" si="17"/>
        <v>9530200</v>
      </c>
    </row>
    <row r="73" spans="1:18" ht="62.5" x14ac:dyDescent="0.25">
      <c r="A73" s="13" t="s">
        <v>111</v>
      </c>
      <c r="B73" s="13" t="s">
        <v>112</v>
      </c>
      <c r="C73" s="13" t="s">
        <v>113</v>
      </c>
      <c r="D73" s="14" t="s">
        <v>114</v>
      </c>
      <c r="E73" s="25">
        <f t="shared" si="15"/>
        <v>9932472.2899999991</v>
      </c>
      <c r="F73" s="25">
        <f>10965800+104680+30490+275840-460000-400000-73537.71-510800</f>
        <v>9932472.2899999991</v>
      </c>
      <c r="G73" s="25">
        <f>9003600-460000-400000-310800</f>
        <v>7832800</v>
      </c>
      <c r="H73" s="25">
        <f>1074600-66000-73537.71-200000</f>
        <v>735062.29</v>
      </c>
      <c r="I73" s="25">
        <v>0</v>
      </c>
      <c r="J73" s="25">
        <f t="shared" si="16"/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f t="shared" si="17"/>
        <v>9932472.2899999991</v>
      </c>
    </row>
    <row r="74" spans="1:18" ht="93.75" x14ac:dyDescent="0.25">
      <c r="A74" s="22" t="s">
        <v>426</v>
      </c>
      <c r="B74" s="20">
        <v>7372</v>
      </c>
      <c r="C74" s="22" t="s">
        <v>56</v>
      </c>
      <c r="D74" s="14" t="s">
        <v>427</v>
      </c>
      <c r="E74" s="25">
        <f t="shared" si="15"/>
        <v>60000</v>
      </c>
      <c r="F74" s="25">
        <v>60000</v>
      </c>
      <c r="G74" s="25"/>
      <c r="H74" s="25"/>
      <c r="I74" s="25"/>
      <c r="J74" s="25"/>
      <c r="K74" s="25"/>
      <c r="L74" s="25"/>
      <c r="M74" s="25"/>
      <c r="N74" s="25"/>
      <c r="O74" s="25"/>
      <c r="P74" s="25">
        <f t="shared" si="17"/>
        <v>60000</v>
      </c>
    </row>
    <row r="75" spans="1:18" ht="46.9" x14ac:dyDescent="0.25">
      <c r="A75" s="22" t="s">
        <v>296</v>
      </c>
      <c r="B75" s="22">
        <v>8110</v>
      </c>
      <c r="C75" s="22" t="s">
        <v>270</v>
      </c>
      <c r="D75" s="14" t="s">
        <v>271</v>
      </c>
      <c r="E75" s="25">
        <f t="shared" si="15"/>
        <v>4269210</v>
      </c>
      <c r="F75" s="25">
        <f>3767310-300000+61900+240000+500000</f>
        <v>4269210</v>
      </c>
      <c r="G75" s="25"/>
      <c r="H75" s="25"/>
      <c r="I75" s="25"/>
      <c r="J75" s="25">
        <f>L75+O75</f>
        <v>4500000</v>
      </c>
      <c r="K75" s="25">
        <f>1000000+3500000</f>
        <v>4500000</v>
      </c>
      <c r="L75" s="25"/>
      <c r="M75" s="25"/>
      <c r="N75" s="25"/>
      <c r="O75" s="25">
        <f>1000000+3500000</f>
        <v>4500000</v>
      </c>
      <c r="P75" s="25">
        <f t="shared" si="17"/>
        <v>8769210</v>
      </c>
    </row>
    <row r="76" spans="1:18" ht="31.25" x14ac:dyDescent="0.25">
      <c r="A76" s="22" t="s">
        <v>361</v>
      </c>
      <c r="B76" s="22" t="s">
        <v>272</v>
      </c>
      <c r="C76" s="22" t="s">
        <v>60</v>
      </c>
      <c r="D76" s="14" t="s">
        <v>273</v>
      </c>
      <c r="E76" s="25">
        <f t="shared" si="15"/>
        <v>97000</v>
      </c>
      <c r="F76" s="25">
        <v>97000</v>
      </c>
      <c r="G76" s="25"/>
      <c r="H76" s="25"/>
      <c r="I76" s="25"/>
      <c r="J76" s="25"/>
      <c r="K76" s="25"/>
      <c r="L76" s="25"/>
      <c r="M76" s="25"/>
      <c r="N76" s="25"/>
      <c r="O76" s="25"/>
      <c r="P76" s="25">
        <f t="shared" si="17"/>
        <v>97000</v>
      </c>
    </row>
    <row r="77" spans="1:18" ht="62.5" x14ac:dyDescent="0.25">
      <c r="A77" s="11" t="s">
        <v>115</v>
      </c>
      <c r="B77" s="11" t="s">
        <v>17</v>
      </c>
      <c r="C77" s="11" t="s">
        <v>17</v>
      </c>
      <c r="D77" s="12" t="s">
        <v>116</v>
      </c>
      <c r="E77" s="24">
        <f>F77+I77</f>
        <v>87994282.140000001</v>
      </c>
      <c r="F77" s="24">
        <f>F78</f>
        <v>87994282.140000001</v>
      </c>
      <c r="G77" s="24">
        <f>G78</f>
        <v>34184404.140000001</v>
      </c>
      <c r="H77" s="24">
        <f>H78</f>
        <v>1325900</v>
      </c>
      <c r="I77" s="24">
        <f>I78</f>
        <v>0</v>
      </c>
      <c r="J77" s="24">
        <f>L77+O77</f>
        <v>12611741</v>
      </c>
      <c r="K77" s="24">
        <f>K78</f>
        <v>12555341</v>
      </c>
      <c r="L77" s="24">
        <f>L78</f>
        <v>0</v>
      </c>
      <c r="M77" s="24">
        <f>M78</f>
        <v>0</v>
      </c>
      <c r="N77" s="24">
        <f>N78</f>
        <v>0</v>
      </c>
      <c r="O77" s="24">
        <f>O78</f>
        <v>12611741</v>
      </c>
      <c r="P77" s="24">
        <f>E77+J77</f>
        <v>100606023.14</v>
      </c>
      <c r="Q77" s="28">
        <f>100205501.14+400522</f>
        <v>100606023.14</v>
      </c>
      <c r="R77" s="28">
        <f>P77-Q77</f>
        <v>0</v>
      </c>
    </row>
    <row r="78" spans="1:18" ht="62.5" x14ac:dyDescent="0.25">
      <c r="A78" s="11" t="s">
        <v>117</v>
      </c>
      <c r="B78" s="11" t="s">
        <v>17</v>
      </c>
      <c r="C78" s="11" t="s">
        <v>17</v>
      </c>
      <c r="D78" s="12" t="s">
        <v>116</v>
      </c>
      <c r="E78" s="24">
        <f>F78+I78</f>
        <v>87994282.140000001</v>
      </c>
      <c r="F78" s="24">
        <f>F79+F80+F81+F82+F83+F84+F85+F86+F87+F88+F89+F90+F91+F92+F93+F94+F95+F96+F97</f>
        <v>87994282.140000001</v>
      </c>
      <c r="G78" s="24">
        <f t="shared" ref="G78:K78" si="19">G79+G80+G81+G82+G83+G84+G85+G86+G87+G88+G89+G90+G91+G92+G93+G94+G95+G96+G97</f>
        <v>34184404.140000001</v>
      </c>
      <c r="H78" s="24">
        <f t="shared" si="19"/>
        <v>1325900</v>
      </c>
      <c r="I78" s="24">
        <f t="shared" si="19"/>
        <v>0</v>
      </c>
      <c r="J78" s="24">
        <f>L78+O78</f>
        <v>12611741</v>
      </c>
      <c r="K78" s="24">
        <f t="shared" si="19"/>
        <v>12555341</v>
      </c>
      <c r="L78" s="24">
        <f t="shared" ref="L78" si="20">L79+L80+L81+L82+L83+L84+L85+L86+L87+L88+L89+L90+L91+L92+L93+L94+L95+L96+L97</f>
        <v>0</v>
      </c>
      <c r="M78" s="24">
        <f t="shared" ref="M78" si="21">M79+M80+M81+M82+M83+M84+M85+M86+M87+M88+M89+M90+M91+M92+M93+M94+M95+M96+M97</f>
        <v>0</v>
      </c>
      <c r="N78" s="24">
        <f t="shared" ref="N78" si="22">N79+N80+N81+N82+N83+N84+N85+N86+N87+N88+N89+N90+N91+N92+N93+N94+N95+N96+N97</f>
        <v>0</v>
      </c>
      <c r="O78" s="24">
        <f t="shared" ref="O78" si="23">O79+O80+O81+O82+O83+O84+O85+O86+O87+O88+O89+O90+O91+O92+O93+O94+O95+O96+O97</f>
        <v>12611741</v>
      </c>
      <c r="P78" s="24">
        <f>E78+J78</f>
        <v>100606023.14</v>
      </c>
    </row>
    <row r="79" spans="1:18" ht="62.5" x14ac:dyDescent="0.25">
      <c r="A79" s="13" t="s">
        <v>118</v>
      </c>
      <c r="B79" s="13" t="s">
        <v>72</v>
      </c>
      <c r="C79" s="13" t="s">
        <v>22</v>
      </c>
      <c r="D79" s="14" t="s">
        <v>73</v>
      </c>
      <c r="E79" s="25">
        <f>F79+I79</f>
        <v>14263500</v>
      </c>
      <c r="F79" s="25">
        <f>13691200+468600+191400-60000-27700</f>
        <v>14263500</v>
      </c>
      <c r="G79" s="25">
        <f>12377200+468600+191400-27700</f>
        <v>13009500</v>
      </c>
      <c r="H79" s="25">
        <v>786300</v>
      </c>
      <c r="I79" s="25">
        <v>0</v>
      </c>
      <c r="J79" s="25">
        <f>L79+O79</f>
        <v>400000</v>
      </c>
      <c r="K79" s="25">
        <v>400000</v>
      </c>
      <c r="L79" s="25">
        <v>0</v>
      </c>
      <c r="M79" s="25">
        <v>0</v>
      </c>
      <c r="N79" s="25">
        <v>0</v>
      </c>
      <c r="O79" s="25">
        <v>400000</v>
      </c>
      <c r="P79" s="25">
        <f>E79+J79</f>
        <v>14663500</v>
      </c>
    </row>
    <row r="80" spans="1:18" ht="31.25" x14ac:dyDescent="0.25">
      <c r="A80" s="13" t="s">
        <v>119</v>
      </c>
      <c r="B80" s="13" t="s">
        <v>28</v>
      </c>
      <c r="C80" s="13" t="s">
        <v>29</v>
      </c>
      <c r="D80" s="14" t="s">
        <v>30</v>
      </c>
      <c r="E80" s="25">
        <f t="shared" ref="E80:E97" si="24">F80+I80</f>
        <v>429000</v>
      </c>
      <c r="F80" s="25">
        <f>250000+99000+80000</f>
        <v>429000</v>
      </c>
      <c r="G80" s="25">
        <v>0</v>
      </c>
      <c r="H80" s="25">
        <v>0</v>
      </c>
      <c r="I80" s="25">
        <v>0</v>
      </c>
      <c r="J80" s="25">
        <f t="shared" ref="J80:J97" si="25">L80+O80</f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ref="P80:P96" si="26">E80+J80</f>
        <v>429000</v>
      </c>
    </row>
    <row r="81" spans="1:18" ht="46.9" x14ac:dyDescent="0.25">
      <c r="A81" s="13" t="s">
        <v>120</v>
      </c>
      <c r="B81" s="13" t="s">
        <v>121</v>
      </c>
      <c r="C81" s="13" t="s">
        <v>122</v>
      </c>
      <c r="D81" s="14" t="s">
        <v>123</v>
      </c>
      <c r="E81" s="25">
        <f t="shared" si="24"/>
        <v>3086000</v>
      </c>
      <c r="F81" s="25">
        <f>586000+2500000</f>
        <v>3086000</v>
      </c>
      <c r="G81" s="25">
        <v>0</v>
      </c>
      <c r="H81" s="25">
        <v>0</v>
      </c>
      <c r="I81" s="25">
        <v>0</v>
      </c>
      <c r="J81" s="25">
        <f t="shared" si="25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26"/>
        <v>3086000</v>
      </c>
    </row>
    <row r="82" spans="1:18" ht="46.9" x14ac:dyDescent="0.25">
      <c r="A82" s="13" t="s">
        <v>124</v>
      </c>
      <c r="B82" s="13" t="s">
        <v>125</v>
      </c>
      <c r="C82" s="13" t="s">
        <v>90</v>
      </c>
      <c r="D82" s="14" t="s">
        <v>282</v>
      </c>
      <c r="E82" s="25">
        <f t="shared" si="24"/>
        <v>20000</v>
      </c>
      <c r="F82" s="25">
        <v>20000</v>
      </c>
      <c r="G82" s="25">
        <v>0</v>
      </c>
      <c r="H82" s="25">
        <v>0</v>
      </c>
      <c r="I82" s="25">
        <v>0</v>
      </c>
      <c r="J82" s="25">
        <f t="shared" si="25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26"/>
        <v>20000</v>
      </c>
    </row>
    <row r="83" spans="1:18" ht="46.9" x14ac:dyDescent="0.25">
      <c r="A83" s="13" t="s">
        <v>126</v>
      </c>
      <c r="B83" s="13" t="s">
        <v>127</v>
      </c>
      <c r="C83" s="13" t="s">
        <v>90</v>
      </c>
      <c r="D83" s="14" t="s">
        <v>128</v>
      </c>
      <c r="E83" s="25">
        <f t="shared" si="24"/>
        <v>296372</v>
      </c>
      <c r="F83" s="25">
        <f>331980-100000+44670+19722</f>
        <v>296372</v>
      </c>
      <c r="G83" s="25">
        <v>0</v>
      </c>
      <c r="H83" s="25">
        <v>0</v>
      </c>
      <c r="I83" s="25">
        <v>0</v>
      </c>
      <c r="J83" s="25">
        <f t="shared" si="25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6"/>
        <v>296372</v>
      </c>
    </row>
    <row r="84" spans="1:18" ht="46.9" x14ac:dyDescent="0.25">
      <c r="A84" s="13" t="s">
        <v>129</v>
      </c>
      <c r="B84" s="13" t="s">
        <v>130</v>
      </c>
      <c r="C84" s="13" t="s">
        <v>122</v>
      </c>
      <c r="D84" s="14" t="s">
        <v>131</v>
      </c>
      <c r="E84" s="25">
        <f t="shared" si="24"/>
        <v>143455</v>
      </c>
      <c r="F84" s="25">
        <f>224455-60000-21000</f>
        <v>143455</v>
      </c>
      <c r="G84" s="25">
        <v>0</v>
      </c>
      <c r="H84" s="25">
        <v>0</v>
      </c>
      <c r="I84" s="25">
        <v>0</v>
      </c>
      <c r="J84" s="25">
        <f t="shared" si="25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6"/>
        <v>143455</v>
      </c>
    </row>
    <row r="85" spans="1:18" ht="93.75" x14ac:dyDescent="0.25">
      <c r="A85" s="13" t="s">
        <v>132</v>
      </c>
      <c r="B85" s="13" t="s">
        <v>133</v>
      </c>
      <c r="C85" s="13" t="s">
        <v>134</v>
      </c>
      <c r="D85" s="14" t="s">
        <v>283</v>
      </c>
      <c r="E85" s="25">
        <f t="shared" si="24"/>
        <v>16363904.140000001</v>
      </c>
      <c r="F85" s="25">
        <f>14609500+948600+46204.14+878500-19900-129000+30000</f>
        <v>16363904.140000001</v>
      </c>
      <c r="G85" s="25">
        <f>13655200+948600+46204.14+878500-129000</f>
        <v>15399504.140000001</v>
      </c>
      <c r="H85" s="25">
        <f>224800</f>
        <v>224800</v>
      </c>
      <c r="I85" s="25">
        <v>0</v>
      </c>
      <c r="J85" s="25">
        <f t="shared" si="25"/>
        <v>144400</v>
      </c>
      <c r="K85" s="25">
        <v>88000</v>
      </c>
      <c r="L85" s="25">
        <v>0</v>
      </c>
      <c r="M85" s="25">
        <v>0</v>
      </c>
      <c r="N85" s="25">
        <v>0</v>
      </c>
      <c r="O85" s="25">
        <f>56400+88000</f>
        <v>144400</v>
      </c>
      <c r="P85" s="25">
        <f t="shared" si="26"/>
        <v>16508304.140000001</v>
      </c>
    </row>
    <row r="86" spans="1:18" ht="46.9" x14ac:dyDescent="0.25">
      <c r="A86" s="13" t="s">
        <v>135</v>
      </c>
      <c r="B86" s="13" t="s">
        <v>136</v>
      </c>
      <c r="C86" s="13" t="s">
        <v>44</v>
      </c>
      <c r="D86" s="14" t="s">
        <v>137</v>
      </c>
      <c r="E86" s="25">
        <f t="shared" si="24"/>
        <v>7114900</v>
      </c>
      <c r="F86" s="25">
        <f>7180700-65800</f>
        <v>7114900</v>
      </c>
      <c r="G86" s="25">
        <v>5775400</v>
      </c>
      <c r="H86" s="25">
        <v>314800</v>
      </c>
      <c r="I86" s="25">
        <v>0</v>
      </c>
      <c r="J86" s="25">
        <f t="shared" si="25"/>
        <v>60000</v>
      </c>
      <c r="K86" s="25">
        <f>84500-24500</f>
        <v>60000</v>
      </c>
      <c r="L86" s="25">
        <v>0</v>
      </c>
      <c r="M86" s="25">
        <v>0</v>
      </c>
      <c r="N86" s="25">
        <v>0</v>
      </c>
      <c r="O86" s="25">
        <f>84500-24500</f>
        <v>60000</v>
      </c>
      <c r="P86" s="25">
        <f t="shared" si="26"/>
        <v>7174900</v>
      </c>
    </row>
    <row r="87" spans="1:18" ht="25.15" customHeight="1" x14ac:dyDescent="0.25">
      <c r="A87" s="13" t="s">
        <v>138</v>
      </c>
      <c r="B87" s="13" t="s">
        <v>139</v>
      </c>
      <c r="C87" s="13" t="s">
        <v>44</v>
      </c>
      <c r="D87" s="14" t="s">
        <v>284</v>
      </c>
      <c r="E87" s="25">
        <f t="shared" si="24"/>
        <v>572200</v>
      </c>
      <c r="F87" s="25">
        <f>700000-127800</f>
        <v>572200</v>
      </c>
      <c r="G87" s="25">
        <v>0</v>
      </c>
      <c r="H87" s="25">
        <v>0</v>
      </c>
      <c r="I87" s="25">
        <v>0</v>
      </c>
      <c r="J87" s="25">
        <f t="shared" si="25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26"/>
        <v>572200</v>
      </c>
    </row>
    <row r="88" spans="1:18" ht="125" x14ac:dyDescent="0.25">
      <c r="A88" s="13" t="s">
        <v>140</v>
      </c>
      <c r="B88" s="13" t="s">
        <v>141</v>
      </c>
      <c r="C88" s="13" t="s">
        <v>76</v>
      </c>
      <c r="D88" s="14" t="s">
        <v>142</v>
      </c>
      <c r="E88" s="25">
        <f t="shared" si="24"/>
        <v>2350000</v>
      </c>
      <c r="F88" s="25">
        <f>2200000+150000</f>
        <v>2350000</v>
      </c>
      <c r="G88" s="25">
        <v>0</v>
      </c>
      <c r="H88" s="25">
        <v>0</v>
      </c>
      <c r="I88" s="25">
        <v>0</v>
      </c>
      <c r="J88" s="25">
        <f t="shared" si="25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26"/>
        <v>2350000</v>
      </c>
    </row>
    <row r="89" spans="1:18" ht="78.150000000000006" x14ac:dyDescent="0.25">
      <c r="A89" s="13" t="s">
        <v>143</v>
      </c>
      <c r="B89" s="13" t="s">
        <v>144</v>
      </c>
      <c r="C89" s="13" t="s">
        <v>76</v>
      </c>
      <c r="D89" s="14" t="s">
        <v>145</v>
      </c>
      <c r="E89" s="25">
        <f t="shared" si="24"/>
        <v>25921</v>
      </c>
      <c r="F89" s="25">
        <f>29821-3900</f>
        <v>25921</v>
      </c>
      <c r="G89" s="25">
        <v>0</v>
      </c>
      <c r="H89" s="25">
        <v>0</v>
      </c>
      <c r="I89" s="25">
        <v>0</v>
      </c>
      <c r="J89" s="25">
        <f t="shared" si="25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26"/>
        <v>25921</v>
      </c>
    </row>
    <row r="90" spans="1:18" ht="109.4" x14ac:dyDescent="0.25">
      <c r="A90" s="13" t="s">
        <v>146</v>
      </c>
      <c r="B90" s="13" t="s">
        <v>147</v>
      </c>
      <c r="C90" s="13" t="s">
        <v>148</v>
      </c>
      <c r="D90" s="14" t="s">
        <v>149</v>
      </c>
      <c r="E90" s="25">
        <f t="shared" si="24"/>
        <v>1500000</v>
      </c>
      <c r="F90" s="25">
        <v>1500000</v>
      </c>
      <c r="G90" s="25">
        <v>0</v>
      </c>
      <c r="H90" s="25">
        <v>0</v>
      </c>
      <c r="I90" s="25">
        <v>0</v>
      </c>
      <c r="J90" s="25">
        <f t="shared" si="25"/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f t="shared" si="26"/>
        <v>1500000</v>
      </c>
    </row>
    <row r="91" spans="1:18" ht="78.150000000000006" x14ac:dyDescent="0.25">
      <c r="A91" s="13" t="s">
        <v>150</v>
      </c>
      <c r="B91" s="13" t="s">
        <v>151</v>
      </c>
      <c r="C91" s="13" t="s">
        <v>122</v>
      </c>
      <c r="D91" s="14" t="s">
        <v>285</v>
      </c>
      <c r="E91" s="25">
        <f t="shared" si="24"/>
        <v>78000</v>
      </c>
      <c r="F91" s="25">
        <f>100000-22000</f>
        <v>78000</v>
      </c>
      <c r="G91" s="25">
        <v>0</v>
      </c>
      <c r="H91" s="25">
        <v>0</v>
      </c>
      <c r="I91" s="25">
        <v>0</v>
      </c>
      <c r="J91" s="25">
        <f t="shared" si="25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f t="shared" si="26"/>
        <v>78000</v>
      </c>
    </row>
    <row r="92" spans="1:18" s="37" customFormat="1" ht="409.6" x14ac:dyDescent="0.25">
      <c r="A92" s="39" t="s">
        <v>376</v>
      </c>
      <c r="B92" s="39" t="s">
        <v>377</v>
      </c>
      <c r="C92" s="39" t="s">
        <v>148</v>
      </c>
      <c r="D92" s="34" t="s">
        <v>378</v>
      </c>
      <c r="E92" s="35"/>
      <c r="F92" s="35"/>
      <c r="G92" s="35"/>
      <c r="H92" s="35"/>
      <c r="I92" s="35"/>
      <c r="J92" s="38">
        <f>L92+O92</f>
        <v>3280161</v>
      </c>
      <c r="K92" s="38">
        <v>3280161</v>
      </c>
      <c r="L92" s="38"/>
      <c r="M92" s="38"/>
      <c r="N92" s="38"/>
      <c r="O92" s="38">
        <v>3280161</v>
      </c>
      <c r="P92" s="38">
        <f t="shared" si="26"/>
        <v>3280161</v>
      </c>
      <c r="Q92" s="36"/>
      <c r="R92" s="36"/>
    </row>
    <row r="93" spans="1:18" s="37" customFormat="1" ht="409.6" x14ac:dyDescent="0.25">
      <c r="A93" s="39" t="s">
        <v>387</v>
      </c>
      <c r="B93" s="39" t="s">
        <v>388</v>
      </c>
      <c r="C93" s="39" t="s">
        <v>148</v>
      </c>
      <c r="D93" s="34" t="s">
        <v>389</v>
      </c>
      <c r="E93" s="35"/>
      <c r="F93" s="35"/>
      <c r="G93" s="35"/>
      <c r="H93" s="35"/>
      <c r="I93" s="35"/>
      <c r="J93" s="38">
        <f>L93+O93</f>
        <v>6486648</v>
      </c>
      <c r="K93" s="38">
        <f>2353300+4133348</f>
        <v>6486648</v>
      </c>
      <c r="L93" s="38"/>
      <c r="M93" s="38"/>
      <c r="N93" s="38"/>
      <c r="O93" s="38">
        <f>2353300+4133348</f>
        <v>6486648</v>
      </c>
      <c r="P93" s="38">
        <f t="shared" si="26"/>
        <v>6486648</v>
      </c>
      <c r="Q93" s="36"/>
      <c r="R93" s="36"/>
    </row>
    <row r="94" spans="1:18" s="37" customFormat="1" ht="328.1" x14ac:dyDescent="0.25">
      <c r="A94" s="39" t="s">
        <v>379</v>
      </c>
      <c r="B94" s="39" t="s">
        <v>380</v>
      </c>
      <c r="C94" s="39" t="s">
        <v>148</v>
      </c>
      <c r="D94" s="34" t="s">
        <v>381</v>
      </c>
      <c r="E94" s="35"/>
      <c r="F94" s="35"/>
      <c r="G94" s="35"/>
      <c r="H94" s="35"/>
      <c r="I94" s="35"/>
      <c r="J94" s="38">
        <f t="shared" ref="J94" si="27">L94+O94</f>
        <v>2240532</v>
      </c>
      <c r="K94" s="38">
        <v>2240532</v>
      </c>
      <c r="L94" s="38"/>
      <c r="M94" s="38"/>
      <c r="N94" s="38"/>
      <c r="O94" s="38">
        <v>2240532</v>
      </c>
      <c r="P94" s="38">
        <f t="shared" si="26"/>
        <v>2240532</v>
      </c>
      <c r="Q94" s="36"/>
      <c r="R94" s="36"/>
    </row>
    <row r="95" spans="1:18" ht="78.150000000000006" x14ac:dyDescent="0.25">
      <c r="A95" s="21" t="s">
        <v>260</v>
      </c>
      <c r="B95" s="20">
        <v>3230</v>
      </c>
      <c r="C95" s="20">
        <v>1070</v>
      </c>
      <c r="D95" s="14" t="s">
        <v>261</v>
      </c>
      <c r="E95" s="25">
        <f t="shared" si="24"/>
        <v>662800</v>
      </c>
      <c r="F95" s="25">
        <v>662800</v>
      </c>
      <c r="G95" s="25"/>
      <c r="H95" s="25"/>
      <c r="I95" s="25"/>
      <c r="J95" s="25">
        <f t="shared" si="25"/>
        <v>0</v>
      </c>
      <c r="K95" s="25"/>
      <c r="L95" s="25"/>
      <c r="M95" s="25"/>
      <c r="N95" s="25"/>
      <c r="O95" s="25"/>
      <c r="P95" s="25">
        <f t="shared" si="26"/>
        <v>662800</v>
      </c>
    </row>
    <row r="96" spans="1:18" ht="40.950000000000003" customHeight="1" x14ac:dyDescent="0.25">
      <c r="A96" s="13" t="s">
        <v>152</v>
      </c>
      <c r="B96" s="13" t="s">
        <v>47</v>
      </c>
      <c r="C96" s="13" t="s">
        <v>48</v>
      </c>
      <c r="D96" s="14" t="s">
        <v>49</v>
      </c>
      <c r="E96" s="25">
        <f t="shared" si="24"/>
        <v>40968230</v>
      </c>
      <c r="F96" s="25">
        <f>32959800+96000+2087020+795500+280000+3000000+243610+127800+1378500</f>
        <v>40968230</v>
      </c>
      <c r="G96" s="25">
        <v>0</v>
      </c>
      <c r="H96" s="25">
        <v>0</v>
      </c>
      <c r="I96" s="25">
        <v>0</v>
      </c>
      <c r="J96" s="25">
        <f t="shared" si="25"/>
        <v>0</v>
      </c>
      <c r="K96" s="25"/>
      <c r="L96" s="25">
        <v>0</v>
      </c>
      <c r="M96" s="25">
        <v>0</v>
      </c>
      <c r="N96" s="25">
        <v>0</v>
      </c>
      <c r="O96" s="25"/>
      <c r="P96" s="25">
        <f t="shared" si="26"/>
        <v>40968230</v>
      </c>
    </row>
    <row r="97" spans="1:18" ht="46.9" x14ac:dyDescent="0.25">
      <c r="A97" s="21" t="s">
        <v>362</v>
      </c>
      <c r="B97" s="21" t="s">
        <v>269</v>
      </c>
      <c r="C97" s="21" t="s">
        <v>270</v>
      </c>
      <c r="D97" s="14" t="s">
        <v>271</v>
      </c>
      <c r="E97" s="25">
        <f t="shared" si="24"/>
        <v>120000</v>
      </c>
      <c r="F97" s="25">
        <v>120000</v>
      </c>
      <c r="G97" s="25"/>
      <c r="H97" s="25"/>
      <c r="I97" s="25"/>
      <c r="J97" s="25">
        <f t="shared" si="25"/>
        <v>0</v>
      </c>
      <c r="K97" s="25"/>
      <c r="L97" s="25"/>
      <c r="M97" s="25"/>
      <c r="N97" s="25"/>
      <c r="O97" s="25"/>
      <c r="P97" s="25">
        <f t="shared" ref="P97:P101" si="28">E97+J97</f>
        <v>120000</v>
      </c>
    </row>
    <row r="98" spans="1:18" ht="62.5" x14ac:dyDescent="0.25">
      <c r="A98" s="41" t="s">
        <v>390</v>
      </c>
      <c r="B98" s="11" t="s">
        <v>17</v>
      </c>
      <c r="C98" s="11" t="s">
        <v>17</v>
      </c>
      <c r="D98" s="12" t="s">
        <v>392</v>
      </c>
      <c r="E98" s="24">
        <f>F98+I98</f>
        <v>1288500</v>
      </c>
      <c r="F98" s="24">
        <f>F99</f>
        <v>1288500</v>
      </c>
      <c r="G98" s="24">
        <f>G99</f>
        <v>1055400</v>
      </c>
      <c r="H98" s="24">
        <f>H99</f>
        <v>0</v>
      </c>
      <c r="I98" s="24">
        <f>I99</f>
        <v>0</v>
      </c>
      <c r="J98" s="24">
        <f>L98+O98</f>
        <v>1035000</v>
      </c>
      <c r="K98" s="24">
        <f>K99</f>
        <v>1035000</v>
      </c>
      <c r="L98" s="24">
        <f>L99</f>
        <v>0</v>
      </c>
      <c r="M98" s="24">
        <f>M99</f>
        <v>0</v>
      </c>
      <c r="N98" s="24">
        <f>N99</f>
        <v>0</v>
      </c>
      <c r="O98" s="24">
        <f>O99</f>
        <v>1035000</v>
      </c>
      <c r="P98" s="24">
        <f t="shared" si="28"/>
        <v>2323500</v>
      </c>
      <c r="Q98" s="28">
        <f>1315300+1008200</f>
        <v>2323500</v>
      </c>
      <c r="R98" s="28">
        <f>P98-Q98</f>
        <v>0</v>
      </c>
    </row>
    <row r="99" spans="1:18" ht="62.5" x14ac:dyDescent="0.25">
      <c r="A99" s="41" t="s">
        <v>391</v>
      </c>
      <c r="B99" s="11" t="s">
        <v>17</v>
      </c>
      <c r="C99" s="11" t="s">
        <v>17</v>
      </c>
      <c r="D99" s="12" t="s">
        <v>392</v>
      </c>
      <c r="E99" s="24">
        <f>F99+I99</f>
        <v>1288500</v>
      </c>
      <c r="F99" s="24">
        <f>F100+F101+F102+F103</f>
        <v>1288500</v>
      </c>
      <c r="G99" s="24">
        <f t="shared" ref="G99:K99" si="29">G100+G101+G102+G103</f>
        <v>1055400</v>
      </c>
      <c r="H99" s="24">
        <f t="shared" si="29"/>
        <v>0</v>
      </c>
      <c r="I99" s="24">
        <f t="shared" si="29"/>
        <v>0</v>
      </c>
      <c r="J99" s="24">
        <f>L99+O99</f>
        <v>1035000</v>
      </c>
      <c r="K99" s="24">
        <f t="shared" si="29"/>
        <v>1035000</v>
      </c>
      <c r="L99" s="24">
        <f t="shared" ref="L99" si="30">L100+L101+L102+L103</f>
        <v>0</v>
      </c>
      <c r="M99" s="24">
        <f t="shared" ref="M99" si="31">M100+M101+M102+M103</f>
        <v>0</v>
      </c>
      <c r="N99" s="24">
        <f t="shared" ref="N99" si="32">N100+N101+N102+N103</f>
        <v>0</v>
      </c>
      <c r="O99" s="24">
        <f t="shared" ref="O99" si="33">O100+O101+O102+O103</f>
        <v>1035000</v>
      </c>
      <c r="P99" s="24">
        <f t="shared" si="28"/>
        <v>2323500</v>
      </c>
    </row>
    <row r="100" spans="1:18" ht="62.5" x14ac:dyDescent="0.25">
      <c r="A100" s="22" t="s">
        <v>393</v>
      </c>
      <c r="B100" s="13" t="s">
        <v>72</v>
      </c>
      <c r="C100" s="13" t="s">
        <v>22</v>
      </c>
      <c r="D100" s="14" t="s">
        <v>73</v>
      </c>
      <c r="E100" s="25">
        <f>F100+I100</f>
        <v>1106600</v>
      </c>
      <c r="F100" s="25">
        <f>1001000+97400+8200</f>
        <v>1106600</v>
      </c>
      <c r="G100" s="25">
        <f>949800+97400+8200</f>
        <v>1055400</v>
      </c>
      <c r="H100" s="25">
        <v>0</v>
      </c>
      <c r="I100" s="25">
        <v>0</v>
      </c>
      <c r="J100" s="25">
        <f>L100+O100</f>
        <v>35000</v>
      </c>
      <c r="K100" s="25">
        <v>35000</v>
      </c>
      <c r="L100" s="25">
        <v>0</v>
      </c>
      <c r="M100" s="25">
        <v>0</v>
      </c>
      <c r="N100" s="25">
        <v>0</v>
      </c>
      <c r="O100" s="25">
        <v>35000</v>
      </c>
      <c r="P100" s="25">
        <f t="shared" si="28"/>
        <v>1141600</v>
      </c>
    </row>
    <row r="101" spans="1:18" ht="31.25" x14ac:dyDescent="0.25">
      <c r="A101" s="22" t="s">
        <v>405</v>
      </c>
      <c r="B101" s="22" t="s">
        <v>28</v>
      </c>
      <c r="C101" s="22" t="s">
        <v>29</v>
      </c>
      <c r="D101" s="14" t="s">
        <v>30</v>
      </c>
      <c r="E101" s="25">
        <f>F101+I101</f>
        <v>80000</v>
      </c>
      <c r="F101" s="25">
        <v>80000</v>
      </c>
      <c r="G101" s="25"/>
      <c r="H101" s="25"/>
      <c r="I101" s="25"/>
      <c r="J101" s="25"/>
      <c r="K101" s="25"/>
      <c r="L101" s="25"/>
      <c r="M101" s="25"/>
      <c r="N101" s="25"/>
      <c r="O101" s="25"/>
      <c r="P101" s="25">
        <f t="shared" si="28"/>
        <v>80000</v>
      </c>
    </row>
    <row r="102" spans="1:18" ht="46.9" x14ac:dyDescent="0.25">
      <c r="A102" s="22" t="s">
        <v>394</v>
      </c>
      <c r="B102" s="13" t="s">
        <v>43</v>
      </c>
      <c r="C102" s="13" t="s">
        <v>44</v>
      </c>
      <c r="D102" s="14" t="s">
        <v>45</v>
      </c>
      <c r="E102" s="25">
        <f t="shared" ref="E102:E103" si="34">F102+I102</f>
        <v>101900</v>
      </c>
      <c r="F102" s="25">
        <v>101900</v>
      </c>
      <c r="G102" s="25">
        <v>0</v>
      </c>
      <c r="H102" s="25">
        <v>0</v>
      </c>
      <c r="I102" s="25">
        <v>0</v>
      </c>
      <c r="J102" s="25">
        <f t="shared" ref="J102:J103" si="35">L102+O102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f t="shared" ref="P102:P103" si="36">E102+J102</f>
        <v>101900</v>
      </c>
    </row>
    <row r="103" spans="1:18" ht="125" x14ac:dyDescent="0.25">
      <c r="A103" s="21" t="s">
        <v>433</v>
      </c>
      <c r="B103" s="21">
        <v>6083</v>
      </c>
      <c r="C103" s="21" t="s">
        <v>297</v>
      </c>
      <c r="D103" s="14" t="s">
        <v>432</v>
      </c>
      <c r="E103" s="25">
        <f t="shared" si="34"/>
        <v>0</v>
      </c>
      <c r="F103" s="25"/>
      <c r="G103" s="25"/>
      <c r="H103" s="25"/>
      <c r="I103" s="25"/>
      <c r="J103" s="25">
        <f t="shared" si="35"/>
        <v>1000000</v>
      </c>
      <c r="K103" s="25">
        <v>1000000</v>
      </c>
      <c r="L103" s="25"/>
      <c r="M103" s="25"/>
      <c r="N103" s="25"/>
      <c r="O103" s="25">
        <v>1000000</v>
      </c>
      <c r="P103" s="25">
        <f t="shared" si="36"/>
        <v>1000000</v>
      </c>
    </row>
    <row r="104" spans="1:18" ht="46.9" x14ac:dyDescent="0.25">
      <c r="A104" s="11" t="s">
        <v>153</v>
      </c>
      <c r="B104" s="11" t="s">
        <v>17</v>
      </c>
      <c r="C104" s="11" t="s">
        <v>17</v>
      </c>
      <c r="D104" s="12" t="s">
        <v>154</v>
      </c>
      <c r="E104" s="24">
        <f>F104+I104</f>
        <v>50380800</v>
      </c>
      <c r="F104" s="24">
        <f>F105</f>
        <v>50380800</v>
      </c>
      <c r="G104" s="24">
        <f>G105</f>
        <v>43133100</v>
      </c>
      <c r="H104" s="24">
        <f>H105</f>
        <v>3429300</v>
      </c>
      <c r="I104" s="24">
        <f>I105</f>
        <v>0</v>
      </c>
      <c r="J104" s="24">
        <f>L104+O104</f>
        <v>1417500</v>
      </c>
      <c r="K104" s="24">
        <f>K105</f>
        <v>94000</v>
      </c>
      <c r="L104" s="24">
        <f>L105</f>
        <v>1096500</v>
      </c>
      <c r="M104" s="24">
        <f>M105</f>
        <v>415000</v>
      </c>
      <c r="N104" s="24">
        <f>N105</f>
        <v>0</v>
      </c>
      <c r="O104" s="24">
        <f>O105</f>
        <v>321000</v>
      </c>
      <c r="P104" s="24">
        <f>E104+J104</f>
        <v>51798300</v>
      </c>
      <c r="Q104" s="28">
        <f>51778800+19500</f>
        <v>51798300</v>
      </c>
      <c r="R104" s="28">
        <f>P104-Q104</f>
        <v>0</v>
      </c>
    </row>
    <row r="105" spans="1:18" ht="46.9" x14ac:dyDescent="0.25">
      <c r="A105" s="11" t="s">
        <v>155</v>
      </c>
      <c r="B105" s="11" t="s">
        <v>17</v>
      </c>
      <c r="C105" s="11" t="s">
        <v>17</v>
      </c>
      <c r="D105" s="12" t="s">
        <v>154</v>
      </c>
      <c r="E105" s="24">
        <f>F105+I105</f>
        <v>50380800</v>
      </c>
      <c r="F105" s="24">
        <f>F106+F107+F108+F109+F110+F111+F112+F113+F114</f>
        <v>50380800</v>
      </c>
      <c r="G105" s="24">
        <f t="shared" ref="G105:O105" si="37">G106+G107+G108+G109+G110+G111+G112+G113+G114</f>
        <v>43133100</v>
      </c>
      <c r="H105" s="24">
        <f t="shared" si="37"/>
        <v>3429300</v>
      </c>
      <c r="I105" s="24">
        <f t="shared" si="37"/>
        <v>0</v>
      </c>
      <c r="J105" s="24">
        <f>L105+O105</f>
        <v>1417500</v>
      </c>
      <c r="K105" s="24">
        <f t="shared" si="37"/>
        <v>94000</v>
      </c>
      <c r="L105" s="24">
        <f t="shared" si="37"/>
        <v>1096500</v>
      </c>
      <c r="M105" s="24">
        <f t="shared" si="37"/>
        <v>415000</v>
      </c>
      <c r="N105" s="24">
        <f t="shared" si="37"/>
        <v>0</v>
      </c>
      <c r="O105" s="24">
        <f t="shared" si="37"/>
        <v>321000</v>
      </c>
      <c r="P105" s="24">
        <f>E105+J105</f>
        <v>51798300</v>
      </c>
    </row>
    <row r="106" spans="1:18" ht="62.5" x14ac:dyDescent="0.25">
      <c r="A106" s="13" t="s">
        <v>156</v>
      </c>
      <c r="B106" s="13" t="s">
        <v>72</v>
      </c>
      <c r="C106" s="13" t="s">
        <v>22</v>
      </c>
      <c r="D106" s="14" t="s">
        <v>73</v>
      </c>
      <c r="E106" s="25">
        <f>F106+I106</f>
        <v>813600</v>
      </c>
      <c r="F106" s="25">
        <f>701800+4500+25200+12600+50000+19500</f>
        <v>813600</v>
      </c>
      <c r="G106" s="25">
        <f>677400+4500+25200+12600+50000+19500</f>
        <v>789200</v>
      </c>
      <c r="H106" s="25">
        <v>0</v>
      </c>
      <c r="I106" s="25">
        <v>0</v>
      </c>
      <c r="J106" s="25">
        <f>L106+O106</f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>E106+J106</f>
        <v>813600</v>
      </c>
    </row>
    <row r="107" spans="1:18" ht="31.25" x14ac:dyDescent="0.25">
      <c r="A107" s="13" t="s">
        <v>157</v>
      </c>
      <c r="B107" s="13" t="s">
        <v>28</v>
      </c>
      <c r="C107" s="13" t="s">
        <v>29</v>
      </c>
      <c r="D107" s="14" t="s">
        <v>30</v>
      </c>
      <c r="E107" s="25">
        <f t="shared" ref="E107:E180" si="38">F107+I107</f>
        <v>350000</v>
      </c>
      <c r="F107" s="25">
        <v>350000</v>
      </c>
      <c r="G107" s="25">
        <v>0</v>
      </c>
      <c r="H107" s="25">
        <v>0</v>
      </c>
      <c r="I107" s="25">
        <v>0</v>
      </c>
      <c r="J107" s="25">
        <f t="shared" ref="J107:J175" si="39">L107+O107</f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f t="shared" ref="P107:P180" si="40">E107+J107</f>
        <v>350000</v>
      </c>
    </row>
    <row r="108" spans="1:18" ht="31.25" x14ac:dyDescent="0.25">
      <c r="A108" s="13" t="s">
        <v>158</v>
      </c>
      <c r="B108" s="13" t="s">
        <v>159</v>
      </c>
      <c r="C108" s="13" t="s">
        <v>91</v>
      </c>
      <c r="D108" s="14" t="s">
        <v>160</v>
      </c>
      <c r="E108" s="25">
        <f t="shared" si="38"/>
        <v>22591900</v>
      </c>
      <c r="F108" s="25">
        <f>22902300-170000-100000+60000-100400</f>
        <v>22591900</v>
      </c>
      <c r="G108" s="25">
        <f>22133000-170000-100000-100400</f>
        <v>21762600</v>
      </c>
      <c r="H108" s="25">
        <v>720200</v>
      </c>
      <c r="I108" s="25">
        <v>0</v>
      </c>
      <c r="J108" s="25">
        <f t="shared" si="39"/>
        <v>1001500</v>
      </c>
      <c r="K108" s="25">
        <v>0</v>
      </c>
      <c r="L108" s="25">
        <v>801500</v>
      </c>
      <c r="M108" s="25">
        <v>385000</v>
      </c>
      <c r="N108" s="25">
        <v>0</v>
      </c>
      <c r="O108" s="25">
        <v>200000</v>
      </c>
      <c r="P108" s="25">
        <f t="shared" si="40"/>
        <v>23593400</v>
      </c>
    </row>
    <row r="109" spans="1:18" ht="109.4" x14ac:dyDescent="0.25">
      <c r="A109" s="20">
        <v>1013140</v>
      </c>
      <c r="B109" s="20">
        <v>3140</v>
      </c>
      <c r="C109" s="20">
        <v>1040</v>
      </c>
      <c r="D109" s="14" t="s">
        <v>109</v>
      </c>
      <c r="E109" s="25">
        <f t="shared" si="38"/>
        <v>120000</v>
      </c>
      <c r="F109" s="25">
        <v>120000</v>
      </c>
      <c r="G109" s="25"/>
      <c r="H109" s="25"/>
      <c r="I109" s="25"/>
      <c r="J109" s="25">
        <f t="shared" si="39"/>
        <v>0</v>
      </c>
      <c r="K109" s="25"/>
      <c r="L109" s="25"/>
      <c r="M109" s="25"/>
      <c r="N109" s="25"/>
      <c r="O109" s="25"/>
      <c r="P109" s="25">
        <f t="shared" si="40"/>
        <v>120000</v>
      </c>
    </row>
    <row r="110" spans="1:18" x14ac:dyDescent="0.25">
      <c r="A110" s="13" t="s">
        <v>161</v>
      </c>
      <c r="B110" s="13" t="s">
        <v>162</v>
      </c>
      <c r="C110" s="13" t="s">
        <v>163</v>
      </c>
      <c r="D110" s="14" t="s">
        <v>164</v>
      </c>
      <c r="E110" s="25">
        <f t="shared" si="38"/>
        <v>8253000</v>
      </c>
      <c r="F110" s="25">
        <f>8183000+50000+20000</f>
        <v>8253000</v>
      </c>
      <c r="G110" s="25">
        <v>6728500</v>
      </c>
      <c r="H110" s="25">
        <v>1137900</v>
      </c>
      <c r="I110" s="25">
        <v>0</v>
      </c>
      <c r="J110" s="25">
        <f t="shared" si="39"/>
        <v>171000</v>
      </c>
      <c r="K110" s="25">
        <v>74000</v>
      </c>
      <c r="L110" s="25">
        <v>97000</v>
      </c>
      <c r="M110" s="25">
        <v>0</v>
      </c>
      <c r="N110" s="25">
        <v>0</v>
      </c>
      <c r="O110" s="25">
        <v>74000</v>
      </c>
      <c r="P110" s="25">
        <f t="shared" si="40"/>
        <v>8424000</v>
      </c>
    </row>
    <row r="111" spans="1:18" ht="21.6" customHeight="1" x14ac:dyDescent="0.25">
      <c r="A111" s="13" t="s">
        <v>165</v>
      </c>
      <c r="B111" s="13" t="s">
        <v>166</v>
      </c>
      <c r="C111" s="13" t="s">
        <v>163</v>
      </c>
      <c r="D111" s="14" t="s">
        <v>286</v>
      </c>
      <c r="E111" s="25">
        <f t="shared" si="38"/>
        <v>3986800</v>
      </c>
      <c r="F111" s="25">
        <f>3056600+140000+21600+200000+400000+170000-11400+10000</f>
        <v>3986800</v>
      </c>
      <c r="G111" s="25">
        <f>2315300-100000</f>
        <v>2215300</v>
      </c>
      <c r="H111" s="25">
        <v>513500</v>
      </c>
      <c r="I111" s="25">
        <v>0</v>
      </c>
      <c r="J111" s="25">
        <f t="shared" si="39"/>
        <v>40000</v>
      </c>
      <c r="K111" s="25">
        <v>0</v>
      </c>
      <c r="L111" s="25">
        <v>40000</v>
      </c>
      <c r="M111" s="25">
        <v>0</v>
      </c>
      <c r="N111" s="25">
        <v>0</v>
      </c>
      <c r="O111" s="25">
        <v>0</v>
      </c>
      <c r="P111" s="25">
        <f t="shared" si="40"/>
        <v>4026800</v>
      </c>
    </row>
    <row r="112" spans="1:18" ht="62.5" x14ac:dyDescent="0.25">
      <c r="A112" s="13" t="s">
        <v>167</v>
      </c>
      <c r="B112" s="13" t="s">
        <v>168</v>
      </c>
      <c r="C112" s="13" t="s">
        <v>169</v>
      </c>
      <c r="D112" s="14" t="s">
        <v>287</v>
      </c>
      <c r="E112" s="25">
        <f t="shared" si="38"/>
        <v>11693300</v>
      </c>
      <c r="F112" s="25">
        <f>11739100-50000-55800+60000</f>
        <v>11693300</v>
      </c>
      <c r="G112" s="25">
        <v>9655700</v>
      </c>
      <c r="H112" s="25">
        <f>1171600-190000</f>
        <v>981600</v>
      </c>
      <c r="I112" s="25">
        <v>0</v>
      </c>
      <c r="J112" s="25">
        <f t="shared" si="39"/>
        <v>205000</v>
      </c>
      <c r="K112" s="25">
        <v>20000</v>
      </c>
      <c r="L112" s="25">
        <v>158000</v>
      </c>
      <c r="M112" s="25">
        <v>30000</v>
      </c>
      <c r="N112" s="25">
        <v>0</v>
      </c>
      <c r="O112" s="25">
        <f>27000+20000</f>
        <v>47000</v>
      </c>
      <c r="P112" s="25">
        <f t="shared" si="40"/>
        <v>11898300</v>
      </c>
    </row>
    <row r="113" spans="1:18" ht="46.9" x14ac:dyDescent="0.25">
      <c r="A113" s="13" t="s">
        <v>170</v>
      </c>
      <c r="B113" s="13" t="s">
        <v>171</v>
      </c>
      <c r="C113" s="13" t="s">
        <v>172</v>
      </c>
      <c r="D113" s="14" t="s">
        <v>173</v>
      </c>
      <c r="E113" s="25">
        <f t="shared" si="38"/>
        <v>2137200</v>
      </c>
      <c r="F113" s="25">
        <f>2094600-7800+50400</f>
        <v>2137200</v>
      </c>
      <c r="G113" s="25">
        <f>1931400+50400</f>
        <v>1981800</v>
      </c>
      <c r="H113" s="25">
        <v>76100</v>
      </c>
      <c r="I113" s="25">
        <v>0</v>
      </c>
      <c r="J113" s="25">
        <f t="shared" si="39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f t="shared" si="40"/>
        <v>2137200</v>
      </c>
    </row>
    <row r="114" spans="1:18" ht="22.95" customHeight="1" x14ac:dyDescent="0.25">
      <c r="A114" s="13" t="s">
        <v>174</v>
      </c>
      <c r="B114" s="13" t="s">
        <v>175</v>
      </c>
      <c r="C114" s="13" t="s">
        <v>172</v>
      </c>
      <c r="D114" s="14" t="s">
        <v>176</v>
      </c>
      <c r="E114" s="25">
        <f t="shared" si="38"/>
        <v>435000</v>
      </c>
      <c r="F114" s="25">
        <f>1000000-140000-425000</f>
        <v>435000</v>
      </c>
      <c r="G114" s="25">
        <v>0</v>
      </c>
      <c r="H114" s="25">
        <v>0</v>
      </c>
      <c r="I114" s="25">
        <v>0</v>
      </c>
      <c r="J114" s="25">
        <f t="shared" si="39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f t="shared" si="40"/>
        <v>435000</v>
      </c>
    </row>
    <row r="115" spans="1:18" ht="62.5" x14ac:dyDescent="0.25">
      <c r="A115" s="11" t="s">
        <v>177</v>
      </c>
      <c r="B115" s="11" t="s">
        <v>17</v>
      </c>
      <c r="C115" s="11" t="s">
        <v>17</v>
      </c>
      <c r="D115" s="12" t="s">
        <v>275</v>
      </c>
      <c r="E115" s="24">
        <f t="shared" si="38"/>
        <v>6671088</v>
      </c>
      <c r="F115" s="24">
        <f>F116</f>
        <v>6671088</v>
      </c>
      <c r="G115" s="24">
        <f>G116</f>
        <v>2141000</v>
      </c>
      <c r="H115" s="24">
        <f>H116</f>
        <v>70600</v>
      </c>
      <c r="I115" s="24">
        <f>I116</f>
        <v>0</v>
      </c>
      <c r="J115" s="24">
        <f t="shared" si="39"/>
        <v>171000</v>
      </c>
      <c r="K115" s="24">
        <f>K116</f>
        <v>171000</v>
      </c>
      <c r="L115" s="24">
        <f>L116</f>
        <v>0</v>
      </c>
      <c r="M115" s="24">
        <f>M116</f>
        <v>0</v>
      </c>
      <c r="N115" s="24">
        <f>N116</f>
        <v>0</v>
      </c>
      <c r="O115" s="24">
        <f>O116</f>
        <v>171000</v>
      </c>
      <c r="P115" s="24">
        <f t="shared" si="40"/>
        <v>6842088</v>
      </c>
      <c r="Q115" s="28">
        <f>6842088</f>
        <v>6842088</v>
      </c>
      <c r="R115" s="28">
        <f>P115-Q115</f>
        <v>0</v>
      </c>
    </row>
    <row r="116" spans="1:18" ht="62.5" x14ac:dyDescent="0.25">
      <c r="A116" s="11" t="s">
        <v>178</v>
      </c>
      <c r="B116" s="11" t="s">
        <v>17</v>
      </c>
      <c r="C116" s="11" t="s">
        <v>17</v>
      </c>
      <c r="D116" s="12" t="s">
        <v>275</v>
      </c>
      <c r="E116" s="24">
        <f>F116+I116</f>
        <v>6671088</v>
      </c>
      <c r="F116" s="24">
        <f>F117+F118+F119+F120+F121+F122+F123</f>
        <v>6671088</v>
      </c>
      <c r="G116" s="24">
        <f t="shared" ref="G116:K116" si="41">G117+G118+G119+G120+G121+G122+G123</f>
        <v>2141000</v>
      </c>
      <c r="H116" s="24">
        <f t="shared" si="41"/>
        <v>70600</v>
      </c>
      <c r="I116" s="24">
        <f t="shared" si="41"/>
        <v>0</v>
      </c>
      <c r="J116" s="24">
        <f t="shared" si="39"/>
        <v>171000</v>
      </c>
      <c r="K116" s="24">
        <f t="shared" si="41"/>
        <v>171000</v>
      </c>
      <c r="L116" s="24">
        <f t="shared" ref="L116" si="42">L117+L118+L119+L120+L121+L122+L123</f>
        <v>0</v>
      </c>
      <c r="M116" s="24">
        <f t="shared" ref="M116" si="43">M117+M118+M119+M120+M121+M122+M123</f>
        <v>0</v>
      </c>
      <c r="N116" s="24">
        <f t="shared" ref="N116" si="44">N117+N118+N119+N120+N121+N122+N123</f>
        <v>0</v>
      </c>
      <c r="O116" s="24">
        <f t="shared" ref="O116" si="45">O117+O118+O119+O120+O121+O122+O123</f>
        <v>171000</v>
      </c>
      <c r="P116" s="24">
        <f t="shared" si="40"/>
        <v>6842088</v>
      </c>
    </row>
    <row r="117" spans="1:18" ht="62.5" x14ac:dyDescent="0.25">
      <c r="A117" s="13" t="s">
        <v>179</v>
      </c>
      <c r="B117" s="13" t="s">
        <v>72</v>
      </c>
      <c r="C117" s="13" t="s">
        <v>22</v>
      </c>
      <c r="D117" s="14" t="s">
        <v>73</v>
      </c>
      <c r="E117" s="25">
        <f t="shared" si="38"/>
        <v>1847200</v>
      </c>
      <c r="F117" s="25">
        <f>1806500+40700</f>
        <v>1847200</v>
      </c>
      <c r="G117" s="25">
        <f>1714000+40700</f>
        <v>1754700</v>
      </c>
      <c r="H117" s="25">
        <v>0</v>
      </c>
      <c r="I117" s="25">
        <v>0</v>
      </c>
      <c r="J117" s="25">
        <f t="shared" si="39"/>
        <v>171000</v>
      </c>
      <c r="K117" s="25">
        <f>50000+121000</f>
        <v>171000</v>
      </c>
      <c r="L117" s="25">
        <v>0</v>
      </c>
      <c r="M117" s="25">
        <v>0</v>
      </c>
      <c r="N117" s="25">
        <v>0</v>
      </c>
      <c r="O117" s="25">
        <f>50000+121000</f>
        <v>171000</v>
      </c>
      <c r="P117" s="25">
        <f t="shared" si="40"/>
        <v>2018200</v>
      </c>
    </row>
    <row r="118" spans="1:18" ht="31.25" x14ac:dyDescent="0.25">
      <c r="A118" s="13" t="s">
        <v>180</v>
      </c>
      <c r="B118" s="13" t="s">
        <v>28</v>
      </c>
      <c r="C118" s="13" t="s">
        <v>29</v>
      </c>
      <c r="D118" s="14" t="s">
        <v>30</v>
      </c>
      <c r="E118" s="25">
        <f t="shared" si="38"/>
        <v>350000</v>
      </c>
      <c r="F118" s="25">
        <v>350000</v>
      </c>
      <c r="G118" s="25">
        <v>0</v>
      </c>
      <c r="H118" s="25">
        <v>0</v>
      </c>
      <c r="I118" s="25">
        <v>0</v>
      </c>
      <c r="J118" s="25">
        <f t="shared" si="39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40"/>
        <v>350000</v>
      </c>
    </row>
    <row r="119" spans="1:18" ht="31.25" x14ac:dyDescent="0.25">
      <c r="A119" s="13" t="s">
        <v>181</v>
      </c>
      <c r="B119" s="13" t="s">
        <v>182</v>
      </c>
      <c r="C119" s="13" t="s">
        <v>44</v>
      </c>
      <c r="D119" s="14" t="s">
        <v>183</v>
      </c>
      <c r="E119" s="25">
        <f t="shared" si="38"/>
        <v>1441800</v>
      </c>
      <c r="F119" s="25">
        <f>1838600+714200-471000-650100+10100</f>
        <v>1441800</v>
      </c>
      <c r="G119" s="25">
        <f>376200+10100</f>
        <v>386300</v>
      </c>
      <c r="H119" s="25">
        <v>70600</v>
      </c>
      <c r="I119" s="25">
        <v>0</v>
      </c>
      <c r="J119" s="25">
        <f t="shared" si="39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0"/>
        <v>1441800</v>
      </c>
    </row>
    <row r="120" spans="1:18" ht="46.9" x14ac:dyDescent="0.25">
      <c r="A120" s="13" t="s">
        <v>184</v>
      </c>
      <c r="B120" s="13" t="s">
        <v>185</v>
      </c>
      <c r="C120" s="13" t="s">
        <v>113</v>
      </c>
      <c r="D120" s="14" t="s">
        <v>186</v>
      </c>
      <c r="E120" s="25">
        <f t="shared" si="38"/>
        <v>1070000</v>
      </c>
      <c r="F120" s="25">
        <f>620000+350000+100000</f>
        <v>1070000</v>
      </c>
      <c r="G120" s="25">
        <v>0</v>
      </c>
      <c r="H120" s="25">
        <v>0</v>
      </c>
      <c r="I120" s="25">
        <v>0</v>
      </c>
      <c r="J120" s="25">
        <f t="shared" si="39"/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f t="shared" si="40"/>
        <v>1070000</v>
      </c>
    </row>
    <row r="121" spans="1:18" ht="46.9" x14ac:dyDescent="0.25">
      <c r="A121" s="13" t="s">
        <v>187</v>
      </c>
      <c r="B121" s="13" t="s">
        <v>188</v>
      </c>
      <c r="C121" s="13" t="s">
        <v>113</v>
      </c>
      <c r="D121" s="14" t="s">
        <v>189</v>
      </c>
      <c r="E121" s="25">
        <f t="shared" si="38"/>
        <v>300000</v>
      </c>
      <c r="F121" s="25">
        <v>300000</v>
      </c>
      <c r="G121" s="25">
        <v>0</v>
      </c>
      <c r="H121" s="25">
        <v>0</v>
      </c>
      <c r="I121" s="25">
        <v>0</v>
      </c>
      <c r="J121" s="25">
        <f t="shared" si="39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40"/>
        <v>300000</v>
      </c>
    </row>
    <row r="122" spans="1:18" s="37" customFormat="1" ht="55.55" customHeight="1" x14ac:dyDescent="0.25">
      <c r="A122" s="39" t="s">
        <v>382</v>
      </c>
      <c r="B122" s="39" t="s">
        <v>383</v>
      </c>
      <c r="C122" s="39" t="s">
        <v>113</v>
      </c>
      <c r="D122" s="34" t="s">
        <v>384</v>
      </c>
      <c r="E122" s="38">
        <f>F122</f>
        <v>98088</v>
      </c>
      <c r="F122" s="38">
        <v>98088</v>
      </c>
      <c r="G122" s="38"/>
      <c r="H122" s="38"/>
      <c r="I122" s="38"/>
      <c r="J122" s="38"/>
      <c r="K122" s="38"/>
      <c r="L122" s="38"/>
      <c r="M122" s="38"/>
      <c r="N122" s="38"/>
      <c r="O122" s="38"/>
      <c r="P122" s="38">
        <f t="shared" si="40"/>
        <v>98088</v>
      </c>
      <c r="Q122" s="36"/>
      <c r="R122" s="36"/>
    </row>
    <row r="123" spans="1:18" ht="93.75" x14ac:dyDescent="0.25">
      <c r="A123" s="13" t="s">
        <v>190</v>
      </c>
      <c r="B123" s="13" t="s">
        <v>191</v>
      </c>
      <c r="C123" s="13" t="s">
        <v>113</v>
      </c>
      <c r="D123" s="14" t="s">
        <v>288</v>
      </c>
      <c r="E123" s="25">
        <f t="shared" si="38"/>
        <v>1564000</v>
      </c>
      <c r="F123" s="25">
        <f>1414000+150000</f>
        <v>1564000</v>
      </c>
      <c r="G123" s="25"/>
      <c r="H123" s="25">
        <v>0</v>
      </c>
      <c r="I123" s="25">
        <v>0</v>
      </c>
      <c r="J123" s="25">
        <f t="shared" si="39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0"/>
        <v>1564000</v>
      </c>
    </row>
    <row r="124" spans="1:18" ht="78.150000000000006" x14ac:dyDescent="0.25">
      <c r="A124" s="11" t="s">
        <v>192</v>
      </c>
      <c r="B124" s="11" t="s">
        <v>17</v>
      </c>
      <c r="C124" s="11" t="s">
        <v>17</v>
      </c>
      <c r="D124" s="12" t="s">
        <v>193</v>
      </c>
      <c r="E124" s="24">
        <f t="shared" si="38"/>
        <v>187231668.32999998</v>
      </c>
      <c r="F124" s="24">
        <f>F125</f>
        <v>51042947.359999999</v>
      </c>
      <c r="G124" s="24">
        <f>G125</f>
        <v>3362000</v>
      </c>
      <c r="H124" s="24">
        <f>H125</f>
        <v>6000</v>
      </c>
      <c r="I124" s="24">
        <f>I125</f>
        <v>136188720.97</v>
      </c>
      <c r="J124" s="24">
        <f t="shared" si="39"/>
        <v>44889136.82</v>
      </c>
      <c r="K124" s="24">
        <f>K125</f>
        <v>37710763.32</v>
      </c>
      <c r="L124" s="24">
        <f>L125</f>
        <v>219982.11</v>
      </c>
      <c r="M124" s="24">
        <f>M125</f>
        <v>0</v>
      </c>
      <c r="N124" s="24">
        <f>N125</f>
        <v>0</v>
      </c>
      <c r="O124" s="24">
        <f>O125</f>
        <v>44669154.710000001</v>
      </c>
      <c r="P124" s="24">
        <f t="shared" si="40"/>
        <v>232120805.14999998</v>
      </c>
      <c r="Q124" s="28">
        <f>216958448.46+15162356.69</f>
        <v>232120805.15000001</v>
      </c>
      <c r="R124" s="28">
        <f>P124-Q124</f>
        <v>0</v>
      </c>
    </row>
    <row r="125" spans="1:18" ht="78.150000000000006" x14ac:dyDescent="0.25">
      <c r="A125" s="11" t="s">
        <v>194</v>
      </c>
      <c r="B125" s="11" t="s">
        <v>17</v>
      </c>
      <c r="C125" s="11" t="s">
        <v>17</v>
      </c>
      <c r="D125" s="12" t="s">
        <v>193</v>
      </c>
      <c r="E125" s="24">
        <f t="shared" si="38"/>
        <v>187231668.32999998</v>
      </c>
      <c r="F125" s="24">
        <f>F126+F127+F128+F129+F130+F131+F132+F133+F134+F135+F136+F137+F138+F139+F140+F141+F142+F143+F144+F145+F146+F147+F148+F149+F150</f>
        <v>51042947.359999999</v>
      </c>
      <c r="G125" s="24">
        <f t="shared" ref="G125:I125" si="46">G126+G127+G128+G129+G130+G131+G132+G133+G134+G135+G136+G137+G138+G139+G140+G141+G142+G143+G144+G145+G146+G147+G148+G149+G150</f>
        <v>3362000</v>
      </c>
      <c r="H125" s="24">
        <f t="shared" si="46"/>
        <v>6000</v>
      </c>
      <c r="I125" s="24">
        <f t="shared" si="46"/>
        <v>136188720.97</v>
      </c>
      <c r="J125" s="24">
        <f>J126+J127+J128+J129+J130+J131+J133+J134+J136+J137+J138+J141+J142+J144+J145+J147+J149</f>
        <v>30645029.460000005</v>
      </c>
      <c r="K125" s="24">
        <f>K126+K127+K128+K129+K130+K131+K132+K133+K134+K135+K136+K137+K138+K139+K140+K141+K142+K143+K144+K145+K146+K147+K148+K149+K150</f>
        <v>37710763.32</v>
      </c>
      <c r="L125" s="24">
        <f t="shared" ref="L125:O125" si="47">L126+L127+L128+L129+L130+L131+L132+L133+L134+L135+L136+L137+L138+L139+L140+L141+L142+L143+L144+L145+L146+L147+L148+L149+L150</f>
        <v>219982.11</v>
      </c>
      <c r="M125" s="24">
        <f t="shared" si="47"/>
        <v>0</v>
      </c>
      <c r="N125" s="24">
        <f t="shared" si="47"/>
        <v>0</v>
      </c>
      <c r="O125" s="24">
        <f t="shared" si="47"/>
        <v>44669154.710000001</v>
      </c>
      <c r="P125" s="24">
        <f>P126+P127+P128+P129+P130+P131+P132+P133+P134+P136+P137+P138+P141+P142+P144+P145+P146+P147+P148+P149+P150</f>
        <v>220888665.15000001</v>
      </c>
    </row>
    <row r="126" spans="1:18" ht="62.5" x14ac:dyDescent="0.25">
      <c r="A126" s="13" t="s">
        <v>195</v>
      </c>
      <c r="B126" s="13" t="s">
        <v>72</v>
      </c>
      <c r="C126" s="13" t="s">
        <v>22</v>
      </c>
      <c r="D126" s="14" t="s">
        <v>73</v>
      </c>
      <c r="E126" s="25">
        <f t="shared" si="38"/>
        <v>3750960</v>
      </c>
      <c r="F126" s="25">
        <f>3717000+10560+7000+59500-43100</f>
        <v>3750960</v>
      </c>
      <c r="G126" s="25">
        <f>3338600+7000+59500-43100</f>
        <v>3362000</v>
      </c>
      <c r="H126" s="25">
        <v>6000</v>
      </c>
      <c r="I126" s="25">
        <v>0</v>
      </c>
      <c r="J126" s="25">
        <f t="shared" si="39"/>
        <v>199800</v>
      </c>
      <c r="K126" s="25">
        <v>199800</v>
      </c>
      <c r="L126" s="25">
        <v>0</v>
      </c>
      <c r="M126" s="25">
        <v>0</v>
      </c>
      <c r="N126" s="25">
        <v>0</v>
      </c>
      <c r="O126" s="25">
        <v>199800</v>
      </c>
      <c r="P126" s="25">
        <f t="shared" si="40"/>
        <v>3950760</v>
      </c>
    </row>
    <row r="127" spans="1:18" ht="62.5" x14ac:dyDescent="0.25">
      <c r="A127" s="13" t="s">
        <v>196</v>
      </c>
      <c r="B127" s="13" t="s">
        <v>24</v>
      </c>
      <c r="C127" s="13" t="s">
        <v>25</v>
      </c>
      <c r="D127" s="14" t="s">
        <v>26</v>
      </c>
      <c r="E127" s="25">
        <f t="shared" si="38"/>
        <v>25000</v>
      </c>
      <c r="F127" s="25">
        <v>25000</v>
      </c>
      <c r="G127" s="25">
        <v>0</v>
      </c>
      <c r="H127" s="25">
        <v>0</v>
      </c>
      <c r="I127" s="25">
        <v>0</v>
      </c>
      <c r="J127" s="25">
        <f t="shared" si="39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0"/>
        <v>25000</v>
      </c>
    </row>
    <row r="128" spans="1:18" ht="31.25" x14ac:dyDescent="0.25">
      <c r="A128" s="13" t="s">
        <v>197</v>
      </c>
      <c r="B128" s="13" t="s">
        <v>28</v>
      </c>
      <c r="C128" s="13" t="s">
        <v>29</v>
      </c>
      <c r="D128" s="14" t="s">
        <v>30</v>
      </c>
      <c r="E128" s="25">
        <f t="shared" si="38"/>
        <v>99000</v>
      </c>
      <c r="F128" s="25">
        <f>297000-198000</f>
        <v>99000</v>
      </c>
      <c r="G128" s="25">
        <v>0</v>
      </c>
      <c r="H128" s="25">
        <v>0</v>
      </c>
      <c r="I128" s="25">
        <v>0</v>
      </c>
      <c r="J128" s="25">
        <f t="shared" si="39"/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f t="shared" si="40"/>
        <v>99000</v>
      </c>
    </row>
    <row r="129" spans="1:16" ht="31.25" x14ac:dyDescent="0.25">
      <c r="A129" s="13" t="s">
        <v>198</v>
      </c>
      <c r="B129" s="13" t="s">
        <v>199</v>
      </c>
      <c r="C129" s="13" t="s">
        <v>200</v>
      </c>
      <c r="D129" s="14" t="s">
        <v>201</v>
      </c>
      <c r="E129" s="25">
        <f t="shared" si="38"/>
        <v>30000</v>
      </c>
      <c r="F129" s="25">
        <v>30000</v>
      </c>
      <c r="G129" s="25">
        <v>0</v>
      </c>
      <c r="H129" s="25">
        <v>0</v>
      </c>
      <c r="I129" s="25">
        <v>0</v>
      </c>
      <c r="J129" s="25">
        <f t="shared" si="39"/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f t="shared" si="40"/>
        <v>30000</v>
      </c>
    </row>
    <row r="130" spans="1:16" ht="31.25" x14ac:dyDescent="0.25">
      <c r="A130" s="22">
        <v>1216011</v>
      </c>
      <c r="B130" s="22">
        <v>6011</v>
      </c>
      <c r="C130" s="22" t="s">
        <v>297</v>
      </c>
      <c r="D130" s="14" t="s">
        <v>298</v>
      </c>
      <c r="E130" s="25">
        <f t="shared" si="38"/>
        <v>1162593.01</v>
      </c>
      <c r="F130" s="25"/>
      <c r="G130" s="25"/>
      <c r="H130" s="25"/>
      <c r="I130" s="25">
        <f>319069+50000+793524.01</f>
        <v>1162593.01</v>
      </c>
      <c r="J130" s="25">
        <f t="shared" si="39"/>
        <v>14061447.15</v>
      </c>
      <c r="K130" s="25">
        <f>3991510.61+1619307-1159559.54+7225000+1903939.08-200000+681250</f>
        <v>14061447.15</v>
      </c>
      <c r="L130" s="25"/>
      <c r="M130" s="25"/>
      <c r="N130" s="25"/>
      <c r="O130" s="25">
        <f>3991510.61+1619307-1159559.54+7225000+1903939.08-200000+681250</f>
        <v>14061447.15</v>
      </c>
      <c r="P130" s="25">
        <f t="shared" si="40"/>
        <v>15224040.16</v>
      </c>
    </row>
    <row r="131" spans="1:16" ht="46.9" x14ac:dyDescent="0.25">
      <c r="A131" s="13" t="s">
        <v>202</v>
      </c>
      <c r="B131" s="13" t="s">
        <v>203</v>
      </c>
      <c r="C131" s="13" t="s">
        <v>52</v>
      </c>
      <c r="D131" s="14" t="s">
        <v>204</v>
      </c>
      <c r="E131" s="25">
        <f t="shared" si="38"/>
        <v>30000000</v>
      </c>
      <c r="F131" s="25">
        <v>0</v>
      </c>
      <c r="G131" s="25">
        <v>0</v>
      </c>
      <c r="H131" s="25">
        <v>0</v>
      </c>
      <c r="I131" s="25">
        <f>20000000+10000000</f>
        <v>30000000</v>
      </c>
      <c r="J131" s="25">
        <f t="shared" si="39"/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f t="shared" si="40"/>
        <v>30000000</v>
      </c>
    </row>
    <row r="132" spans="1:16" ht="46.9" x14ac:dyDescent="0.25">
      <c r="A132" s="20">
        <v>1216013</v>
      </c>
      <c r="B132" s="20">
        <v>6013</v>
      </c>
      <c r="C132" s="13" t="s">
        <v>52</v>
      </c>
      <c r="D132" s="14" t="s">
        <v>313</v>
      </c>
      <c r="E132" s="25">
        <f t="shared" si="38"/>
        <v>3751991.56</v>
      </c>
      <c r="F132" s="25"/>
      <c r="G132" s="25"/>
      <c r="H132" s="25"/>
      <c r="I132" s="25">
        <f>338110+249446.12+148335.44+3016100</f>
        <v>3751991.56</v>
      </c>
      <c r="J132" s="25">
        <f t="shared" si="39"/>
        <v>122724</v>
      </c>
      <c r="K132" s="25">
        <v>122724</v>
      </c>
      <c r="L132" s="25"/>
      <c r="M132" s="25"/>
      <c r="N132" s="25"/>
      <c r="O132" s="25">
        <v>122724</v>
      </c>
      <c r="P132" s="25">
        <f t="shared" si="40"/>
        <v>3874715.56</v>
      </c>
    </row>
    <row r="133" spans="1:16" ht="31.25" x14ac:dyDescent="0.25">
      <c r="A133" s="13" t="s">
        <v>205</v>
      </c>
      <c r="B133" s="13" t="s">
        <v>206</v>
      </c>
      <c r="C133" s="13" t="s">
        <v>52</v>
      </c>
      <c r="D133" s="14" t="s">
        <v>207</v>
      </c>
      <c r="E133" s="25">
        <f t="shared" si="38"/>
        <v>0</v>
      </c>
      <c r="F133" s="25">
        <v>0</v>
      </c>
      <c r="G133" s="25">
        <v>0</v>
      </c>
      <c r="H133" s="25">
        <v>0</v>
      </c>
      <c r="I133" s="25">
        <f>300000-300000</f>
        <v>0</v>
      </c>
      <c r="J133" s="25">
        <f t="shared" si="39"/>
        <v>1391959.38</v>
      </c>
      <c r="K133" s="25">
        <f>760685.48+631273.9</f>
        <v>1391959.38</v>
      </c>
      <c r="L133" s="25">
        <v>0</v>
      </c>
      <c r="M133" s="25">
        <v>0</v>
      </c>
      <c r="N133" s="25">
        <v>0</v>
      </c>
      <c r="O133" s="25">
        <f>760685.48+631273.9</f>
        <v>1391959.38</v>
      </c>
      <c r="P133" s="25">
        <f t="shared" si="40"/>
        <v>1391959.38</v>
      </c>
    </row>
    <row r="134" spans="1:16" ht="46.9" x14ac:dyDescent="0.25">
      <c r="A134" s="20">
        <v>1216017</v>
      </c>
      <c r="B134" s="13" t="s">
        <v>208</v>
      </c>
      <c r="C134" s="13" t="s">
        <v>52</v>
      </c>
      <c r="D134" s="14" t="s">
        <v>289</v>
      </c>
      <c r="E134" s="25">
        <f t="shared" si="38"/>
        <v>1080600</v>
      </c>
      <c r="F134" s="25">
        <v>0</v>
      </c>
      <c r="G134" s="25">
        <v>0</v>
      </c>
      <c r="H134" s="25">
        <v>0</v>
      </c>
      <c r="I134" s="25">
        <v>1080600</v>
      </c>
      <c r="J134" s="25">
        <f t="shared" si="39"/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f t="shared" si="40"/>
        <v>1080600</v>
      </c>
    </row>
    <row r="135" spans="1:16" ht="78.150000000000006" x14ac:dyDescent="0.25">
      <c r="A135" s="20">
        <v>1216020</v>
      </c>
      <c r="B135" s="20">
        <v>6020</v>
      </c>
      <c r="C135" s="13" t="s">
        <v>52</v>
      </c>
      <c r="D135" s="14" t="s">
        <v>423</v>
      </c>
      <c r="E135" s="25">
        <f t="shared" si="38"/>
        <v>76900</v>
      </c>
      <c r="F135" s="25"/>
      <c r="G135" s="25"/>
      <c r="H135" s="25"/>
      <c r="I135" s="25">
        <v>76900</v>
      </c>
      <c r="J135" s="25">
        <f t="shared" si="39"/>
        <v>639990</v>
      </c>
      <c r="K135" s="25">
        <f>540000+99990</f>
        <v>639990</v>
      </c>
      <c r="L135" s="25"/>
      <c r="M135" s="25"/>
      <c r="N135" s="25"/>
      <c r="O135" s="25">
        <f>540000+99990</f>
        <v>639990</v>
      </c>
      <c r="P135" s="25">
        <f t="shared" si="40"/>
        <v>716890</v>
      </c>
    </row>
    <row r="136" spans="1:16" ht="31.25" x14ac:dyDescent="0.25">
      <c r="A136" s="20">
        <v>1216030</v>
      </c>
      <c r="B136" s="13" t="s">
        <v>51</v>
      </c>
      <c r="C136" s="13" t="s">
        <v>52</v>
      </c>
      <c r="D136" s="14" t="s">
        <v>53</v>
      </c>
      <c r="E136" s="25">
        <f>F136+I136</f>
        <v>70804926.400000006</v>
      </c>
      <c r="F136" s="25">
        <f>20143000+1082000+175000-400000-2500000+200000-145000-150000</f>
        <v>18405000</v>
      </c>
      <c r="G136" s="25">
        <v>0</v>
      </c>
      <c r="H136" s="27">
        <v>0</v>
      </c>
      <c r="I136" s="25">
        <f>52290100+100000+584000-175000+491000-90000-1160000-100000+184976.4-50000-250150+145000+150000+280000</f>
        <v>52399926.399999999</v>
      </c>
      <c r="J136" s="25">
        <f t="shared" si="39"/>
        <v>1897831.9999999995</v>
      </c>
      <c r="K136" s="25">
        <f>223724.31+4680000+456822.2+839499.08+100800-4100000+461000+228275.69+300000-456822.2-619646.08-1821-214000</f>
        <v>1897831.9999999995</v>
      </c>
      <c r="L136" s="25">
        <v>0</v>
      </c>
      <c r="M136" s="25">
        <v>0</v>
      </c>
      <c r="N136" s="25">
        <v>0</v>
      </c>
      <c r="O136" s="25">
        <f>223724.31+4680000+456822.2+839499.08+100800-4100000+461000+228275.69+300000-456822.2-619646.08-1821-214000</f>
        <v>1897831.9999999995</v>
      </c>
      <c r="P136" s="25">
        <f t="shared" si="40"/>
        <v>72702758.400000006</v>
      </c>
    </row>
    <row r="137" spans="1:16" ht="31.25" x14ac:dyDescent="0.25">
      <c r="A137" s="22" t="s">
        <v>303</v>
      </c>
      <c r="B137" s="22" t="s">
        <v>304</v>
      </c>
      <c r="C137" s="22" t="s">
        <v>266</v>
      </c>
      <c r="D137" s="14" t="s">
        <v>305</v>
      </c>
      <c r="E137" s="25">
        <f t="shared" ref="E137:E140" si="48">F137+I137</f>
        <v>0</v>
      </c>
      <c r="F137" s="25"/>
      <c r="G137" s="25"/>
      <c r="H137" s="27"/>
      <c r="I137" s="25"/>
      <c r="J137" s="25">
        <f t="shared" si="39"/>
        <v>4947206.6400000006</v>
      </c>
      <c r="K137" s="25">
        <f>2325000+1225000+85206.64+350000+962000</f>
        <v>4947206.6400000006</v>
      </c>
      <c r="L137" s="25"/>
      <c r="M137" s="25"/>
      <c r="N137" s="25"/>
      <c r="O137" s="25">
        <f>2325000+1225000+85206.64+350000+962000</f>
        <v>4947206.6400000006</v>
      </c>
      <c r="P137" s="25">
        <f t="shared" si="40"/>
        <v>4947206.6400000006</v>
      </c>
    </row>
    <row r="138" spans="1:16" ht="46.9" x14ac:dyDescent="0.25">
      <c r="A138" s="22" t="s">
        <v>306</v>
      </c>
      <c r="B138" s="22" t="s">
        <v>307</v>
      </c>
      <c r="C138" s="22" t="s">
        <v>56</v>
      </c>
      <c r="D138" s="14" t="s">
        <v>308</v>
      </c>
      <c r="E138" s="25">
        <f t="shared" si="48"/>
        <v>100000</v>
      </c>
      <c r="F138" s="25"/>
      <c r="G138" s="25"/>
      <c r="H138" s="27"/>
      <c r="I138" s="25">
        <v>100000</v>
      </c>
      <c r="J138" s="25">
        <f t="shared" si="39"/>
        <v>0</v>
      </c>
      <c r="K138" s="25"/>
      <c r="L138" s="25"/>
      <c r="M138" s="25"/>
      <c r="N138" s="25"/>
      <c r="O138" s="25"/>
      <c r="P138" s="25">
        <f t="shared" si="40"/>
        <v>100000</v>
      </c>
    </row>
    <row r="139" spans="1:16" ht="93.75" x14ac:dyDescent="0.25">
      <c r="A139" s="22" t="s">
        <v>407</v>
      </c>
      <c r="B139" s="22" t="s">
        <v>408</v>
      </c>
      <c r="C139" s="22" t="s">
        <v>56</v>
      </c>
      <c r="D139" s="14" t="s">
        <v>410</v>
      </c>
      <c r="E139" s="25">
        <f t="shared" si="48"/>
        <v>418650</v>
      </c>
      <c r="F139" s="25"/>
      <c r="G139" s="25"/>
      <c r="H139" s="27"/>
      <c r="I139" s="25">
        <f>100000+118650+200000</f>
        <v>418650</v>
      </c>
      <c r="J139" s="25"/>
      <c r="K139" s="25"/>
      <c r="L139" s="25"/>
      <c r="M139" s="25"/>
      <c r="N139" s="25"/>
      <c r="O139" s="25"/>
      <c r="P139" s="25">
        <f t="shared" si="40"/>
        <v>418650</v>
      </c>
    </row>
    <row r="140" spans="1:16" ht="109.4" x14ac:dyDescent="0.25">
      <c r="A140" s="22" t="s">
        <v>406</v>
      </c>
      <c r="B140" s="22" t="s">
        <v>409</v>
      </c>
      <c r="C140" s="22" t="s">
        <v>56</v>
      </c>
      <c r="D140" s="14" t="s">
        <v>411</v>
      </c>
      <c r="E140" s="25">
        <f t="shared" si="48"/>
        <v>130000</v>
      </c>
      <c r="F140" s="25"/>
      <c r="G140" s="25"/>
      <c r="H140" s="27"/>
      <c r="I140" s="25">
        <v>130000</v>
      </c>
      <c r="J140" s="25"/>
      <c r="K140" s="25"/>
      <c r="L140" s="25"/>
      <c r="M140" s="25"/>
      <c r="N140" s="25"/>
      <c r="O140" s="25"/>
      <c r="P140" s="25">
        <f t="shared" si="40"/>
        <v>130000</v>
      </c>
    </row>
    <row r="141" spans="1:16" ht="62.5" x14ac:dyDescent="0.25">
      <c r="A141" s="13" t="s">
        <v>209</v>
      </c>
      <c r="B141" s="13" t="s">
        <v>210</v>
      </c>
      <c r="C141" s="13" t="s">
        <v>211</v>
      </c>
      <c r="D141" s="14" t="s">
        <v>212</v>
      </c>
      <c r="E141" s="25">
        <f t="shared" si="38"/>
        <v>24000000</v>
      </c>
      <c r="F141" s="25">
        <v>24000000</v>
      </c>
      <c r="G141" s="25">
        <v>0</v>
      </c>
      <c r="H141" s="25">
        <v>0</v>
      </c>
      <c r="I141" s="25"/>
      <c r="J141" s="25">
        <f t="shared" si="39"/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f t="shared" si="40"/>
        <v>24000000</v>
      </c>
    </row>
    <row r="142" spans="1:16" x14ac:dyDescent="0.25">
      <c r="A142" s="20">
        <v>1217640</v>
      </c>
      <c r="B142" s="20">
        <v>7640</v>
      </c>
      <c r="C142" s="22" t="s">
        <v>300</v>
      </c>
      <c r="D142" s="14" t="s">
        <v>301</v>
      </c>
      <c r="E142" s="25">
        <f t="shared" si="38"/>
        <v>0</v>
      </c>
      <c r="F142" s="25"/>
      <c r="G142" s="25"/>
      <c r="H142" s="25"/>
      <c r="I142" s="25"/>
      <c r="J142" s="25">
        <f t="shared" si="39"/>
        <v>324089.55</v>
      </c>
      <c r="K142" s="25">
        <f>24079.6+300009.95</f>
        <v>324089.55</v>
      </c>
      <c r="L142" s="25"/>
      <c r="M142" s="25"/>
      <c r="N142" s="25"/>
      <c r="O142" s="25">
        <f>24079.6+300009.95</f>
        <v>324089.55</v>
      </c>
      <c r="P142" s="25">
        <f t="shared" si="40"/>
        <v>324089.55</v>
      </c>
    </row>
    <row r="143" spans="1:16" ht="31.25" x14ac:dyDescent="0.25">
      <c r="A143" s="20">
        <v>1217670</v>
      </c>
      <c r="B143" s="20">
        <v>7670</v>
      </c>
      <c r="C143" s="22" t="s">
        <v>56</v>
      </c>
      <c r="D143" s="14" t="s">
        <v>428</v>
      </c>
      <c r="E143" s="25">
        <f t="shared" si="38"/>
        <v>0</v>
      </c>
      <c r="F143" s="25"/>
      <c r="G143" s="25"/>
      <c r="H143" s="25"/>
      <c r="I143" s="25"/>
      <c r="J143" s="25">
        <f t="shared" si="39"/>
        <v>9966600</v>
      </c>
      <c r="K143" s="25">
        <f>9446600+520000</f>
        <v>9966600</v>
      </c>
      <c r="L143" s="25"/>
      <c r="M143" s="25"/>
      <c r="N143" s="25"/>
      <c r="O143" s="25">
        <f>9446600+520000</f>
        <v>9966600</v>
      </c>
      <c r="P143" s="25">
        <f t="shared" si="40"/>
        <v>9966600</v>
      </c>
    </row>
    <row r="144" spans="1:16" ht="149.94999999999999" customHeight="1" x14ac:dyDescent="0.25">
      <c r="A144" s="22">
        <v>1217691</v>
      </c>
      <c r="B144" s="22">
        <v>7691</v>
      </c>
      <c r="C144" s="22" t="s">
        <v>56</v>
      </c>
      <c r="D144" s="14" t="s">
        <v>299</v>
      </c>
      <c r="E144" s="25">
        <f t="shared" si="38"/>
        <v>0</v>
      </c>
      <c r="F144" s="25"/>
      <c r="G144" s="25"/>
      <c r="H144" s="25"/>
      <c r="I144" s="25"/>
      <c r="J144" s="25">
        <f t="shared" si="39"/>
        <v>3096699.7</v>
      </c>
      <c r="K144" s="25"/>
      <c r="L144" s="25"/>
      <c r="M144" s="25"/>
      <c r="N144" s="25"/>
      <c r="O144" s="25">
        <f>75068+362171.8+190171.36+95881.85+6019.9+2254803.92-142486.96-22534.01+277603.84</f>
        <v>3096699.7</v>
      </c>
      <c r="P144" s="25">
        <f t="shared" si="40"/>
        <v>3096699.7</v>
      </c>
    </row>
    <row r="145" spans="1:18" ht="31.25" x14ac:dyDescent="0.25">
      <c r="A145" s="20">
        <v>1217693</v>
      </c>
      <c r="B145" s="20">
        <v>7693</v>
      </c>
      <c r="C145" s="22" t="s">
        <v>56</v>
      </c>
      <c r="D145" s="14" t="s">
        <v>290</v>
      </c>
      <c r="E145" s="25">
        <f t="shared" si="38"/>
        <v>47068060</v>
      </c>
      <c r="F145" s="25"/>
      <c r="G145" s="25"/>
      <c r="H145" s="25"/>
      <c r="I145" s="25">
        <f>1667500+18114560+12062900+15943100-720000</f>
        <v>47068060</v>
      </c>
      <c r="J145" s="25">
        <f t="shared" si="39"/>
        <v>0</v>
      </c>
      <c r="K145" s="25"/>
      <c r="L145" s="25"/>
      <c r="M145" s="25"/>
      <c r="N145" s="25"/>
      <c r="O145" s="25"/>
      <c r="P145" s="25">
        <f t="shared" si="40"/>
        <v>47068060</v>
      </c>
    </row>
    <row r="146" spans="1:18" ht="78.150000000000006" x14ac:dyDescent="0.25">
      <c r="A146" s="20">
        <v>1217700</v>
      </c>
      <c r="B146" s="20">
        <v>7700</v>
      </c>
      <c r="C146" s="22" t="s">
        <v>29</v>
      </c>
      <c r="D146" s="14" t="s">
        <v>386</v>
      </c>
      <c r="E146" s="25"/>
      <c r="F146" s="25"/>
      <c r="G146" s="25"/>
      <c r="H146" s="25"/>
      <c r="I146" s="25"/>
      <c r="J146" s="25">
        <f t="shared" si="39"/>
        <v>3514793.36</v>
      </c>
      <c r="K146" s="25"/>
      <c r="L146" s="25"/>
      <c r="M146" s="25"/>
      <c r="N146" s="25"/>
      <c r="O146" s="25">
        <v>3514793.36</v>
      </c>
      <c r="P146" s="25">
        <f t="shared" si="40"/>
        <v>3514793.36</v>
      </c>
    </row>
    <row r="147" spans="1:18" ht="46.9" x14ac:dyDescent="0.25">
      <c r="A147" s="20">
        <v>1218110</v>
      </c>
      <c r="B147" s="20">
        <v>8110</v>
      </c>
      <c r="C147" s="22" t="s">
        <v>270</v>
      </c>
      <c r="D147" s="14" t="s">
        <v>271</v>
      </c>
      <c r="E147" s="25">
        <f t="shared" si="38"/>
        <v>4552287.3599999994</v>
      </c>
      <c r="F147" s="25">
        <f>2232828.68+344600-100800+500000+1100000+270000+131500+74158.68</f>
        <v>4552287.3599999994</v>
      </c>
      <c r="G147" s="25"/>
      <c r="H147" s="25"/>
      <c r="I147" s="25"/>
      <c r="J147" s="25">
        <f t="shared" si="39"/>
        <v>4159114.6</v>
      </c>
      <c r="K147" s="25">
        <f>3809114.6-1150000+1500000</f>
        <v>4159114.6</v>
      </c>
      <c r="L147" s="25"/>
      <c r="M147" s="25"/>
      <c r="N147" s="25"/>
      <c r="O147" s="25">
        <f>3809114.6-1150000+1500000</f>
        <v>4159114.6</v>
      </c>
      <c r="P147" s="25">
        <f t="shared" si="40"/>
        <v>8711401.959999999</v>
      </c>
    </row>
    <row r="148" spans="1:18" s="2" customFormat="1" ht="31.25" x14ac:dyDescent="0.25">
      <c r="A148" s="20">
        <v>1218240</v>
      </c>
      <c r="B148" s="20">
        <v>8240</v>
      </c>
      <c r="C148" s="22" t="s">
        <v>60</v>
      </c>
      <c r="D148" s="14" t="s">
        <v>273</v>
      </c>
      <c r="E148" s="25">
        <f t="shared" si="38"/>
        <v>112500</v>
      </c>
      <c r="F148" s="25">
        <v>112500</v>
      </c>
      <c r="G148" s="25"/>
      <c r="H148" s="25"/>
      <c r="I148" s="25"/>
      <c r="J148" s="25"/>
      <c r="K148" s="25"/>
      <c r="L148" s="25"/>
      <c r="M148" s="25"/>
      <c r="N148" s="25"/>
      <c r="O148" s="25"/>
      <c r="P148" s="25">
        <f t="shared" si="40"/>
        <v>112500</v>
      </c>
    </row>
    <row r="149" spans="1:18" ht="31.25" x14ac:dyDescent="0.25">
      <c r="A149" s="13" t="s">
        <v>213</v>
      </c>
      <c r="B149" s="13" t="s">
        <v>66</v>
      </c>
      <c r="C149" s="13" t="s">
        <v>67</v>
      </c>
      <c r="D149" s="14" t="s">
        <v>68</v>
      </c>
      <c r="E149" s="25">
        <f t="shared" si="38"/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f t="shared" si="39"/>
        <v>566880.43999999994</v>
      </c>
      <c r="K149" s="25">
        <v>0</v>
      </c>
      <c r="L149" s="25">
        <f>220000-17.89</f>
        <v>219982.11</v>
      </c>
      <c r="M149" s="25">
        <v>0</v>
      </c>
      <c r="N149" s="25">
        <v>0</v>
      </c>
      <c r="O149" s="25">
        <f>289000+192393.7-134495.37</f>
        <v>346898.33</v>
      </c>
      <c r="P149" s="25">
        <f t="shared" si="40"/>
        <v>566880.43999999994</v>
      </c>
    </row>
    <row r="150" spans="1:18" ht="62.5" x14ac:dyDescent="0.25">
      <c r="A150" s="20">
        <v>1218771</v>
      </c>
      <c r="B150" s="22">
        <v>8771</v>
      </c>
      <c r="C150" s="22" t="s">
        <v>41</v>
      </c>
      <c r="D150" s="14" t="s">
        <v>374</v>
      </c>
      <c r="E150" s="25">
        <f>F150+I150</f>
        <v>68200</v>
      </c>
      <c r="F150" s="25">
        <v>68200</v>
      </c>
      <c r="G150" s="25"/>
      <c r="H150" s="25"/>
      <c r="I150" s="25"/>
      <c r="J150" s="25"/>
      <c r="K150" s="25"/>
      <c r="L150" s="25"/>
      <c r="M150" s="25"/>
      <c r="N150" s="25"/>
      <c r="O150" s="25"/>
      <c r="P150" s="27">
        <f>E150+J150</f>
        <v>68200</v>
      </c>
    </row>
    <row r="151" spans="1:18" ht="62.5" x14ac:dyDescent="0.25">
      <c r="A151" s="11" t="s">
        <v>214</v>
      </c>
      <c r="B151" s="11" t="s">
        <v>17</v>
      </c>
      <c r="C151" s="11" t="s">
        <v>17</v>
      </c>
      <c r="D151" s="12" t="s">
        <v>215</v>
      </c>
      <c r="E151" s="24">
        <f t="shared" si="38"/>
        <v>4656789.18</v>
      </c>
      <c r="F151" s="24">
        <f>F152</f>
        <v>4100800</v>
      </c>
      <c r="G151" s="24">
        <f>G152</f>
        <v>3733100</v>
      </c>
      <c r="H151" s="24">
        <f>H152</f>
        <v>0</v>
      </c>
      <c r="I151" s="24">
        <f>I152</f>
        <v>555989.18000000005</v>
      </c>
      <c r="J151" s="24">
        <f t="shared" si="39"/>
        <v>212412178.68000004</v>
      </c>
      <c r="K151" s="24">
        <f>K152</f>
        <v>198287979.74000004</v>
      </c>
      <c r="L151" s="24">
        <f>L152</f>
        <v>0</v>
      </c>
      <c r="M151" s="24">
        <f>M152</f>
        <v>0</v>
      </c>
      <c r="N151" s="24">
        <f>N152</f>
        <v>0</v>
      </c>
      <c r="O151" s="24">
        <f>O152</f>
        <v>212412178.68000004</v>
      </c>
      <c r="P151" s="24">
        <f t="shared" si="40"/>
        <v>217068967.86000004</v>
      </c>
      <c r="Q151" s="28">
        <f>229067514.55-11998546.69</f>
        <v>217068967.86000001</v>
      </c>
      <c r="R151" s="28">
        <f>P151-Q151</f>
        <v>0</v>
      </c>
    </row>
    <row r="152" spans="1:18" ht="62.5" x14ac:dyDescent="0.25">
      <c r="A152" s="11" t="s">
        <v>216</v>
      </c>
      <c r="B152" s="11" t="s">
        <v>17</v>
      </c>
      <c r="C152" s="11" t="s">
        <v>17</v>
      </c>
      <c r="D152" s="12" t="s">
        <v>215</v>
      </c>
      <c r="E152" s="24">
        <f t="shared" si="38"/>
        <v>4656789.18</v>
      </c>
      <c r="F152" s="24">
        <f>F153+F154+F155+F156+F157+F158+F159+F160+F161+F162+F163+F164+F165+F166+F167+F168+F169+F170+F171+F172+F173</f>
        <v>4100800</v>
      </c>
      <c r="G152" s="24">
        <f t="shared" ref="G152:I152" si="49">G153+G154+G155+G156+G157+G158+G159+G160+G161+G162+G163+G164+G165+G166+G167+G168+G169+G170+G171+G172+G173</f>
        <v>3733100</v>
      </c>
      <c r="H152" s="24">
        <f t="shared" si="49"/>
        <v>0</v>
      </c>
      <c r="I152" s="24">
        <f t="shared" si="49"/>
        <v>555989.18000000005</v>
      </c>
      <c r="J152" s="24">
        <f>L152+O152</f>
        <v>212412178.68000004</v>
      </c>
      <c r="K152" s="24">
        <f>K153+K154+K155+K156+K157+K158+K159+K160+K161+K162+K163+K164+K165+K166+K167+K168+K169+K170+K171+K172+K173</f>
        <v>198287979.74000004</v>
      </c>
      <c r="L152" s="24">
        <f t="shared" ref="L152" si="50">L153+L154+L155+L156+L157+L158+L159+L160+L161+L162+L163+L164+L165+L166+L167+L168+L169+L170+L171+L172+L173</f>
        <v>0</v>
      </c>
      <c r="M152" s="24">
        <f t="shared" ref="M152" si="51">M153+M154+M155+M156+M157+M158+M159+M160+M161+M162+M163+M164+M165+M166+M167+M168+M169+M170+M171+M172+M173</f>
        <v>0</v>
      </c>
      <c r="N152" s="24">
        <f t="shared" ref="N152" si="52">N153+N154+N155+N156+N157+N158+N159+N160+N161+N162+N163+N164+N165+N166+N167+N168+N169+N170+N171+N172+N173</f>
        <v>0</v>
      </c>
      <c r="O152" s="24">
        <f t="shared" ref="O152" si="53">O153+O154+O155+O156+O157+O158+O159+O160+O161+O162+O163+O164+O165+O166+O167+O168+O169+O170+O171+O172+O173</f>
        <v>212412178.68000004</v>
      </c>
      <c r="P152" s="24">
        <f t="shared" si="40"/>
        <v>217068967.86000004</v>
      </c>
    </row>
    <row r="153" spans="1:18" ht="109.4" x14ac:dyDescent="0.25">
      <c r="A153" s="22">
        <v>1510150</v>
      </c>
      <c r="B153" s="22" t="s">
        <v>21</v>
      </c>
      <c r="C153" s="22" t="s">
        <v>22</v>
      </c>
      <c r="D153" s="14" t="s">
        <v>23</v>
      </c>
      <c r="E153" s="25">
        <f t="shared" si="38"/>
        <v>0</v>
      </c>
      <c r="F153" s="25"/>
      <c r="G153" s="25"/>
      <c r="H153" s="25"/>
      <c r="I153" s="25"/>
      <c r="J153" s="25">
        <f t="shared" si="39"/>
        <v>539029.42000000004</v>
      </c>
      <c r="K153" s="25">
        <f>550229.42-11200</f>
        <v>539029.42000000004</v>
      </c>
      <c r="L153" s="25"/>
      <c r="M153" s="25"/>
      <c r="N153" s="25"/>
      <c r="O153" s="25">
        <f>550229.42-11200</f>
        <v>539029.42000000004</v>
      </c>
      <c r="P153" s="25">
        <f t="shared" si="40"/>
        <v>539029.42000000004</v>
      </c>
    </row>
    <row r="154" spans="1:18" ht="62.5" x14ac:dyDescent="0.25">
      <c r="A154" s="13" t="s">
        <v>217</v>
      </c>
      <c r="B154" s="13" t="s">
        <v>72</v>
      </c>
      <c r="C154" s="13" t="s">
        <v>22</v>
      </c>
      <c r="D154" s="14" t="s">
        <v>73</v>
      </c>
      <c r="E154" s="25">
        <f t="shared" si="38"/>
        <v>3870800</v>
      </c>
      <c r="F154" s="25">
        <f>3682500+168300+60000+20000-60000</f>
        <v>3870800</v>
      </c>
      <c r="G154" s="25">
        <f>3575800+157300+60000-60000</f>
        <v>3733100</v>
      </c>
      <c r="H154" s="25">
        <v>0</v>
      </c>
      <c r="I154" s="25">
        <v>0</v>
      </c>
      <c r="J154" s="25">
        <f t="shared" si="39"/>
        <v>0</v>
      </c>
      <c r="K154" s="25">
        <f>69000-69000</f>
        <v>0</v>
      </c>
      <c r="L154" s="25">
        <v>0</v>
      </c>
      <c r="M154" s="25">
        <v>0</v>
      </c>
      <c r="N154" s="25">
        <v>0</v>
      </c>
      <c r="O154" s="25">
        <f>69000-69000</f>
        <v>0</v>
      </c>
      <c r="P154" s="25">
        <f t="shared" si="40"/>
        <v>3870800</v>
      </c>
    </row>
    <row r="155" spans="1:18" ht="31.25" x14ac:dyDescent="0.25">
      <c r="A155" s="13" t="s">
        <v>218</v>
      </c>
      <c r="B155" s="13" t="s">
        <v>28</v>
      </c>
      <c r="C155" s="13" t="s">
        <v>29</v>
      </c>
      <c r="D155" s="14" t="s">
        <v>30</v>
      </c>
      <c r="E155" s="25">
        <f t="shared" si="38"/>
        <v>230000</v>
      </c>
      <c r="F155" s="25">
        <f>250000-20000</f>
        <v>230000</v>
      </c>
      <c r="G155" s="25">
        <v>0</v>
      </c>
      <c r="H155" s="25">
        <v>0</v>
      </c>
      <c r="I155" s="25">
        <v>0</v>
      </c>
      <c r="J155" s="25">
        <f t="shared" si="39"/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f t="shared" si="40"/>
        <v>230000</v>
      </c>
    </row>
    <row r="156" spans="1:18" ht="31.25" x14ac:dyDescent="0.25">
      <c r="A156" s="22">
        <v>1512010</v>
      </c>
      <c r="B156" s="22">
        <v>2010</v>
      </c>
      <c r="C156" s="22" t="s">
        <v>33</v>
      </c>
      <c r="D156" s="14" t="s">
        <v>34</v>
      </c>
      <c r="E156" s="25">
        <f t="shared" si="38"/>
        <v>0</v>
      </c>
      <c r="F156" s="25"/>
      <c r="G156" s="25"/>
      <c r="H156" s="25"/>
      <c r="I156" s="25"/>
      <c r="J156" s="25">
        <f t="shared" si="39"/>
        <v>12254240.16</v>
      </c>
      <c r="K156" s="25">
        <f>11568240.16+2000000-2000000+686000</f>
        <v>12254240.16</v>
      </c>
      <c r="L156" s="25"/>
      <c r="M156" s="25"/>
      <c r="N156" s="25"/>
      <c r="O156" s="25">
        <f>11568240.16+2000000-2000000+686000</f>
        <v>12254240.16</v>
      </c>
      <c r="P156" s="25">
        <f t="shared" si="40"/>
        <v>12254240.16</v>
      </c>
    </row>
    <row r="157" spans="1:18" ht="62.5" x14ac:dyDescent="0.25">
      <c r="A157" s="22" t="s">
        <v>424</v>
      </c>
      <c r="B157" s="22" t="s">
        <v>425</v>
      </c>
      <c r="C157" s="22" t="s">
        <v>263</v>
      </c>
      <c r="D157" s="14" t="s">
        <v>264</v>
      </c>
      <c r="E157" s="25"/>
      <c r="F157" s="25"/>
      <c r="G157" s="25"/>
      <c r="H157" s="25"/>
      <c r="I157" s="25"/>
      <c r="J157" s="25">
        <f t="shared" si="39"/>
        <v>450000</v>
      </c>
      <c r="K157" s="25">
        <v>450000</v>
      </c>
      <c r="L157" s="25"/>
      <c r="M157" s="25"/>
      <c r="N157" s="25"/>
      <c r="O157" s="25">
        <v>450000</v>
      </c>
      <c r="P157" s="25">
        <f t="shared" si="40"/>
        <v>450000</v>
      </c>
    </row>
    <row r="158" spans="1:18" ht="31.25" x14ac:dyDescent="0.25">
      <c r="A158" s="22" t="s">
        <v>309</v>
      </c>
      <c r="B158" s="22" t="s">
        <v>310</v>
      </c>
      <c r="C158" s="22" t="s">
        <v>297</v>
      </c>
      <c r="D158" s="14" t="s">
        <v>298</v>
      </c>
      <c r="E158" s="25">
        <f t="shared" si="38"/>
        <v>0</v>
      </c>
      <c r="F158" s="25"/>
      <c r="G158" s="25"/>
      <c r="H158" s="25"/>
      <c r="I158" s="25"/>
      <c r="J158" s="25">
        <f t="shared" si="39"/>
        <v>8007811.7200000007</v>
      </c>
      <c r="K158" s="25">
        <f>8450377.8-13190+4600000-300000-319069-313200-101706-156000-2157086.34-200000+300000-1782314.74</f>
        <v>8007811.7200000007</v>
      </c>
      <c r="L158" s="25"/>
      <c r="M158" s="25"/>
      <c r="N158" s="25"/>
      <c r="O158" s="25">
        <f>8450377.8-13190+4600000-300000-319069-313200-101706-156000-2157086.34-200000+300000-1782314.74</f>
        <v>8007811.7200000007</v>
      </c>
      <c r="P158" s="25">
        <f t="shared" si="40"/>
        <v>8007811.7200000007</v>
      </c>
    </row>
    <row r="159" spans="1:18" ht="46.9" x14ac:dyDescent="0.25">
      <c r="A159" s="22" t="s">
        <v>363</v>
      </c>
      <c r="B159" s="22" t="s">
        <v>203</v>
      </c>
      <c r="C159" s="22" t="s">
        <v>52</v>
      </c>
      <c r="D159" s="14" t="s">
        <v>204</v>
      </c>
      <c r="E159" s="25"/>
      <c r="F159" s="25"/>
      <c r="G159" s="25"/>
      <c r="H159" s="25"/>
      <c r="I159" s="25"/>
      <c r="J159" s="25">
        <f t="shared" si="39"/>
        <v>16360000</v>
      </c>
      <c r="K159" s="25">
        <v>16360000</v>
      </c>
      <c r="L159" s="25"/>
      <c r="M159" s="25"/>
      <c r="N159" s="25"/>
      <c r="O159" s="25">
        <v>16360000</v>
      </c>
      <c r="P159" s="25">
        <f t="shared" si="40"/>
        <v>16360000</v>
      </c>
    </row>
    <row r="160" spans="1:18" ht="46.9" x14ac:dyDescent="0.25">
      <c r="A160" s="22" t="s">
        <v>311</v>
      </c>
      <c r="B160" s="22" t="s">
        <v>312</v>
      </c>
      <c r="C160" s="22" t="s">
        <v>52</v>
      </c>
      <c r="D160" s="14" t="s">
        <v>313</v>
      </c>
      <c r="E160" s="25">
        <f t="shared" si="38"/>
        <v>0</v>
      </c>
      <c r="F160" s="25"/>
      <c r="G160" s="25"/>
      <c r="H160" s="25"/>
      <c r="I160" s="25"/>
      <c r="J160" s="25">
        <f t="shared" si="39"/>
        <v>27170100.75</v>
      </c>
      <c r="K160" s="25">
        <f>1700210+1001010+5427000+13402800-85206.64+5481000-230000+5611.39+467676</f>
        <v>27170100.75</v>
      </c>
      <c r="L160" s="25"/>
      <c r="M160" s="25"/>
      <c r="N160" s="25"/>
      <c r="O160" s="25">
        <f>1700210+1001010+5427000+13402800-85206.64+5481000-230000+5611.39+467676</f>
        <v>27170100.75</v>
      </c>
      <c r="P160" s="25">
        <f t="shared" si="40"/>
        <v>27170100.75</v>
      </c>
    </row>
    <row r="161" spans="1:18" ht="31.25" x14ac:dyDescent="0.25">
      <c r="A161" s="22" t="s">
        <v>314</v>
      </c>
      <c r="B161" s="22" t="s">
        <v>206</v>
      </c>
      <c r="C161" s="22" t="s">
        <v>52</v>
      </c>
      <c r="D161" s="14" t="s">
        <v>207</v>
      </c>
      <c r="E161" s="25">
        <f t="shared" si="38"/>
        <v>0</v>
      </c>
      <c r="F161" s="25"/>
      <c r="G161" s="25"/>
      <c r="H161" s="25"/>
      <c r="I161" s="25"/>
      <c r="J161" s="25">
        <f t="shared" si="39"/>
        <v>21668438.559999999</v>
      </c>
      <c r="K161" s="25">
        <f>2200038.56+25512000-6043600</f>
        <v>21668438.559999999</v>
      </c>
      <c r="L161" s="25"/>
      <c r="M161" s="25"/>
      <c r="N161" s="25"/>
      <c r="O161" s="25">
        <f>2200038.56+25512000-6043600</f>
        <v>21668438.559999999</v>
      </c>
      <c r="P161" s="25">
        <f t="shared" si="40"/>
        <v>21668438.559999999</v>
      </c>
    </row>
    <row r="162" spans="1:18" ht="31.25" x14ac:dyDescent="0.25">
      <c r="A162" s="22" t="s">
        <v>315</v>
      </c>
      <c r="B162" s="22" t="s">
        <v>51</v>
      </c>
      <c r="C162" s="22" t="s">
        <v>52</v>
      </c>
      <c r="D162" s="14" t="s">
        <v>53</v>
      </c>
      <c r="E162" s="25">
        <f t="shared" si="38"/>
        <v>0</v>
      </c>
      <c r="F162" s="25"/>
      <c r="G162" s="25"/>
      <c r="H162" s="25"/>
      <c r="I162" s="25"/>
      <c r="J162" s="25">
        <f t="shared" si="39"/>
        <v>11137698.1</v>
      </c>
      <c r="K162" s="25">
        <f>6061951.16+2273775.92+25000+878400-139961.98+313200+101706-571359.52+100000+2094986.52</f>
        <v>11137698.1</v>
      </c>
      <c r="L162" s="25"/>
      <c r="M162" s="25"/>
      <c r="N162" s="25"/>
      <c r="O162" s="25">
        <f>6061951.16+2273775.92+25000+878400-139961.98+313200+101706-571359.52+100000+2094986.52</f>
        <v>11137698.1</v>
      </c>
      <c r="P162" s="25">
        <f t="shared" si="40"/>
        <v>11137698.1</v>
      </c>
    </row>
    <row r="163" spans="1:18" ht="93.75" x14ac:dyDescent="0.25">
      <c r="A163" s="22" t="s">
        <v>350</v>
      </c>
      <c r="B163" s="22">
        <v>6050</v>
      </c>
      <c r="C163" s="22" t="s">
        <v>52</v>
      </c>
      <c r="D163" s="14" t="s">
        <v>302</v>
      </c>
      <c r="E163" s="25">
        <f>F163+I163</f>
        <v>555989.18000000005</v>
      </c>
      <c r="F163" s="25"/>
      <c r="G163" s="25"/>
      <c r="H163" s="27"/>
      <c r="I163" s="25">
        <f>681135.13-125145.95</f>
        <v>555989.18000000005</v>
      </c>
      <c r="J163" s="25">
        <f t="shared" si="39"/>
        <v>0</v>
      </c>
      <c r="K163" s="25">
        <f>1188551-1188551</f>
        <v>0</v>
      </c>
      <c r="L163" s="25"/>
      <c r="M163" s="25"/>
      <c r="N163" s="25"/>
      <c r="O163" s="25">
        <f>1188551-1188551</f>
        <v>0</v>
      </c>
      <c r="P163" s="25">
        <f t="shared" si="40"/>
        <v>555989.18000000005</v>
      </c>
    </row>
    <row r="164" spans="1:18" ht="31.25" x14ac:dyDescent="0.25">
      <c r="A164" s="22" t="s">
        <v>316</v>
      </c>
      <c r="B164" s="22" t="s">
        <v>304</v>
      </c>
      <c r="C164" s="22" t="s">
        <v>266</v>
      </c>
      <c r="D164" s="14" t="s">
        <v>305</v>
      </c>
      <c r="E164" s="25">
        <f t="shared" si="38"/>
        <v>0</v>
      </c>
      <c r="F164" s="25"/>
      <c r="G164" s="25"/>
      <c r="H164" s="25"/>
      <c r="I164" s="25"/>
      <c r="J164" s="25">
        <f t="shared" si="39"/>
        <v>27310532</v>
      </c>
      <c r="K164" s="25">
        <f>3450000+8172000+1900000+19070000-1820000+8400500+257300-309268-11810000</f>
        <v>27310532</v>
      </c>
      <c r="L164" s="25"/>
      <c r="M164" s="25"/>
      <c r="N164" s="25"/>
      <c r="O164" s="25">
        <f>3450000+8172000+1900000+19070000-1820000+8400500+257300-309268-11810000</f>
        <v>27310532</v>
      </c>
      <c r="P164" s="25">
        <f t="shared" si="40"/>
        <v>27310532</v>
      </c>
    </row>
    <row r="165" spans="1:18" ht="31.25" x14ac:dyDescent="0.25">
      <c r="A165" s="22" t="s">
        <v>317</v>
      </c>
      <c r="B165" s="22" t="s">
        <v>318</v>
      </c>
      <c r="C165" s="22" t="s">
        <v>266</v>
      </c>
      <c r="D165" s="14" t="s">
        <v>319</v>
      </c>
      <c r="E165" s="25">
        <f t="shared" si="38"/>
        <v>0</v>
      </c>
      <c r="F165" s="25"/>
      <c r="G165" s="25"/>
      <c r="H165" s="25"/>
      <c r="I165" s="25"/>
      <c r="J165" s="25">
        <f t="shared" si="39"/>
        <v>835530.28</v>
      </c>
      <c r="K165" s="25">
        <f>7177841.58-3400000-2000000-942311.3</f>
        <v>835530.28</v>
      </c>
      <c r="L165" s="25"/>
      <c r="M165" s="25"/>
      <c r="N165" s="25"/>
      <c r="O165" s="25">
        <f>7177841.58-3400000-2000000-942311.3</f>
        <v>835530.28</v>
      </c>
      <c r="P165" s="25">
        <f t="shared" si="40"/>
        <v>835530.28</v>
      </c>
    </row>
    <row r="166" spans="1:18" ht="46.9" x14ac:dyDescent="0.25">
      <c r="A166" s="22" t="s">
        <v>320</v>
      </c>
      <c r="B166" s="22" t="s">
        <v>307</v>
      </c>
      <c r="C166" s="22" t="s">
        <v>56</v>
      </c>
      <c r="D166" s="14" t="s">
        <v>308</v>
      </c>
      <c r="E166" s="25">
        <f t="shared" si="38"/>
        <v>0</v>
      </c>
      <c r="F166" s="25"/>
      <c r="G166" s="25"/>
      <c r="H166" s="25"/>
      <c r="I166" s="25">
        <f>2220000-2220000</f>
        <v>0</v>
      </c>
      <c r="J166" s="25">
        <f t="shared" si="39"/>
        <v>9835474.7300000004</v>
      </c>
      <c r="K166" s="25">
        <f>11838088.05+350000+245600-675045.92-25000-1000000-1600000+2220000-1518167.4</f>
        <v>9835474.7300000004</v>
      </c>
      <c r="L166" s="25"/>
      <c r="M166" s="25"/>
      <c r="N166" s="25"/>
      <c r="O166" s="25">
        <f>11838088.05+350000+245600-675045.92-25000-1000000-1600000+2220000-1518167.4</f>
        <v>9835474.7300000004</v>
      </c>
      <c r="P166" s="25">
        <f t="shared" si="40"/>
        <v>9835474.7300000004</v>
      </c>
    </row>
    <row r="167" spans="1:18" ht="31.25" x14ac:dyDescent="0.25">
      <c r="A167" s="22" t="s">
        <v>321</v>
      </c>
      <c r="B167" s="22" t="s">
        <v>322</v>
      </c>
      <c r="C167" s="22" t="s">
        <v>56</v>
      </c>
      <c r="D167" s="14" t="s">
        <v>323</v>
      </c>
      <c r="E167" s="25">
        <f t="shared" si="38"/>
        <v>0</v>
      </c>
      <c r="F167" s="25"/>
      <c r="G167" s="25"/>
      <c r="H167" s="25"/>
      <c r="I167" s="25"/>
      <c r="J167" s="25">
        <f t="shared" si="39"/>
        <v>385498.86</v>
      </c>
      <c r="K167" s="25">
        <f>1289432-903933.14</f>
        <v>385498.86</v>
      </c>
      <c r="L167" s="25"/>
      <c r="M167" s="25"/>
      <c r="N167" s="25"/>
      <c r="O167" s="25">
        <f>1289432-903933.14</f>
        <v>385498.86</v>
      </c>
      <c r="P167" s="25">
        <f t="shared" si="40"/>
        <v>385498.86</v>
      </c>
    </row>
    <row r="168" spans="1:18" x14ac:dyDescent="0.25">
      <c r="A168" s="22" t="s">
        <v>324</v>
      </c>
      <c r="B168" s="22" t="s">
        <v>325</v>
      </c>
      <c r="C168" s="22" t="s">
        <v>300</v>
      </c>
      <c r="D168" s="14" t="s">
        <v>301</v>
      </c>
      <c r="E168" s="25">
        <f t="shared" si="38"/>
        <v>0</v>
      </c>
      <c r="F168" s="25"/>
      <c r="G168" s="25"/>
      <c r="H168" s="25"/>
      <c r="I168" s="25"/>
      <c r="J168" s="25">
        <f t="shared" si="39"/>
        <v>17855043.950000003</v>
      </c>
      <c r="K168" s="25">
        <f>2885468.98+3982400+123600+644561.98+156000+8612800+1475507.46-100000+74705.53</f>
        <v>17855043.950000003</v>
      </c>
      <c r="L168" s="25"/>
      <c r="M168" s="25"/>
      <c r="N168" s="25"/>
      <c r="O168" s="25">
        <f>2885468.98+3982400+123600+644561.98+156000+8612800+1475507.46-100000+74705.53</f>
        <v>17855043.950000003</v>
      </c>
      <c r="P168" s="25">
        <f t="shared" si="40"/>
        <v>17855043.950000003</v>
      </c>
    </row>
    <row r="169" spans="1:18" ht="149.94999999999999" customHeight="1" x14ac:dyDescent="0.25">
      <c r="A169" s="22" t="s">
        <v>326</v>
      </c>
      <c r="B169" s="22" t="s">
        <v>327</v>
      </c>
      <c r="C169" s="22" t="s">
        <v>56</v>
      </c>
      <c r="D169" s="14" t="s">
        <v>299</v>
      </c>
      <c r="E169" s="25">
        <f t="shared" si="38"/>
        <v>0</v>
      </c>
      <c r="F169" s="25"/>
      <c r="G169" s="25"/>
      <c r="H169" s="25"/>
      <c r="I169" s="25"/>
      <c r="J169" s="25">
        <f t="shared" si="39"/>
        <v>13342373.939999999</v>
      </c>
      <c r="K169" s="25"/>
      <c r="L169" s="25"/>
      <c r="M169" s="25"/>
      <c r="N169" s="25"/>
      <c r="O169" s="25">
        <v>13342373.939999999</v>
      </c>
      <c r="P169" s="25">
        <f t="shared" si="40"/>
        <v>13342373.939999999</v>
      </c>
    </row>
    <row r="170" spans="1:18" ht="46.9" x14ac:dyDescent="0.25">
      <c r="A170" s="22" t="s">
        <v>328</v>
      </c>
      <c r="B170" s="22" t="s">
        <v>269</v>
      </c>
      <c r="C170" s="22" t="s">
        <v>270</v>
      </c>
      <c r="D170" s="14" t="s">
        <v>271</v>
      </c>
      <c r="E170" s="25">
        <f t="shared" si="38"/>
        <v>0</v>
      </c>
      <c r="F170" s="25"/>
      <c r="G170" s="25"/>
      <c r="H170" s="25"/>
      <c r="I170" s="25"/>
      <c r="J170" s="25">
        <f t="shared" si="39"/>
        <v>40274909.739999995</v>
      </c>
      <c r="K170" s="25">
        <f>15731896.9-1308750+5090000+683000+13770800-145000-639521.3+2092484.14+5000000</f>
        <v>40274909.739999995</v>
      </c>
      <c r="L170" s="25"/>
      <c r="M170" s="25"/>
      <c r="N170" s="25"/>
      <c r="O170" s="25">
        <f>15731896.9-1308750+5090000+683000+13770800-145000-639521.3+2092484.14+5000000</f>
        <v>40274909.739999995</v>
      </c>
      <c r="P170" s="25">
        <f t="shared" si="40"/>
        <v>40274909.739999995</v>
      </c>
    </row>
    <row r="171" spans="1:18" ht="46.9" x14ac:dyDescent="0.25">
      <c r="A171" s="22" t="s">
        <v>329</v>
      </c>
      <c r="B171" s="22" t="s">
        <v>330</v>
      </c>
      <c r="C171" s="22" t="s">
        <v>331</v>
      </c>
      <c r="D171" s="14" t="s">
        <v>332</v>
      </c>
      <c r="E171" s="25">
        <f t="shared" si="38"/>
        <v>0</v>
      </c>
      <c r="F171" s="25"/>
      <c r="G171" s="25"/>
      <c r="H171" s="25"/>
      <c r="I171" s="25"/>
      <c r="J171" s="25">
        <f t="shared" si="39"/>
        <v>42720</v>
      </c>
      <c r="K171" s="25">
        <f>133520-90800</f>
        <v>42720</v>
      </c>
      <c r="L171" s="25"/>
      <c r="M171" s="25"/>
      <c r="N171" s="25"/>
      <c r="O171" s="25">
        <f>915345-781825-90800</f>
        <v>42720</v>
      </c>
      <c r="P171" s="25">
        <f t="shared" si="40"/>
        <v>42720</v>
      </c>
    </row>
    <row r="172" spans="1:18" ht="31.25" x14ac:dyDescent="0.25">
      <c r="A172" s="22" t="s">
        <v>333</v>
      </c>
      <c r="B172" s="22" t="s">
        <v>66</v>
      </c>
      <c r="C172" s="22" t="s">
        <v>67</v>
      </c>
      <c r="D172" s="14" t="s">
        <v>68</v>
      </c>
      <c r="E172" s="25">
        <f t="shared" si="38"/>
        <v>0</v>
      </c>
      <c r="F172" s="25"/>
      <c r="G172" s="25"/>
      <c r="H172" s="25"/>
      <c r="I172" s="25"/>
      <c r="J172" s="25">
        <f t="shared" si="39"/>
        <v>781825</v>
      </c>
      <c r="K172" s="25"/>
      <c r="L172" s="25"/>
      <c r="M172" s="25"/>
      <c r="N172" s="25"/>
      <c r="O172" s="25">
        <f>202586.74+781825-202586.74</f>
        <v>781825</v>
      </c>
      <c r="P172" s="25">
        <f t="shared" si="40"/>
        <v>781825</v>
      </c>
    </row>
    <row r="173" spans="1:18" ht="78.150000000000006" x14ac:dyDescent="0.25">
      <c r="A173" s="20">
        <v>1518742</v>
      </c>
      <c r="B173" s="22">
        <v>8742</v>
      </c>
      <c r="C173" s="22" t="s">
        <v>52</v>
      </c>
      <c r="D173" s="14" t="s">
        <v>375</v>
      </c>
      <c r="E173" s="25"/>
      <c r="F173" s="25"/>
      <c r="G173" s="25"/>
      <c r="H173" s="25"/>
      <c r="I173" s="25"/>
      <c r="J173" s="25">
        <f>L173+O173</f>
        <v>4160951.4699999997</v>
      </c>
      <c r="K173" s="25">
        <f>4575000-414048.53</f>
        <v>4160951.4699999997</v>
      </c>
      <c r="L173" s="25"/>
      <c r="M173" s="25"/>
      <c r="N173" s="25"/>
      <c r="O173" s="25">
        <f>4575000-414048.53</f>
        <v>4160951.4699999997</v>
      </c>
      <c r="P173" s="25">
        <f>E173+J173</f>
        <v>4160951.4699999997</v>
      </c>
    </row>
    <row r="174" spans="1:18" ht="78.150000000000006" x14ac:dyDescent="0.25">
      <c r="A174" s="11" t="s">
        <v>219</v>
      </c>
      <c r="B174" s="11" t="s">
        <v>17</v>
      </c>
      <c r="C174" s="11" t="s">
        <v>17</v>
      </c>
      <c r="D174" s="12" t="s">
        <v>220</v>
      </c>
      <c r="E174" s="24">
        <f t="shared" si="38"/>
        <v>22741200</v>
      </c>
      <c r="F174" s="24">
        <f>F175</f>
        <v>3560900</v>
      </c>
      <c r="G174" s="24">
        <f>G175</f>
        <v>2939200</v>
      </c>
      <c r="H174" s="24">
        <f>H175</f>
        <v>0</v>
      </c>
      <c r="I174" s="24">
        <f>I175</f>
        <v>19180300</v>
      </c>
      <c r="J174" s="24">
        <f t="shared" si="39"/>
        <v>2125300</v>
      </c>
      <c r="K174" s="24">
        <f>K175</f>
        <v>2125300</v>
      </c>
      <c r="L174" s="24">
        <f>L175</f>
        <v>0</v>
      </c>
      <c r="M174" s="24">
        <f>M175</f>
        <v>0</v>
      </c>
      <c r="N174" s="24">
        <f>N175</f>
        <v>0</v>
      </c>
      <c r="O174" s="24">
        <f>O175</f>
        <v>2125300</v>
      </c>
      <c r="P174" s="24">
        <f t="shared" si="40"/>
        <v>24866500</v>
      </c>
      <c r="Q174" s="28">
        <f>24643900+222600</f>
        <v>24866500</v>
      </c>
      <c r="R174" s="28">
        <f>P174-Q174</f>
        <v>0</v>
      </c>
    </row>
    <row r="175" spans="1:18" ht="78.150000000000006" x14ac:dyDescent="0.25">
      <c r="A175" s="11" t="s">
        <v>221</v>
      </c>
      <c r="B175" s="11" t="s">
        <v>17</v>
      </c>
      <c r="C175" s="11" t="s">
        <v>17</v>
      </c>
      <c r="D175" s="12" t="s">
        <v>220</v>
      </c>
      <c r="E175" s="24">
        <f t="shared" si="38"/>
        <v>22741200</v>
      </c>
      <c r="F175" s="24">
        <f>F176+F177+F178+F179+F180+F181+F182+F183</f>
        <v>3560900</v>
      </c>
      <c r="G175" s="24">
        <f t="shared" ref="G175:K175" si="54">G176+G177+G178+G179+G180+G181+G182+G183</f>
        <v>2939200</v>
      </c>
      <c r="H175" s="24">
        <f t="shared" si="54"/>
        <v>0</v>
      </c>
      <c r="I175" s="24">
        <f t="shared" si="54"/>
        <v>19180300</v>
      </c>
      <c r="J175" s="24">
        <f t="shared" si="39"/>
        <v>2125300</v>
      </c>
      <c r="K175" s="24">
        <f t="shared" si="54"/>
        <v>2125300</v>
      </c>
      <c r="L175" s="24">
        <f t="shared" ref="L175" si="55">L176+L177+L178+L179+L180+L181+L182+L183</f>
        <v>0</v>
      </c>
      <c r="M175" s="24">
        <f t="shared" ref="M175" si="56">M176+M177+M178+M179+M180+M181+M182+M183</f>
        <v>0</v>
      </c>
      <c r="N175" s="24">
        <f t="shared" ref="N175" si="57">N176+N177+N178+N179+N180+N181+N182+N183</f>
        <v>0</v>
      </c>
      <c r="O175" s="24">
        <f t="shared" ref="O175" si="58">O176+O177+O178+O179+O180+O181+O182+O183</f>
        <v>2125300</v>
      </c>
      <c r="P175" s="24">
        <f t="shared" si="40"/>
        <v>24866500</v>
      </c>
    </row>
    <row r="176" spans="1:18" ht="62.5" x14ac:dyDescent="0.25">
      <c r="A176" s="13" t="s">
        <v>222</v>
      </c>
      <c r="B176" s="13" t="s">
        <v>72</v>
      </c>
      <c r="C176" s="13" t="s">
        <v>22</v>
      </c>
      <c r="D176" s="14" t="s">
        <v>73</v>
      </c>
      <c r="E176" s="25">
        <f t="shared" si="38"/>
        <v>3013300</v>
      </c>
      <c r="F176" s="25">
        <f>2892200+30600+30500+60000</f>
        <v>3013300</v>
      </c>
      <c r="G176" s="25">
        <f>2818100+30600+30500+60000</f>
        <v>2939200</v>
      </c>
      <c r="H176" s="25">
        <v>0</v>
      </c>
      <c r="I176" s="25">
        <v>0</v>
      </c>
      <c r="J176" s="25">
        <v>30000</v>
      </c>
      <c r="K176" s="25">
        <v>30000</v>
      </c>
      <c r="L176" s="25">
        <v>0</v>
      </c>
      <c r="M176" s="25">
        <v>0</v>
      </c>
      <c r="N176" s="25">
        <v>0</v>
      </c>
      <c r="O176" s="25">
        <v>30000</v>
      </c>
      <c r="P176" s="25">
        <f t="shared" si="40"/>
        <v>3043300</v>
      </c>
    </row>
    <row r="177" spans="1:18" ht="31.25" x14ac:dyDescent="0.25">
      <c r="A177" s="13" t="s">
        <v>223</v>
      </c>
      <c r="B177" s="13" t="s">
        <v>28</v>
      </c>
      <c r="C177" s="13" t="s">
        <v>29</v>
      </c>
      <c r="D177" s="14" t="s">
        <v>30</v>
      </c>
      <c r="E177" s="25">
        <f t="shared" si="38"/>
        <v>149000</v>
      </c>
      <c r="F177" s="25">
        <v>149000</v>
      </c>
      <c r="G177" s="25">
        <v>0</v>
      </c>
      <c r="H177" s="25">
        <v>0</v>
      </c>
      <c r="I177" s="25">
        <v>0</v>
      </c>
      <c r="J177" s="25">
        <f t="shared" ref="J177:J206" si="59">L177+O177</f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f t="shared" si="40"/>
        <v>149000</v>
      </c>
    </row>
    <row r="178" spans="1:18" ht="46.9" x14ac:dyDescent="0.25">
      <c r="A178" s="13" t="s">
        <v>224</v>
      </c>
      <c r="B178" s="13" t="s">
        <v>208</v>
      </c>
      <c r="C178" s="13" t="s">
        <v>52</v>
      </c>
      <c r="D178" s="14" t="s">
        <v>289</v>
      </c>
      <c r="E178" s="25">
        <f t="shared" si="38"/>
        <v>130000</v>
      </c>
      <c r="F178" s="25">
        <f>60000+70000</f>
        <v>130000</v>
      </c>
      <c r="G178" s="25">
        <v>0</v>
      </c>
      <c r="H178" s="25">
        <v>0</v>
      </c>
      <c r="I178" s="25">
        <v>0</v>
      </c>
      <c r="J178" s="25">
        <f t="shared" si="59"/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f t="shared" si="40"/>
        <v>130000</v>
      </c>
    </row>
    <row r="179" spans="1:18" ht="23.45" customHeight="1" x14ac:dyDescent="0.25">
      <c r="A179" s="13" t="s">
        <v>396</v>
      </c>
      <c r="B179" s="13" t="s">
        <v>397</v>
      </c>
      <c r="C179" s="13" t="s">
        <v>398</v>
      </c>
      <c r="D179" s="14" t="s">
        <v>399</v>
      </c>
      <c r="E179" s="25">
        <f t="shared" si="38"/>
        <v>100000</v>
      </c>
      <c r="F179" s="25">
        <f>200000-100000</f>
        <v>100000</v>
      </c>
      <c r="G179" s="25">
        <v>0</v>
      </c>
      <c r="H179" s="25">
        <v>0</v>
      </c>
      <c r="I179" s="25">
        <v>0</v>
      </c>
      <c r="J179" s="25">
        <f t="shared" si="59"/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f t="shared" si="40"/>
        <v>100000</v>
      </c>
    </row>
    <row r="180" spans="1:18" ht="46.9" x14ac:dyDescent="0.25">
      <c r="A180" s="20">
        <v>3117350</v>
      </c>
      <c r="B180" s="20">
        <v>7350</v>
      </c>
      <c r="C180" s="21" t="s">
        <v>266</v>
      </c>
      <c r="D180" s="14" t="s">
        <v>368</v>
      </c>
      <c r="E180" s="25">
        <f t="shared" si="38"/>
        <v>1500000</v>
      </c>
      <c r="F180" s="25"/>
      <c r="G180" s="25"/>
      <c r="H180" s="25"/>
      <c r="I180" s="25">
        <v>1500000</v>
      </c>
      <c r="J180" s="25"/>
      <c r="K180" s="25"/>
      <c r="L180" s="25"/>
      <c r="M180" s="25"/>
      <c r="N180" s="25"/>
      <c r="O180" s="25"/>
      <c r="P180" s="25">
        <f t="shared" si="40"/>
        <v>1500000</v>
      </c>
    </row>
    <row r="181" spans="1:18" ht="31.25" x14ac:dyDescent="0.25">
      <c r="A181" s="13" t="s">
        <v>225</v>
      </c>
      <c r="B181" s="13" t="s">
        <v>226</v>
      </c>
      <c r="C181" s="13" t="s">
        <v>56</v>
      </c>
      <c r="D181" s="14" t="s">
        <v>290</v>
      </c>
      <c r="E181" s="25">
        <f t="shared" ref="E181:E183" si="60">F181+I181</f>
        <v>17680300</v>
      </c>
      <c r="F181" s="25">
        <v>0</v>
      </c>
      <c r="G181" s="25">
        <v>0</v>
      </c>
      <c r="H181" s="25">
        <v>0</v>
      </c>
      <c r="I181" s="25">
        <f>17636500+1439300-630000+800000-260000-1442800-85300+222600</f>
        <v>17680300</v>
      </c>
      <c r="J181" s="25">
        <f t="shared" si="59"/>
        <v>2095300</v>
      </c>
      <c r="K181" s="25">
        <f>550000+260000+1200000+85300</f>
        <v>2095300</v>
      </c>
      <c r="L181" s="25">
        <v>0</v>
      </c>
      <c r="M181" s="25">
        <v>0</v>
      </c>
      <c r="N181" s="25">
        <v>0</v>
      </c>
      <c r="O181" s="25">
        <f>550000+260000+1200000+85300</f>
        <v>2095300</v>
      </c>
      <c r="P181" s="25">
        <f t="shared" ref="P181:P206" si="61">E181+J181</f>
        <v>19775600</v>
      </c>
    </row>
    <row r="182" spans="1:18" ht="46.9" x14ac:dyDescent="0.25">
      <c r="A182" s="20">
        <v>3118110</v>
      </c>
      <c r="B182" s="20">
        <v>8110</v>
      </c>
      <c r="C182" s="22" t="s">
        <v>270</v>
      </c>
      <c r="D182" s="14" t="s">
        <v>271</v>
      </c>
      <c r="E182" s="25">
        <f t="shared" si="60"/>
        <v>38600</v>
      </c>
      <c r="F182" s="25">
        <f>20600+18000</f>
        <v>38600</v>
      </c>
      <c r="G182" s="25"/>
      <c r="H182" s="25"/>
      <c r="I182" s="25"/>
      <c r="J182" s="25"/>
      <c r="K182" s="25"/>
      <c r="L182" s="25"/>
      <c r="M182" s="25"/>
      <c r="N182" s="25"/>
      <c r="O182" s="25"/>
      <c r="P182" s="25">
        <f t="shared" si="61"/>
        <v>38600</v>
      </c>
    </row>
    <row r="183" spans="1:18" ht="31.25" x14ac:dyDescent="0.25">
      <c r="A183" s="22">
        <v>3118240</v>
      </c>
      <c r="B183" s="22">
        <v>8240</v>
      </c>
      <c r="C183" s="22" t="s">
        <v>60</v>
      </c>
      <c r="D183" s="14" t="s">
        <v>273</v>
      </c>
      <c r="E183" s="25">
        <f t="shared" si="60"/>
        <v>130000</v>
      </c>
      <c r="F183" s="25">
        <f>100000+30000</f>
        <v>130000</v>
      </c>
      <c r="G183" s="25"/>
      <c r="H183" s="25"/>
      <c r="I183" s="25"/>
      <c r="J183" s="25">
        <f t="shared" si="59"/>
        <v>0</v>
      </c>
      <c r="K183" s="25"/>
      <c r="L183" s="25"/>
      <c r="M183" s="25"/>
      <c r="N183" s="25"/>
      <c r="O183" s="25"/>
      <c r="P183" s="25">
        <f t="shared" si="61"/>
        <v>130000</v>
      </c>
    </row>
    <row r="184" spans="1:18" ht="62.5" x14ac:dyDescent="0.25">
      <c r="A184" s="11" t="s">
        <v>227</v>
      </c>
      <c r="B184" s="11" t="s">
        <v>17</v>
      </c>
      <c r="C184" s="11" t="s">
        <v>17</v>
      </c>
      <c r="D184" s="12" t="s">
        <v>228</v>
      </c>
      <c r="E184" s="24">
        <f>E185</f>
        <v>89351319.530000001</v>
      </c>
      <c r="F184" s="24">
        <f>F185</f>
        <v>82348819</v>
      </c>
      <c r="G184" s="24">
        <f>G185</f>
        <v>4805200</v>
      </c>
      <c r="H184" s="24">
        <f>H185</f>
        <v>0</v>
      </c>
      <c r="I184" s="24">
        <f>I185</f>
        <v>0</v>
      </c>
      <c r="J184" s="24">
        <f t="shared" si="59"/>
        <v>17388180</v>
      </c>
      <c r="K184" s="24">
        <f>K185</f>
        <v>17388180</v>
      </c>
      <c r="L184" s="24">
        <f>L185</f>
        <v>0</v>
      </c>
      <c r="M184" s="24">
        <f>M185</f>
        <v>0</v>
      </c>
      <c r="N184" s="24">
        <f>N185</f>
        <v>0</v>
      </c>
      <c r="O184" s="24">
        <f>O185</f>
        <v>17388180</v>
      </c>
      <c r="P184" s="24">
        <f t="shared" si="61"/>
        <v>106739499.53</v>
      </c>
      <c r="Q184" s="28">
        <f>97590399.53+9149100</f>
        <v>106739499.53</v>
      </c>
      <c r="R184" s="28">
        <f>P184-Q184</f>
        <v>0</v>
      </c>
    </row>
    <row r="185" spans="1:18" ht="62.5" x14ac:dyDescent="0.25">
      <c r="A185" s="11" t="s">
        <v>229</v>
      </c>
      <c r="B185" s="11" t="s">
        <v>17</v>
      </c>
      <c r="C185" s="11" t="s">
        <v>17</v>
      </c>
      <c r="D185" s="12" t="s">
        <v>228</v>
      </c>
      <c r="E185" s="24">
        <f>E186+E187+E188+E189+E190+E197</f>
        <v>89351319.530000001</v>
      </c>
      <c r="F185" s="24">
        <f>F186+F187+F188+F189+F190+F197</f>
        <v>82348819</v>
      </c>
      <c r="G185" s="24">
        <f t="shared" ref="G185:N185" si="62">G186+G187+G188+G189+G190+G197</f>
        <v>4805200</v>
      </c>
      <c r="H185" s="24">
        <f t="shared" si="62"/>
        <v>0</v>
      </c>
      <c r="I185" s="24">
        <f t="shared" si="62"/>
        <v>0</v>
      </c>
      <c r="J185" s="24">
        <f t="shared" si="59"/>
        <v>17388180</v>
      </c>
      <c r="K185" s="24">
        <f>K186+K187+K188+K189+K190+K197</f>
        <v>17388180</v>
      </c>
      <c r="L185" s="24">
        <f t="shared" si="62"/>
        <v>0</v>
      </c>
      <c r="M185" s="24">
        <f t="shared" si="62"/>
        <v>0</v>
      </c>
      <c r="N185" s="24">
        <f t="shared" si="62"/>
        <v>0</v>
      </c>
      <c r="O185" s="24">
        <f>O186+O187+O188+O189+O190+O197</f>
        <v>17388180</v>
      </c>
      <c r="P185" s="24">
        <f t="shared" si="61"/>
        <v>106739499.53</v>
      </c>
    </row>
    <row r="186" spans="1:18" ht="62.5" x14ac:dyDescent="0.25">
      <c r="A186" s="13" t="s">
        <v>230</v>
      </c>
      <c r="B186" s="13" t="s">
        <v>72</v>
      </c>
      <c r="C186" s="13" t="s">
        <v>22</v>
      </c>
      <c r="D186" s="14" t="s">
        <v>73</v>
      </c>
      <c r="E186" s="25">
        <f>F186+I186</f>
        <v>5011600</v>
      </c>
      <c r="F186" s="25">
        <f>4983900+73200-20000-25500</f>
        <v>5011600</v>
      </c>
      <c r="G186" s="25">
        <f>4732000+73200</f>
        <v>4805200</v>
      </c>
      <c r="H186" s="25">
        <v>0</v>
      </c>
      <c r="I186" s="25">
        <v>0</v>
      </c>
      <c r="J186" s="25">
        <f t="shared" si="59"/>
        <v>100500</v>
      </c>
      <c r="K186" s="25">
        <f>20000+25500+55000</f>
        <v>100500</v>
      </c>
      <c r="L186" s="25">
        <v>0</v>
      </c>
      <c r="M186" s="25">
        <v>0</v>
      </c>
      <c r="N186" s="25">
        <v>0</v>
      </c>
      <c r="O186" s="25">
        <f>20000+25500+55000</f>
        <v>100500</v>
      </c>
      <c r="P186" s="25">
        <f t="shared" si="61"/>
        <v>5112100</v>
      </c>
      <c r="Q186" s="28"/>
    </row>
    <row r="187" spans="1:18" ht="31.25" x14ac:dyDescent="0.25">
      <c r="A187" s="13" t="s">
        <v>231</v>
      </c>
      <c r="B187" s="13" t="s">
        <v>28</v>
      </c>
      <c r="C187" s="13" t="s">
        <v>29</v>
      </c>
      <c r="D187" s="14" t="s">
        <v>30</v>
      </c>
      <c r="E187" s="25">
        <f>F187+I187</f>
        <v>44500</v>
      </c>
      <c r="F187" s="25">
        <v>44500</v>
      </c>
      <c r="G187" s="25">
        <v>0</v>
      </c>
      <c r="H187" s="25">
        <v>0</v>
      </c>
      <c r="I187" s="25">
        <v>0</v>
      </c>
      <c r="J187" s="25">
        <f t="shared" si="59"/>
        <v>0</v>
      </c>
      <c r="K187" s="25"/>
      <c r="L187" s="25"/>
      <c r="M187" s="25"/>
      <c r="N187" s="25"/>
      <c r="O187" s="25"/>
      <c r="P187" s="25">
        <f t="shared" si="61"/>
        <v>44500</v>
      </c>
    </row>
    <row r="188" spans="1:18" ht="31.25" x14ac:dyDescent="0.25">
      <c r="A188" s="13" t="s">
        <v>232</v>
      </c>
      <c r="B188" s="13" t="s">
        <v>233</v>
      </c>
      <c r="C188" s="13" t="s">
        <v>29</v>
      </c>
      <c r="D188" s="14" t="s">
        <v>234</v>
      </c>
      <c r="E188" s="25">
        <f>7000000+5000000-4643200-354300+0.53</f>
        <v>7002500.5300000003</v>
      </c>
      <c r="F188" s="25"/>
      <c r="G188" s="25">
        <v>0</v>
      </c>
      <c r="H188" s="25">
        <v>0</v>
      </c>
      <c r="I188" s="25">
        <v>0</v>
      </c>
      <c r="J188" s="25">
        <f t="shared" si="59"/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f t="shared" si="61"/>
        <v>7002500.5300000003</v>
      </c>
    </row>
    <row r="189" spans="1:18" x14ac:dyDescent="0.25">
      <c r="A189" s="13" t="s">
        <v>235</v>
      </c>
      <c r="B189" s="13" t="s">
        <v>236</v>
      </c>
      <c r="C189" s="13" t="s">
        <v>28</v>
      </c>
      <c r="D189" s="14" t="s">
        <v>237</v>
      </c>
      <c r="E189" s="25">
        <f>F189+I189</f>
        <v>10294700</v>
      </c>
      <c r="F189" s="25">
        <v>10294700</v>
      </c>
      <c r="G189" s="25">
        <v>0</v>
      </c>
      <c r="H189" s="25">
        <v>0</v>
      </c>
      <c r="I189" s="25">
        <v>0</v>
      </c>
      <c r="J189" s="25">
        <f t="shared" si="59"/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f t="shared" si="61"/>
        <v>10294700</v>
      </c>
    </row>
    <row r="190" spans="1:18" s="17" customFormat="1" ht="31.25" x14ac:dyDescent="0.25">
      <c r="A190" s="22" t="s">
        <v>334</v>
      </c>
      <c r="B190" s="22" t="s">
        <v>335</v>
      </c>
      <c r="C190" s="22" t="s">
        <v>28</v>
      </c>
      <c r="D190" s="14" t="s">
        <v>337</v>
      </c>
      <c r="E190" s="25">
        <f>F190+I190</f>
        <v>35120000</v>
      </c>
      <c r="F190" s="25">
        <f>F192+F193+F194+F195+F196</f>
        <v>35120000</v>
      </c>
      <c r="G190" s="25">
        <f t="shared" ref="G190:I190" si="63">G192+G193+G194+G195+G196</f>
        <v>0</v>
      </c>
      <c r="H190" s="25">
        <f t="shared" si="63"/>
        <v>0</v>
      </c>
      <c r="I190" s="25">
        <f t="shared" si="63"/>
        <v>0</v>
      </c>
      <c r="J190" s="25">
        <f t="shared" si="59"/>
        <v>1000000</v>
      </c>
      <c r="K190" s="25">
        <f>K192+K193+K194+K195+K196</f>
        <v>1000000</v>
      </c>
      <c r="L190" s="25">
        <f t="shared" ref="L190:O190" si="64">L192+L193+L194+L195+L196</f>
        <v>0</v>
      </c>
      <c r="M190" s="25">
        <f t="shared" si="64"/>
        <v>0</v>
      </c>
      <c r="N190" s="25">
        <f t="shared" si="64"/>
        <v>0</v>
      </c>
      <c r="O190" s="25">
        <f t="shared" si="64"/>
        <v>1000000</v>
      </c>
      <c r="P190" s="25">
        <f t="shared" si="61"/>
        <v>36120000</v>
      </c>
      <c r="Q190" s="42"/>
    </row>
    <row r="191" spans="1:18" s="17" customFormat="1" x14ac:dyDescent="0.25">
      <c r="A191" s="22"/>
      <c r="B191" s="22"/>
      <c r="C191" s="22"/>
      <c r="D191" s="16" t="s">
        <v>365</v>
      </c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</row>
    <row r="192" spans="1:18" s="17" customFormat="1" ht="171.85" x14ac:dyDescent="0.25">
      <c r="A192" s="23"/>
      <c r="B192" s="23"/>
      <c r="C192" s="23"/>
      <c r="D192" s="16" t="s">
        <v>336</v>
      </c>
      <c r="E192" s="26">
        <f t="shared" ref="E192:E204" si="65">F192+I192</f>
        <v>1420000</v>
      </c>
      <c r="F192" s="26">
        <f>980000+440000</f>
        <v>1420000</v>
      </c>
      <c r="G192" s="26"/>
      <c r="H192" s="26"/>
      <c r="I192" s="26"/>
      <c r="J192" s="26">
        <f t="shared" si="59"/>
        <v>1000000</v>
      </c>
      <c r="K192" s="26">
        <v>1000000</v>
      </c>
      <c r="L192" s="26"/>
      <c r="M192" s="26"/>
      <c r="N192" s="26"/>
      <c r="O192" s="26">
        <v>1000000</v>
      </c>
      <c r="P192" s="26">
        <f>E192+J192</f>
        <v>2420000</v>
      </c>
    </row>
    <row r="193" spans="1:18" ht="46.9" x14ac:dyDescent="0.25">
      <c r="A193" s="23"/>
      <c r="B193" s="23"/>
      <c r="C193" s="23"/>
      <c r="D193" s="16" t="s">
        <v>366</v>
      </c>
      <c r="E193" s="26">
        <f t="shared" si="65"/>
        <v>200000</v>
      </c>
      <c r="F193" s="26">
        <v>200000</v>
      </c>
      <c r="G193" s="26"/>
      <c r="H193" s="26"/>
      <c r="I193" s="26"/>
      <c r="J193" s="26"/>
      <c r="K193" s="26"/>
      <c r="L193" s="26"/>
      <c r="M193" s="26"/>
      <c r="N193" s="26"/>
      <c r="O193" s="26"/>
      <c r="P193" s="26">
        <f t="shared" si="61"/>
        <v>200000</v>
      </c>
    </row>
    <row r="194" spans="1:18" s="17" customFormat="1" ht="31.25" x14ac:dyDescent="0.25">
      <c r="A194" s="23"/>
      <c r="B194" s="23"/>
      <c r="C194" s="23"/>
      <c r="D194" s="16" t="s">
        <v>369</v>
      </c>
      <c r="E194" s="26">
        <f t="shared" si="65"/>
        <v>500000</v>
      </c>
      <c r="F194" s="26">
        <v>500000</v>
      </c>
      <c r="G194" s="26"/>
      <c r="H194" s="26"/>
      <c r="I194" s="26"/>
      <c r="J194" s="26"/>
      <c r="K194" s="26"/>
      <c r="L194" s="26"/>
      <c r="M194" s="26"/>
      <c r="N194" s="26"/>
      <c r="O194" s="26"/>
      <c r="P194" s="26">
        <f t="shared" si="61"/>
        <v>500000</v>
      </c>
    </row>
    <row r="195" spans="1:18" s="17" customFormat="1" ht="46.9" x14ac:dyDescent="0.25">
      <c r="A195" s="23"/>
      <c r="B195" s="23"/>
      <c r="C195" s="23"/>
      <c r="D195" s="16" t="s">
        <v>385</v>
      </c>
      <c r="E195" s="26">
        <f t="shared" si="65"/>
        <v>200000</v>
      </c>
      <c r="F195" s="26">
        <v>200000</v>
      </c>
      <c r="G195" s="26"/>
      <c r="H195" s="26"/>
      <c r="I195" s="26"/>
      <c r="J195" s="26"/>
      <c r="K195" s="26"/>
      <c r="L195" s="26"/>
      <c r="M195" s="26"/>
      <c r="N195" s="26"/>
      <c r="O195" s="26"/>
      <c r="P195" s="26">
        <f t="shared" si="61"/>
        <v>200000</v>
      </c>
    </row>
    <row r="196" spans="1:18" s="17" customFormat="1" ht="31.25" x14ac:dyDescent="0.25">
      <c r="A196" s="23"/>
      <c r="B196" s="23"/>
      <c r="C196" s="23"/>
      <c r="D196" s="16" t="s">
        <v>395</v>
      </c>
      <c r="E196" s="26">
        <f t="shared" si="65"/>
        <v>32800000</v>
      </c>
      <c r="F196" s="26">
        <f>18000000+14800000</f>
        <v>32800000</v>
      </c>
      <c r="G196" s="26"/>
      <c r="H196" s="26"/>
      <c r="I196" s="26"/>
      <c r="J196" s="26">
        <f>L196+O196</f>
        <v>0</v>
      </c>
      <c r="K196" s="26">
        <f>1000000-1000000</f>
        <v>0</v>
      </c>
      <c r="L196" s="26"/>
      <c r="M196" s="26"/>
      <c r="N196" s="26"/>
      <c r="O196" s="26">
        <f>1000000-1000000</f>
        <v>0</v>
      </c>
      <c r="P196" s="26">
        <f t="shared" si="61"/>
        <v>32800000</v>
      </c>
    </row>
    <row r="197" spans="1:18" s="17" customFormat="1" ht="62.5" x14ac:dyDescent="0.25">
      <c r="A197" s="22" t="s">
        <v>338</v>
      </c>
      <c r="B197" s="22" t="s">
        <v>339</v>
      </c>
      <c r="C197" s="22" t="s">
        <v>28</v>
      </c>
      <c r="D197" s="14" t="s">
        <v>340</v>
      </c>
      <c r="E197" s="25">
        <f t="shared" si="65"/>
        <v>31878019</v>
      </c>
      <c r="F197" s="25">
        <f>F198+F199+F200+F201+F202+F203+F204+F205+F206</f>
        <v>31878019</v>
      </c>
      <c r="G197" s="25">
        <f t="shared" ref="G197:I197" si="66">G198+G199+G200+G201+G202+G203+G204+G205+G206</f>
        <v>0</v>
      </c>
      <c r="H197" s="25">
        <f t="shared" si="66"/>
        <v>0</v>
      </c>
      <c r="I197" s="25">
        <f t="shared" si="66"/>
        <v>0</v>
      </c>
      <c r="J197" s="25">
        <f t="shared" si="59"/>
        <v>16287680</v>
      </c>
      <c r="K197" s="25">
        <f>K198+K199+K200+K201+K202+K203+K204+K205+K206</f>
        <v>16287680</v>
      </c>
      <c r="L197" s="25">
        <f t="shared" ref="L197:O197" si="67">L198+L199+L200+L201+L202+L203+L204+L205+L206</f>
        <v>0</v>
      </c>
      <c r="M197" s="25">
        <f t="shared" si="67"/>
        <v>0</v>
      </c>
      <c r="N197" s="25">
        <f t="shared" si="67"/>
        <v>0</v>
      </c>
      <c r="O197" s="25">
        <f t="shared" si="67"/>
        <v>16287680</v>
      </c>
      <c r="P197" s="25">
        <f t="shared" si="61"/>
        <v>48165699</v>
      </c>
      <c r="Q197" s="42"/>
    </row>
    <row r="198" spans="1:18" s="17" customFormat="1" ht="78.150000000000006" x14ac:dyDescent="0.25">
      <c r="A198" s="23"/>
      <c r="B198" s="23"/>
      <c r="C198" s="23"/>
      <c r="D198" s="16" t="s">
        <v>341</v>
      </c>
      <c r="E198" s="26">
        <f t="shared" si="65"/>
        <v>1846750</v>
      </c>
      <c r="F198" s="26">
        <f>1446750+400000</f>
        <v>1846750</v>
      </c>
      <c r="G198" s="26"/>
      <c r="H198" s="26"/>
      <c r="I198" s="26"/>
      <c r="J198" s="26">
        <f t="shared" si="59"/>
        <v>365250</v>
      </c>
      <c r="K198" s="26">
        <v>365250</v>
      </c>
      <c r="L198" s="26"/>
      <c r="M198" s="26"/>
      <c r="N198" s="26"/>
      <c r="O198" s="26">
        <v>365250</v>
      </c>
      <c r="P198" s="26">
        <f t="shared" si="61"/>
        <v>2212000</v>
      </c>
      <c r="Q198" s="42"/>
    </row>
    <row r="199" spans="1:18" s="17" customFormat="1" ht="109.4" x14ac:dyDescent="0.25">
      <c r="A199" s="23"/>
      <c r="B199" s="23"/>
      <c r="C199" s="23"/>
      <c r="D199" s="16" t="s">
        <v>342</v>
      </c>
      <c r="E199" s="26">
        <f t="shared" si="65"/>
        <v>25192129</v>
      </c>
      <c r="F199" s="26">
        <f>3200000+300000+3300000+1000000+600000+4000000+2500000+5686500+2000000-400000+814069+1587460+180000+984100-560000</f>
        <v>25192129</v>
      </c>
      <c r="G199" s="26"/>
      <c r="H199" s="26"/>
      <c r="I199" s="26"/>
      <c r="J199" s="26">
        <f t="shared" si="59"/>
        <v>6437070</v>
      </c>
      <c r="K199" s="26">
        <f>409500+161200+1806370+560000+3500000</f>
        <v>6437070</v>
      </c>
      <c r="L199" s="26"/>
      <c r="M199" s="26"/>
      <c r="N199" s="26"/>
      <c r="O199" s="26">
        <f>409500+161200+1806370+560000+3500000</f>
        <v>6437070</v>
      </c>
      <c r="P199" s="26">
        <f t="shared" si="61"/>
        <v>31629199</v>
      </c>
      <c r="Q199" s="42"/>
    </row>
    <row r="200" spans="1:18" s="17" customFormat="1" ht="62.5" x14ac:dyDescent="0.25">
      <c r="A200" s="23"/>
      <c r="B200" s="23"/>
      <c r="C200" s="23"/>
      <c r="D200" s="16" t="s">
        <v>343</v>
      </c>
      <c r="E200" s="26">
        <f t="shared" si="65"/>
        <v>255000</v>
      </c>
      <c r="F200" s="26">
        <v>255000</v>
      </c>
      <c r="G200" s="26"/>
      <c r="H200" s="26"/>
      <c r="I200" s="26"/>
      <c r="J200" s="26">
        <f t="shared" si="59"/>
        <v>0</v>
      </c>
      <c r="K200" s="26"/>
      <c r="L200" s="26"/>
      <c r="M200" s="26"/>
      <c r="N200" s="26"/>
      <c r="O200" s="26"/>
      <c r="P200" s="26">
        <f t="shared" si="61"/>
        <v>255000</v>
      </c>
    </row>
    <row r="201" spans="1:18" s="17" customFormat="1" ht="93.75" x14ac:dyDescent="0.25">
      <c r="A201" s="23"/>
      <c r="B201" s="23"/>
      <c r="C201" s="23"/>
      <c r="D201" s="16" t="s">
        <v>351</v>
      </c>
      <c r="E201" s="26">
        <f t="shared" si="65"/>
        <v>1965000</v>
      </c>
      <c r="F201" s="26">
        <f>1105000+1000000-400000+260000</f>
        <v>1965000</v>
      </c>
      <c r="G201" s="26"/>
      <c r="H201" s="26"/>
      <c r="I201" s="26"/>
      <c r="J201" s="26">
        <f t="shared" si="59"/>
        <v>2125000</v>
      </c>
      <c r="K201" s="26">
        <f>425000+450000+400000+850000</f>
        <v>2125000</v>
      </c>
      <c r="L201" s="26"/>
      <c r="M201" s="26"/>
      <c r="N201" s="26"/>
      <c r="O201" s="26">
        <f>425000+450000+400000+850000</f>
        <v>2125000</v>
      </c>
      <c r="P201" s="26">
        <f t="shared" si="61"/>
        <v>4090000</v>
      </c>
      <c r="Q201" s="42"/>
    </row>
    <row r="202" spans="1:18" s="17" customFormat="1" ht="62.5" x14ac:dyDescent="0.25">
      <c r="A202" s="23"/>
      <c r="B202" s="23"/>
      <c r="C202" s="23"/>
      <c r="D202" s="16" t="s">
        <v>364</v>
      </c>
      <c r="E202" s="26">
        <f t="shared" si="65"/>
        <v>0</v>
      </c>
      <c r="F202" s="26"/>
      <c r="G202" s="26"/>
      <c r="H202" s="26"/>
      <c r="I202" s="26"/>
      <c r="J202" s="26">
        <f t="shared" si="59"/>
        <v>1029500</v>
      </c>
      <c r="K202" s="26">
        <f>400000+629500</f>
        <v>1029500</v>
      </c>
      <c r="L202" s="26"/>
      <c r="M202" s="26"/>
      <c r="N202" s="26"/>
      <c r="O202" s="26">
        <f>400000+629500</f>
        <v>1029500</v>
      </c>
      <c r="P202" s="26">
        <f t="shared" si="61"/>
        <v>1029500</v>
      </c>
    </row>
    <row r="203" spans="1:18" ht="93.75" x14ac:dyDescent="0.25">
      <c r="A203" s="23"/>
      <c r="B203" s="23"/>
      <c r="C203" s="23"/>
      <c r="D203" s="16" t="s">
        <v>370</v>
      </c>
      <c r="E203" s="26">
        <f t="shared" si="65"/>
        <v>119140</v>
      </c>
      <c r="F203" s="26">
        <f>500000-380860</f>
        <v>119140</v>
      </c>
      <c r="G203" s="26"/>
      <c r="H203" s="26"/>
      <c r="I203" s="26"/>
      <c r="J203" s="26">
        <f t="shared" si="59"/>
        <v>380860</v>
      </c>
      <c r="K203" s="26">
        <v>380860</v>
      </c>
      <c r="L203" s="26"/>
      <c r="M203" s="26"/>
      <c r="N203" s="26"/>
      <c r="O203" s="26">
        <v>380860</v>
      </c>
      <c r="P203" s="26">
        <f t="shared" si="61"/>
        <v>500000</v>
      </c>
    </row>
    <row r="204" spans="1:18" ht="171.85" x14ac:dyDescent="0.25">
      <c r="A204" s="23"/>
      <c r="B204" s="23"/>
      <c r="C204" s="23"/>
      <c r="D204" s="16" t="s">
        <v>371</v>
      </c>
      <c r="E204" s="26">
        <f t="shared" si="65"/>
        <v>2500000</v>
      </c>
      <c r="F204" s="26">
        <v>2500000</v>
      </c>
      <c r="G204" s="26"/>
      <c r="H204" s="26"/>
      <c r="I204" s="26"/>
      <c r="J204" s="26">
        <f t="shared" si="59"/>
        <v>1500000</v>
      </c>
      <c r="K204" s="26">
        <v>1500000</v>
      </c>
      <c r="L204" s="26"/>
      <c r="M204" s="26"/>
      <c r="N204" s="26"/>
      <c r="O204" s="26">
        <v>1500000</v>
      </c>
      <c r="P204" s="26">
        <f t="shared" si="61"/>
        <v>4000000</v>
      </c>
    </row>
    <row r="205" spans="1:18" ht="93.75" x14ac:dyDescent="0.25">
      <c r="A205" s="23"/>
      <c r="B205" s="23"/>
      <c r="C205" s="23"/>
      <c r="D205" s="16" t="s">
        <v>413</v>
      </c>
      <c r="E205" s="26"/>
      <c r="F205" s="26"/>
      <c r="G205" s="26"/>
      <c r="H205" s="26"/>
      <c r="I205" s="26"/>
      <c r="J205" s="26">
        <f t="shared" si="59"/>
        <v>3000000</v>
      </c>
      <c r="K205" s="26">
        <v>3000000</v>
      </c>
      <c r="L205" s="26"/>
      <c r="M205" s="26"/>
      <c r="N205" s="26"/>
      <c r="O205" s="26">
        <v>3000000</v>
      </c>
      <c r="P205" s="26">
        <f t="shared" si="61"/>
        <v>3000000</v>
      </c>
    </row>
    <row r="206" spans="1:18" ht="125" x14ac:dyDescent="0.25">
      <c r="A206" s="23"/>
      <c r="B206" s="23"/>
      <c r="C206" s="23"/>
      <c r="D206" s="16" t="s">
        <v>412</v>
      </c>
      <c r="E206" s="26"/>
      <c r="F206" s="26"/>
      <c r="G206" s="26"/>
      <c r="H206" s="26"/>
      <c r="I206" s="26"/>
      <c r="J206" s="26">
        <f t="shared" si="59"/>
        <v>1450000</v>
      </c>
      <c r="K206" s="26">
        <v>1450000</v>
      </c>
      <c r="L206" s="26"/>
      <c r="M206" s="26"/>
      <c r="N206" s="26"/>
      <c r="O206" s="26">
        <v>1450000</v>
      </c>
      <c r="P206" s="26">
        <f t="shared" si="61"/>
        <v>1450000</v>
      </c>
    </row>
    <row r="207" spans="1:18" s="2" customFormat="1" x14ac:dyDescent="0.25">
      <c r="A207" s="18" t="s">
        <v>239</v>
      </c>
      <c r="B207" s="11" t="s">
        <v>239</v>
      </c>
      <c r="C207" s="11" t="s">
        <v>239</v>
      </c>
      <c r="D207" s="11" t="s">
        <v>238</v>
      </c>
      <c r="E207" s="24">
        <f t="shared" ref="E207:O207" si="68">E18+E50+E77+E98+E104+E115+E124+E151+E174+E185</f>
        <v>997502053.17999995</v>
      </c>
      <c r="F207" s="24">
        <f t="shared" si="68"/>
        <v>830657682.5</v>
      </c>
      <c r="G207" s="24">
        <f t="shared" si="68"/>
        <v>470474477.13999999</v>
      </c>
      <c r="H207" s="24">
        <f t="shared" si="68"/>
        <v>40904940.859999999</v>
      </c>
      <c r="I207" s="24">
        <f t="shared" si="68"/>
        <v>159841870.15000001</v>
      </c>
      <c r="J207" s="24">
        <f t="shared" si="68"/>
        <v>333702652.5</v>
      </c>
      <c r="K207" s="24">
        <f t="shared" si="68"/>
        <v>304974412.06000006</v>
      </c>
      <c r="L207" s="24">
        <f t="shared" si="68"/>
        <v>7362250.1100000003</v>
      </c>
      <c r="M207" s="24">
        <f t="shared" si="68"/>
        <v>415000</v>
      </c>
      <c r="N207" s="24">
        <f t="shared" si="68"/>
        <v>0</v>
      </c>
      <c r="O207" s="24">
        <f t="shared" si="68"/>
        <v>326340402.39000005</v>
      </c>
      <c r="P207" s="24">
        <f>E207+J207</f>
        <v>1331204705.6799998</v>
      </c>
      <c r="Q207" s="2">
        <f>1331330033.68-125328</f>
        <v>1331204705.6800001</v>
      </c>
      <c r="R207" s="46">
        <f>P207-Q207</f>
        <v>0</v>
      </c>
    </row>
    <row r="208" spans="1:18" s="2" customFormat="1" x14ac:dyDescent="0.25">
      <c r="A208" s="6"/>
      <c r="B208" s="6"/>
      <c r="C208" s="6"/>
      <c r="D208" s="6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</row>
    <row r="209" spans="1:16" s="2" customFormat="1" ht="18.350000000000001" x14ac:dyDescent="0.3">
      <c r="A209" s="5"/>
      <c r="B209" s="5"/>
      <c r="C209" s="1" t="s">
        <v>245</v>
      </c>
      <c r="D209" s="3" t="s">
        <v>246</v>
      </c>
      <c r="E209" s="29">
        <f t="shared" ref="E209:O209" si="69">E20+E25+E26+E52+E53+E79+E80+E100+E101+E106+E107+E117+E118+E126+E127+E128+E153+E154+E155+E176+E177+E186+E187</f>
        <v>106754029</v>
      </c>
      <c r="F209" s="29">
        <f t="shared" si="69"/>
        <v>106754029</v>
      </c>
      <c r="G209" s="29">
        <f t="shared" si="69"/>
        <v>89690900</v>
      </c>
      <c r="H209" s="29">
        <f t="shared" si="69"/>
        <v>6464200</v>
      </c>
      <c r="I209" s="29">
        <f t="shared" si="69"/>
        <v>0</v>
      </c>
      <c r="J209" s="29">
        <f t="shared" si="69"/>
        <v>2854729.42</v>
      </c>
      <c r="K209" s="29">
        <f t="shared" si="69"/>
        <v>2714229.42</v>
      </c>
      <c r="L209" s="29">
        <f t="shared" si="69"/>
        <v>140500</v>
      </c>
      <c r="M209" s="29">
        <f t="shared" si="69"/>
        <v>0</v>
      </c>
      <c r="N209" s="29">
        <f t="shared" si="69"/>
        <v>0</v>
      </c>
      <c r="O209" s="29">
        <f t="shared" si="69"/>
        <v>2714229.42</v>
      </c>
      <c r="P209" s="29">
        <f>E209+J209</f>
        <v>109608758.42</v>
      </c>
    </row>
    <row r="210" spans="1:16" s="2" customFormat="1" ht="18.350000000000001" x14ac:dyDescent="0.3">
      <c r="A210" s="5"/>
      <c r="B210" s="5"/>
      <c r="C210" s="1" t="s">
        <v>247</v>
      </c>
      <c r="D210" s="3" t="s">
        <v>248</v>
      </c>
      <c r="E210" s="29">
        <f t="shared" ref="E210:O210" si="70">E54+E55+E56+E57+E58+E59+E60+E61+E62+E63+E64+E65+E69+E70+E108</f>
        <v>378899646.70999998</v>
      </c>
      <c r="F210" s="29">
        <f t="shared" si="70"/>
        <v>378892646.70999998</v>
      </c>
      <c r="G210" s="29">
        <f t="shared" si="70"/>
        <v>313456973</v>
      </c>
      <c r="H210" s="29">
        <f t="shared" si="70"/>
        <v>29952278.57</v>
      </c>
      <c r="I210" s="29">
        <f t="shared" si="70"/>
        <v>7000</v>
      </c>
      <c r="J210" s="29">
        <f t="shared" si="70"/>
        <v>26872364</v>
      </c>
      <c r="K210" s="29">
        <f t="shared" si="70"/>
        <v>20161596</v>
      </c>
      <c r="L210" s="29">
        <f t="shared" si="70"/>
        <v>6510768</v>
      </c>
      <c r="M210" s="29">
        <f t="shared" si="70"/>
        <v>385000</v>
      </c>
      <c r="N210" s="29">
        <f t="shared" si="70"/>
        <v>0</v>
      </c>
      <c r="O210" s="29">
        <f t="shared" si="70"/>
        <v>20361596</v>
      </c>
      <c r="P210" s="29">
        <f t="shared" ref="P210:P218" si="71">E210+J210</f>
        <v>405772010.70999998</v>
      </c>
    </row>
    <row r="211" spans="1:16" s="2" customFormat="1" ht="18.350000000000001" x14ac:dyDescent="0.3">
      <c r="A211" s="5"/>
      <c r="B211" s="5"/>
      <c r="C211" s="1" t="s">
        <v>249</v>
      </c>
      <c r="D211" s="3" t="s">
        <v>250</v>
      </c>
      <c r="E211" s="29">
        <f t="shared" ref="E211:O211" si="72">E27+E28+E29+E30+E156+E157</f>
        <v>45247999.999999993</v>
      </c>
      <c r="F211" s="29">
        <f t="shared" si="72"/>
        <v>45247999.999999993</v>
      </c>
      <c r="G211" s="29">
        <f t="shared" si="72"/>
        <v>0</v>
      </c>
      <c r="H211" s="29">
        <f t="shared" si="72"/>
        <v>0</v>
      </c>
      <c r="I211" s="29">
        <f t="shared" si="72"/>
        <v>0</v>
      </c>
      <c r="J211" s="29">
        <f t="shared" si="72"/>
        <v>18101540.16</v>
      </c>
      <c r="K211" s="29">
        <f t="shared" si="72"/>
        <v>18101540.16</v>
      </c>
      <c r="L211" s="29">
        <f t="shared" si="72"/>
        <v>0</v>
      </c>
      <c r="M211" s="29">
        <f t="shared" si="72"/>
        <v>0</v>
      </c>
      <c r="N211" s="29">
        <f t="shared" si="72"/>
        <v>0</v>
      </c>
      <c r="O211" s="29">
        <f t="shared" si="72"/>
        <v>18101540.16</v>
      </c>
      <c r="P211" s="29">
        <f t="shared" si="71"/>
        <v>63349540.159999996</v>
      </c>
    </row>
    <row r="212" spans="1:16" s="2" customFormat="1" ht="31.95" x14ac:dyDescent="0.3">
      <c r="A212" s="5"/>
      <c r="B212" s="5"/>
      <c r="C212" s="1" t="s">
        <v>251</v>
      </c>
      <c r="D212" s="3" t="s">
        <v>252</v>
      </c>
      <c r="E212" s="29">
        <f t="shared" ref="E212:O212" si="73">E31+E32+E71+E72+E81+E82+E83+E84+E85+E86+E87+E88+E89+E90+E91+E92+E93+E94+E95+E96+E102+E109+E119+E129</f>
        <v>91725482.140000001</v>
      </c>
      <c r="F212" s="29">
        <f t="shared" si="73"/>
        <v>91725482.140000001</v>
      </c>
      <c r="G212" s="29">
        <f t="shared" si="73"/>
        <v>21561204.140000001</v>
      </c>
      <c r="H212" s="29">
        <f t="shared" si="73"/>
        <v>610200</v>
      </c>
      <c r="I212" s="29">
        <f t="shared" si="73"/>
        <v>0</v>
      </c>
      <c r="J212" s="29">
        <f t="shared" si="73"/>
        <v>12211741</v>
      </c>
      <c r="K212" s="29">
        <f t="shared" si="73"/>
        <v>12155341</v>
      </c>
      <c r="L212" s="29">
        <f t="shared" si="73"/>
        <v>0</v>
      </c>
      <c r="M212" s="29">
        <f t="shared" si="73"/>
        <v>0</v>
      </c>
      <c r="N212" s="29">
        <f t="shared" si="73"/>
        <v>0</v>
      </c>
      <c r="O212" s="29">
        <f t="shared" si="73"/>
        <v>12211741</v>
      </c>
      <c r="P212" s="29">
        <f t="shared" si="71"/>
        <v>103937223.14</v>
      </c>
    </row>
    <row r="213" spans="1:16" s="2" customFormat="1" ht="18.350000000000001" x14ac:dyDescent="0.3">
      <c r="A213" s="5"/>
      <c r="B213" s="5"/>
      <c r="C213" s="1" t="s">
        <v>253</v>
      </c>
      <c r="D213" s="3" t="s">
        <v>254</v>
      </c>
      <c r="E213" s="29">
        <f>E110+E111+E112+E113+E114</f>
        <v>26505300</v>
      </c>
      <c r="F213" s="29">
        <f t="shared" ref="F213:O213" si="74">F110+F111+F112+F113+F114</f>
        <v>26505300</v>
      </c>
      <c r="G213" s="29">
        <f t="shared" si="74"/>
        <v>20581300</v>
      </c>
      <c r="H213" s="29">
        <f t="shared" si="74"/>
        <v>2709100</v>
      </c>
      <c r="I213" s="29">
        <f t="shared" si="74"/>
        <v>0</v>
      </c>
      <c r="J213" s="29">
        <f t="shared" si="74"/>
        <v>416000</v>
      </c>
      <c r="K213" s="29">
        <f t="shared" si="74"/>
        <v>94000</v>
      </c>
      <c r="L213" s="29">
        <f t="shared" si="74"/>
        <v>295000</v>
      </c>
      <c r="M213" s="29">
        <f t="shared" si="74"/>
        <v>30000</v>
      </c>
      <c r="N213" s="29">
        <f t="shared" si="74"/>
        <v>0</v>
      </c>
      <c r="O213" s="29">
        <f t="shared" si="74"/>
        <v>121000</v>
      </c>
      <c r="P213" s="29">
        <f t="shared" si="71"/>
        <v>26921300</v>
      </c>
    </row>
    <row r="214" spans="1:16" s="2" customFormat="1" ht="18.350000000000001" x14ac:dyDescent="0.3">
      <c r="A214" s="5"/>
      <c r="B214" s="5"/>
      <c r="C214" s="1" t="s">
        <v>255</v>
      </c>
      <c r="D214" s="3" t="s">
        <v>256</v>
      </c>
      <c r="E214" s="29">
        <f t="shared" ref="E214:O214" si="75">E73+E120+E121+E122+E123</f>
        <v>12964560.289999999</v>
      </c>
      <c r="F214" s="29">
        <f t="shared" si="75"/>
        <v>12964560.289999999</v>
      </c>
      <c r="G214" s="29">
        <f t="shared" si="75"/>
        <v>7832800</v>
      </c>
      <c r="H214" s="29">
        <f t="shared" si="75"/>
        <v>735062.29</v>
      </c>
      <c r="I214" s="29">
        <f t="shared" si="75"/>
        <v>0</v>
      </c>
      <c r="J214" s="29">
        <f t="shared" si="75"/>
        <v>0</v>
      </c>
      <c r="K214" s="29">
        <f t="shared" si="75"/>
        <v>0</v>
      </c>
      <c r="L214" s="29">
        <f t="shared" si="75"/>
        <v>0</v>
      </c>
      <c r="M214" s="29">
        <f t="shared" si="75"/>
        <v>0</v>
      </c>
      <c r="N214" s="29">
        <f t="shared" si="75"/>
        <v>0</v>
      </c>
      <c r="O214" s="29">
        <f t="shared" si="75"/>
        <v>0</v>
      </c>
      <c r="P214" s="29">
        <f t="shared" si="71"/>
        <v>12964560.289999999</v>
      </c>
    </row>
    <row r="215" spans="1:16" s="2" customFormat="1" ht="31.95" x14ac:dyDescent="0.3">
      <c r="A215" s="5"/>
      <c r="B215" s="5"/>
      <c r="C215" s="1" t="s">
        <v>257</v>
      </c>
      <c r="D215" s="3" t="s">
        <v>258</v>
      </c>
      <c r="E215" s="29">
        <f>E33+E103+E130+E131+E132+E133+E134+E135+E136+E158+E159+E160+E161+E162+E163+E178</f>
        <v>116808200.15000001</v>
      </c>
      <c r="F215" s="29">
        <f t="shared" ref="F215:O215" si="76">F33+F103+F130+F131+F132+F133+F134+F135+F136+F158+F159+F160+F161+F162+F163+F178</f>
        <v>26250200</v>
      </c>
      <c r="G215" s="29">
        <f t="shared" si="76"/>
        <v>0</v>
      </c>
      <c r="H215" s="29">
        <f t="shared" si="76"/>
        <v>0</v>
      </c>
      <c r="I215" s="29">
        <f t="shared" si="76"/>
        <v>90558000.150000006</v>
      </c>
      <c r="J215" s="29">
        <f t="shared" si="76"/>
        <v>103458001.66</v>
      </c>
      <c r="K215" s="29">
        <f t="shared" si="76"/>
        <v>103458001.66</v>
      </c>
      <c r="L215" s="29">
        <f t="shared" si="76"/>
        <v>0</v>
      </c>
      <c r="M215" s="29">
        <f t="shared" si="76"/>
        <v>0</v>
      </c>
      <c r="N215" s="29">
        <f t="shared" si="76"/>
        <v>0</v>
      </c>
      <c r="O215" s="29">
        <f t="shared" si="76"/>
        <v>103458001.66</v>
      </c>
      <c r="P215" s="29">
        <f t="shared" si="71"/>
        <v>220266201.81</v>
      </c>
    </row>
    <row r="216" spans="1:16" s="2" customFormat="1" ht="18.350000000000001" x14ac:dyDescent="0.3">
      <c r="A216" s="5"/>
      <c r="B216" s="5"/>
      <c r="C216" s="1" t="s">
        <v>344</v>
      </c>
      <c r="D216" s="3" t="s">
        <v>345</v>
      </c>
      <c r="E216" s="29">
        <f t="shared" ref="E216:O216" si="77">E38+E39+E40+E41+E42+E43+E74+E137+E138+E139+E140+E141+E142+E143+E144+E145+E146+E164+E165+E166+E167+E168+E169+E179+E180+E181</f>
        <v>93577570</v>
      </c>
      <c r="F216" s="29">
        <f t="shared" si="77"/>
        <v>24300700</v>
      </c>
      <c r="G216" s="29">
        <f t="shared" si="77"/>
        <v>0</v>
      </c>
      <c r="H216" s="29">
        <f t="shared" si="77"/>
        <v>0</v>
      </c>
      <c r="I216" s="29">
        <f t="shared" si="77"/>
        <v>69276870</v>
      </c>
      <c r="J216" s="29">
        <f t="shared" si="77"/>
        <v>95259143.010000005</v>
      </c>
      <c r="K216" s="29">
        <f t="shared" si="77"/>
        <v>75305276.010000005</v>
      </c>
      <c r="L216" s="29">
        <f t="shared" si="77"/>
        <v>0</v>
      </c>
      <c r="M216" s="29">
        <f t="shared" si="77"/>
        <v>0</v>
      </c>
      <c r="N216" s="29">
        <f t="shared" si="77"/>
        <v>0</v>
      </c>
      <c r="O216" s="29">
        <f t="shared" si="77"/>
        <v>95259143.010000005</v>
      </c>
      <c r="P216" s="29">
        <f>E216+J216</f>
        <v>188836713.00999999</v>
      </c>
    </row>
    <row r="217" spans="1:16" s="4" customFormat="1" ht="18.350000000000001" x14ac:dyDescent="0.3">
      <c r="A217" s="5"/>
      <c r="B217" s="5"/>
      <c r="C217" s="1" t="s">
        <v>346</v>
      </c>
      <c r="D217" s="3" t="s">
        <v>347</v>
      </c>
      <c r="E217" s="29">
        <f t="shared" ref="E217:O217" si="78">E44+E45+E46+E47+E48+E49+E75+E76+E97+E147+E148+E149+E150+E170+E171+E172+E173+E182+E183+E188</f>
        <v>47726545.890000001</v>
      </c>
      <c r="F217" s="29">
        <f t="shared" si="78"/>
        <v>40724045.359999999</v>
      </c>
      <c r="G217" s="29">
        <f t="shared" si="78"/>
        <v>17351300</v>
      </c>
      <c r="H217" s="29">
        <f t="shared" si="78"/>
        <v>434100</v>
      </c>
      <c r="I217" s="29">
        <f t="shared" si="78"/>
        <v>0</v>
      </c>
      <c r="J217" s="29">
        <f t="shared" si="78"/>
        <v>57241453.249999993</v>
      </c>
      <c r="K217" s="29">
        <f t="shared" si="78"/>
        <v>55696747.809999995</v>
      </c>
      <c r="L217" s="29">
        <f t="shared" si="78"/>
        <v>415982.11</v>
      </c>
      <c r="M217" s="29">
        <f t="shared" si="78"/>
        <v>0</v>
      </c>
      <c r="N217" s="29">
        <f t="shared" si="78"/>
        <v>0</v>
      </c>
      <c r="O217" s="29">
        <f t="shared" si="78"/>
        <v>56825471.139999993</v>
      </c>
      <c r="P217" s="29">
        <f t="shared" si="71"/>
        <v>104967999.13999999</v>
      </c>
    </row>
    <row r="218" spans="1:16" ht="18.350000000000001" x14ac:dyDescent="0.3">
      <c r="A218" s="5"/>
      <c r="B218" s="5"/>
      <c r="C218" s="1" t="s">
        <v>348</v>
      </c>
      <c r="D218" s="3" t="s">
        <v>349</v>
      </c>
      <c r="E218" s="29">
        <f>E189+E190+E197</f>
        <v>77292719</v>
      </c>
      <c r="F218" s="29">
        <f t="shared" ref="F218:O218" si="79">F189+F190+F197</f>
        <v>77292719</v>
      </c>
      <c r="G218" s="29">
        <f t="shared" si="79"/>
        <v>0</v>
      </c>
      <c r="H218" s="29">
        <f t="shared" si="79"/>
        <v>0</v>
      </c>
      <c r="I218" s="29">
        <f t="shared" si="79"/>
        <v>0</v>
      </c>
      <c r="J218" s="29">
        <f t="shared" si="79"/>
        <v>17287680</v>
      </c>
      <c r="K218" s="29">
        <f t="shared" si="79"/>
        <v>17287680</v>
      </c>
      <c r="L218" s="29">
        <f t="shared" si="79"/>
        <v>0</v>
      </c>
      <c r="M218" s="29">
        <f t="shared" si="79"/>
        <v>0</v>
      </c>
      <c r="N218" s="29">
        <f t="shared" si="79"/>
        <v>0</v>
      </c>
      <c r="O218" s="29">
        <f t="shared" si="79"/>
        <v>17287680</v>
      </c>
      <c r="P218" s="29">
        <f t="shared" si="71"/>
        <v>94580399</v>
      </c>
    </row>
    <row r="219" spans="1:16" x14ac:dyDescent="0.25">
      <c r="A219" s="19"/>
      <c r="B219" s="19"/>
      <c r="C219" s="19"/>
      <c r="D219" s="19" t="s">
        <v>15</v>
      </c>
      <c r="E219" s="30">
        <f>SUM(E209:E218)</f>
        <v>997502053.17999995</v>
      </c>
      <c r="F219" s="30">
        <f t="shared" ref="F219:O219" si="80">SUM(F209:F218)</f>
        <v>830657682.5</v>
      </c>
      <c r="G219" s="30">
        <f t="shared" si="80"/>
        <v>470474477.13999999</v>
      </c>
      <c r="H219" s="30">
        <f t="shared" si="80"/>
        <v>40904940.859999999</v>
      </c>
      <c r="I219" s="30">
        <f t="shared" si="80"/>
        <v>159841870.15000001</v>
      </c>
      <c r="J219" s="30">
        <f t="shared" si="80"/>
        <v>333702652.5</v>
      </c>
      <c r="K219" s="30">
        <f t="shared" si="80"/>
        <v>304974412.06</v>
      </c>
      <c r="L219" s="30">
        <f t="shared" si="80"/>
        <v>7362250.1100000003</v>
      </c>
      <c r="M219" s="30">
        <f t="shared" si="80"/>
        <v>415000</v>
      </c>
      <c r="N219" s="30">
        <f t="shared" si="80"/>
        <v>0</v>
      </c>
      <c r="O219" s="30">
        <f t="shared" si="80"/>
        <v>326340402.38999999</v>
      </c>
      <c r="P219" s="30">
        <f>E219+J219</f>
        <v>1331204705.6799998</v>
      </c>
    </row>
    <row r="220" spans="1:16" x14ac:dyDescent="0.25">
      <c r="E220" s="28">
        <f>E207-E219</f>
        <v>0</v>
      </c>
      <c r="F220" s="28">
        <f t="shared" ref="F220:P220" si="81">F207-F219</f>
        <v>0</v>
      </c>
      <c r="G220" s="28">
        <f t="shared" si="81"/>
        <v>0</v>
      </c>
      <c r="H220" s="28">
        <f t="shared" si="81"/>
        <v>0</v>
      </c>
      <c r="I220" s="28">
        <f t="shared" si="81"/>
        <v>0</v>
      </c>
      <c r="J220" s="28">
        <f t="shared" si="81"/>
        <v>0</v>
      </c>
      <c r="K220" s="28">
        <f t="shared" si="81"/>
        <v>0</v>
      </c>
      <c r="L220" s="28">
        <f t="shared" si="81"/>
        <v>0</v>
      </c>
      <c r="M220" s="28">
        <f t="shared" si="81"/>
        <v>0</v>
      </c>
      <c r="N220" s="28">
        <f t="shared" si="81"/>
        <v>0</v>
      </c>
      <c r="O220" s="28">
        <f t="shared" si="81"/>
        <v>0</v>
      </c>
      <c r="P220" s="28">
        <f t="shared" si="81"/>
        <v>0</v>
      </c>
    </row>
    <row r="221" spans="1:16" x14ac:dyDescent="0.25">
      <c r="D221" s="6" t="s">
        <v>429</v>
      </c>
      <c r="E221" s="28"/>
      <c r="F221" s="28"/>
      <c r="G221" s="28"/>
      <c r="H221" s="28"/>
      <c r="I221" s="28" t="s">
        <v>430</v>
      </c>
      <c r="J221" s="28"/>
      <c r="K221" s="28"/>
      <c r="L221" s="28"/>
      <c r="M221" s="28"/>
      <c r="N221" s="28"/>
      <c r="O221" s="28"/>
      <c r="P221" s="28"/>
    </row>
    <row r="222" spans="1:16" x14ac:dyDescent="0.25">
      <c r="E222" s="28">
        <f>E207-E219</f>
        <v>0</v>
      </c>
      <c r="F222" s="28">
        <f t="shared" ref="F222:P222" si="82">F207-F219</f>
        <v>0</v>
      </c>
      <c r="G222" s="28">
        <f t="shared" si="82"/>
        <v>0</v>
      </c>
      <c r="H222" s="28">
        <f t="shared" si="82"/>
        <v>0</v>
      </c>
      <c r="I222" s="28">
        <f t="shared" si="82"/>
        <v>0</v>
      </c>
      <c r="J222" s="28">
        <f t="shared" si="82"/>
        <v>0</v>
      </c>
      <c r="K222" s="28">
        <f t="shared" si="82"/>
        <v>0</v>
      </c>
      <c r="L222" s="28">
        <f t="shared" si="82"/>
        <v>0</v>
      </c>
      <c r="M222" s="28">
        <f t="shared" si="82"/>
        <v>0</v>
      </c>
      <c r="N222" s="28">
        <f t="shared" si="82"/>
        <v>0</v>
      </c>
      <c r="O222" s="28">
        <f t="shared" si="82"/>
        <v>0</v>
      </c>
      <c r="P222" s="28">
        <f t="shared" si="82"/>
        <v>0</v>
      </c>
    </row>
    <row r="223" spans="1:16" x14ac:dyDescent="0.25">
      <c r="D223" s="6" t="s">
        <v>372</v>
      </c>
      <c r="E223" s="30">
        <v>1001805058.4899999</v>
      </c>
      <c r="F223" s="30">
        <v>838759911.81999993</v>
      </c>
      <c r="G223" s="30">
        <v>475314277.13999999</v>
      </c>
      <c r="H223" s="30">
        <v>50801272.289999999</v>
      </c>
      <c r="I223" s="30">
        <v>156042646.13999999</v>
      </c>
      <c r="J223" s="30">
        <v>329524975.19</v>
      </c>
      <c r="K223" s="30">
        <v>300801684.75</v>
      </c>
      <c r="L223" s="30">
        <v>7357300.1100000003</v>
      </c>
      <c r="M223" s="30">
        <v>415000</v>
      </c>
      <c r="N223" s="30">
        <v>0</v>
      </c>
      <c r="O223" s="30">
        <v>322167675.08000004</v>
      </c>
      <c r="P223" s="30">
        <v>1331330033.6799998</v>
      </c>
    </row>
    <row r="224" spans="1:16" x14ac:dyDescent="0.25">
      <c r="D224" s="6" t="s">
        <v>373</v>
      </c>
      <c r="E224" s="28">
        <f>E207-E223</f>
        <v>-4303005.3099999428</v>
      </c>
      <c r="F224" s="28">
        <f t="shared" ref="F224:O224" si="83">F207-F223</f>
        <v>-8102229.3199999332</v>
      </c>
      <c r="G224" s="28">
        <f t="shared" si="83"/>
        <v>-4839800</v>
      </c>
      <c r="H224" s="28">
        <f t="shared" si="83"/>
        <v>-9896331.4299999997</v>
      </c>
      <c r="I224" s="28">
        <f t="shared" si="83"/>
        <v>3799224.0100000203</v>
      </c>
      <c r="J224" s="28">
        <f t="shared" si="83"/>
        <v>4177677.3100000024</v>
      </c>
      <c r="K224" s="28">
        <f t="shared" si="83"/>
        <v>4172727.310000062</v>
      </c>
      <c r="L224" s="28">
        <f t="shared" si="83"/>
        <v>4950</v>
      </c>
      <c r="M224" s="28">
        <f t="shared" si="83"/>
        <v>0</v>
      </c>
      <c r="N224" s="28">
        <f t="shared" si="83"/>
        <v>0</v>
      </c>
      <c r="O224" s="28">
        <f t="shared" si="83"/>
        <v>4172727.3100000024</v>
      </c>
      <c r="P224" s="28">
        <f>P207-P223</f>
        <v>-125328</v>
      </c>
    </row>
    <row r="225" spans="5:16" x14ac:dyDescent="0.25">
      <c r="E225" s="28">
        <f>-130278-3984027.31</f>
        <v>-4114305.31</v>
      </c>
      <c r="F225" s="28"/>
      <c r="G225" s="28"/>
      <c r="H225" s="28"/>
      <c r="I225" s="28"/>
      <c r="J225" s="28">
        <f>4950+3984027.31</f>
        <v>3988977.31</v>
      </c>
      <c r="K225" s="28"/>
      <c r="L225" s="28"/>
      <c r="M225" s="28"/>
      <c r="N225" s="28"/>
      <c r="O225" s="28"/>
      <c r="P225" s="28">
        <v>-125328</v>
      </c>
    </row>
    <row r="226" spans="5:16" x14ac:dyDescent="0.25">
      <c r="E226" s="28">
        <f>E224-E225</f>
        <v>-188699.99999994272</v>
      </c>
      <c r="G226" s="40">
        <v>-3000000</v>
      </c>
      <c r="H226" s="40">
        <v>-4800000</v>
      </c>
      <c r="J226" s="28">
        <f>J224-J225</f>
        <v>188700.00000000233</v>
      </c>
      <c r="K226" s="28"/>
      <c r="P226" s="40">
        <f>P224-P225</f>
        <v>0</v>
      </c>
    </row>
    <row r="227" spans="5:16" x14ac:dyDescent="0.25">
      <c r="E227" s="28"/>
      <c r="G227" s="40">
        <v>-1000000</v>
      </c>
      <c r="H227" s="6">
        <v>-1700000</v>
      </c>
      <c r="J227" s="28"/>
      <c r="K227" s="28"/>
      <c r="P227" s="28"/>
    </row>
    <row r="228" spans="5:16" x14ac:dyDescent="0.25">
      <c r="E228" s="28"/>
      <c r="F228" s="28"/>
      <c r="G228" s="40">
        <v>-400000</v>
      </c>
      <c r="H228" s="28">
        <v>-412331.43</v>
      </c>
      <c r="I228" s="28"/>
      <c r="J228" s="28"/>
      <c r="K228" s="28"/>
      <c r="L228" s="28"/>
      <c r="M228" s="28"/>
      <c r="N228" s="28"/>
      <c r="O228" s="28"/>
      <c r="P228" s="28"/>
    </row>
    <row r="229" spans="5:16" x14ac:dyDescent="0.25">
      <c r="G229" s="40">
        <f>-180000-130800</f>
        <v>-310800</v>
      </c>
      <c r="H229" s="6">
        <v>-1300000</v>
      </c>
    </row>
    <row r="230" spans="5:16" x14ac:dyDescent="0.25">
      <c r="G230" s="40">
        <v>-129000</v>
      </c>
      <c r="H230" s="40">
        <v>-1300000</v>
      </c>
    </row>
    <row r="231" spans="5:16" x14ac:dyDescent="0.25">
      <c r="G231" s="40">
        <v>8200</v>
      </c>
      <c r="H231" s="6">
        <v>-200000</v>
      </c>
    </row>
    <row r="232" spans="5:16" x14ac:dyDescent="0.25">
      <c r="G232" s="40">
        <v>19500</v>
      </c>
      <c r="H232" s="6">
        <v>-190000</v>
      </c>
    </row>
    <row r="233" spans="5:16" x14ac:dyDescent="0.25">
      <c r="G233" s="40">
        <v>-27700</v>
      </c>
      <c r="H233" s="6">
        <v>6000</v>
      </c>
    </row>
    <row r="234" spans="5:16" x14ac:dyDescent="0.25">
      <c r="G234" s="28">
        <f>SUM(G226:G233)</f>
        <v>-4839800</v>
      </c>
      <c r="H234" s="28">
        <f>SUM(H226:H233)</f>
        <v>-9896331.4299999997</v>
      </c>
    </row>
    <row r="235" spans="5:16" x14ac:dyDescent="0.25">
      <c r="G235" s="28">
        <f>G224-G234</f>
        <v>0</v>
      </c>
      <c r="H235" s="28">
        <f>H224-H234</f>
        <v>0</v>
      </c>
    </row>
    <row r="242" spans="7:7" x14ac:dyDescent="0.25">
      <c r="G242" s="40"/>
    </row>
  </sheetData>
  <mergeCells count="22"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</mergeCells>
  <pageMargins left="0.19685039370078741" right="0.19685039370078741" top="0.59055118110236227" bottom="0.51181102362204722" header="0" footer="0"/>
  <pageSetup paperSize="9" scale="50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2023-11-24T06:51:34Z</cp:lastPrinted>
  <dcterms:created xsi:type="dcterms:W3CDTF">2021-12-07T06:52:40Z</dcterms:created>
  <dcterms:modified xsi:type="dcterms:W3CDTF">2023-11-24T06:52:01Z</dcterms:modified>
</cp:coreProperties>
</file>