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УТОЧНЕННЯ\12_НАСТУПНЕ\"/>
    </mc:Choice>
  </mc:AlternateContent>
  <bookViews>
    <workbookView xWindow="-108" yWindow="-108" windowWidth="23244" windowHeight="12564" firstSheet="1" activeTab="1"/>
  </bookViews>
  <sheets>
    <sheet name="Лист1" sheetId="13" state="hidden" r:id="rId1"/>
    <sheet name="2023" sheetId="19" r:id="rId2"/>
  </sheets>
  <externalReferences>
    <externalReference r:id="rId3"/>
  </externalReferences>
  <definedNames>
    <definedName name="_xlnm.Print_Titles" localSheetId="1">'2023'!$14:$16</definedName>
    <definedName name="_xlnm.Print_Area" localSheetId="1">'2023'!$A$1:$I$291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3" i="19" l="1"/>
  <c r="F124" i="19"/>
  <c r="I300" i="19" l="1"/>
  <c r="G287" i="19" l="1"/>
  <c r="H277" i="19"/>
  <c r="H276" i="19" s="1"/>
  <c r="H280" i="19"/>
  <c r="G223" i="19"/>
  <c r="F223" i="19"/>
  <c r="G127" i="19"/>
  <c r="F127" i="19"/>
  <c r="F128" i="19"/>
  <c r="G97" i="19"/>
  <c r="F97" i="19"/>
  <c r="G41" i="19"/>
  <c r="H39" i="19" l="1"/>
  <c r="G39" i="19"/>
  <c r="G37" i="19"/>
  <c r="F41" i="19"/>
  <c r="F37" i="19"/>
  <c r="F39" i="19" l="1"/>
  <c r="F307" i="19" l="1"/>
  <c r="F300" i="19"/>
  <c r="G228" i="19" l="1"/>
  <c r="G178" i="19"/>
  <c r="G132" i="19"/>
  <c r="G124" i="19"/>
  <c r="G117" i="19"/>
  <c r="G30" i="19"/>
  <c r="F287" i="19"/>
  <c r="F228" i="19"/>
  <c r="F178" i="19"/>
  <c r="F132" i="19"/>
  <c r="F117" i="19"/>
  <c r="F30" i="19"/>
  <c r="G33" i="19" l="1"/>
  <c r="F33" i="19" l="1"/>
  <c r="I262" i="19" l="1"/>
  <c r="H242" i="19"/>
  <c r="I242" i="19"/>
  <c r="H235" i="19"/>
  <c r="I235" i="19"/>
  <c r="H225" i="19"/>
  <c r="I225" i="19"/>
  <c r="H202" i="19"/>
  <c r="I202" i="19"/>
  <c r="H198" i="19"/>
  <c r="I198" i="19"/>
  <c r="H180" i="19"/>
  <c r="I180" i="19"/>
  <c r="G177" i="19"/>
  <c r="H177" i="19"/>
  <c r="I177" i="19"/>
  <c r="F177" i="19"/>
  <c r="H140" i="19"/>
  <c r="I140" i="19"/>
  <c r="G136" i="19"/>
  <c r="H136" i="19"/>
  <c r="I136" i="19"/>
  <c r="F136" i="19"/>
  <c r="H18" i="19"/>
  <c r="I18" i="19"/>
  <c r="G264" i="19"/>
  <c r="F264" i="19"/>
  <c r="G232" i="19"/>
  <c r="F232" i="19"/>
  <c r="G230" i="19"/>
  <c r="F230" i="19"/>
  <c r="G229" i="19"/>
  <c r="F229" i="19"/>
  <c r="G227" i="19"/>
  <c r="F227" i="19"/>
  <c r="F225" i="19" l="1"/>
  <c r="I134" i="19"/>
  <c r="G225" i="19"/>
  <c r="G123" i="19"/>
  <c r="G116" i="19"/>
  <c r="F116" i="19"/>
  <c r="G115" i="19"/>
  <c r="F115" i="19"/>
  <c r="G24" i="19"/>
  <c r="F24" i="19"/>
  <c r="F114" i="19" l="1"/>
  <c r="G114" i="19"/>
  <c r="G95" i="19" l="1"/>
  <c r="F95" i="19"/>
  <c r="G282" i="19" l="1"/>
  <c r="F282" i="19"/>
  <c r="G201" i="19" l="1"/>
  <c r="G198" i="19" s="1"/>
  <c r="F201" i="19"/>
  <c r="F198" i="19" s="1"/>
  <c r="H105" i="19" l="1"/>
  <c r="H66" i="19" s="1"/>
  <c r="I105" i="19"/>
  <c r="I66" i="19" s="1"/>
  <c r="G55" i="19" l="1"/>
  <c r="F55" i="19"/>
  <c r="H47" i="19"/>
  <c r="I47" i="19"/>
  <c r="G283" i="19" l="1"/>
  <c r="F283" i="19"/>
  <c r="G73" i="19" l="1"/>
  <c r="F73" i="19"/>
  <c r="G71" i="19"/>
  <c r="F71" i="19"/>
  <c r="H300" i="19"/>
  <c r="G300" i="19"/>
  <c r="G278" i="19"/>
  <c r="F278" i="19"/>
  <c r="G267" i="19"/>
  <c r="F267" i="19"/>
  <c r="G250" i="19"/>
  <c r="F250" i="19"/>
  <c r="G243" i="19"/>
  <c r="F243" i="19"/>
  <c r="G245" i="19"/>
  <c r="F245" i="19"/>
  <c r="G244" i="19"/>
  <c r="F244" i="19"/>
  <c r="G252" i="19"/>
  <c r="F252" i="19"/>
  <c r="G254" i="19"/>
  <c r="F254" i="19"/>
  <c r="G224" i="19"/>
  <c r="F224" i="19"/>
  <c r="G218" i="19"/>
  <c r="F218" i="19"/>
  <c r="G211" i="19"/>
  <c r="F211" i="19"/>
  <c r="G203" i="19"/>
  <c r="F203" i="19"/>
  <c r="G187" i="19"/>
  <c r="F187" i="19"/>
  <c r="G189" i="19"/>
  <c r="F189" i="19"/>
  <c r="G181" i="19"/>
  <c r="F181" i="19"/>
  <c r="G176" i="19"/>
  <c r="F176" i="19"/>
  <c r="G141" i="19"/>
  <c r="F141" i="19"/>
  <c r="G169" i="19"/>
  <c r="F169" i="19"/>
  <c r="G144" i="19"/>
  <c r="F144" i="19"/>
  <c r="G143" i="19"/>
  <c r="F143" i="19"/>
  <c r="G110" i="19" l="1"/>
  <c r="F110" i="19"/>
  <c r="G109" i="19"/>
  <c r="F109" i="19"/>
  <c r="G85" i="19" l="1"/>
  <c r="F85" i="19"/>
  <c r="G275" i="19" l="1"/>
  <c r="F275" i="19"/>
  <c r="G271" i="19"/>
  <c r="F271" i="19"/>
  <c r="G184" i="19" l="1"/>
  <c r="F184" i="19"/>
  <c r="G183" i="19"/>
  <c r="F183" i="19"/>
  <c r="G182" i="19"/>
  <c r="F182" i="19"/>
  <c r="G191" i="19"/>
  <c r="F191" i="19"/>
  <c r="G190" i="19"/>
  <c r="F190" i="19"/>
  <c r="G188" i="19"/>
  <c r="F188" i="19"/>
  <c r="G185" i="19"/>
  <c r="F185" i="19"/>
  <c r="G104" i="19"/>
  <c r="F104" i="19"/>
  <c r="G213" i="19" l="1"/>
  <c r="G172" i="19"/>
  <c r="G209" i="19" l="1"/>
  <c r="F209" i="19"/>
  <c r="G210" i="19"/>
  <c r="F210" i="19"/>
  <c r="G269" i="19" l="1"/>
  <c r="F269" i="19"/>
  <c r="G268" i="19"/>
  <c r="F268" i="19"/>
  <c r="G263" i="19"/>
  <c r="F263" i="19"/>
  <c r="G260" i="19"/>
  <c r="F260" i="19"/>
  <c r="G259" i="19"/>
  <c r="F259" i="19"/>
  <c r="G255" i="19"/>
  <c r="F255" i="19"/>
  <c r="G236" i="19"/>
  <c r="F236" i="19"/>
  <c r="G220" i="19"/>
  <c r="F220" i="19"/>
  <c r="G222" i="19"/>
  <c r="F222" i="19"/>
  <c r="G212" i="19"/>
  <c r="F212" i="19"/>
  <c r="G207" i="19"/>
  <c r="F207" i="19"/>
  <c r="G262" i="19" l="1"/>
  <c r="G146" i="19"/>
  <c r="F146" i="19"/>
  <c r="G167" i="19"/>
  <c r="F167" i="19"/>
  <c r="G162" i="19"/>
  <c r="F162" i="19"/>
  <c r="G160" i="19"/>
  <c r="F160" i="19"/>
  <c r="G135" i="19"/>
  <c r="F135" i="19"/>
  <c r="G113" i="19" l="1"/>
  <c r="F113" i="19"/>
  <c r="G93" i="19"/>
  <c r="F93" i="19"/>
  <c r="G96" i="19"/>
  <c r="F96" i="19"/>
  <c r="G90" i="19"/>
  <c r="F90" i="19"/>
  <c r="G52" i="19" l="1"/>
  <c r="F52" i="19"/>
  <c r="G50" i="19"/>
  <c r="F50" i="19"/>
  <c r="F47" i="19" s="1"/>
  <c r="G45" i="19"/>
  <c r="F45" i="19"/>
  <c r="G32" i="19"/>
  <c r="F32" i="19"/>
  <c r="G47" i="19" l="1"/>
  <c r="G131" i="19"/>
  <c r="G129" i="19" s="1"/>
  <c r="F131" i="19"/>
  <c r="F129" i="19" s="1"/>
  <c r="G67" i="19" l="1"/>
  <c r="G286" i="19" l="1"/>
  <c r="G280" i="19" s="1"/>
  <c r="G277" i="19" s="1"/>
  <c r="F286" i="19"/>
  <c r="F280" i="19" s="1"/>
  <c r="F277" i="19" s="1"/>
  <c r="G261" i="19"/>
  <c r="F261" i="19"/>
  <c r="G221" i="19"/>
  <c r="F221" i="19"/>
  <c r="G186" i="19"/>
  <c r="G180" i="19" s="1"/>
  <c r="F186" i="19"/>
  <c r="F180" i="19" s="1"/>
  <c r="G145" i="19"/>
  <c r="G140" i="19" s="1"/>
  <c r="F145" i="19"/>
  <c r="F140" i="19" s="1"/>
  <c r="G84" i="19" l="1"/>
  <c r="F84" i="19"/>
  <c r="G64" i="19"/>
  <c r="F64" i="19"/>
  <c r="G54" i="19"/>
  <c r="F54" i="19"/>
  <c r="H38" i="19" l="1"/>
  <c r="H36" i="19" s="1"/>
  <c r="I38" i="19"/>
  <c r="I36" i="19" s="1"/>
  <c r="G38" i="19" l="1"/>
  <c r="G36" i="19" s="1"/>
  <c r="F38" i="19" l="1"/>
  <c r="F36" i="19" s="1"/>
  <c r="G20" i="19" l="1"/>
  <c r="G19" i="19" s="1"/>
  <c r="G18" i="19" s="1"/>
  <c r="F20" i="19"/>
  <c r="F19" i="19" s="1"/>
  <c r="F18" i="19" s="1"/>
  <c r="F276" i="19" l="1"/>
  <c r="G122" i="19"/>
  <c r="G121" i="19" s="1"/>
  <c r="G120" i="19" s="1"/>
  <c r="F122" i="19"/>
  <c r="F121" i="19" s="1"/>
  <c r="F120" i="19" s="1"/>
  <c r="G112" i="19"/>
  <c r="F112" i="19"/>
  <c r="G103" i="19"/>
  <c r="F103" i="19"/>
  <c r="G100" i="19"/>
  <c r="F100" i="19"/>
  <c r="G94" i="19"/>
  <c r="F94" i="19"/>
  <c r="G92" i="19"/>
  <c r="F92" i="19"/>
  <c r="G91" i="19"/>
  <c r="F91" i="19"/>
  <c r="G89" i="19"/>
  <c r="F89" i="19"/>
  <c r="H46" i="19"/>
  <c r="I46" i="19"/>
  <c r="F46" i="19"/>
  <c r="G276" i="19"/>
  <c r="G273" i="19"/>
  <c r="G272" i="19" s="1"/>
  <c r="F273" i="19"/>
  <c r="F272" i="19" s="1"/>
  <c r="H266" i="19"/>
  <c r="H262" i="19" s="1"/>
  <c r="H134" i="19" s="1"/>
  <c r="F266" i="19"/>
  <c r="F262" i="19" s="1"/>
  <c r="G257" i="19"/>
  <c r="F257" i="19"/>
  <c r="G256" i="19"/>
  <c r="G242" i="19" s="1"/>
  <c r="F256" i="19"/>
  <c r="F242" i="19" s="1"/>
  <c r="G238" i="19"/>
  <c r="G235" i="19" s="1"/>
  <c r="F238" i="19"/>
  <c r="F235" i="19" s="1"/>
  <c r="G219" i="19"/>
  <c r="F219" i="19"/>
  <c r="G214" i="19"/>
  <c r="F214" i="19"/>
  <c r="F202" i="19" s="1"/>
  <c r="G108" i="19"/>
  <c r="F108" i="19"/>
  <c r="I65" i="19"/>
  <c r="H65" i="19"/>
  <c r="I63" i="19"/>
  <c r="I62" i="19" s="1"/>
  <c r="H63" i="19"/>
  <c r="H62" i="19" s="1"/>
  <c r="G63" i="19"/>
  <c r="G62" i="19" s="1"/>
  <c r="F63" i="19"/>
  <c r="F62" i="19" s="1"/>
  <c r="I59" i="19"/>
  <c r="I58" i="19" s="1"/>
  <c r="H59" i="19"/>
  <c r="H58" i="19" s="1"/>
  <c r="G59" i="19"/>
  <c r="G58" i="19" s="1"/>
  <c r="F59" i="19"/>
  <c r="F58" i="19" s="1"/>
  <c r="G46" i="19"/>
  <c r="I35" i="19"/>
  <c r="H35" i="19"/>
  <c r="G35" i="19"/>
  <c r="F35" i="19"/>
  <c r="I17" i="19"/>
  <c r="H17" i="19"/>
  <c r="G202" i="19" l="1"/>
  <c r="G134" i="19" s="1"/>
  <c r="F134" i="19"/>
  <c r="I133" i="19"/>
  <c r="I289" i="19" s="1"/>
  <c r="I299" i="19" s="1"/>
  <c r="I301" i="19" s="1"/>
  <c r="H133" i="19"/>
  <c r="G99" i="19"/>
  <c r="G98" i="19" s="1"/>
  <c r="F88" i="19"/>
  <c r="F68" i="19" s="1"/>
  <c r="F66" i="19" s="1"/>
  <c r="G17" i="19"/>
  <c r="F17" i="19"/>
  <c r="F99" i="19"/>
  <c r="F98" i="19" s="1"/>
  <c r="G111" i="19"/>
  <c r="G105" i="19" s="1"/>
  <c r="F111" i="19"/>
  <c r="F105" i="19" s="1"/>
  <c r="G88" i="19"/>
  <c r="G68" i="19" s="1"/>
  <c r="G66" i="19" s="1"/>
  <c r="H289" i="19" l="1"/>
  <c r="H299" i="19" s="1"/>
  <c r="H301" i="19" s="1"/>
  <c r="G65" i="19"/>
  <c r="F65" i="19"/>
  <c r="F133" i="19"/>
  <c r="G133" i="19"/>
  <c r="I294" i="19"/>
  <c r="H294" i="19"/>
  <c r="F289" i="19" l="1"/>
  <c r="F299" i="19" s="1"/>
  <c r="F301" i="19" s="1"/>
  <c r="G289" i="19"/>
  <c r="G294" i="19" s="1"/>
  <c r="F294" i="19" s="1"/>
  <c r="F303" i="19" l="1"/>
  <c r="G299" i="19"/>
  <c r="G301" i="19" l="1"/>
  <c r="F308" i="19" l="1"/>
</calcChain>
</file>

<file path=xl/sharedStrings.xml><?xml version="1.0" encoding="utf-8"?>
<sst xmlns="http://schemas.openxmlformats.org/spreadsheetml/2006/main" count="553" uniqueCount="395">
  <si>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</si>
  <si>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</si>
  <si>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</si>
  <si>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</si>
  <si>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</si>
  <si>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</si>
  <si>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9.1</t>
  </si>
  <si>
    <t>(код бюджету)</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</si>
  <si>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</si>
  <si>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</si>
  <si>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</si>
  <si>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</si>
  <si>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</si>
  <si>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</si>
  <si>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</si>
  <si>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</si>
  <si>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</si>
  <si>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</si>
  <si>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</si>
  <si>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</si>
  <si>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</si>
  <si>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</si>
  <si>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</si>
  <si>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</si>
  <si>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</si>
  <si>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</si>
  <si>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</si>
  <si>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</si>
  <si>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</si>
  <si>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</si>
  <si>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</si>
  <si>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</si>
  <si>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</si>
  <si>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</si>
  <si>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</si>
  <si>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</si>
  <si>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</si>
  <si>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</si>
  <si>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</si>
  <si>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</si>
  <si>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</si>
  <si>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</si>
  <si>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</si>
  <si>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</si>
  <si>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</si>
  <si>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</si>
  <si>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</si>
  <si>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0610</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</si>
  <si>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</si>
  <si>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</si>
  <si>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</si>
  <si>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</si>
  <si>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</si>
  <si>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</si>
  <si>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</si>
  <si>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</si>
  <si>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</si>
  <si>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</si>
  <si>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</si>
  <si>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</si>
  <si>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</si>
  <si>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</si>
  <si>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</si>
  <si>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</si>
  <si>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</si>
  <si>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</si>
  <si>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</si>
  <si>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</si>
  <si>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</si>
  <si>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</si>
  <si>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</si>
  <si>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</si>
  <si>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</si>
  <si>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</si>
  <si>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</si>
  <si>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</si>
  <si>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</si>
  <si>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</si>
  <si>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</si>
  <si>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</si>
  <si>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</si>
  <si>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</si>
  <si>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</si>
  <si>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</si>
  <si>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</si>
  <si>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</si>
  <si>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</si>
  <si>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</si>
  <si>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</si>
  <si>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</si>
  <si>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</si>
  <si>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</si>
  <si>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</si>
  <si>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</si>
  <si>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</si>
  <si>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</si>
  <si>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</si>
  <si>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</si>
  <si>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</si>
  <si>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</si>
  <si>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</si>
  <si>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</si>
  <si>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</si>
  <si>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</si>
  <si>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</si>
  <si>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</si>
  <si>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</si>
  <si>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</si>
  <si>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</si>
  <si>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</si>
  <si>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</si>
  <si>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</si>
  <si>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</si>
  <si>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</si>
  <si>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</si>
  <si>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</si>
  <si>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</si>
  <si>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</si>
  <si>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</si>
  <si>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</si>
  <si>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</si>
  <si>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</si>
  <si>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</si>
  <si>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</si>
  <si>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</si>
  <si>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</si>
  <si>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</si>
  <si>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</si>
  <si>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</si>
  <si>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</si>
  <si>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</si>
  <si>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</si>
  <si>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</si>
  <si>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</si>
  <si>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</si>
  <si>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</si>
  <si>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</si>
  <si>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</si>
  <si>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</si>
  <si>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</si>
  <si>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</si>
  <si>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</si>
  <si>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</si>
  <si>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</si>
  <si>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</si>
  <si>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</si>
  <si>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</si>
  <si>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</si>
  <si>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</si>
  <si>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</si>
  <si>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</si>
  <si>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</si>
  <si>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</si>
  <si>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</si>
  <si>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</si>
  <si>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</si>
  <si>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</si>
  <si>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</si>
  <si>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</si>
  <si>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</si>
  <si>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</si>
  <si>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</si>
  <si>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</si>
  <si>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</si>
  <si>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</si>
  <si>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</si>
  <si>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</si>
  <si>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</si>
  <si>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</si>
  <si>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</si>
  <si>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</si>
  <si>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</si>
  <si>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</si>
  <si>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</si>
  <si>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</si>
  <si>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</si>
  <si>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</si>
  <si>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</si>
  <si>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</si>
  <si>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</si>
  <si>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</si>
  <si>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</si>
  <si>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</si>
  <si>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</si>
  <si>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</si>
  <si>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</si>
  <si>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</si>
  <si>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</si>
  <si>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</si>
  <si>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</si>
  <si>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</si>
  <si>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</si>
  <si>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</si>
  <si>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</si>
  <si>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</si>
  <si>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</si>
  <si>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</si>
  <si>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</si>
  <si>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</si>
  <si>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</si>
  <si>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</si>
  <si>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</si>
  <si>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</si>
  <si>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</si>
  <si>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</si>
  <si>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</si>
  <si>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</si>
  <si>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</si>
  <si>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</si>
  <si>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</si>
  <si>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</si>
  <si>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</si>
  <si>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</si>
  <si>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</si>
  <si>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</si>
  <si>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</si>
  <si>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</si>
  <si>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</si>
  <si>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</si>
  <si>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</si>
  <si>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</si>
  <si>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</si>
  <si>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</si>
  <si>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</si>
  <si>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</si>
  <si>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</si>
  <si>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</si>
  <si>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</si>
  <si>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</si>
  <si>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</si>
  <si>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</si>
  <si>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0618110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</si>
  <si>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</si>
  <si>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</si>
  <si>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</si>
  <si>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</si>
  <si>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</si>
  <si>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</si>
  <si>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</si>
  <si>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</si>
  <si>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</si>
  <si>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</si>
  <si>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</si>
  <si>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</si>
  <si>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</si>
  <si>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</si>
  <si>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</si>
  <si>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</si>
  <si>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</si>
  <si>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</si>
  <si>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Олександрівська селищна адміністрація</t>
  </si>
  <si>
    <t>0218230</t>
  </si>
  <si>
    <t>8230</t>
  </si>
  <si>
    <t>0611070</t>
  </si>
  <si>
    <t>1070</t>
  </si>
  <si>
    <t>0611151</t>
  </si>
  <si>
    <t>1151</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</si>
  <si>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</si>
  <si>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</si>
  <si>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</si>
  <si>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</si>
  <si>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</si>
  <si>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</si>
  <si>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</si>
  <si>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</si>
  <si>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</si>
  <si>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</si>
  <si>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</si>
  <si>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</si>
  <si>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</si>
  <si>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</si>
  <si>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</si>
  <si>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</si>
  <si>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</si>
  <si>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</si>
  <si>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</si>
  <si>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</si>
  <si>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</si>
  <si>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</si>
  <si>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</si>
  <si>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</si>
  <si>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</si>
  <si>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</si>
  <si>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</si>
  <si>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</si>
  <si>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</si>
  <si>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</si>
  <si>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</si>
  <si>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</si>
  <si>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</si>
  <si>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</si>
  <si>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</si>
  <si>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</si>
  <si>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</si>
  <si>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</si>
  <si>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</si>
  <si>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</si>
  <si>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</si>
  <si>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</si>
  <si>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</si>
  <si>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</si>
  <si>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0212010</t>
  </si>
  <si>
    <t>2010</t>
  </si>
  <si>
    <t>Реконструкція систем центрального опалення в багатоквартирних будинках за адресами: м. Чорноморськ, вул. 1 Травня, 2</t>
  </si>
  <si>
    <t>Реконструкція систем центрального опалення в багатоквартирних будинках за адресами: м. Чорноморськ, вул. Данченка, 3-Б</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</si>
  <si>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</si>
  <si>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</si>
  <si>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</si>
  <si>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1216013</t>
  </si>
  <si>
    <t>Капітальні видаткм</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</si>
  <si>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</si>
  <si>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</si>
  <si>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</si>
  <si>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</si>
  <si>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Придбання затворів (засувок) з демонтажними вставками для заміни на водогонах</t>
  </si>
  <si>
    <r>
      <t>Капітальний ремонт (заміна вікон) в багатоквартирному будинку за адресою: м.Чорноморськ, вул.Корабельн</t>
    </r>
    <r>
      <rPr>
        <sz val="14"/>
        <rFont val="Times New Roman"/>
        <family val="1"/>
        <charset val="204"/>
      </rPr>
      <t>а, 3</t>
    </r>
  </si>
  <si>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</si>
  <si>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</si>
  <si>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</si>
  <si>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</si>
  <si>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</si>
  <si>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</si>
  <si>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</si>
  <si>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</si>
  <si>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</si>
  <si>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</si>
  <si>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</si>
  <si>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</si>
  <si>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</si>
  <si>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</si>
  <si>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</si>
  <si>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4"/>
        <rFont val="Times New Roman"/>
        <family val="1"/>
        <charset val="204"/>
      </rPr>
      <t>Капітальні видатки</t>
    </r>
  </si>
  <si>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</si>
  <si>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</si>
  <si>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</si>
  <si>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</si>
  <si>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</si>
  <si>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Найменування робіт</t>
  </si>
  <si>
    <t>0916083</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</si>
  <si>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</si>
  <si>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</si>
  <si>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</si>
  <si>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</si>
  <si>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</si>
  <si>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</si>
  <si>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</si>
  <si>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</si>
  <si>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</si>
  <si>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</si>
  <si>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</si>
  <si>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</si>
  <si>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</si>
  <si>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</si>
  <si>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</si>
  <si>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Придбання спеціалізованої техніки КП "Зеленгосп"</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</si>
  <si>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</si>
  <si>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</si>
  <si>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</si>
  <si>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</si>
  <si>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4"/>
        <color rgb="FFFF0000"/>
        <rFont val="Times New Roman"/>
        <family val="1"/>
        <charset val="204"/>
      </rPr>
      <t xml:space="preserve"> </t>
    </r>
  </si>
  <si>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</si>
  <si>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</si>
  <si>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</si>
  <si>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</si>
  <si>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</si>
  <si>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</si>
  <si>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</si>
  <si>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</si>
  <si>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Виконком по 0150 в 2021-24948грн,но как реконструкція</t>
  </si>
  <si>
    <t>Придбання медичного та іншого обладнання для реабілітаційного відділення КНП "Чорноморська лікарня"</t>
  </si>
  <si>
    <t xml:space="preserve">                                                                                       "Додаток 6</t>
  </si>
  <si>
    <t xml:space="preserve">                                                                                        до  рішення Чорноморської міської ради </t>
  </si>
  <si>
    <t xml:space="preserve">                                                                                        Одеського району Одеської області</t>
  </si>
  <si>
    <t>Начальник фінансового управління                                                                                 Ольга ЯКОВЕНКО</t>
  </si>
  <si>
    <t>Обсяг видатків бюджету розвитку, грн</t>
  </si>
  <si>
    <t xml:space="preserve">                                                                                        Додаток 5</t>
  </si>
  <si>
    <t>0216030</t>
  </si>
  <si>
    <t>Малодолинська сільська адміністрація</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</si>
  <si>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</si>
  <si>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</si>
  <si>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вул.1 Травня, 2  (розробка проектно-кошторисної документації)</t>
    </r>
  </si>
  <si>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</si>
  <si>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</si>
  <si>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 xml:space="preserve">                                                                                        від ___.___.2023  № ____ - VIII</t>
  </si>
  <si>
    <t>0617372</t>
  </si>
  <si>
    <t>7372</t>
  </si>
  <si>
    <t>0960</t>
  </si>
  <si>
    <t>0990</t>
  </si>
  <si>
    <t>Забезпечення діяльності інклюзивно-ресурсних центрів за рахунок коштів місцевого бюджету</t>
  </si>
  <si>
    <t>Надання позашкільної освіти закладами позашкільної освіти, заходи із позашкільної роботи з дітьми</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</si>
  <si>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</si>
  <si>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Фінансова підтримка КП "Чорноморськводоканал"</t>
  </si>
  <si>
    <t>Придбання обладнання для ремонту внутрішньобудинкових електричних мереж в багатоквартирних будинках</t>
  </si>
  <si>
    <t xml:space="preserve">                                                                                        від 20.12.2022  № 284 - VIII"</t>
  </si>
  <si>
    <t>Капітальні трансферти на поповнення статутного капіталу на оновлення основних засобів КП "МУЖКГ"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</si>
</sst>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
    <numFmt numFmtId="166" formatCode="#,##0.00_ ;\-#,##0.00\ "/>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0"/>
      <color rgb="FF000000"/>
      <name val="Arimo"/>
    </font>
    <font>
      <sz val="10"/>
      <name val="Arial"/>
      <family val="2"/>
      <charset val="204"/>
    </font>
    <font>
      <b/>
      <sz val="16"/>
      <color rgb="FF06036F"/>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1" fillId="0" borderId="0"/>
    <xf numFmtId="0" fontId="22" fillId="0" borderId="0"/>
    <xf numFmtId="0" fontId="4" fillId="0" borderId="0"/>
  </cellStyleXfs>
  <cellXfs count="117">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xf numFmtId="0" fontId="5" fillId="2" borderId="0" xfId="0" applyFont="1" applyFill="1" applyAlignment="1">
      <alignment horizontal="lef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0" fontId="10" fillId="2" borderId="0" xfId="0" applyFont="1" applyFill="1"/>
    <xf numFmtId="4" fontId="1" fillId="2" borderId="1" xfId="0" applyNumberFormat="1" applyFont="1" applyFill="1" applyBorder="1" applyAlignment="1">
      <alignment horizontal="center" vertical="center" wrapText="1"/>
    </xf>
    <xf numFmtId="0" fontId="13" fillId="0" borderId="0" xfId="0" applyFont="1"/>
    <xf numFmtId="0" fontId="11" fillId="2" borderId="0" xfId="0" applyFont="1" applyFill="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4"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 fontId="2" fillId="3" borderId="0" xfId="0" applyNumberFormat="1" applyFont="1" applyFill="1"/>
    <xf numFmtId="4" fontId="1" fillId="3" borderId="0" xfId="0" applyNumberFormat="1" applyFont="1" applyFill="1"/>
    <xf numFmtId="49" fontId="15" fillId="2" borderId="1" xfId="0" applyNumberFormat="1" applyFont="1" applyFill="1" applyBorder="1" applyAlignment="1">
      <alignment vertical="center" wrapText="1"/>
    </xf>
    <xf numFmtId="4" fontId="2" fillId="2" borderId="1" xfId="6" applyNumberFormat="1" applyFont="1" applyFill="1" applyBorder="1" applyAlignment="1">
      <alignment horizontal="center" vertical="center" wrapText="1"/>
    </xf>
    <xf numFmtId="4" fontId="1" fillId="4"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5" fillId="0" borderId="2" xfId="0" quotePrefix="1" applyFont="1" applyBorder="1" applyAlignment="1">
      <alignment vertical="center" wrapText="1"/>
    </xf>
    <xf numFmtId="0" fontId="15" fillId="2" borderId="1" xfId="0" quotePrefix="1" applyFont="1" applyFill="1" applyBorder="1" applyAlignment="1">
      <alignment horizontal="center" vertical="center" wrapText="1"/>
    </xf>
    <xf numFmtId="4" fontId="2" fillId="2" borderId="1" xfId="0" applyNumberFormat="1" applyFont="1" applyFill="1" applyBorder="1" applyAlignment="1">
      <alignment horizontal="right" vertical="center"/>
    </xf>
    <xf numFmtId="0" fontId="2" fillId="2" borderId="5" xfId="0" quotePrefix="1" applyFont="1" applyFill="1" applyBorder="1" applyAlignment="1">
      <alignment horizontal="left" vertical="center" wrapText="1"/>
    </xf>
    <xf numFmtId="0" fontId="11" fillId="2" borderId="0" xfId="0" applyFont="1" applyFill="1" applyAlignment="1">
      <alignment vertical="center"/>
    </xf>
    <xf numFmtId="4" fontId="23" fillId="3" borderId="0" xfId="0" applyNumberFormat="1" applyFont="1" applyFill="1"/>
    <xf numFmtId="0" fontId="1" fillId="2" borderId="1" xfId="6" applyFont="1" applyFill="1" applyBorder="1" applyAlignment="1">
      <alignment horizontal="center" wrapText="1"/>
    </xf>
    <xf numFmtId="0" fontId="1" fillId="2" borderId="1" xfId="6" applyFont="1" applyFill="1" applyBorder="1" applyAlignment="1">
      <alignment horizontal="center" vertical="center" wrapText="1"/>
    </xf>
    <xf numFmtId="0" fontId="2" fillId="2" borderId="1" xfId="6" applyFont="1" applyFill="1" applyBorder="1" applyAlignment="1">
      <alignment horizontal="left" vertical="center" wrapText="1"/>
    </xf>
    <xf numFmtId="0" fontId="15" fillId="0" borderId="1" xfId="0" applyFont="1" applyBorder="1" applyAlignment="1">
      <alignment vertical="center" wrapText="1"/>
    </xf>
    <xf numFmtId="0" fontId="11" fillId="2" borderId="2"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49" fontId="17" fillId="2" borderId="1" xfId="0" applyNumberFormat="1" applyFont="1" applyFill="1" applyBorder="1" applyAlignment="1">
      <alignment vertical="center" wrapText="1"/>
    </xf>
    <xf numFmtId="0" fontId="17" fillId="0" borderId="1" xfId="0" applyFont="1" applyBorder="1" applyAlignment="1">
      <alignment vertical="center" wrapText="1"/>
    </xf>
    <xf numFmtId="0" fontId="15" fillId="2" borderId="2" xfId="0" quotePrefix="1" applyFont="1" applyFill="1" applyBorder="1" applyAlignment="1">
      <alignment horizontal="left" vertical="center" wrapText="1"/>
    </xf>
    <xf numFmtId="165" fontId="2" fillId="2" borderId="0" xfId="0" applyNumberFormat="1" applyFont="1" applyFill="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left"/>
    </xf>
    <xf numFmtId="0" fontId="6" fillId="3" borderId="1" xfId="0"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vertical="center" wrapText="1"/>
    </xf>
    <xf numFmtId="164" fontId="11" fillId="3" borderId="1" xfId="0" applyNumberFormat="1" applyFont="1" applyFill="1" applyBorder="1" applyAlignment="1">
      <alignment vertical="center" wrapText="1"/>
    </xf>
    <xf numFmtId="165" fontId="11" fillId="3" borderId="1" xfId="0" applyNumberFormat="1" applyFont="1" applyFill="1" applyBorder="1" applyAlignment="1">
      <alignment horizontal="center" vertical="center" wrapText="1"/>
    </xf>
    <xf numFmtId="4" fontId="15" fillId="3" borderId="1" xfId="0" applyNumberFormat="1" applyFont="1" applyFill="1" applyBorder="1" applyAlignment="1">
      <alignment horizontal="center" vertical="center" wrapText="1"/>
    </xf>
    <xf numFmtId="164" fontId="1" fillId="3" borderId="1" xfId="0" applyNumberFormat="1" applyFont="1" applyFill="1" applyBorder="1" applyAlignment="1">
      <alignment vertical="center" wrapText="1"/>
    </xf>
    <xf numFmtId="164" fontId="2" fillId="3" borderId="2" xfId="0" applyNumberFormat="1" applyFont="1" applyFill="1" applyBorder="1" applyAlignment="1">
      <alignment vertical="center" wrapText="1"/>
    </xf>
    <xf numFmtId="165" fontId="2" fillId="3" borderId="2"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2" fillId="3" borderId="1" xfId="0" applyNumberFormat="1" applyFont="1" applyFill="1" applyBorder="1" applyAlignment="1">
      <alignment horizontal="right" vertical="center"/>
    </xf>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12" fillId="0" borderId="2" xfId="0" applyFont="1" applyBorder="1"/>
    <xf numFmtId="0" fontId="6"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4" xfId="6" applyFont="1" applyFill="1" applyBorder="1" applyAlignment="1">
      <alignment horizontal="center" wrapText="1"/>
    </xf>
    <xf numFmtId="0" fontId="1" fillId="2" borderId="5" xfId="6" applyFont="1" applyFill="1" applyBorder="1" applyAlignment="1">
      <alignment horizontal="center" wrapText="1"/>
    </xf>
    <xf numFmtId="0" fontId="1" fillId="2" borderId="4" xfId="6" applyFont="1" applyFill="1" applyBorder="1" applyAlignment="1">
      <alignment horizontal="center" vertical="center" wrapText="1"/>
    </xf>
    <xf numFmtId="0" fontId="1" fillId="2" borderId="5" xfId="6" applyFont="1" applyFill="1" applyBorder="1" applyAlignment="1">
      <alignment horizontal="center" vertical="center" wrapText="1"/>
    </xf>
    <xf numFmtId="0" fontId="2" fillId="2" borderId="4" xfId="6" applyFont="1" applyFill="1" applyBorder="1" applyAlignment="1">
      <alignment horizontal="left" wrapText="1"/>
    </xf>
    <xf numFmtId="0" fontId="2" fillId="2" borderId="5" xfId="6" applyFont="1" applyFill="1" applyBorder="1" applyAlignment="1">
      <alignment horizontal="left" wrapText="1"/>
    </xf>
    <xf numFmtId="0" fontId="2" fillId="2" borderId="4" xfId="2" applyFont="1" applyFill="1" applyBorder="1" applyAlignment="1">
      <alignment horizontal="left" vertical="center" wrapText="1"/>
    </xf>
    <xf numFmtId="0" fontId="2" fillId="2" borderId="5" xfId="2" applyFont="1" applyFill="1" applyBorder="1" applyAlignment="1">
      <alignment horizontal="left" vertical="center" wrapText="1"/>
    </xf>
    <xf numFmtId="0" fontId="1" fillId="2" borderId="1" xfId="6" applyFont="1" applyFill="1" applyBorder="1" applyAlignment="1">
      <alignment horizontal="center" wrapText="1"/>
    </xf>
    <xf numFmtId="0" fontId="6" fillId="2" borderId="0" xfId="0" applyFont="1" applyFill="1" applyAlignment="1">
      <alignment horizontal="left"/>
    </xf>
  </cellXfs>
  <cellStyles count="12">
    <cellStyle name="Excel Built-in Normal" xfId="11"/>
    <cellStyle name="Звичайний" xfId="0" builtinId="0"/>
    <cellStyle name="Обычный 10" xfId="9"/>
    <cellStyle name="Обычный 2" xfId="1"/>
    <cellStyle name="Обычный 3" xfId="2"/>
    <cellStyle name="Обычный 4" xfId="3"/>
    <cellStyle name="Обычный 5" xfId="4"/>
    <cellStyle name="Обычный 6" xfId="5"/>
    <cellStyle name="Обычный 7" xfId="10"/>
    <cellStyle name="Обычный_дод 3" xfId="6"/>
    <cellStyle name="Обычный_Лист1" xfId="8"/>
    <cellStyle name="Фінансовий" xfId="7" builtinId="3"/>
  </cellStyles>
  <dxfs count="0"/>
  <tableStyles count="0" defaultTableStyle="TableStyleMedium9" defaultPivotStyle="PivotStyleLight16"/>
  <colors>
    <mruColors>
      <color rgb="FF0603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20">
          <cell r="K220">
            <v>308160046.06</v>
          </cell>
        </row>
      </sheetData>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8"/>
  <sheetViews>
    <sheetView tabSelected="1" view="pageBreakPreview" topLeftCell="A288" zoomScale="70" zoomScaleNormal="100" zoomScaleSheetLayoutView="70" workbookViewId="0">
      <selection activeCell="F124" sqref="F124:F126"/>
    </sheetView>
  </sheetViews>
  <sheetFormatPr defaultColWidth="9.109375" defaultRowHeight="18"/>
  <cols>
    <col min="1" max="1" width="17.109375" style="12" customWidth="1"/>
    <col min="2" max="2" width="13.21875" style="5" customWidth="1"/>
    <col min="3" max="3" width="15.21875" style="5" customWidth="1"/>
    <col min="4" max="4" width="40" style="5" customWidth="1"/>
    <col min="5" max="5" width="78.21875" style="6" customWidth="1"/>
    <col min="6" max="6" width="23.44140625" style="5" customWidth="1"/>
    <col min="7" max="9" width="10.5546875" style="49" hidden="1" customWidth="1"/>
    <col min="10" max="10" width="23.44140625" style="5" customWidth="1"/>
    <col min="11" max="11" width="18" style="5" bestFit="1" customWidth="1"/>
    <col min="12" max="12" width="15.21875" style="5" bestFit="1" customWidth="1"/>
    <col min="13" max="16384" width="9.109375" style="5"/>
  </cols>
  <sheetData>
    <row r="1" spans="1:9">
      <c r="E1" s="116" t="s">
        <v>375</v>
      </c>
      <c r="F1" s="116"/>
    </row>
    <row r="2" spans="1:9">
      <c r="E2" s="116" t="s">
        <v>371</v>
      </c>
      <c r="F2" s="116"/>
    </row>
    <row r="3" spans="1:9">
      <c r="E3" s="116" t="s">
        <v>383</v>
      </c>
      <c r="F3" s="116"/>
    </row>
    <row r="4" spans="1:9">
      <c r="E4" s="87"/>
    </row>
    <row r="5" spans="1:9">
      <c r="E5" s="116" t="s">
        <v>370</v>
      </c>
      <c r="F5" s="116"/>
    </row>
    <row r="6" spans="1:9">
      <c r="E6" s="116" t="s">
        <v>371</v>
      </c>
      <c r="F6" s="116"/>
    </row>
    <row r="7" spans="1:9">
      <c r="E7" s="116" t="s">
        <v>372</v>
      </c>
      <c r="F7" s="116"/>
    </row>
    <row r="8" spans="1:9">
      <c r="E8" s="116" t="s">
        <v>393</v>
      </c>
      <c r="F8" s="116"/>
    </row>
    <row r="10" spans="1:9">
      <c r="A10" s="100">
        <v>1558900000</v>
      </c>
      <c r="B10" s="100"/>
    </row>
    <row r="11" spans="1:9">
      <c r="A11" s="101" t="s">
        <v>7</v>
      </c>
      <c r="B11" s="101"/>
      <c r="D11" s="12"/>
    </row>
    <row r="12" spans="1:9" s="3" customFormat="1" ht="45" customHeight="1">
      <c r="A12" s="102" t="s">
        <v>8</v>
      </c>
      <c r="B12" s="102"/>
      <c r="C12" s="102"/>
      <c r="D12" s="102"/>
      <c r="E12" s="102"/>
      <c r="F12" s="102"/>
      <c r="G12" s="102"/>
      <c r="H12" s="102"/>
      <c r="I12" s="102"/>
    </row>
    <row r="13" spans="1:9" s="3" customFormat="1" ht="21">
      <c r="A13" s="7"/>
      <c r="D13" s="8"/>
      <c r="E13" s="9"/>
      <c r="F13" s="8"/>
      <c r="G13" s="50" t="s">
        <v>2</v>
      </c>
      <c r="H13" s="50"/>
      <c r="I13" s="50"/>
    </row>
    <row r="14" spans="1:9" s="17" customFormat="1" ht="15.6" customHeight="1">
      <c r="A14" s="103" t="s">
        <v>3</v>
      </c>
      <c r="B14" s="103" t="s">
        <v>4</v>
      </c>
      <c r="C14" s="103" t="s">
        <v>1</v>
      </c>
      <c r="D14" s="103" t="s">
        <v>5</v>
      </c>
      <c r="E14" s="103" t="s">
        <v>337</v>
      </c>
      <c r="F14" s="103" t="s">
        <v>374</v>
      </c>
      <c r="G14" s="106" t="s">
        <v>27</v>
      </c>
      <c r="H14" s="106"/>
      <c r="I14" s="106"/>
    </row>
    <row r="15" spans="1:9" s="17" customFormat="1" ht="141.6" customHeight="1">
      <c r="A15" s="104"/>
      <c r="B15" s="104"/>
      <c r="C15" s="104"/>
      <c r="D15" s="105"/>
      <c r="E15" s="105"/>
      <c r="F15" s="105"/>
      <c r="G15" s="88" t="s">
        <v>29</v>
      </c>
      <c r="H15" s="88" t="s">
        <v>30</v>
      </c>
      <c r="I15" s="88" t="s">
        <v>28</v>
      </c>
    </row>
    <row r="16" spans="1:9">
      <c r="A16" s="10">
        <v>1</v>
      </c>
      <c r="B16" s="10">
        <v>2</v>
      </c>
      <c r="C16" s="10">
        <v>3</v>
      </c>
      <c r="D16" s="11">
        <v>4</v>
      </c>
      <c r="E16" s="11">
        <v>5</v>
      </c>
      <c r="F16" s="11">
        <v>9</v>
      </c>
      <c r="G16" s="51" t="s">
        <v>6</v>
      </c>
      <c r="H16" s="51" t="s">
        <v>26</v>
      </c>
      <c r="I16" s="51" t="s">
        <v>31</v>
      </c>
    </row>
    <row r="17" spans="1:11" ht="18.75" customHeight="1">
      <c r="A17" s="20" t="s">
        <v>9</v>
      </c>
      <c r="B17" s="20"/>
      <c r="C17" s="20"/>
      <c r="D17" s="107" t="s">
        <v>11</v>
      </c>
      <c r="E17" s="108"/>
      <c r="F17" s="23">
        <f t="shared" ref="F17:I17" si="0">F18</f>
        <v>9245252</v>
      </c>
      <c r="G17" s="52">
        <f t="shared" si="0"/>
        <v>9245252</v>
      </c>
      <c r="H17" s="52">
        <f t="shared" si="0"/>
        <v>0</v>
      </c>
      <c r="I17" s="52">
        <f t="shared" si="0"/>
        <v>0</v>
      </c>
      <c r="J17" s="1"/>
      <c r="K17" s="1"/>
    </row>
    <row r="18" spans="1:11" ht="18.75" customHeight="1">
      <c r="A18" s="20" t="s">
        <v>10</v>
      </c>
      <c r="B18" s="19"/>
      <c r="C18" s="19"/>
      <c r="D18" s="107" t="s">
        <v>11</v>
      </c>
      <c r="E18" s="108"/>
      <c r="F18" s="23">
        <f>F19+F24+F28+F29+F30+F32+F33+F34</f>
        <v>9245252</v>
      </c>
      <c r="G18" s="52">
        <f>G19+G24+G28+G29+G30+G32+G33+G34</f>
        <v>9245252</v>
      </c>
      <c r="H18" s="52">
        <f t="shared" ref="H18:I18" si="1">H19+H24+H28+H29+H32+H33+H34</f>
        <v>0</v>
      </c>
      <c r="I18" s="52">
        <f t="shared" si="1"/>
        <v>0</v>
      </c>
      <c r="J18" s="1"/>
    </row>
    <row r="19" spans="1:11" ht="126">
      <c r="A19" s="21" t="s">
        <v>12</v>
      </c>
      <c r="B19" s="21" t="s">
        <v>13</v>
      </c>
      <c r="C19" s="32" t="s">
        <v>14</v>
      </c>
      <c r="D19" s="30" t="s">
        <v>15</v>
      </c>
      <c r="E19" s="18" t="s">
        <v>16</v>
      </c>
      <c r="F19" s="33">
        <f>F20+F21+F22+F23</f>
        <v>1238900</v>
      </c>
      <c r="G19" s="53">
        <f>G20+G21+G22+G23</f>
        <v>1238900</v>
      </c>
      <c r="H19" s="53"/>
      <c r="I19" s="53"/>
    </row>
    <row r="20" spans="1:11" s="25" customFormat="1">
      <c r="A20" s="28"/>
      <c r="B20" s="28"/>
      <c r="C20" s="40"/>
      <c r="D20" s="37"/>
      <c r="E20" s="29" t="s">
        <v>166</v>
      </c>
      <c r="F20" s="34">
        <f>490000+554000</f>
        <v>1044000</v>
      </c>
      <c r="G20" s="54">
        <f>490000+554000</f>
        <v>1044000</v>
      </c>
      <c r="H20" s="54"/>
      <c r="I20" s="54"/>
    </row>
    <row r="21" spans="1:11" s="25" customFormat="1">
      <c r="A21" s="28"/>
      <c r="B21" s="28"/>
      <c r="C21" s="28"/>
      <c r="D21" s="29"/>
      <c r="E21" s="29" t="s">
        <v>167</v>
      </c>
      <c r="F21" s="34">
        <v>100000</v>
      </c>
      <c r="G21" s="54">
        <v>100000</v>
      </c>
      <c r="H21" s="54"/>
      <c r="I21" s="54"/>
    </row>
    <row r="22" spans="1:11" s="25" customFormat="1">
      <c r="A22" s="28"/>
      <c r="B22" s="28"/>
      <c r="C22" s="28"/>
      <c r="D22" s="29"/>
      <c r="E22" s="29" t="s">
        <v>377</v>
      </c>
      <c r="F22" s="34">
        <v>45000</v>
      </c>
      <c r="G22" s="54">
        <v>45000</v>
      </c>
      <c r="H22" s="54"/>
      <c r="I22" s="54"/>
    </row>
    <row r="23" spans="1:11" s="25" customFormat="1">
      <c r="A23" s="28"/>
      <c r="B23" s="28"/>
      <c r="C23" s="28"/>
      <c r="D23" s="29"/>
      <c r="E23" s="29" t="s">
        <v>250</v>
      </c>
      <c r="F23" s="34">
        <v>49900</v>
      </c>
      <c r="G23" s="54">
        <v>49900</v>
      </c>
      <c r="H23" s="54"/>
      <c r="I23" s="54"/>
    </row>
    <row r="24" spans="1:11" ht="36">
      <c r="A24" s="21" t="s">
        <v>301</v>
      </c>
      <c r="B24" s="21" t="s">
        <v>302</v>
      </c>
      <c r="C24" s="48" t="s">
        <v>17</v>
      </c>
      <c r="D24" s="30" t="s">
        <v>18</v>
      </c>
      <c r="E24" s="35" t="s">
        <v>16</v>
      </c>
      <c r="F24" s="33">
        <f>F25+F26+F27</f>
        <v>5300000</v>
      </c>
      <c r="G24" s="53">
        <f>G25+G26+G27</f>
        <v>5300000</v>
      </c>
      <c r="H24" s="53"/>
      <c r="I24" s="53"/>
    </row>
    <row r="25" spans="1:11" ht="36">
      <c r="A25" s="21"/>
      <c r="B25" s="21"/>
      <c r="C25" s="48"/>
      <c r="D25" s="30"/>
      <c r="E25" s="35" t="s">
        <v>369</v>
      </c>
      <c r="F25" s="33">
        <v>4500000</v>
      </c>
      <c r="G25" s="53">
        <v>4500000</v>
      </c>
      <c r="H25" s="53"/>
      <c r="I25" s="53"/>
    </row>
    <row r="26" spans="1:11" ht="54">
      <c r="A26" s="66"/>
      <c r="B26" s="21"/>
      <c r="C26" s="21"/>
      <c r="D26" s="77"/>
      <c r="E26" s="78" t="s">
        <v>342</v>
      </c>
      <c r="F26" s="33">
        <v>400000</v>
      </c>
      <c r="G26" s="89">
        <v>400000</v>
      </c>
      <c r="H26" s="89"/>
      <c r="I26" s="90"/>
    </row>
    <row r="27" spans="1:11" ht="54">
      <c r="A27" s="66"/>
      <c r="B27" s="21"/>
      <c r="C27" s="21"/>
      <c r="D27" s="77"/>
      <c r="E27" s="78" t="s">
        <v>343</v>
      </c>
      <c r="F27" s="33">
        <v>400000</v>
      </c>
      <c r="G27" s="89">
        <v>400000</v>
      </c>
      <c r="H27" s="89"/>
      <c r="I27" s="90"/>
    </row>
    <row r="28" spans="1:11" ht="24.6" customHeight="1">
      <c r="A28" s="21" t="s">
        <v>182</v>
      </c>
      <c r="B28" s="21" t="s">
        <v>183</v>
      </c>
      <c r="C28" s="48" t="s">
        <v>185</v>
      </c>
      <c r="D28" s="30" t="s">
        <v>184</v>
      </c>
      <c r="E28" s="35" t="s">
        <v>46</v>
      </c>
      <c r="F28" s="33">
        <v>27300</v>
      </c>
      <c r="G28" s="53">
        <v>27300</v>
      </c>
      <c r="H28" s="53"/>
      <c r="I28" s="53"/>
    </row>
    <row r="29" spans="1:11" ht="72">
      <c r="A29" s="21" t="s">
        <v>223</v>
      </c>
      <c r="B29" s="21" t="s">
        <v>224</v>
      </c>
      <c r="C29" s="48" t="s">
        <v>225</v>
      </c>
      <c r="D29" s="30" t="s">
        <v>226</v>
      </c>
      <c r="E29" s="35" t="s">
        <v>46</v>
      </c>
      <c r="F29" s="33">
        <v>70000</v>
      </c>
      <c r="G29" s="53">
        <v>70000</v>
      </c>
      <c r="H29" s="53"/>
      <c r="I29" s="53"/>
    </row>
    <row r="30" spans="1:11" ht="36">
      <c r="A30" s="21" t="s">
        <v>376</v>
      </c>
      <c r="B30" s="21" t="s">
        <v>81</v>
      </c>
      <c r="C30" s="32" t="s">
        <v>78</v>
      </c>
      <c r="D30" s="30" t="s">
        <v>82</v>
      </c>
      <c r="E30" s="35" t="s">
        <v>16</v>
      </c>
      <c r="F30" s="33">
        <f>F31</f>
        <v>50000</v>
      </c>
      <c r="G30" s="53">
        <f>G31</f>
        <v>50000</v>
      </c>
      <c r="H30" s="53"/>
      <c r="I30" s="53"/>
    </row>
    <row r="31" spans="1:11">
      <c r="A31" s="21"/>
      <c r="B31" s="21"/>
      <c r="C31" s="48"/>
      <c r="D31" s="30"/>
      <c r="E31" s="29" t="s">
        <v>377</v>
      </c>
      <c r="F31" s="33">
        <v>50000</v>
      </c>
      <c r="G31" s="53">
        <v>50000</v>
      </c>
      <c r="H31" s="53"/>
      <c r="I31" s="53"/>
    </row>
    <row r="32" spans="1:11" ht="36">
      <c r="A32" s="21" t="s">
        <v>186</v>
      </c>
      <c r="B32" s="21" t="s">
        <v>188</v>
      </c>
      <c r="C32" s="48" t="s">
        <v>189</v>
      </c>
      <c r="D32" s="30" t="s">
        <v>187</v>
      </c>
      <c r="E32" s="35" t="s">
        <v>46</v>
      </c>
      <c r="F32" s="33">
        <f>1300000-250000-106000-73880</f>
        <v>870120</v>
      </c>
      <c r="G32" s="53">
        <f>1300000-250000-106000-73880</f>
        <v>870120</v>
      </c>
      <c r="H32" s="53"/>
      <c r="I32" s="53"/>
    </row>
    <row r="33" spans="1:10" ht="36">
      <c r="A33" s="21" t="s">
        <v>251</v>
      </c>
      <c r="B33" s="21" t="s">
        <v>252</v>
      </c>
      <c r="C33" s="48" t="s">
        <v>189</v>
      </c>
      <c r="D33" s="30" t="s">
        <v>292</v>
      </c>
      <c r="E33" s="35" t="s">
        <v>46</v>
      </c>
      <c r="F33" s="33">
        <f>101232+188700</f>
        <v>289932</v>
      </c>
      <c r="G33" s="53">
        <f>101232+188700</f>
        <v>289932</v>
      </c>
      <c r="H33" s="53"/>
      <c r="I33" s="53"/>
    </row>
    <row r="34" spans="1:10" ht="61.95" customHeight="1">
      <c r="A34" s="21" t="s">
        <v>327</v>
      </c>
      <c r="B34" s="21" t="s">
        <v>328</v>
      </c>
      <c r="C34" s="48" t="s">
        <v>189</v>
      </c>
      <c r="D34" s="30" t="s">
        <v>329</v>
      </c>
      <c r="E34" s="73" t="s">
        <v>331</v>
      </c>
      <c r="F34" s="33">
        <v>1399000</v>
      </c>
      <c r="G34" s="53">
        <v>1399000</v>
      </c>
      <c r="H34" s="53"/>
      <c r="I34" s="53"/>
    </row>
    <row r="35" spans="1:10" ht="18.75" customHeight="1">
      <c r="A35" s="20" t="s">
        <v>19</v>
      </c>
      <c r="B35" s="19" t="s">
        <v>20</v>
      </c>
      <c r="C35" s="19" t="s">
        <v>20</v>
      </c>
      <c r="D35" s="107" t="s">
        <v>181</v>
      </c>
      <c r="E35" s="108"/>
      <c r="F35" s="23">
        <f>F36</f>
        <v>11909535</v>
      </c>
      <c r="G35" s="52">
        <f t="shared" ref="G35:I35" si="2">G36</f>
        <v>11321978</v>
      </c>
      <c r="H35" s="52">
        <f t="shared" si="2"/>
        <v>587557</v>
      </c>
      <c r="I35" s="52">
        <f t="shared" si="2"/>
        <v>0</v>
      </c>
      <c r="J35" s="1"/>
    </row>
    <row r="36" spans="1:10" ht="18.75" customHeight="1">
      <c r="A36" s="20" t="s">
        <v>21</v>
      </c>
      <c r="B36" s="19" t="s">
        <v>20</v>
      </c>
      <c r="C36" s="19" t="s">
        <v>20</v>
      </c>
      <c r="D36" s="107" t="s">
        <v>181</v>
      </c>
      <c r="E36" s="108"/>
      <c r="F36" s="23">
        <f>F37+F38+F42+F43+F44+F45</f>
        <v>11909535</v>
      </c>
      <c r="G36" s="23">
        <f t="shared" ref="G36:I36" si="3">G37+G38+G42+G43+G44+G45</f>
        <v>11321978</v>
      </c>
      <c r="H36" s="23">
        <f t="shared" si="3"/>
        <v>587557</v>
      </c>
      <c r="I36" s="23">
        <f t="shared" si="3"/>
        <v>0</v>
      </c>
      <c r="J36" s="1"/>
    </row>
    <row r="37" spans="1:10">
      <c r="A37" s="21" t="s">
        <v>227</v>
      </c>
      <c r="B37" s="21" t="s">
        <v>228</v>
      </c>
      <c r="C37" s="32" t="s">
        <v>229</v>
      </c>
      <c r="D37" s="30" t="s">
        <v>230</v>
      </c>
      <c r="E37" s="35" t="s">
        <v>46</v>
      </c>
      <c r="F37" s="33">
        <f>1600000+1120000+150000+1650000+1500000+1650000-2600000-300000-3200000</f>
        <v>1570000</v>
      </c>
      <c r="G37" s="53">
        <f>7670000-2600000-300000-3200000</f>
        <v>1570000</v>
      </c>
      <c r="H37" s="53"/>
      <c r="I37" s="53"/>
    </row>
    <row r="38" spans="1:10" ht="72">
      <c r="A38" s="21" t="s">
        <v>22</v>
      </c>
      <c r="B38" s="21" t="s">
        <v>23</v>
      </c>
      <c r="C38" s="32" t="s">
        <v>24</v>
      </c>
      <c r="D38" s="30" t="s">
        <v>25</v>
      </c>
      <c r="E38" s="35" t="s">
        <v>16</v>
      </c>
      <c r="F38" s="33">
        <f>F39+F40+F41</f>
        <v>5441885</v>
      </c>
      <c r="G38" s="53">
        <f>G39+G40+G41</f>
        <v>4854328</v>
      </c>
      <c r="H38" s="53">
        <f t="shared" ref="H38:I38" si="4">H39+H40+H41</f>
        <v>587557</v>
      </c>
      <c r="I38" s="53">
        <f t="shared" si="4"/>
        <v>0</v>
      </c>
    </row>
    <row r="39" spans="1:10" ht="139.05000000000001" customHeight="1">
      <c r="A39" s="21"/>
      <c r="B39" s="21"/>
      <c r="C39" s="32"/>
      <c r="D39" s="30"/>
      <c r="E39" s="35" t="s">
        <v>335</v>
      </c>
      <c r="F39" s="33">
        <f>1486596+450000-1349039</f>
        <v>587557</v>
      </c>
      <c r="G39" s="53">
        <f>450000+108000-558000</f>
        <v>0</v>
      </c>
      <c r="H39" s="53">
        <f>1486596-108000-791039</f>
        <v>587557</v>
      </c>
      <c r="I39" s="53"/>
    </row>
    <row r="40" spans="1:10" ht="126">
      <c r="A40" s="21"/>
      <c r="B40" s="21"/>
      <c r="C40" s="32"/>
      <c r="D40" s="30"/>
      <c r="E40" s="35" t="s">
        <v>336</v>
      </c>
      <c r="F40" s="33">
        <v>1145000</v>
      </c>
      <c r="G40" s="53">
        <v>1145000</v>
      </c>
      <c r="H40" s="53"/>
      <c r="I40" s="53"/>
    </row>
    <row r="41" spans="1:10">
      <c r="A41" s="21"/>
      <c r="B41" s="21"/>
      <c r="C41" s="32"/>
      <c r="D41" s="30"/>
      <c r="E41" s="35" t="s">
        <v>46</v>
      </c>
      <c r="F41" s="33">
        <f>7932000+1700000+3300000-4500000-4722672</f>
        <v>3709328</v>
      </c>
      <c r="G41" s="53">
        <f>7932000+1700000+3300000-4500000-4722672</f>
        <v>3709328</v>
      </c>
      <c r="H41" s="53"/>
      <c r="I41" s="53"/>
    </row>
    <row r="42" spans="1:10" ht="72">
      <c r="A42" s="21" t="s">
        <v>253</v>
      </c>
      <c r="B42" s="21" t="s">
        <v>254</v>
      </c>
      <c r="C42" s="48" t="s">
        <v>386</v>
      </c>
      <c r="D42" s="30" t="s">
        <v>389</v>
      </c>
      <c r="E42" s="35" t="s">
        <v>46</v>
      </c>
      <c r="F42" s="33">
        <v>73500</v>
      </c>
      <c r="G42" s="53">
        <v>73500</v>
      </c>
      <c r="H42" s="53"/>
      <c r="I42" s="53"/>
    </row>
    <row r="43" spans="1:10" ht="72">
      <c r="A43" s="21" t="s">
        <v>255</v>
      </c>
      <c r="B43" s="21" t="s">
        <v>256</v>
      </c>
      <c r="C43" s="48" t="s">
        <v>387</v>
      </c>
      <c r="D43" s="30" t="s">
        <v>388</v>
      </c>
      <c r="E43" s="35" t="s">
        <v>46</v>
      </c>
      <c r="F43" s="33">
        <v>40500</v>
      </c>
      <c r="G43" s="53">
        <v>40500</v>
      </c>
      <c r="H43" s="53"/>
      <c r="I43" s="53"/>
    </row>
    <row r="44" spans="1:10" ht="108">
      <c r="A44" s="21" t="s">
        <v>384</v>
      </c>
      <c r="B44" s="21" t="s">
        <v>385</v>
      </c>
      <c r="C44" s="48" t="s">
        <v>125</v>
      </c>
      <c r="D44" s="30" t="s">
        <v>390</v>
      </c>
      <c r="E44" s="35" t="s">
        <v>46</v>
      </c>
      <c r="F44" s="33">
        <v>283650</v>
      </c>
      <c r="G44" s="53">
        <v>283650</v>
      </c>
      <c r="H44" s="53"/>
      <c r="I44" s="53"/>
    </row>
    <row r="45" spans="1:10" ht="54">
      <c r="A45" s="21" t="s">
        <v>231</v>
      </c>
      <c r="B45" s="21">
        <v>8110</v>
      </c>
      <c r="C45" s="32" t="s">
        <v>92</v>
      </c>
      <c r="D45" s="30" t="s">
        <v>93</v>
      </c>
      <c r="E45" s="35" t="s">
        <v>46</v>
      </c>
      <c r="F45" s="33">
        <f>1000000+3500000</f>
        <v>4500000</v>
      </c>
      <c r="G45" s="53">
        <f>1000000+3500000</f>
        <v>4500000</v>
      </c>
      <c r="H45" s="53"/>
      <c r="I45" s="53"/>
    </row>
    <row r="46" spans="1:10" ht="18.75" customHeight="1">
      <c r="A46" s="20" t="s">
        <v>32</v>
      </c>
      <c r="B46" s="19" t="s">
        <v>20</v>
      </c>
      <c r="C46" s="19" t="s">
        <v>20</v>
      </c>
      <c r="D46" s="107" t="s">
        <v>33</v>
      </c>
      <c r="E46" s="108"/>
      <c r="F46" s="23">
        <f>F47</f>
        <v>12555341</v>
      </c>
      <c r="G46" s="52">
        <f t="shared" ref="G46:I46" si="5">G47</f>
        <v>12555341</v>
      </c>
      <c r="H46" s="52">
        <f t="shared" si="5"/>
        <v>0</v>
      </c>
      <c r="I46" s="52">
        <f t="shared" si="5"/>
        <v>0</v>
      </c>
      <c r="J46" s="1"/>
    </row>
    <row r="47" spans="1:10" ht="18.75" customHeight="1">
      <c r="A47" s="20" t="s">
        <v>34</v>
      </c>
      <c r="B47" s="19" t="s">
        <v>20</v>
      </c>
      <c r="C47" s="19" t="s">
        <v>20</v>
      </c>
      <c r="D47" s="107" t="s">
        <v>33</v>
      </c>
      <c r="E47" s="108"/>
      <c r="F47" s="23">
        <f>F48+F49+F50+F51+F52+F53</f>
        <v>12555341</v>
      </c>
      <c r="G47" s="52">
        <f t="shared" ref="G47:I47" si="6">G48+G49+G50+G51+G52+G53</f>
        <v>12555341</v>
      </c>
      <c r="H47" s="52">
        <f t="shared" si="6"/>
        <v>0</v>
      </c>
      <c r="I47" s="52">
        <f t="shared" si="6"/>
        <v>0</v>
      </c>
      <c r="J47" s="1"/>
    </row>
    <row r="48" spans="1:10" ht="72">
      <c r="A48" s="21" t="s">
        <v>35</v>
      </c>
      <c r="B48" s="21" t="s">
        <v>36</v>
      </c>
      <c r="C48" s="32" t="s">
        <v>14</v>
      </c>
      <c r="D48" s="30" t="s">
        <v>37</v>
      </c>
      <c r="E48" s="35" t="s">
        <v>46</v>
      </c>
      <c r="F48" s="33">
        <v>400000</v>
      </c>
      <c r="G48" s="53">
        <v>400000</v>
      </c>
      <c r="H48" s="53"/>
      <c r="I48" s="53"/>
    </row>
    <row r="49" spans="1:11" ht="108">
      <c r="A49" s="21" t="s">
        <v>38</v>
      </c>
      <c r="B49" s="21" t="s">
        <v>39</v>
      </c>
      <c r="C49" s="32" t="s">
        <v>40</v>
      </c>
      <c r="D49" s="30" t="s">
        <v>41</v>
      </c>
      <c r="E49" s="35" t="s">
        <v>46</v>
      </c>
      <c r="F49" s="33">
        <v>88000</v>
      </c>
      <c r="G49" s="53">
        <v>88000</v>
      </c>
      <c r="H49" s="53"/>
      <c r="I49" s="53"/>
    </row>
    <row r="50" spans="1:11" ht="54" customHeight="1">
      <c r="A50" s="21" t="s">
        <v>42</v>
      </c>
      <c r="B50" s="21" t="s">
        <v>43</v>
      </c>
      <c r="C50" s="32" t="s">
        <v>44</v>
      </c>
      <c r="D50" s="30" t="s">
        <v>45</v>
      </c>
      <c r="E50" s="35" t="s">
        <v>46</v>
      </c>
      <c r="F50" s="33">
        <f>84500-24500</f>
        <v>60000</v>
      </c>
      <c r="G50" s="53">
        <f>84500-24500</f>
        <v>60000</v>
      </c>
      <c r="H50" s="53"/>
      <c r="I50" s="53"/>
    </row>
    <row r="51" spans="1:11" ht="184.95" customHeight="1">
      <c r="A51" s="21" t="s">
        <v>209</v>
      </c>
      <c r="B51" s="21" t="s">
        <v>210</v>
      </c>
      <c r="C51" s="21" t="s">
        <v>211</v>
      </c>
      <c r="D51" s="111" t="s">
        <v>212</v>
      </c>
      <c r="E51" s="112"/>
      <c r="F51" s="64">
        <v>3280161</v>
      </c>
      <c r="G51" s="53">
        <v>3280161</v>
      </c>
      <c r="H51" s="53"/>
      <c r="I51" s="53"/>
    </row>
    <row r="52" spans="1:11" ht="188.4" customHeight="1">
      <c r="A52" s="21" t="s">
        <v>219</v>
      </c>
      <c r="B52" s="21" t="s">
        <v>220</v>
      </c>
      <c r="C52" s="21" t="s">
        <v>211</v>
      </c>
      <c r="D52" s="111" t="s">
        <v>221</v>
      </c>
      <c r="E52" s="112"/>
      <c r="F52" s="64">
        <f>2353300+4133348</f>
        <v>6486648</v>
      </c>
      <c r="G52" s="53">
        <f>2353300+4133348</f>
        <v>6486648</v>
      </c>
      <c r="H52" s="53"/>
      <c r="I52" s="53"/>
    </row>
    <row r="53" spans="1:11" ht="138.44999999999999" customHeight="1">
      <c r="A53" s="21" t="s">
        <v>213</v>
      </c>
      <c r="B53" s="21" t="s">
        <v>214</v>
      </c>
      <c r="C53" s="21" t="s">
        <v>211</v>
      </c>
      <c r="D53" s="113" t="s">
        <v>215</v>
      </c>
      <c r="E53" s="114"/>
      <c r="F53" s="64">
        <v>2240532</v>
      </c>
      <c r="G53" s="53">
        <v>2240532</v>
      </c>
      <c r="H53" s="53"/>
      <c r="I53" s="53"/>
    </row>
    <row r="54" spans="1:11" ht="18.75" customHeight="1">
      <c r="A54" s="20" t="s">
        <v>232</v>
      </c>
      <c r="B54" s="19" t="s">
        <v>20</v>
      </c>
      <c r="C54" s="19" t="s">
        <v>20</v>
      </c>
      <c r="D54" s="107" t="s">
        <v>233</v>
      </c>
      <c r="E54" s="108"/>
      <c r="F54" s="23">
        <f>F55</f>
        <v>1035000</v>
      </c>
      <c r="G54" s="52">
        <f>G55</f>
        <v>1035000</v>
      </c>
      <c r="H54" s="52"/>
      <c r="I54" s="52"/>
      <c r="J54" s="1"/>
    </row>
    <row r="55" spans="1:11" ht="18.75" customHeight="1">
      <c r="A55" s="20" t="s">
        <v>234</v>
      </c>
      <c r="B55" s="19" t="s">
        <v>20</v>
      </c>
      <c r="C55" s="19" t="s">
        <v>20</v>
      </c>
      <c r="D55" s="107" t="s">
        <v>233</v>
      </c>
      <c r="E55" s="108"/>
      <c r="F55" s="23">
        <f>F56+F57</f>
        <v>1035000</v>
      </c>
      <c r="G55" s="52">
        <f>G56+G57</f>
        <v>1035000</v>
      </c>
      <c r="H55" s="52"/>
      <c r="I55" s="52"/>
      <c r="J55" s="1"/>
    </row>
    <row r="56" spans="1:11" ht="72">
      <c r="A56" s="21" t="s">
        <v>235</v>
      </c>
      <c r="B56" s="21" t="s">
        <v>36</v>
      </c>
      <c r="C56" s="32" t="s">
        <v>14</v>
      </c>
      <c r="D56" s="30" t="s">
        <v>37</v>
      </c>
      <c r="E56" s="35" t="s">
        <v>46</v>
      </c>
      <c r="F56" s="33">
        <v>35000</v>
      </c>
      <c r="G56" s="53">
        <v>35000</v>
      </c>
      <c r="H56" s="53"/>
      <c r="I56" s="53"/>
    </row>
    <row r="57" spans="1:11" ht="144">
      <c r="A57" s="21" t="s">
        <v>338</v>
      </c>
      <c r="B57" s="21">
        <v>6083</v>
      </c>
      <c r="C57" s="32" t="s">
        <v>47</v>
      </c>
      <c r="D57" s="30" t="s">
        <v>332</v>
      </c>
      <c r="E57" s="35" t="s">
        <v>333</v>
      </c>
      <c r="F57" s="33">
        <v>1000000</v>
      </c>
      <c r="G57" s="53">
        <v>1000000</v>
      </c>
      <c r="H57" s="53"/>
      <c r="I57" s="53"/>
      <c r="J57" s="74"/>
      <c r="K57" s="25"/>
    </row>
    <row r="58" spans="1:11" ht="18.75" customHeight="1">
      <c r="A58" s="20" t="s">
        <v>48</v>
      </c>
      <c r="B58" s="19" t="s">
        <v>20</v>
      </c>
      <c r="C58" s="19" t="s">
        <v>20</v>
      </c>
      <c r="D58" s="107" t="s">
        <v>49</v>
      </c>
      <c r="E58" s="108"/>
      <c r="F58" s="23">
        <f>F59</f>
        <v>94000</v>
      </c>
      <c r="G58" s="52">
        <f t="shared" ref="G58:I58" si="7">G59</f>
        <v>94000</v>
      </c>
      <c r="H58" s="52">
        <f t="shared" si="7"/>
        <v>0</v>
      </c>
      <c r="I58" s="52">
        <f t="shared" si="7"/>
        <v>0</v>
      </c>
      <c r="J58" s="1"/>
    </row>
    <row r="59" spans="1:11" ht="18.75" customHeight="1">
      <c r="A59" s="20" t="s">
        <v>50</v>
      </c>
      <c r="B59" s="19" t="s">
        <v>20</v>
      </c>
      <c r="C59" s="19" t="s">
        <v>20</v>
      </c>
      <c r="D59" s="107" t="s">
        <v>49</v>
      </c>
      <c r="E59" s="108"/>
      <c r="F59" s="23">
        <f>F60+F61</f>
        <v>94000</v>
      </c>
      <c r="G59" s="52">
        <f t="shared" ref="G59:I59" si="8">G60+G61</f>
        <v>94000</v>
      </c>
      <c r="H59" s="52">
        <f t="shared" si="8"/>
        <v>0</v>
      </c>
      <c r="I59" s="52">
        <f t="shared" si="8"/>
        <v>0</v>
      </c>
      <c r="J59" s="1"/>
    </row>
    <row r="60" spans="1:11">
      <c r="A60" s="21" t="s">
        <v>51</v>
      </c>
      <c r="B60" s="21" t="s">
        <v>52</v>
      </c>
      <c r="C60" s="32" t="s">
        <v>53</v>
      </c>
      <c r="D60" s="30" t="s">
        <v>54</v>
      </c>
      <c r="E60" s="35" t="s">
        <v>46</v>
      </c>
      <c r="F60" s="33">
        <v>74000</v>
      </c>
      <c r="G60" s="53">
        <v>74000</v>
      </c>
      <c r="H60" s="53"/>
      <c r="I60" s="53"/>
    </row>
    <row r="61" spans="1:11" ht="72">
      <c r="A61" s="21" t="s">
        <v>55</v>
      </c>
      <c r="B61" s="21" t="s">
        <v>56</v>
      </c>
      <c r="C61" s="32" t="s">
        <v>57</v>
      </c>
      <c r="D61" s="30" t="s">
        <v>58</v>
      </c>
      <c r="E61" s="35" t="s">
        <v>46</v>
      </c>
      <c r="F61" s="33">
        <v>20000</v>
      </c>
      <c r="G61" s="53">
        <v>20000</v>
      </c>
      <c r="H61" s="53"/>
      <c r="I61" s="53"/>
    </row>
    <row r="62" spans="1:11" ht="18.75" customHeight="1">
      <c r="A62" s="20" t="s">
        <v>59</v>
      </c>
      <c r="B62" s="19" t="s">
        <v>20</v>
      </c>
      <c r="C62" s="19" t="s">
        <v>20</v>
      </c>
      <c r="D62" s="107" t="s">
        <v>60</v>
      </c>
      <c r="E62" s="108"/>
      <c r="F62" s="23">
        <f>F63</f>
        <v>171000</v>
      </c>
      <c r="G62" s="52">
        <f t="shared" ref="G62:I63" si="9">G63</f>
        <v>171000</v>
      </c>
      <c r="H62" s="52">
        <f t="shared" si="9"/>
        <v>0</v>
      </c>
      <c r="I62" s="52">
        <f t="shared" si="9"/>
        <v>0</v>
      </c>
      <c r="J62" s="1"/>
    </row>
    <row r="63" spans="1:11" ht="18.75" customHeight="1">
      <c r="A63" s="20" t="s">
        <v>61</v>
      </c>
      <c r="B63" s="19" t="s">
        <v>20</v>
      </c>
      <c r="C63" s="19" t="s">
        <v>20</v>
      </c>
      <c r="D63" s="107" t="s">
        <v>60</v>
      </c>
      <c r="E63" s="108"/>
      <c r="F63" s="23">
        <f>F64</f>
        <v>171000</v>
      </c>
      <c r="G63" s="52">
        <f t="shared" si="9"/>
        <v>171000</v>
      </c>
      <c r="H63" s="52">
        <f t="shared" si="9"/>
        <v>0</v>
      </c>
      <c r="I63" s="52">
        <f t="shared" si="9"/>
        <v>0</v>
      </c>
      <c r="J63" s="1"/>
    </row>
    <row r="64" spans="1:11" ht="72">
      <c r="A64" s="21" t="s">
        <v>62</v>
      </c>
      <c r="B64" s="21" t="s">
        <v>36</v>
      </c>
      <c r="C64" s="32" t="s">
        <v>14</v>
      </c>
      <c r="D64" s="30" t="s">
        <v>37</v>
      </c>
      <c r="E64" s="35" t="s">
        <v>46</v>
      </c>
      <c r="F64" s="33">
        <f>50000+121000</f>
        <v>171000</v>
      </c>
      <c r="G64" s="53">
        <f>50000+121000</f>
        <v>171000</v>
      </c>
      <c r="H64" s="53"/>
      <c r="I64" s="53"/>
    </row>
    <row r="65" spans="1:11" ht="40.799999999999997" customHeight="1">
      <c r="A65" s="20" t="s">
        <v>63</v>
      </c>
      <c r="B65" s="19" t="s">
        <v>20</v>
      </c>
      <c r="C65" s="19" t="s">
        <v>20</v>
      </c>
      <c r="D65" s="107" t="s">
        <v>64</v>
      </c>
      <c r="E65" s="108"/>
      <c r="F65" s="23">
        <f>F66</f>
        <v>44113447.32</v>
      </c>
      <c r="G65" s="52">
        <f>G66</f>
        <v>44005447.32</v>
      </c>
      <c r="H65" s="52">
        <f t="shared" ref="H65:I65" si="10">H66</f>
        <v>108000</v>
      </c>
      <c r="I65" s="52">
        <f t="shared" si="10"/>
        <v>0</v>
      </c>
      <c r="J65" s="1"/>
    </row>
    <row r="66" spans="1:11" ht="40.799999999999997" customHeight="1">
      <c r="A66" s="20" t="s">
        <v>65</v>
      </c>
      <c r="B66" s="19" t="s">
        <v>20</v>
      </c>
      <c r="C66" s="19" t="s">
        <v>20</v>
      </c>
      <c r="D66" s="107" t="s">
        <v>64</v>
      </c>
      <c r="E66" s="108"/>
      <c r="F66" s="23">
        <f>F67+F68+F97+F98+F104+F105+F114+F120+F123+F127+F129</f>
        <v>44113447.32</v>
      </c>
      <c r="G66" s="23">
        <f t="shared" ref="G66:H66" si="11">G67+G68+G97+G98+G104+G105+G114+G120+G123+G127+G129</f>
        <v>44005447.32</v>
      </c>
      <c r="H66" s="23">
        <f t="shared" si="11"/>
        <v>108000</v>
      </c>
      <c r="I66" s="52">
        <f t="shared" ref="I66" si="12">I67+I68+I97+I98+I104+I105+I114+I120+I123+I129</f>
        <v>0</v>
      </c>
      <c r="J66" s="1"/>
      <c r="K66" s="1"/>
    </row>
    <row r="67" spans="1:11" ht="72">
      <c r="A67" s="21" t="s">
        <v>66</v>
      </c>
      <c r="B67" s="21" t="s">
        <v>36</v>
      </c>
      <c r="C67" s="32" t="s">
        <v>14</v>
      </c>
      <c r="D67" s="30" t="s">
        <v>37</v>
      </c>
      <c r="E67" s="35" t="s">
        <v>46</v>
      </c>
      <c r="F67" s="33">
        <v>199800</v>
      </c>
      <c r="G67" s="53">
        <f>199800-108000</f>
        <v>91800</v>
      </c>
      <c r="H67" s="53">
        <v>108000</v>
      </c>
      <c r="I67" s="53"/>
    </row>
    <row r="68" spans="1:11" ht="36">
      <c r="A68" s="21">
        <v>1216011</v>
      </c>
      <c r="B68" s="21">
        <v>6011</v>
      </c>
      <c r="C68" s="32" t="s">
        <v>47</v>
      </c>
      <c r="D68" s="30" t="s">
        <v>67</v>
      </c>
      <c r="E68" s="35" t="s">
        <v>16</v>
      </c>
      <c r="F68" s="33">
        <f>SUM(F69:F88)</f>
        <v>14561447.15</v>
      </c>
      <c r="G68" s="53">
        <f>SUM(G69:G88)</f>
        <v>14561447.15</v>
      </c>
      <c r="H68" s="53"/>
      <c r="I68" s="53"/>
    </row>
    <row r="69" spans="1:11" ht="162">
      <c r="A69" s="21"/>
      <c r="B69" s="21"/>
      <c r="C69" s="32"/>
      <c r="D69" s="30"/>
      <c r="E69" s="35" t="s">
        <v>165</v>
      </c>
      <c r="F69" s="33">
        <v>598000</v>
      </c>
      <c r="G69" s="53">
        <v>598000</v>
      </c>
      <c r="H69" s="53"/>
      <c r="I69" s="53"/>
    </row>
    <row r="70" spans="1:11" ht="72">
      <c r="A70" s="21"/>
      <c r="B70" s="21"/>
      <c r="C70" s="32"/>
      <c r="D70" s="30"/>
      <c r="E70" s="35" t="s">
        <v>379</v>
      </c>
      <c r="F70" s="33">
        <v>911100</v>
      </c>
      <c r="G70" s="53">
        <v>911100</v>
      </c>
      <c r="H70" s="53"/>
      <c r="I70" s="53"/>
    </row>
    <row r="71" spans="1:11" ht="36">
      <c r="A71" s="21"/>
      <c r="B71" s="21"/>
      <c r="C71" s="32"/>
      <c r="D71" s="30"/>
      <c r="E71" s="35" t="s">
        <v>304</v>
      </c>
      <c r="F71" s="33">
        <f>62500+7000</f>
        <v>69500</v>
      </c>
      <c r="G71" s="53">
        <f>62500+7000</f>
        <v>69500</v>
      </c>
      <c r="H71" s="53"/>
      <c r="I71" s="53"/>
    </row>
    <row r="72" spans="1:11" ht="72">
      <c r="A72" s="21"/>
      <c r="B72" s="21"/>
      <c r="C72" s="32"/>
      <c r="D72" s="30"/>
      <c r="E72" s="35" t="s">
        <v>380</v>
      </c>
      <c r="F72" s="33">
        <v>911100</v>
      </c>
      <c r="G72" s="53">
        <v>911100</v>
      </c>
      <c r="H72" s="53"/>
      <c r="I72" s="53"/>
    </row>
    <row r="73" spans="1:11" ht="36">
      <c r="A73" s="21"/>
      <c r="B73" s="21"/>
      <c r="C73" s="32"/>
      <c r="D73" s="30"/>
      <c r="E73" s="35" t="s">
        <v>303</v>
      </c>
      <c r="F73" s="33">
        <f>62500+7000</f>
        <v>69500</v>
      </c>
      <c r="G73" s="53">
        <f>62500+7000</f>
        <v>69500</v>
      </c>
      <c r="H73" s="53"/>
      <c r="I73" s="53"/>
    </row>
    <row r="74" spans="1:11" ht="54">
      <c r="A74" s="21"/>
      <c r="B74" s="21"/>
      <c r="C74" s="32"/>
      <c r="D74" s="30"/>
      <c r="E74" s="35" t="s">
        <v>74</v>
      </c>
      <c r="F74" s="33">
        <v>550000</v>
      </c>
      <c r="G74" s="53">
        <v>550000</v>
      </c>
      <c r="H74" s="53"/>
      <c r="I74" s="53"/>
    </row>
    <row r="75" spans="1:11" ht="36">
      <c r="A75" s="21"/>
      <c r="B75" s="21"/>
      <c r="C75" s="32"/>
      <c r="D75" s="30"/>
      <c r="E75" s="30" t="s">
        <v>236</v>
      </c>
      <c r="F75" s="33">
        <v>48000</v>
      </c>
      <c r="G75" s="53">
        <v>48000</v>
      </c>
      <c r="H75" s="53"/>
      <c r="I75" s="53"/>
    </row>
    <row r="76" spans="1:11" ht="36">
      <c r="A76" s="21"/>
      <c r="B76" s="21"/>
      <c r="C76" s="32"/>
      <c r="D76" s="30"/>
      <c r="E76" s="30" t="s">
        <v>237</v>
      </c>
      <c r="F76" s="33">
        <v>1452000</v>
      </c>
      <c r="G76" s="53">
        <v>1452000</v>
      </c>
      <c r="H76" s="53"/>
      <c r="I76" s="53"/>
    </row>
    <row r="77" spans="1:11" ht="72">
      <c r="A77" s="21"/>
      <c r="B77" s="21"/>
      <c r="C77" s="32"/>
      <c r="D77" s="30"/>
      <c r="E77" s="30" t="s">
        <v>381</v>
      </c>
      <c r="F77" s="33">
        <v>685700</v>
      </c>
      <c r="G77" s="53">
        <v>685700</v>
      </c>
      <c r="H77" s="53"/>
      <c r="I77" s="53"/>
    </row>
    <row r="78" spans="1:11" ht="72">
      <c r="A78" s="21"/>
      <c r="B78" s="21"/>
      <c r="C78" s="32"/>
      <c r="D78" s="30"/>
      <c r="E78" s="30" t="s">
        <v>382</v>
      </c>
      <c r="F78" s="33">
        <v>685700</v>
      </c>
      <c r="G78" s="53">
        <v>685700</v>
      </c>
      <c r="H78" s="53"/>
      <c r="I78" s="53"/>
    </row>
    <row r="79" spans="1:11" ht="36">
      <c r="A79" s="21"/>
      <c r="B79" s="21"/>
      <c r="C79" s="32"/>
      <c r="D79" s="30"/>
      <c r="E79" s="35" t="s">
        <v>73</v>
      </c>
      <c r="F79" s="33">
        <v>100000</v>
      </c>
      <c r="G79" s="53">
        <v>100000</v>
      </c>
      <c r="H79" s="53"/>
      <c r="I79" s="53"/>
    </row>
    <row r="80" spans="1:11" ht="54">
      <c r="A80" s="21"/>
      <c r="B80" s="21"/>
      <c r="C80" s="32"/>
      <c r="D80" s="30"/>
      <c r="E80" s="70" t="s">
        <v>305</v>
      </c>
      <c r="F80" s="33">
        <v>83938</v>
      </c>
      <c r="G80" s="53">
        <v>83938</v>
      </c>
      <c r="H80" s="53"/>
      <c r="I80" s="53"/>
    </row>
    <row r="81" spans="1:9" ht="54">
      <c r="A81" s="21"/>
      <c r="B81" s="21"/>
      <c r="C81" s="32"/>
      <c r="D81" s="30"/>
      <c r="E81" s="70" t="s">
        <v>306</v>
      </c>
      <c r="F81" s="33">
        <v>85297</v>
      </c>
      <c r="G81" s="53">
        <v>85297</v>
      </c>
      <c r="H81" s="53"/>
      <c r="I81" s="53"/>
    </row>
    <row r="82" spans="1:9" ht="54">
      <c r="A82" s="21"/>
      <c r="B82" s="21"/>
      <c r="C82" s="32"/>
      <c r="D82" s="30"/>
      <c r="E82" s="70" t="s">
        <v>307</v>
      </c>
      <c r="F82" s="33">
        <v>73615</v>
      </c>
      <c r="G82" s="53">
        <v>73615</v>
      </c>
      <c r="H82" s="53"/>
      <c r="I82" s="53"/>
    </row>
    <row r="83" spans="1:9" ht="36">
      <c r="A83" s="21"/>
      <c r="B83" s="21"/>
      <c r="C83" s="32"/>
      <c r="D83" s="30"/>
      <c r="E83" s="30" t="s">
        <v>238</v>
      </c>
      <c r="F83" s="33">
        <v>800000</v>
      </c>
      <c r="G83" s="53">
        <v>800000</v>
      </c>
      <c r="H83" s="53"/>
      <c r="I83" s="53"/>
    </row>
    <row r="84" spans="1:9">
      <c r="A84" s="21"/>
      <c r="B84" s="21"/>
      <c r="C84" s="32"/>
      <c r="D84" s="30"/>
      <c r="E84" s="35" t="s">
        <v>75</v>
      </c>
      <c r="F84" s="33">
        <f>230600+400000</f>
        <v>630600</v>
      </c>
      <c r="G84" s="53">
        <f>230600+400000</f>
        <v>630600</v>
      </c>
      <c r="H84" s="53"/>
      <c r="I84" s="53"/>
    </row>
    <row r="85" spans="1:9">
      <c r="A85" s="21"/>
      <c r="B85" s="21"/>
      <c r="C85" s="32"/>
      <c r="D85" s="30"/>
      <c r="E85" s="35" t="s">
        <v>245</v>
      </c>
      <c r="F85" s="33">
        <f>3000000+210000-200000-200000-100000</f>
        <v>2710000</v>
      </c>
      <c r="G85" s="53">
        <f>3000000+210000-200000-200000-100000</f>
        <v>2710000</v>
      </c>
      <c r="H85" s="53"/>
      <c r="I85" s="53"/>
    </row>
    <row r="86" spans="1:9">
      <c r="A86" s="21"/>
      <c r="B86" s="21"/>
      <c r="C86" s="32"/>
      <c r="D86" s="30"/>
      <c r="E86" s="35" t="s">
        <v>75</v>
      </c>
      <c r="F86" s="33">
        <v>600000</v>
      </c>
      <c r="G86" s="53">
        <v>600000</v>
      </c>
      <c r="H86" s="53"/>
      <c r="I86" s="53"/>
    </row>
    <row r="87" spans="1:9" ht="36">
      <c r="A87" s="21"/>
      <c r="B87" s="21"/>
      <c r="C87" s="32"/>
      <c r="D87" s="30"/>
      <c r="E87" s="35" t="s">
        <v>392</v>
      </c>
      <c r="F87" s="33">
        <v>500000</v>
      </c>
      <c r="G87" s="53">
        <v>500000</v>
      </c>
      <c r="H87" s="53"/>
      <c r="I87" s="53"/>
    </row>
    <row r="88" spans="1:9" ht="72">
      <c r="A88" s="21"/>
      <c r="B88" s="21"/>
      <c r="C88" s="32"/>
      <c r="D88" s="30"/>
      <c r="E88" s="35" t="s">
        <v>68</v>
      </c>
      <c r="F88" s="33">
        <f>SUM(F89:F96)</f>
        <v>2997397.15</v>
      </c>
      <c r="G88" s="53">
        <f>SUM(G89:G96)</f>
        <v>2997397.15</v>
      </c>
      <c r="H88" s="53"/>
      <c r="I88" s="53"/>
    </row>
    <row r="89" spans="1:9" s="25" customFormat="1" ht="54">
      <c r="A89" s="28"/>
      <c r="B89" s="28"/>
      <c r="C89" s="40"/>
      <c r="D89" s="37"/>
      <c r="E89" s="36" t="s">
        <v>69</v>
      </c>
      <c r="F89" s="34">
        <f>152934.75+19116.85</f>
        <v>172051.6</v>
      </c>
      <c r="G89" s="54">
        <f>152934.75+19116.85</f>
        <v>172051.6</v>
      </c>
      <c r="H89" s="54"/>
      <c r="I89" s="54"/>
    </row>
    <row r="90" spans="1:9" s="25" customFormat="1" ht="54">
      <c r="A90" s="28"/>
      <c r="B90" s="28"/>
      <c r="C90" s="40"/>
      <c r="D90" s="37"/>
      <c r="E90" s="36" t="s">
        <v>324</v>
      </c>
      <c r="F90" s="34">
        <f>373727.2+46715.9+562017.23</f>
        <v>982460.33000000007</v>
      </c>
      <c r="G90" s="54">
        <f>373727.2+46715.9+562017.23</f>
        <v>982460.33000000007</v>
      </c>
      <c r="H90" s="54"/>
      <c r="I90" s="54"/>
    </row>
    <row r="91" spans="1:9" s="25" customFormat="1" ht="72">
      <c r="A91" s="28"/>
      <c r="B91" s="28"/>
      <c r="C91" s="40"/>
      <c r="D91" s="37"/>
      <c r="E91" s="36" t="s">
        <v>70</v>
      </c>
      <c r="F91" s="34">
        <f>40000+5000</f>
        <v>45000</v>
      </c>
      <c r="G91" s="54">
        <f>40000+5000</f>
        <v>45000</v>
      </c>
      <c r="H91" s="54"/>
      <c r="I91" s="54"/>
    </row>
    <row r="92" spans="1:9" s="25" customFormat="1" ht="54">
      <c r="A92" s="28"/>
      <c r="B92" s="28"/>
      <c r="C92" s="40"/>
      <c r="D92" s="37"/>
      <c r="E92" s="36" t="s">
        <v>71</v>
      </c>
      <c r="F92" s="34">
        <f>400000+50000</f>
        <v>450000</v>
      </c>
      <c r="G92" s="54">
        <f>400000+50000</f>
        <v>450000</v>
      </c>
      <c r="H92" s="54"/>
      <c r="I92" s="54"/>
    </row>
    <row r="93" spans="1:9" s="25" customFormat="1" ht="54">
      <c r="A93" s="28"/>
      <c r="B93" s="28"/>
      <c r="C93" s="40"/>
      <c r="D93" s="37"/>
      <c r="E93" s="36" t="s">
        <v>216</v>
      </c>
      <c r="F93" s="34">
        <f>378000-28524.96</f>
        <v>349475.04</v>
      </c>
      <c r="G93" s="54">
        <f>378000-28524.96</f>
        <v>349475.04</v>
      </c>
      <c r="H93" s="54"/>
      <c r="I93" s="54"/>
    </row>
    <row r="94" spans="1:9" s="25" customFormat="1" ht="72">
      <c r="A94" s="28"/>
      <c r="B94" s="28"/>
      <c r="C94" s="40"/>
      <c r="D94" s="37"/>
      <c r="E94" s="36" t="s">
        <v>72</v>
      </c>
      <c r="F94" s="34">
        <f>27337.22+3417.16</f>
        <v>30754.38</v>
      </c>
      <c r="G94" s="54">
        <f>27337.22+3417.16</f>
        <v>30754.38</v>
      </c>
      <c r="H94" s="54"/>
      <c r="I94" s="54"/>
    </row>
    <row r="95" spans="1:9" s="25" customFormat="1" ht="54">
      <c r="A95" s="28"/>
      <c r="B95" s="28"/>
      <c r="C95" s="40"/>
      <c r="D95" s="37"/>
      <c r="E95" s="36" t="s">
        <v>326</v>
      </c>
      <c r="F95" s="34">
        <f>379444.8+47430.6+1451585.7-1869200</f>
        <v>9261.0999999998603</v>
      </c>
      <c r="G95" s="54">
        <f>379444.8+47430.6+1451585.7-1869200</f>
        <v>9261.0999999998603</v>
      </c>
      <c r="H95" s="54"/>
      <c r="I95" s="54"/>
    </row>
    <row r="96" spans="1:9" s="25" customFormat="1" ht="72">
      <c r="A96" s="28"/>
      <c r="B96" s="28"/>
      <c r="C96" s="40"/>
      <c r="D96" s="37"/>
      <c r="E96" s="36" t="s">
        <v>325</v>
      </c>
      <c r="F96" s="34">
        <f>375515.2+46939.4+535940.1</f>
        <v>958394.7</v>
      </c>
      <c r="G96" s="54">
        <f>375515.2+46939.4+535940.1</f>
        <v>958394.7</v>
      </c>
      <c r="H96" s="54"/>
      <c r="I96" s="54"/>
    </row>
    <row r="97" spans="1:9" ht="54">
      <c r="A97" s="21" t="s">
        <v>308</v>
      </c>
      <c r="B97" s="21" t="s">
        <v>109</v>
      </c>
      <c r="C97" s="32" t="s">
        <v>78</v>
      </c>
      <c r="D97" s="30" t="s">
        <v>110</v>
      </c>
      <c r="E97" s="35" t="s">
        <v>309</v>
      </c>
      <c r="F97" s="33">
        <f>122724</f>
        <v>122724</v>
      </c>
      <c r="G97" s="53">
        <f>122724</f>
        <v>122724</v>
      </c>
      <c r="H97" s="53"/>
      <c r="I97" s="53"/>
    </row>
    <row r="98" spans="1:9" ht="36">
      <c r="A98" s="21" t="s">
        <v>76</v>
      </c>
      <c r="B98" s="21" t="s">
        <v>77</v>
      </c>
      <c r="C98" s="32" t="s">
        <v>78</v>
      </c>
      <c r="D98" s="30" t="s">
        <v>79</v>
      </c>
      <c r="E98" s="35" t="s">
        <v>16</v>
      </c>
      <c r="F98" s="33">
        <f>F99</f>
        <v>1391959.38</v>
      </c>
      <c r="G98" s="53">
        <f>G99</f>
        <v>1391959.38</v>
      </c>
      <c r="H98" s="53"/>
      <c r="I98" s="53"/>
    </row>
    <row r="99" spans="1:9" ht="72">
      <c r="A99" s="21"/>
      <c r="B99" s="21"/>
      <c r="C99" s="32"/>
      <c r="D99" s="30"/>
      <c r="E99" s="35" t="s">
        <v>68</v>
      </c>
      <c r="F99" s="33">
        <f>F100+F101+F102+F103</f>
        <v>1391959.38</v>
      </c>
      <c r="G99" s="53">
        <f>G100+G101+G102+G103</f>
        <v>1391959.38</v>
      </c>
      <c r="H99" s="53"/>
      <c r="I99" s="53"/>
    </row>
    <row r="100" spans="1:9" s="25" customFormat="1" ht="54">
      <c r="A100" s="28"/>
      <c r="B100" s="28"/>
      <c r="C100" s="28"/>
      <c r="D100" s="29"/>
      <c r="E100" s="37" t="s">
        <v>190</v>
      </c>
      <c r="F100" s="38">
        <f>382905.94+44644.06</f>
        <v>427550</v>
      </c>
      <c r="G100" s="56">
        <f>382905.94+44644.06</f>
        <v>427550</v>
      </c>
      <c r="H100" s="54"/>
      <c r="I100" s="54"/>
    </row>
    <row r="101" spans="1:9" s="25" customFormat="1" ht="54">
      <c r="A101" s="28"/>
      <c r="B101" s="28"/>
      <c r="C101" s="28"/>
      <c r="D101" s="29"/>
      <c r="E101" s="37" t="s">
        <v>334</v>
      </c>
      <c r="F101" s="38">
        <v>495000</v>
      </c>
      <c r="G101" s="56">
        <v>495000</v>
      </c>
      <c r="H101" s="54"/>
      <c r="I101" s="54"/>
    </row>
    <row r="102" spans="1:9" s="25" customFormat="1" ht="36">
      <c r="A102" s="28"/>
      <c r="B102" s="28"/>
      <c r="C102" s="28"/>
      <c r="D102" s="29"/>
      <c r="E102" s="37" t="s">
        <v>217</v>
      </c>
      <c r="F102" s="38">
        <v>45000</v>
      </c>
      <c r="G102" s="56">
        <v>45000</v>
      </c>
      <c r="H102" s="54"/>
      <c r="I102" s="54"/>
    </row>
    <row r="103" spans="1:9" s="25" customFormat="1" ht="54">
      <c r="A103" s="28"/>
      <c r="B103" s="28"/>
      <c r="C103" s="28"/>
      <c r="D103" s="29"/>
      <c r="E103" s="37" t="s">
        <v>83</v>
      </c>
      <c r="F103" s="38">
        <f>377779.54+46629.84</f>
        <v>424409.38</v>
      </c>
      <c r="G103" s="56">
        <f>377779.54+46629.84</f>
        <v>424409.38</v>
      </c>
      <c r="H103" s="54"/>
      <c r="I103" s="54"/>
    </row>
    <row r="104" spans="1:9" ht="90">
      <c r="A104" s="21" t="s">
        <v>293</v>
      </c>
      <c r="B104" s="21" t="s">
        <v>294</v>
      </c>
      <c r="C104" s="21" t="s">
        <v>78</v>
      </c>
      <c r="D104" s="35" t="s">
        <v>295</v>
      </c>
      <c r="E104" s="30" t="s">
        <v>46</v>
      </c>
      <c r="F104" s="39">
        <f>540000+99990</f>
        <v>639990</v>
      </c>
      <c r="G104" s="55">
        <f>540000+99990</f>
        <v>639990</v>
      </c>
      <c r="H104" s="53"/>
      <c r="I104" s="53"/>
    </row>
    <row r="105" spans="1:9" ht="36">
      <c r="A105" s="21" t="s">
        <v>80</v>
      </c>
      <c r="B105" s="21" t="s">
        <v>81</v>
      </c>
      <c r="C105" s="32" t="s">
        <v>78</v>
      </c>
      <c r="D105" s="30" t="s">
        <v>82</v>
      </c>
      <c r="E105" s="35" t="s">
        <v>16</v>
      </c>
      <c r="F105" s="33">
        <f>F106+F107+F108+F109+F110+F111</f>
        <v>1897832</v>
      </c>
      <c r="G105" s="53">
        <f t="shared" ref="G105:I105" si="13">G106+G107+G108+G109+G110+G111</f>
        <v>1897832</v>
      </c>
      <c r="H105" s="53">
        <f t="shared" si="13"/>
        <v>0</v>
      </c>
      <c r="I105" s="53">
        <f t="shared" si="13"/>
        <v>0</v>
      </c>
    </row>
    <row r="106" spans="1:9" s="25" customFormat="1" ht="72">
      <c r="A106" s="28"/>
      <c r="B106" s="28"/>
      <c r="C106" s="28"/>
      <c r="D106" s="29"/>
      <c r="E106" s="31" t="s">
        <v>84</v>
      </c>
      <c r="F106" s="39">
        <v>220000</v>
      </c>
      <c r="G106" s="55">
        <v>220000</v>
      </c>
      <c r="H106" s="54"/>
      <c r="I106" s="54"/>
    </row>
    <row r="107" spans="1:9" s="25" customFormat="1" ht="40.950000000000003" customHeight="1">
      <c r="A107" s="28"/>
      <c r="B107" s="28"/>
      <c r="C107" s="28"/>
      <c r="D107" s="29"/>
      <c r="E107" s="31" t="s">
        <v>85</v>
      </c>
      <c r="F107" s="39">
        <v>50000</v>
      </c>
      <c r="G107" s="55">
        <v>50000</v>
      </c>
      <c r="H107" s="54"/>
      <c r="I107" s="54"/>
    </row>
    <row r="108" spans="1:9" s="25" customFormat="1" ht="54">
      <c r="A108" s="28"/>
      <c r="B108" s="28"/>
      <c r="C108" s="28"/>
      <c r="D108" s="29"/>
      <c r="E108" s="35" t="s">
        <v>86</v>
      </c>
      <c r="F108" s="33">
        <f>741099.08+49800+48600</f>
        <v>839499.08</v>
      </c>
      <c r="G108" s="53">
        <f>741099.08+49800+48600</f>
        <v>839499.08</v>
      </c>
      <c r="H108" s="54"/>
      <c r="I108" s="54"/>
    </row>
    <row r="109" spans="1:9" ht="36">
      <c r="A109" s="21"/>
      <c r="B109" s="21"/>
      <c r="C109" s="21"/>
      <c r="D109" s="18"/>
      <c r="E109" s="30" t="s">
        <v>180</v>
      </c>
      <c r="F109" s="39">
        <f>100800-1821</f>
        <v>98979</v>
      </c>
      <c r="G109" s="55">
        <f>100800-1821</f>
        <v>98979</v>
      </c>
      <c r="H109" s="53"/>
      <c r="I109" s="53"/>
    </row>
    <row r="110" spans="1:9" ht="54">
      <c r="A110" s="21"/>
      <c r="B110" s="21"/>
      <c r="C110" s="21"/>
      <c r="D110" s="18"/>
      <c r="E110" s="30" t="s">
        <v>191</v>
      </c>
      <c r="F110" s="39">
        <f>261000-14000</f>
        <v>247000</v>
      </c>
      <c r="G110" s="55">
        <f>261000-14000</f>
        <v>247000</v>
      </c>
      <c r="H110" s="53"/>
      <c r="I110" s="53"/>
    </row>
    <row r="111" spans="1:9" s="25" customFormat="1" ht="72">
      <c r="A111" s="28"/>
      <c r="B111" s="28"/>
      <c r="C111" s="28"/>
      <c r="D111" s="29"/>
      <c r="E111" s="35" t="s">
        <v>68</v>
      </c>
      <c r="F111" s="33">
        <f>F112+F113</f>
        <v>442353.91999999998</v>
      </c>
      <c r="G111" s="53">
        <f>G112+G113</f>
        <v>442353.91999999998</v>
      </c>
      <c r="H111" s="54"/>
      <c r="I111" s="54"/>
    </row>
    <row r="112" spans="1:9" s="25" customFormat="1" ht="56.4" customHeight="1">
      <c r="A112" s="28"/>
      <c r="B112" s="28"/>
      <c r="C112" s="28"/>
      <c r="D112" s="29"/>
      <c r="E112" s="37" t="s">
        <v>87</v>
      </c>
      <c r="F112" s="38">
        <f>34555.23+33444.77</f>
        <v>68000</v>
      </c>
      <c r="G112" s="56">
        <f>34555.23+33444.77</f>
        <v>68000</v>
      </c>
      <c r="H112" s="54"/>
      <c r="I112" s="54"/>
    </row>
    <row r="113" spans="1:9" s="25" customFormat="1" ht="64.2" customHeight="1">
      <c r="A113" s="28"/>
      <c r="B113" s="28"/>
      <c r="C113" s="28"/>
      <c r="D113" s="29"/>
      <c r="E113" s="37" t="s">
        <v>341</v>
      </c>
      <c r="F113" s="38">
        <f>189169.08+194830.92-9646.08</f>
        <v>374353.91999999998</v>
      </c>
      <c r="G113" s="56">
        <f>189169.08+194830.92-9646.08</f>
        <v>374353.91999999998</v>
      </c>
      <c r="H113" s="54"/>
      <c r="I113" s="54"/>
    </row>
    <row r="114" spans="1:9" ht="36">
      <c r="A114" s="10">
        <v>1217310</v>
      </c>
      <c r="B114" s="48" t="s">
        <v>344</v>
      </c>
      <c r="C114" s="48" t="s">
        <v>88</v>
      </c>
      <c r="D114" s="35" t="s">
        <v>345</v>
      </c>
      <c r="E114" s="18" t="s">
        <v>16</v>
      </c>
      <c r="F114" s="33">
        <f>F115+F116+F117+F118+F119</f>
        <v>4212206.6400000006</v>
      </c>
      <c r="G114" s="53">
        <f>G115+G116+G117+G118+G119</f>
        <v>4212206.6400000006</v>
      </c>
      <c r="H114" s="53"/>
      <c r="I114" s="90"/>
    </row>
    <row r="115" spans="1:9" ht="72">
      <c r="A115" s="10"/>
      <c r="B115" s="48"/>
      <c r="C115" s="48"/>
      <c r="D115" s="35"/>
      <c r="E115" s="18" t="s">
        <v>346</v>
      </c>
      <c r="F115" s="33">
        <f>2100000+85206.64</f>
        <v>2185206.64</v>
      </c>
      <c r="G115" s="91">
        <f>2100000+85206.64</f>
        <v>2185206.64</v>
      </c>
      <c r="H115" s="91"/>
      <c r="I115" s="90"/>
    </row>
    <row r="116" spans="1:9" ht="54">
      <c r="A116" s="10"/>
      <c r="B116" s="48"/>
      <c r="C116" s="48"/>
      <c r="D116" s="35"/>
      <c r="E116" s="18" t="s">
        <v>347</v>
      </c>
      <c r="F116" s="33">
        <f>225000+75000</f>
        <v>300000</v>
      </c>
      <c r="G116" s="91">
        <f>225000+75000</f>
        <v>300000</v>
      </c>
      <c r="H116" s="91"/>
      <c r="I116" s="90"/>
    </row>
    <row r="117" spans="1:9" ht="36">
      <c r="A117" s="10"/>
      <c r="B117" s="48"/>
      <c r="C117" s="48"/>
      <c r="D117" s="35"/>
      <c r="E117" s="18" t="s">
        <v>348</v>
      </c>
      <c r="F117" s="33">
        <f>1150000+350000-735000</f>
        <v>765000</v>
      </c>
      <c r="G117" s="91">
        <f>1150000+350000-735000</f>
        <v>765000</v>
      </c>
      <c r="H117" s="91"/>
      <c r="I117" s="90"/>
    </row>
    <row r="118" spans="1:9" ht="36">
      <c r="A118" s="10"/>
      <c r="B118" s="48"/>
      <c r="C118" s="48"/>
      <c r="D118" s="35"/>
      <c r="E118" s="79" t="s">
        <v>349</v>
      </c>
      <c r="F118" s="33">
        <v>582000</v>
      </c>
      <c r="G118" s="91">
        <v>582000</v>
      </c>
      <c r="H118" s="91"/>
      <c r="I118" s="90"/>
    </row>
    <row r="119" spans="1:9" ht="72">
      <c r="A119" s="10"/>
      <c r="B119" s="48"/>
      <c r="C119" s="48"/>
      <c r="D119" s="35"/>
      <c r="E119" s="79" t="s">
        <v>350</v>
      </c>
      <c r="F119" s="33">
        <v>380000</v>
      </c>
      <c r="G119" s="91">
        <v>380000</v>
      </c>
      <c r="H119" s="91"/>
      <c r="I119" s="90"/>
    </row>
    <row r="120" spans="1:9" ht="30.6" customHeight="1">
      <c r="A120" s="21">
        <v>1217640</v>
      </c>
      <c r="B120" s="32">
        <v>7640</v>
      </c>
      <c r="C120" s="30" t="s">
        <v>89</v>
      </c>
      <c r="D120" s="35" t="s">
        <v>90</v>
      </c>
      <c r="E120" s="35" t="s">
        <v>16</v>
      </c>
      <c r="F120" s="33">
        <f>F121</f>
        <v>324089.55</v>
      </c>
      <c r="G120" s="53">
        <f>G121</f>
        <v>324089.55</v>
      </c>
      <c r="H120" s="53"/>
      <c r="I120" s="53"/>
    </row>
    <row r="121" spans="1:9" s="25" customFormat="1" ht="72">
      <c r="A121" s="28"/>
      <c r="B121" s="28"/>
      <c r="C121" s="28"/>
      <c r="D121" s="29"/>
      <c r="E121" s="35" t="s">
        <v>68</v>
      </c>
      <c r="F121" s="33">
        <f>F122</f>
        <v>324089.55</v>
      </c>
      <c r="G121" s="53">
        <f>G122</f>
        <v>324089.55</v>
      </c>
      <c r="H121" s="54"/>
      <c r="I121" s="54"/>
    </row>
    <row r="122" spans="1:9" s="25" customFormat="1" ht="54">
      <c r="A122" s="28"/>
      <c r="B122" s="28"/>
      <c r="C122" s="28"/>
      <c r="D122" s="29"/>
      <c r="E122" s="36" t="s">
        <v>91</v>
      </c>
      <c r="F122" s="34">
        <f>24079.6+300009.95</f>
        <v>324089.55</v>
      </c>
      <c r="G122" s="54">
        <f>24079.6+300009.95</f>
        <v>324089.55</v>
      </c>
      <c r="H122" s="54"/>
      <c r="I122" s="54"/>
    </row>
    <row r="123" spans="1:9" ht="36">
      <c r="A123" s="10">
        <v>1217670</v>
      </c>
      <c r="B123" s="48" t="s">
        <v>351</v>
      </c>
      <c r="C123" s="63" t="s">
        <v>125</v>
      </c>
      <c r="D123" s="30" t="s">
        <v>352</v>
      </c>
      <c r="E123" s="79" t="s">
        <v>16</v>
      </c>
      <c r="F123" s="33">
        <f>F124+F125+F126</f>
        <v>11896600</v>
      </c>
      <c r="G123" s="53">
        <f>G124+G126</f>
        <v>11896600</v>
      </c>
      <c r="H123" s="91"/>
      <c r="I123" s="90"/>
    </row>
    <row r="124" spans="1:9" s="25" customFormat="1">
      <c r="A124" s="80"/>
      <c r="B124" s="81"/>
      <c r="C124" s="82"/>
      <c r="D124" s="37"/>
      <c r="E124" s="83" t="s">
        <v>353</v>
      </c>
      <c r="F124" s="34">
        <f>9446600</f>
        <v>9446600</v>
      </c>
      <c r="G124" s="92">
        <f>9446600+1930000</f>
        <v>11376600</v>
      </c>
      <c r="H124" s="92"/>
      <c r="I124" s="93"/>
    </row>
    <row r="125" spans="1:9" s="25" customFormat="1" ht="36">
      <c r="A125" s="80"/>
      <c r="B125" s="81"/>
      <c r="C125" s="82"/>
      <c r="D125" s="37"/>
      <c r="E125" s="83" t="s">
        <v>394</v>
      </c>
      <c r="F125" s="34">
        <v>1930000</v>
      </c>
      <c r="G125" s="92"/>
      <c r="H125" s="92"/>
      <c r="I125" s="93"/>
    </row>
    <row r="126" spans="1:9" s="25" customFormat="1">
      <c r="A126" s="80"/>
      <c r="B126" s="81"/>
      <c r="C126" s="82"/>
      <c r="D126" s="37"/>
      <c r="E126" s="83" t="s">
        <v>354</v>
      </c>
      <c r="F126" s="34">
        <v>520000</v>
      </c>
      <c r="G126" s="92">
        <v>520000</v>
      </c>
      <c r="H126" s="92"/>
      <c r="I126" s="93"/>
    </row>
    <row r="127" spans="1:9" ht="36">
      <c r="A127" s="10">
        <v>1217693</v>
      </c>
      <c r="B127" s="48" t="s">
        <v>149</v>
      </c>
      <c r="C127" s="63" t="s">
        <v>125</v>
      </c>
      <c r="D127" s="30" t="s">
        <v>150</v>
      </c>
      <c r="E127" s="79" t="s">
        <v>16</v>
      </c>
      <c r="F127" s="33">
        <f>F128</f>
        <v>5111684</v>
      </c>
      <c r="G127" s="91">
        <f>G128</f>
        <v>5111684</v>
      </c>
      <c r="H127" s="91"/>
      <c r="I127" s="90"/>
    </row>
    <row r="128" spans="1:9" s="25" customFormat="1">
      <c r="A128" s="80"/>
      <c r="B128" s="81"/>
      <c r="C128" s="82"/>
      <c r="D128" s="37"/>
      <c r="E128" s="83" t="s">
        <v>391</v>
      </c>
      <c r="F128" s="34">
        <f>5111684</f>
        <v>5111684</v>
      </c>
      <c r="G128" s="92">
        <v>5111684</v>
      </c>
      <c r="H128" s="92"/>
      <c r="I128" s="93"/>
    </row>
    <row r="129" spans="1:11" ht="54">
      <c r="A129" s="21">
        <v>1218110</v>
      </c>
      <c r="B129" s="32">
        <v>8110</v>
      </c>
      <c r="C129" s="30" t="s">
        <v>92</v>
      </c>
      <c r="D129" s="35" t="s">
        <v>93</v>
      </c>
      <c r="E129" s="35" t="s">
        <v>16</v>
      </c>
      <c r="F129" s="33">
        <f>F130+F131+F132</f>
        <v>3755114.6</v>
      </c>
      <c r="G129" s="53">
        <f>G130+G131+G132</f>
        <v>3755114.6</v>
      </c>
      <c r="H129" s="53"/>
      <c r="I129" s="53"/>
    </row>
    <row r="130" spans="1:11" ht="108">
      <c r="A130" s="21"/>
      <c r="B130" s="21"/>
      <c r="C130" s="21"/>
      <c r="D130" s="18"/>
      <c r="E130" s="18" t="s">
        <v>134</v>
      </c>
      <c r="F130" s="33">
        <v>1170000</v>
      </c>
      <c r="G130" s="53">
        <v>1170000</v>
      </c>
      <c r="H130" s="53"/>
      <c r="I130" s="53"/>
    </row>
    <row r="131" spans="1:11" ht="54">
      <c r="A131" s="21"/>
      <c r="B131" s="21"/>
      <c r="C131" s="21"/>
      <c r="D131" s="18"/>
      <c r="E131" s="18" t="s">
        <v>135</v>
      </c>
      <c r="F131" s="33">
        <f>2639114.6-1150000</f>
        <v>1489114.6</v>
      </c>
      <c r="G131" s="53">
        <f>2639114.6-1150000</f>
        <v>1489114.6</v>
      </c>
      <c r="H131" s="53"/>
      <c r="I131" s="53"/>
    </row>
    <row r="132" spans="1:11" ht="54">
      <c r="A132" s="21"/>
      <c r="B132" s="21"/>
      <c r="C132" s="21"/>
      <c r="D132" s="18"/>
      <c r="E132" s="18" t="s">
        <v>257</v>
      </c>
      <c r="F132" s="33">
        <f>1500000-404000</f>
        <v>1096000</v>
      </c>
      <c r="G132" s="53">
        <f>1500000-404000</f>
        <v>1096000</v>
      </c>
      <c r="H132" s="53"/>
      <c r="I132" s="53"/>
    </row>
    <row r="133" spans="1:11" ht="37.950000000000003" customHeight="1">
      <c r="A133" s="20" t="s">
        <v>94</v>
      </c>
      <c r="B133" s="19" t="s">
        <v>20</v>
      </c>
      <c r="C133" s="19" t="s">
        <v>20</v>
      </c>
      <c r="D133" s="115" t="s">
        <v>95</v>
      </c>
      <c r="E133" s="115"/>
      <c r="F133" s="23">
        <f>F134</f>
        <v>176966780.82999998</v>
      </c>
      <c r="G133" s="52">
        <f t="shared" ref="G133:I133" si="14">G134</f>
        <v>161225349.82999998</v>
      </c>
      <c r="H133" s="52">
        <f t="shared" si="14"/>
        <v>10141431</v>
      </c>
      <c r="I133" s="52">
        <f t="shared" si="14"/>
        <v>5600000</v>
      </c>
      <c r="J133" s="1"/>
    </row>
    <row r="134" spans="1:11" ht="37.950000000000003" customHeight="1">
      <c r="A134" s="20" t="s">
        <v>96</v>
      </c>
      <c r="B134" s="19" t="s">
        <v>20</v>
      </c>
      <c r="C134" s="19" t="s">
        <v>20</v>
      </c>
      <c r="D134" s="107" t="s">
        <v>95</v>
      </c>
      <c r="E134" s="108"/>
      <c r="F134" s="23">
        <f>F135+F136+F139+F140+F177+F180+F198+F202+F224+F225+F235+F242+F262+F271</f>
        <v>176966780.82999998</v>
      </c>
      <c r="G134" s="52">
        <f t="shared" ref="G134:I134" si="15">G135+G136+G139+G140+G177+G180+G198+G202+G224+G225+G235+G242+G262+G271</f>
        <v>161225349.82999998</v>
      </c>
      <c r="H134" s="52">
        <f t="shared" si="15"/>
        <v>10141431</v>
      </c>
      <c r="I134" s="52">
        <f t="shared" si="15"/>
        <v>5600000</v>
      </c>
      <c r="J134" s="1"/>
      <c r="K134" s="1"/>
    </row>
    <row r="135" spans="1:11" ht="126">
      <c r="A135" s="21">
        <v>1510150</v>
      </c>
      <c r="B135" s="32">
        <v>150</v>
      </c>
      <c r="C135" s="30" t="s">
        <v>14</v>
      </c>
      <c r="D135" s="35" t="s">
        <v>15</v>
      </c>
      <c r="E135" s="35" t="s">
        <v>97</v>
      </c>
      <c r="F135" s="33">
        <f>550229.42-11200</f>
        <v>539029.42000000004</v>
      </c>
      <c r="G135" s="53">
        <f>550229.42-11200</f>
        <v>539029.42000000004</v>
      </c>
      <c r="H135" s="53"/>
      <c r="I135" s="53"/>
    </row>
    <row r="136" spans="1:11" ht="36">
      <c r="A136" s="21">
        <v>1512010</v>
      </c>
      <c r="B136" s="32">
        <v>2010</v>
      </c>
      <c r="C136" s="30" t="s">
        <v>17</v>
      </c>
      <c r="D136" s="35" t="s">
        <v>18</v>
      </c>
      <c r="E136" s="35" t="s">
        <v>16</v>
      </c>
      <c r="F136" s="33">
        <f>F137+F138</f>
        <v>12254240.16</v>
      </c>
      <c r="G136" s="53">
        <f t="shared" ref="G136:I136" si="16">G137+G138</f>
        <v>6654240.1600000001</v>
      </c>
      <c r="H136" s="53">
        <f t="shared" si="16"/>
        <v>0</v>
      </c>
      <c r="I136" s="53">
        <f t="shared" si="16"/>
        <v>5600000</v>
      </c>
    </row>
    <row r="137" spans="1:11" ht="108">
      <c r="A137" s="21"/>
      <c r="B137" s="32"/>
      <c r="C137" s="30"/>
      <c r="D137" s="35"/>
      <c r="E137" s="35" t="s">
        <v>98</v>
      </c>
      <c r="F137" s="33">
        <v>11568240.16</v>
      </c>
      <c r="G137" s="53">
        <v>5968240.1600000001</v>
      </c>
      <c r="H137" s="53"/>
      <c r="I137" s="53">
        <v>5600000</v>
      </c>
    </row>
    <row r="138" spans="1:11" ht="126">
      <c r="A138" s="21"/>
      <c r="B138" s="32"/>
      <c r="C138" s="30"/>
      <c r="D138" s="35"/>
      <c r="E138" s="35" t="s">
        <v>339</v>
      </c>
      <c r="F138" s="33">
        <v>686000</v>
      </c>
      <c r="G138" s="53">
        <v>686000</v>
      </c>
      <c r="H138" s="53"/>
      <c r="I138" s="53"/>
    </row>
    <row r="139" spans="1:11" ht="90">
      <c r="A139" s="21" t="s">
        <v>296</v>
      </c>
      <c r="B139" s="32">
        <v>2111</v>
      </c>
      <c r="C139" s="35" t="s">
        <v>225</v>
      </c>
      <c r="D139" s="35" t="s">
        <v>226</v>
      </c>
      <c r="E139" s="35" t="s">
        <v>340</v>
      </c>
      <c r="F139" s="33">
        <v>450000</v>
      </c>
      <c r="G139" s="53">
        <v>450000</v>
      </c>
      <c r="H139" s="53"/>
      <c r="I139" s="53"/>
    </row>
    <row r="140" spans="1:11" ht="36">
      <c r="A140" s="21" t="s">
        <v>99</v>
      </c>
      <c r="B140" s="32" t="s">
        <v>100</v>
      </c>
      <c r="C140" s="30" t="s">
        <v>47</v>
      </c>
      <c r="D140" s="35" t="s">
        <v>67</v>
      </c>
      <c r="E140" s="35" t="s">
        <v>16</v>
      </c>
      <c r="F140" s="33">
        <f>SUM(F141:F176)</f>
        <v>8007811.7199999997</v>
      </c>
      <c r="G140" s="53">
        <f t="shared" ref="G140:I140" si="17">SUM(G141:G176)</f>
        <v>8007811.7199999997</v>
      </c>
      <c r="H140" s="53">
        <f t="shared" si="17"/>
        <v>0</v>
      </c>
      <c r="I140" s="53">
        <f t="shared" si="17"/>
        <v>0</v>
      </c>
    </row>
    <row r="141" spans="1:11" ht="54">
      <c r="A141" s="21"/>
      <c r="B141" s="32"/>
      <c r="C141" s="30"/>
      <c r="D141" s="35"/>
      <c r="E141" s="41" t="s">
        <v>258</v>
      </c>
      <c r="F141" s="33">
        <f>50000-554.73</f>
        <v>49445.27</v>
      </c>
      <c r="G141" s="53">
        <f>50000-554.73</f>
        <v>49445.27</v>
      </c>
      <c r="H141" s="53"/>
      <c r="I141" s="53"/>
    </row>
    <row r="142" spans="1:11" s="25" customFormat="1" ht="36">
      <c r="A142" s="28"/>
      <c r="B142" s="28"/>
      <c r="C142" s="28"/>
      <c r="D142" s="29"/>
      <c r="E142" s="30" t="s">
        <v>310</v>
      </c>
      <c r="F142" s="43">
        <v>50000</v>
      </c>
      <c r="G142" s="57">
        <v>50000</v>
      </c>
      <c r="H142" s="54"/>
      <c r="I142" s="54"/>
    </row>
    <row r="143" spans="1:11" s="25" customFormat="1" ht="36">
      <c r="A143" s="28"/>
      <c r="B143" s="28"/>
      <c r="C143" s="28"/>
      <c r="D143" s="29"/>
      <c r="E143" s="41" t="s">
        <v>101</v>
      </c>
      <c r="F143" s="43">
        <f>1521966.3-39885.24</f>
        <v>1482081.06</v>
      </c>
      <c r="G143" s="57">
        <f>1521966.3-39885.24</f>
        <v>1482081.06</v>
      </c>
      <c r="H143" s="54"/>
      <c r="I143" s="54"/>
    </row>
    <row r="144" spans="1:11" s="25" customFormat="1" ht="54">
      <c r="A144" s="28"/>
      <c r="B144" s="28"/>
      <c r="C144" s="28"/>
      <c r="D144" s="29"/>
      <c r="E144" s="41" t="s">
        <v>162</v>
      </c>
      <c r="F144" s="43">
        <f>195577.45-16436.15</f>
        <v>179141.30000000002</v>
      </c>
      <c r="G144" s="57">
        <f>195577.45-16436.15</f>
        <v>179141.30000000002</v>
      </c>
      <c r="H144" s="54"/>
      <c r="I144" s="54"/>
    </row>
    <row r="145" spans="1:9" s="25" customFormat="1" ht="54">
      <c r="A145" s="28"/>
      <c r="B145" s="28"/>
      <c r="C145" s="28"/>
      <c r="D145" s="29"/>
      <c r="E145" s="41" t="s">
        <v>102</v>
      </c>
      <c r="F145" s="43">
        <f>128577+159861.37</f>
        <v>288438.37</v>
      </c>
      <c r="G145" s="57">
        <f>128577+159861.37</f>
        <v>288438.37</v>
      </c>
      <c r="H145" s="54"/>
      <c r="I145" s="54"/>
    </row>
    <row r="146" spans="1:9" s="25" customFormat="1" ht="36">
      <c r="A146" s="28"/>
      <c r="B146" s="28"/>
      <c r="C146" s="28"/>
      <c r="D146" s="29"/>
      <c r="E146" s="41" t="s">
        <v>103</v>
      </c>
      <c r="F146" s="43">
        <f>371069+260282.07+254815.94</f>
        <v>886167.01</v>
      </c>
      <c r="G146" s="57">
        <f>371069+260282.07+254815.94</f>
        <v>886167.01</v>
      </c>
      <c r="H146" s="54"/>
      <c r="I146" s="54"/>
    </row>
    <row r="147" spans="1:9" s="25" customFormat="1" ht="54">
      <c r="A147" s="28"/>
      <c r="B147" s="28"/>
      <c r="C147" s="28"/>
      <c r="D147" s="29"/>
      <c r="E147" s="68" t="s">
        <v>274</v>
      </c>
      <c r="F147" s="43">
        <v>73246.070000000007</v>
      </c>
      <c r="G147" s="57">
        <v>73246.070000000007</v>
      </c>
      <c r="H147" s="54"/>
      <c r="I147" s="54"/>
    </row>
    <row r="148" spans="1:9" s="25" customFormat="1" ht="54">
      <c r="A148" s="28"/>
      <c r="B148" s="28"/>
      <c r="C148" s="28"/>
      <c r="D148" s="29"/>
      <c r="E148" s="68" t="s">
        <v>275</v>
      </c>
      <c r="F148" s="43">
        <v>61159.98</v>
      </c>
      <c r="G148" s="57">
        <v>61159.98</v>
      </c>
      <c r="H148" s="54"/>
      <c r="I148" s="54"/>
    </row>
    <row r="149" spans="1:9" s="25" customFormat="1" ht="54">
      <c r="A149" s="28"/>
      <c r="B149" s="28"/>
      <c r="C149" s="28"/>
      <c r="D149" s="29"/>
      <c r="E149" s="68" t="s">
        <v>276</v>
      </c>
      <c r="F149" s="43">
        <v>61931.54</v>
      </c>
      <c r="G149" s="57">
        <v>61931.54</v>
      </c>
      <c r="H149" s="54"/>
      <c r="I149" s="54"/>
    </row>
    <row r="150" spans="1:9" s="25" customFormat="1" ht="54">
      <c r="A150" s="28"/>
      <c r="B150" s="28"/>
      <c r="C150" s="28"/>
      <c r="D150" s="29"/>
      <c r="E150" s="68" t="s">
        <v>289</v>
      </c>
      <c r="F150" s="43">
        <v>250000</v>
      </c>
      <c r="G150" s="57">
        <v>250000</v>
      </c>
      <c r="H150" s="54"/>
      <c r="I150" s="54"/>
    </row>
    <row r="151" spans="1:9" s="25" customFormat="1" ht="54">
      <c r="A151" s="28"/>
      <c r="B151" s="28"/>
      <c r="C151" s="28"/>
      <c r="D151" s="29"/>
      <c r="E151" s="68" t="s">
        <v>277</v>
      </c>
      <c r="F151" s="43">
        <v>129255.31</v>
      </c>
      <c r="G151" s="57">
        <v>129255.31</v>
      </c>
      <c r="H151" s="54"/>
      <c r="I151" s="54"/>
    </row>
    <row r="152" spans="1:9" s="25" customFormat="1" ht="36" customHeight="1">
      <c r="A152" s="28"/>
      <c r="B152" s="28"/>
      <c r="C152" s="28"/>
      <c r="D152" s="29"/>
      <c r="E152" s="41" t="s">
        <v>259</v>
      </c>
      <c r="F152" s="43">
        <v>212865.41</v>
      </c>
      <c r="G152" s="57">
        <v>212865.41</v>
      </c>
      <c r="H152" s="54"/>
      <c r="I152" s="54"/>
    </row>
    <row r="153" spans="1:9" s="25" customFormat="1" ht="54">
      <c r="A153" s="28"/>
      <c r="B153" s="28"/>
      <c r="C153" s="28"/>
      <c r="D153" s="29"/>
      <c r="E153" s="41" t="s">
        <v>260</v>
      </c>
      <c r="F153" s="43">
        <v>97680</v>
      </c>
      <c r="G153" s="57">
        <v>97680</v>
      </c>
      <c r="H153" s="54"/>
      <c r="I153" s="54"/>
    </row>
    <row r="154" spans="1:9" s="25" customFormat="1" ht="54">
      <c r="A154" s="28"/>
      <c r="B154" s="28"/>
      <c r="C154" s="28"/>
      <c r="D154" s="29"/>
      <c r="E154" s="41" t="s">
        <v>261</v>
      </c>
      <c r="F154" s="43">
        <v>88900</v>
      </c>
      <c r="G154" s="57">
        <v>88900</v>
      </c>
      <c r="H154" s="54"/>
      <c r="I154" s="54"/>
    </row>
    <row r="155" spans="1:9" s="25" customFormat="1" ht="34.950000000000003" customHeight="1">
      <c r="A155" s="28"/>
      <c r="B155" s="28"/>
      <c r="C155" s="28"/>
      <c r="D155" s="29"/>
      <c r="E155" s="41" t="s">
        <v>262</v>
      </c>
      <c r="F155" s="43">
        <v>133035.41</v>
      </c>
      <c r="G155" s="57">
        <v>133035.41</v>
      </c>
      <c r="H155" s="54"/>
      <c r="I155" s="54"/>
    </row>
    <row r="156" spans="1:9" s="25" customFormat="1" ht="54">
      <c r="A156" s="28"/>
      <c r="B156" s="28"/>
      <c r="C156" s="28"/>
      <c r="D156" s="29"/>
      <c r="E156" s="41" t="s">
        <v>263</v>
      </c>
      <c r="F156" s="43">
        <v>257340.7</v>
      </c>
      <c r="G156" s="57">
        <v>257340.7</v>
      </c>
      <c r="H156" s="54"/>
      <c r="I156" s="54"/>
    </row>
    <row r="157" spans="1:9" s="25" customFormat="1" ht="36">
      <c r="A157" s="28"/>
      <c r="B157" s="28"/>
      <c r="C157" s="28"/>
      <c r="D157" s="29"/>
      <c r="E157" s="30" t="s">
        <v>264</v>
      </c>
      <c r="F157" s="43">
        <v>352761</v>
      </c>
      <c r="G157" s="57">
        <v>352761</v>
      </c>
      <c r="H157" s="54"/>
      <c r="I157" s="54"/>
    </row>
    <row r="158" spans="1:9" s="25" customFormat="1" ht="36">
      <c r="A158" s="28"/>
      <c r="B158" s="28"/>
      <c r="C158" s="28"/>
      <c r="D158" s="29"/>
      <c r="E158" s="30" t="s">
        <v>297</v>
      </c>
      <c r="F158" s="43">
        <v>300000</v>
      </c>
      <c r="G158" s="57">
        <v>300000</v>
      </c>
      <c r="H158" s="54"/>
      <c r="I158" s="54"/>
    </row>
    <row r="159" spans="1:9" s="25" customFormat="1" ht="54">
      <c r="A159" s="28"/>
      <c r="B159" s="28"/>
      <c r="C159" s="28"/>
      <c r="D159" s="29"/>
      <c r="E159" s="41" t="s">
        <v>265</v>
      </c>
      <c r="F159" s="43">
        <v>68062.539999999994</v>
      </c>
      <c r="G159" s="57">
        <v>68062.539999999994</v>
      </c>
      <c r="H159" s="54"/>
      <c r="I159" s="54"/>
    </row>
    <row r="160" spans="1:9" s="25" customFormat="1" ht="36">
      <c r="A160" s="28"/>
      <c r="B160" s="28"/>
      <c r="C160" s="28"/>
      <c r="D160" s="29"/>
      <c r="E160" s="41" t="s">
        <v>104</v>
      </c>
      <c r="F160" s="43">
        <f>92033+96808.06</f>
        <v>188841.06</v>
      </c>
      <c r="G160" s="57">
        <f>92033+96808.06</f>
        <v>188841.06</v>
      </c>
      <c r="H160" s="54"/>
      <c r="I160" s="54"/>
    </row>
    <row r="161" spans="1:9" s="25" customFormat="1" ht="54">
      <c r="A161" s="28"/>
      <c r="B161" s="28"/>
      <c r="C161" s="28"/>
      <c r="D161" s="29"/>
      <c r="E161" s="41" t="s">
        <v>266</v>
      </c>
      <c r="F161" s="43">
        <v>150594.01</v>
      </c>
      <c r="G161" s="57">
        <v>150594.01</v>
      </c>
      <c r="H161" s="54"/>
      <c r="I161" s="54"/>
    </row>
    <row r="162" spans="1:9" s="25" customFormat="1" ht="36">
      <c r="A162" s="28"/>
      <c r="B162" s="28"/>
      <c r="C162" s="28"/>
      <c r="D162" s="29"/>
      <c r="E162" s="41" t="s">
        <v>105</v>
      </c>
      <c r="F162" s="43">
        <f>89932+185870.18</f>
        <v>275802.18</v>
      </c>
      <c r="G162" s="57">
        <f>89932+185870.18</f>
        <v>275802.18</v>
      </c>
      <c r="H162" s="54"/>
      <c r="I162" s="54"/>
    </row>
    <row r="163" spans="1:9" s="25" customFormat="1" ht="72">
      <c r="A163" s="28"/>
      <c r="B163" s="28"/>
      <c r="C163" s="28"/>
      <c r="D163" s="29"/>
      <c r="E163" s="41" t="s">
        <v>267</v>
      </c>
      <c r="F163" s="43">
        <v>286689.61</v>
      </c>
      <c r="G163" s="57">
        <v>286689.61</v>
      </c>
      <c r="H163" s="54"/>
      <c r="I163" s="54"/>
    </row>
    <row r="164" spans="1:9" s="25" customFormat="1" ht="54">
      <c r="A164" s="28"/>
      <c r="B164" s="28"/>
      <c r="C164" s="28"/>
      <c r="D164" s="29"/>
      <c r="E164" s="41" t="s">
        <v>268</v>
      </c>
      <c r="F164" s="43">
        <v>78240.91</v>
      </c>
      <c r="G164" s="57">
        <v>78240.91</v>
      </c>
      <c r="H164" s="54"/>
      <c r="I164" s="54"/>
    </row>
    <row r="165" spans="1:9" s="25" customFormat="1" ht="36">
      <c r="A165" s="28"/>
      <c r="B165" s="28"/>
      <c r="C165" s="28"/>
      <c r="D165" s="29"/>
      <c r="E165" s="41" t="s">
        <v>269</v>
      </c>
      <c r="F165" s="43">
        <v>254546.03</v>
      </c>
      <c r="G165" s="57">
        <v>254546.03</v>
      </c>
      <c r="H165" s="54"/>
      <c r="I165" s="54"/>
    </row>
    <row r="166" spans="1:9" s="25" customFormat="1" ht="54">
      <c r="A166" s="28"/>
      <c r="B166" s="28"/>
      <c r="C166" s="28"/>
      <c r="D166" s="29"/>
      <c r="E166" s="30" t="s">
        <v>312</v>
      </c>
      <c r="F166" s="43">
        <v>91000</v>
      </c>
      <c r="G166" s="57">
        <v>91000</v>
      </c>
      <c r="H166" s="54"/>
      <c r="I166" s="54"/>
    </row>
    <row r="167" spans="1:9" s="25" customFormat="1" ht="54">
      <c r="A167" s="28"/>
      <c r="B167" s="28"/>
      <c r="C167" s="28"/>
      <c r="D167" s="29"/>
      <c r="E167" s="41" t="s">
        <v>192</v>
      </c>
      <c r="F167" s="43">
        <f>400000-54546.03</f>
        <v>345453.97</v>
      </c>
      <c r="G167" s="57">
        <f>400000-54546.03</f>
        <v>345453.97</v>
      </c>
      <c r="H167" s="54"/>
      <c r="I167" s="54"/>
    </row>
    <row r="168" spans="1:9" s="25" customFormat="1" ht="54">
      <c r="A168" s="28"/>
      <c r="B168" s="28"/>
      <c r="C168" s="28"/>
      <c r="D168" s="29"/>
      <c r="E168" s="30" t="s">
        <v>313</v>
      </c>
      <c r="F168" s="43">
        <v>177000</v>
      </c>
      <c r="G168" s="57">
        <v>177000</v>
      </c>
      <c r="H168" s="54"/>
      <c r="I168" s="54"/>
    </row>
    <row r="169" spans="1:9" s="25" customFormat="1" ht="54">
      <c r="A169" s="28"/>
      <c r="B169" s="28"/>
      <c r="C169" s="28"/>
      <c r="D169" s="29"/>
      <c r="E169" s="41" t="s">
        <v>106</v>
      </c>
      <c r="F169" s="43">
        <f>2784.01-130.39</f>
        <v>2653.6200000000003</v>
      </c>
      <c r="G169" s="57">
        <f>2784.01-130.39</f>
        <v>2653.6200000000003</v>
      </c>
      <c r="H169" s="54"/>
      <c r="I169" s="54"/>
    </row>
    <row r="170" spans="1:9" s="25" customFormat="1" ht="36">
      <c r="A170" s="28"/>
      <c r="B170" s="28"/>
      <c r="C170" s="28"/>
      <c r="D170" s="29"/>
      <c r="E170" s="30" t="s">
        <v>311</v>
      </c>
      <c r="F170" s="43">
        <v>50000</v>
      </c>
      <c r="G170" s="57">
        <v>50000</v>
      </c>
      <c r="H170" s="54"/>
      <c r="I170" s="54"/>
    </row>
    <row r="171" spans="1:9" s="25" customFormat="1" ht="36">
      <c r="A171" s="28"/>
      <c r="B171" s="28"/>
      <c r="C171" s="28"/>
      <c r="D171" s="29"/>
      <c r="E171" s="67" t="s">
        <v>270</v>
      </c>
      <c r="F171" s="43">
        <v>332008.94</v>
      </c>
      <c r="G171" s="57">
        <v>332008.94</v>
      </c>
      <c r="H171" s="54"/>
      <c r="I171" s="54"/>
    </row>
    <row r="172" spans="1:9" s="25" customFormat="1" ht="54">
      <c r="A172" s="28"/>
      <c r="B172" s="28"/>
      <c r="C172" s="28"/>
      <c r="D172" s="29"/>
      <c r="E172" s="67" t="s">
        <v>271</v>
      </c>
      <c r="F172" s="43">
        <v>201416.06</v>
      </c>
      <c r="G172" s="57">
        <f>214416.06-13000</f>
        <v>201416.06</v>
      </c>
      <c r="H172" s="54"/>
      <c r="I172" s="54"/>
    </row>
    <row r="173" spans="1:9" s="25" customFormat="1" ht="36">
      <c r="A173" s="28"/>
      <c r="B173" s="28"/>
      <c r="C173" s="28"/>
      <c r="D173" s="29"/>
      <c r="E173" s="67" t="s">
        <v>272</v>
      </c>
      <c r="F173" s="43">
        <v>30124</v>
      </c>
      <c r="G173" s="57">
        <v>30124</v>
      </c>
      <c r="H173" s="54"/>
      <c r="I173" s="54"/>
    </row>
    <row r="174" spans="1:9" s="25" customFormat="1" ht="54">
      <c r="A174" s="28"/>
      <c r="B174" s="28"/>
      <c r="C174" s="28"/>
      <c r="D174" s="29"/>
      <c r="E174" s="67" t="s">
        <v>107</v>
      </c>
      <c r="F174" s="43">
        <v>120193.15</v>
      </c>
      <c r="G174" s="57">
        <v>120193.15</v>
      </c>
      <c r="H174" s="54"/>
      <c r="I174" s="54"/>
    </row>
    <row r="175" spans="1:9" s="25" customFormat="1" ht="54">
      <c r="A175" s="28"/>
      <c r="B175" s="28"/>
      <c r="C175" s="28"/>
      <c r="D175" s="29"/>
      <c r="E175" s="67" t="s">
        <v>273</v>
      </c>
      <c r="F175" s="43">
        <v>199846.85</v>
      </c>
      <c r="G175" s="57">
        <v>199846.85</v>
      </c>
      <c r="H175" s="54"/>
      <c r="I175" s="54"/>
    </row>
    <row r="176" spans="1:9" s="25" customFormat="1">
      <c r="A176" s="28"/>
      <c r="B176" s="28"/>
      <c r="C176" s="28"/>
      <c r="D176" s="29"/>
      <c r="E176" s="41" t="s">
        <v>245</v>
      </c>
      <c r="F176" s="43">
        <f>4400000-101706-156000-2376905.4+2795.76-200000-1366294</f>
        <v>201890.3600000001</v>
      </c>
      <c r="G176" s="57">
        <f>4400000-101706-156000-2376905.4+2795.76-200000-1366294</f>
        <v>201890.3600000001</v>
      </c>
      <c r="H176" s="54"/>
      <c r="I176" s="54"/>
    </row>
    <row r="177" spans="1:9" ht="54">
      <c r="A177" s="21" t="s">
        <v>168</v>
      </c>
      <c r="B177" s="32" t="s">
        <v>169</v>
      </c>
      <c r="C177" s="30" t="s">
        <v>78</v>
      </c>
      <c r="D177" s="35" t="s">
        <v>170</v>
      </c>
      <c r="E177" s="35" t="s">
        <v>16</v>
      </c>
      <c r="F177" s="42">
        <f>F178+F179</f>
        <v>18305250</v>
      </c>
      <c r="G177" s="94">
        <f t="shared" ref="G177:I177" si="18">G178+G179</f>
        <v>14174612</v>
      </c>
      <c r="H177" s="94">
        <f t="shared" si="18"/>
        <v>4130638</v>
      </c>
      <c r="I177" s="94">
        <f t="shared" si="18"/>
        <v>0</v>
      </c>
    </row>
    <row r="178" spans="1:9" ht="54">
      <c r="A178" s="21"/>
      <c r="B178" s="21"/>
      <c r="C178" s="21"/>
      <c r="D178" s="18"/>
      <c r="E178" s="30" t="s">
        <v>378</v>
      </c>
      <c r="F178" s="43">
        <f>13360000+1945250</f>
        <v>15305250</v>
      </c>
      <c r="G178" s="57">
        <f>9229362+1945250</f>
        <v>11174612</v>
      </c>
      <c r="H178" s="53">
        <v>4130638</v>
      </c>
      <c r="I178" s="53"/>
    </row>
    <row r="179" spans="1:9" ht="36">
      <c r="A179" s="21"/>
      <c r="B179" s="21"/>
      <c r="C179" s="21"/>
      <c r="D179" s="18"/>
      <c r="E179" s="30" t="s">
        <v>171</v>
      </c>
      <c r="F179" s="43">
        <v>3000000</v>
      </c>
      <c r="G179" s="57">
        <v>3000000</v>
      </c>
      <c r="H179" s="53"/>
      <c r="I179" s="53"/>
    </row>
    <row r="180" spans="1:9" ht="54">
      <c r="A180" s="21" t="s">
        <v>108</v>
      </c>
      <c r="B180" s="32" t="s">
        <v>109</v>
      </c>
      <c r="C180" s="30" t="s">
        <v>78</v>
      </c>
      <c r="D180" s="35" t="s">
        <v>110</v>
      </c>
      <c r="E180" s="30" t="s">
        <v>16</v>
      </c>
      <c r="F180" s="42">
        <f>SUM(F181:F197)</f>
        <v>27170100.75</v>
      </c>
      <c r="G180" s="94">
        <f t="shared" ref="G180:I180" si="19">SUM(G181:G197)</f>
        <v>27170100.75</v>
      </c>
      <c r="H180" s="94">
        <f t="shared" si="19"/>
        <v>0</v>
      </c>
      <c r="I180" s="94">
        <f t="shared" si="19"/>
        <v>0</v>
      </c>
    </row>
    <row r="181" spans="1:9" ht="54">
      <c r="A181" s="21"/>
      <c r="B181" s="32"/>
      <c r="C181" s="30"/>
      <c r="D181" s="35"/>
      <c r="E181" s="30" t="s">
        <v>164</v>
      </c>
      <c r="F181" s="42">
        <f>1700210+467676</f>
        <v>2167886</v>
      </c>
      <c r="G181" s="53">
        <f>1700210+467676</f>
        <v>2167886</v>
      </c>
      <c r="H181" s="54"/>
      <c r="I181" s="54"/>
    </row>
    <row r="182" spans="1:9" ht="54">
      <c r="A182" s="21"/>
      <c r="B182" s="32"/>
      <c r="C182" s="30"/>
      <c r="D182" s="35"/>
      <c r="E182" s="30" t="s">
        <v>240</v>
      </c>
      <c r="F182" s="42">
        <f>1001010-339343</f>
        <v>661667</v>
      </c>
      <c r="G182" s="53">
        <f>1001010-339343</f>
        <v>661667</v>
      </c>
      <c r="H182" s="54"/>
      <c r="I182" s="54"/>
    </row>
    <row r="183" spans="1:9" ht="54">
      <c r="A183" s="21"/>
      <c r="B183" s="21"/>
      <c r="C183" s="48"/>
      <c r="D183" s="30"/>
      <c r="E183" s="31" t="s">
        <v>239</v>
      </c>
      <c r="F183" s="39">
        <f>12212800-649589</f>
        <v>11563211</v>
      </c>
      <c r="G183" s="55">
        <f>12212800-649589</f>
        <v>11563211</v>
      </c>
      <c r="H183" s="55"/>
      <c r="I183" s="53"/>
    </row>
    <row r="184" spans="1:9" ht="72">
      <c r="A184" s="21"/>
      <c r="B184" s="21"/>
      <c r="C184" s="48"/>
      <c r="D184" s="30"/>
      <c r="E184" s="31" t="s">
        <v>242</v>
      </c>
      <c r="F184" s="39">
        <f>750000-24779</f>
        <v>725221</v>
      </c>
      <c r="G184" s="55">
        <f>750000-24779</f>
        <v>725221</v>
      </c>
      <c r="H184" s="55"/>
      <c r="I184" s="53"/>
    </row>
    <row r="185" spans="1:9" ht="36">
      <c r="A185" s="21"/>
      <c r="B185" s="21"/>
      <c r="C185" s="48"/>
      <c r="D185" s="30"/>
      <c r="E185" s="31" t="s">
        <v>202</v>
      </c>
      <c r="F185" s="39">
        <f>380000-76967</f>
        <v>303033</v>
      </c>
      <c r="G185" s="55">
        <f>380000-76967</f>
        <v>303033</v>
      </c>
      <c r="H185" s="55"/>
      <c r="I185" s="53"/>
    </row>
    <row r="186" spans="1:9" ht="36">
      <c r="A186" s="21"/>
      <c r="B186" s="21"/>
      <c r="C186" s="48"/>
      <c r="D186" s="30"/>
      <c r="E186" s="31" t="s">
        <v>199</v>
      </c>
      <c r="F186" s="39">
        <f>450000+163800</f>
        <v>613800</v>
      </c>
      <c r="G186" s="55">
        <f>450000+163800</f>
        <v>613800</v>
      </c>
      <c r="H186" s="55"/>
      <c r="I186" s="53"/>
    </row>
    <row r="187" spans="1:9" ht="36">
      <c r="A187" s="21"/>
      <c r="B187" s="21"/>
      <c r="C187" s="48"/>
      <c r="D187" s="30"/>
      <c r="E187" s="31" t="s">
        <v>314</v>
      </c>
      <c r="F187" s="39">
        <f>3551000+5500</f>
        <v>3556500</v>
      </c>
      <c r="G187" s="55">
        <f>3551000+5500</f>
        <v>3556500</v>
      </c>
      <c r="H187" s="55"/>
      <c r="I187" s="53"/>
    </row>
    <row r="188" spans="1:9" ht="54">
      <c r="A188" s="21"/>
      <c r="B188" s="21"/>
      <c r="C188" s="48"/>
      <c r="D188" s="30"/>
      <c r="E188" s="31" t="s">
        <v>203</v>
      </c>
      <c r="F188" s="39">
        <f>1065000+727000+1089000+591000-230000-285040</f>
        <v>2956960</v>
      </c>
      <c r="G188" s="55">
        <f>1065000+727000+1089000+591000-230000-285040</f>
        <v>2956960</v>
      </c>
      <c r="H188" s="55"/>
      <c r="I188" s="53"/>
    </row>
    <row r="189" spans="1:9">
      <c r="A189" s="21"/>
      <c r="B189" s="21"/>
      <c r="C189" s="48"/>
      <c r="D189" s="30"/>
      <c r="E189" s="31" t="s">
        <v>278</v>
      </c>
      <c r="F189" s="39">
        <f>1930000-5500</f>
        <v>1924500</v>
      </c>
      <c r="G189" s="55">
        <f>1930000-5500</f>
        <v>1924500</v>
      </c>
      <c r="H189" s="55"/>
      <c r="I189" s="53"/>
    </row>
    <row r="190" spans="1:9" ht="54">
      <c r="A190" s="21"/>
      <c r="B190" s="21"/>
      <c r="C190" s="48"/>
      <c r="D190" s="30"/>
      <c r="E190" s="31" t="s">
        <v>200</v>
      </c>
      <c r="F190" s="39">
        <f>485000-311885</f>
        <v>173115</v>
      </c>
      <c r="G190" s="55">
        <f>485000-311885</f>
        <v>173115</v>
      </c>
      <c r="H190" s="55"/>
      <c r="I190" s="53"/>
    </row>
    <row r="191" spans="1:9" ht="36">
      <c r="A191" s="21"/>
      <c r="B191" s="21"/>
      <c r="C191" s="48"/>
      <c r="D191" s="30"/>
      <c r="E191" s="31" t="s">
        <v>201</v>
      </c>
      <c r="F191" s="39">
        <f>640000-163800-85206.64-27777</f>
        <v>363216.36</v>
      </c>
      <c r="G191" s="55">
        <f>640000-163800-85206.64-27777</f>
        <v>363216.36</v>
      </c>
      <c r="H191" s="55"/>
      <c r="I191" s="53"/>
    </row>
    <row r="192" spans="1:9" ht="36">
      <c r="A192" s="21"/>
      <c r="B192" s="21"/>
      <c r="C192" s="48"/>
      <c r="D192" s="30"/>
      <c r="E192" s="31" t="s">
        <v>241</v>
      </c>
      <c r="F192" s="39">
        <v>440000</v>
      </c>
      <c r="G192" s="55">
        <v>440000</v>
      </c>
      <c r="H192" s="55"/>
      <c r="I192" s="53"/>
    </row>
    <row r="193" spans="1:9" ht="54">
      <c r="A193" s="21"/>
      <c r="B193" s="21"/>
      <c r="C193" s="48"/>
      <c r="D193" s="30"/>
      <c r="E193" s="31" t="s">
        <v>298</v>
      </c>
      <c r="F193" s="39">
        <v>121990</v>
      </c>
      <c r="G193" s="55">
        <v>121990</v>
      </c>
      <c r="H193" s="55"/>
      <c r="I193" s="53"/>
    </row>
    <row r="194" spans="1:9" ht="54">
      <c r="A194" s="21"/>
      <c r="B194" s="21"/>
      <c r="C194" s="48"/>
      <c r="D194" s="30"/>
      <c r="E194" s="31" t="s">
        <v>299</v>
      </c>
      <c r="F194" s="39">
        <v>66810</v>
      </c>
      <c r="G194" s="55">
        <v>66810</v>
      </c>
      <c r="H194" s="55"/>
      <c r="I194" s="53"/>
    </row>
    <row r="195" spans="1:9" ht="54">
      <c r="A195" s="21"/>
      <c r="B195" s="21"/>
      <c r="C195" s="48"/>
      <c r="D195" s="30"/>
      <c r="E195" s="31" t="s">
        <v>300</v>
      </c>
      <c r="F195" s="39">
        <v>81200</v>
      </c>
      <c r="G195" s="55">
        <v>81200</v>
      </c>
      <c r="H195" s="55"/>
      <c r="I195" s="53"/>
    </row>
    <row r="196" spans="1:9" ht="72">
      <c r="A196" s="32"/>
      <c r="B196" s="32"/>
      <c r="C196" s="48"/>
      <c r="D196" s="30"/>
      <c r="E196" s="31" t="s">
        <v>355</v>
      </c>
      <c r="F196" s="33">
        <v>966374.39</v>
      </c>
      <c r="G196" s="91">
        <v>966374.39</v>
      </c>
      <c r="H196" s="91"/>
      <c r="I196" s="90"/>
    </row>
    <row r="197" spans="1:9" ht="90">
      <c r="A197" s="66"/>
      <c r="B197" s="21"/>
      <c r="C197" s="21"/>
      <c r="D197" s="76"/>
      <c r="E197" s="79" t="s">
        <v>356</v>
      </c>
      <c r="F197" s="33">
        <v>484617</v>
      </c>
      <c r="G197" s="91">
        <v>484617</v>
      </c>
      <c r="H197" s="95"/>
      <c r="I197" s="90"/>
    </row>
    <row r="198" spans="1:9" ht="36">
      <c r="A198" s="21" t="s">
        <v>111</v>
      </c>
      <c r="B198" s="32" t="s">
        <v>77</v>
      </c>
      <c r="C198" s="30" t="s">
        <v>78</v>
      </c>
      <c r="D198" s="35" t="s">
        <v>79</v>
      </c>
      <c r="E198" s="35" t="s">
        <v>16</v>
      </c>
      <c r="F198" s="33">
        <f>F199+F200+F201</f>
        <v>21668438.559999999</v>
      </c>
      <c r="G198" s="53">
        <f t="shared" ref="G198:I198" si="20">G199+G200+G201</f>
        <v>19668438.559999999</v>
      </c>
      <c r="H198" s="53">
        <f t="shared" si="20"/>
        <v>2000000</v>
      </c>
      <c r="I198" s="53">
        <f t="shared" si="20"/>
        <v>0</v>
      </c>
    </row>
    <row r="199" spans="1:9" s="25" customFormat="1" ht="36">
      <c r="A199" s="28"/>
      <c r="B199" s="28"/>
      <c r="C199" s="28"/>
      <c r="D199" s="29"/>
      <c r="E199" s="41" t="s">
        <v>112</v>
      </c>
      <c r="F199" s="42">
        <v>1100019.28</v>
      </c>
      <c r="G199" s="53">
        <v>1100019.28</v>
      </c>
      <c r="H199" s="54"/>
      <c r="I199" s="54"/>
    </row>
    <row r="200" spans="1:9" s="25" customFormat="1" ht="36">
      <c r="A200" s="28"/>
      <c r="B200" s="28"/>
      <c r="C200" s="28"/>
      <c r="D200" s="29"/>
      <c r="E200" s="41" t="s">
        <v>113</v>
      </c>
      <c r="F200" s="42">
        <v>1100019.28</v>
      </c>
      <c r="G200" s="53">
        <v>1100019.28</v>
      </c>
      <c r="H200" s="54"/>
      <c r="I200" s="54"/>
    </row>
    <row r="201" spans="1:9" s="25" customFormat="1" ht="54">
      <c r="A201" s="28"/>
      <c r="B201" s="28"/>
      <c r="C201" s="28"/>
      <c r="D201" s="29"/>
      <c r="E201" s="41" t="s">
        <v>204</v>
      </c>
      <c r="F201" s="42">
        <f>25512000-6097000+53400</f>
        <v>19468400</v>
      </c>
      <c r="G201" s="53">
        <f>23512000-6097000+53400</f>
        <v>17468400</v>
      </c>
      <c r="H201" s="53">
        <v>2000000</v>
      </c>
      <c r="I201" s="54"/>
    </row>
    <row r="202" spans="1:9" ht="36">
      <c r="A202" s="21" t="s">
        <v>114</v>
      </c>
      <c r="B202" s="32" t="s">
        <v>81</v>
      </c>
      <c r="C202" s="30" t="s">
        <v>78</v>
      </c>
      <c r="D202" s="35" t="s">
        <v>82</v>
      </c>
      <c r="E202" s="35" t="s">
        <v>16</v>
      </c>
      <c r="F202" s="33">
        <f>SUM(F203:F223)</f>
        <v>8733898.0999999996</v>
      </c>
      <c r="G202" s="53">
        <f t="shared" ref="G202:I202" si="21">SUM(G203:G223)</f>
        <v>8733898.0999999996</v>
      </c>
      <c r="H202" s="53">
        <f t="shared" si="21"/>
        <v>0</v>
      </c>
      <c r="I202" s="53">
        <f t="shared" si="21"/>
        <v>0</v>
      </c>
    </row>
    <row r="203" spans="1:9" ht="54">
      <c r="A203" s="21"/>
      <c r="B203" s="32"/>
      <c r="C203" s="30"/>
      <c r="D203" s="35"/>
      <c r="E203" s="41" t="s">
        <v>197</v>
      </c>
      <c r="F203" s="33">
        <f>134497.4+39038.02-18850.59</f>
        <v>154684.82999999999</v>
      </c>
      <c r="G203" s="53">
        <f>134497.4+39038.02-18850.59</f>
        <v>154684.82999999999</v>
      </c>
      <c r="H203" s="53"/>
      <c r="I203" s="53"/>
    </row>
    <row r="204" spans="1:9" ht="54">
      <c r="A204" s="21"/>
      <c r="B204" s="32"/>
      <c r="C204" s="30"/>
      <c r="D204" s="35"/>
      <c r="E204" s="41" t="s">
        <v>248</v>
      </c>
      <c r="F204" s="33">
        <v>101706</v>
      </c>
      <c r="G204" s="53">
        <v>101706</v>
      </c>
      <c r="H204" s="53"/>
      <c r="I204" s="53"/>
    </row>
    <row r="205" spans="1:9" ht="72">
      <c r="A205" s="21"/>
      <c r="B205" s="32"/>
      <c r="C205" s="30"/>
      <c r="D205" s="35"/>
      <c r="E205" s="41" t="s">
        <v>247</v>
      </c>
      <c r="F205" s="33">
        <v>313200</v>
      </c>
      <c r="G205" s="53">
        <v>313200</v>
      </c>
      <c r="H205" s="53"/>
      <c r="I205" s="53"/>
    </row>
    <row r="206" spans="1:9" ht="72">
      <c r="A206" s="21"/>
      <c r="B206" s="32"/>
      <c r="C206" s="30"/>
      <c r="D206" s="35"/>
      <c r="E206" s="41" t="s">
        <v>246</v>
      </c>
      <c r="F206" s="33">
        <v>237030</v>
      </c>
      <c r="G206" s="53">
        <v>237030</v>
      </c>
      <c r="H206" s="53"/>
      <c r="I206" s="53"/>
    </row>
    <row r="207" spans="1:9" ht="54">
      <c r="A207" s="21"/>
      <c r="B207" s="21"/>
      <c r="C207" s="21"/>
      <c r="D207" s="18"/>
      <c r="E207" s="41" t="s">
        <v>115</v>
      </c>
      <c r="F207" s="44">
        <f>105735.81-65633.52</f>
        <v>40102.289999999994</v>
      </c>
      <c r="G207" s="58">
        <f>105735.81-65633.52</f>
        <v>40102.289999999994</v>
      </c>
      <c r="H207" s="53"/>
      <c r="I207" s="53"/>
    </row>
    <row r="208" spans="1:9" ht="72">
      <c r="A208" s="21"/>
      <c r="B208" s="21"/>
      <c r="C208" s="21"/>
      <c r="D208" s="18"/>
      <c r="E208" s="69" t="s">
        <v>279</v>
      </c>
      <c r="F208" s="44">
        <v>221397.97</v>
      </c>
      <c r="G208" s="58">
        <v>221397.97</v>
      </c>
      <c r="H208" s="53"/>
      <c r="I208" s="53"/>
    </row>
    <row r="209" spans="1:9" ht="54">
      <c r="A209" s="21"/>
      <c r="B209" s="21"/>
      <c r="C209" s="21"/>
      <c r="D209" s="18"/>
      <c r="E209" s="69" t="s">
        <v>291</v>
      </c>
      <c r="F209" s="44">
        <f>68045</f>
        <v>68045</v>
      </c>
      <c r="G209" s="58">
        <f>68045</f>
        <v>68045</v>
      </c>
      <c r="H209" s="53"/>
      <c r="I209" s="53"/>
    </row>
    <row r="210" spans="1:9" ht="54">
      <c r="A210" s="21"/>
      <c r="B210" s="21"/>
      <c r="C210" s="21"/>
      <c r="D210" s="18"/>
      <c r="E210" s="41" t="s">
        <v>116</v>
      </c>
      <c r="F210" s="44">
        <f>91093.37+25600+68045-68045</f>
        <v>116693.37</v>
      </c>
      <c r="G210" s="58">
        <f>91093.37+25600+68045-68045</f>
        <v>116693.37</v>
      </c>
      <c r="H210" s="53"/>
      <c r="I210" s="53"/>
    </row>
    <row r="211" spans="1:9" ht="54">
      <c r="A211" s="21"/>
      <c r="B211" s="21"/>
      <c r="C211" s="21"/>
      <c r="D211" s="18"/>
      <c r="E211" s="41" t="s">
        <v>117</v>
      </c>
      <c r="F211" s="44">
        <f>148644+40300-179000-9381.12</f>
        <v>562.8799999999992</v>
      </c>
      <c r="G211" s="58">
        <f>148644+40300-179000-9381.12</f>
        <v>562.8799999999992</v>
      </c>
      <c r="H211" s="53"/>
      <c r="I211" s="53"/>
    </row>
    <row r="212" spans="1:9" ht="54">
      <c r="A212" s="21"/>
      <c r="B212" s="21"/>
      <c r="C212" s="21"/>
      <c r="D212" s="18"/>
      <c r="E212" s="41" t="s">
        <v>118</v>
      </c>
      <c r="F212" s="44">
        <f>329491.84-32320.57</f>
        <v>297171.27</v>
      </c>
      <c r="G212" s="58">
        <f>329491.84-32320.57</f>
        <v>297171.27</v>
      </c>
      <c r="H212" s="53"/>
      <c r="I212" s="53"/>
    </row>
    <row r="213" spans="1:9" ht="54">
      <c r="A213" s="21"/>
      <c r="B213" s="21"/>
      <c r="C213" s="21"/>
      <c r="D213" s="18"/>
      <c r="E213" s="69" t="s">
        <v>281</v>
      </c>
      <c r="F213" s="44">
        <v>417218.57</v>
      </c>
      <c r="G213" s="58">
        <f>418218.57-1000</f>
        <v>417218.57</v>
      </c>
      <c r="H213" s="53"/>
      <c r="I213" s="53"/>
    </row>
    <row r="214" spans="1:9" ht="54">
      <c r="A214" s="21"/>
      <c r="B214" s="21"/>
      <c r="C214" s="21"/>
      <c r="D214" s="18"/>
      <c r="E214" s="41" t="s">
        <v>119</v>
      </c>
      <c r="F214" s="44">
        <f>186640.05+58100</f>
        <v>244740.05</v>
      </c>
      <c r="G214" s="58">
        <f>186640.05+58100</f>
        <v>244740.05</v>
      </c>
      <c r="H214" s="53"/>
      <c r="I214" s="53"/>
    </row>
    <row r="215" spans="1:9" ht="54">
      <c r="A215" s="21"/>
      <c r="B215" s="21"/>
      <c r="C215" s="21"/>
      <c r="D215" s="18"/>
      <c r="E215" s="69" t="s">
        <v>280</v>
      </c>
      <c r="F215" s="44">
        <v>111493.37</v>
      </c>
      <c r="G215" s="58">
        <v>111493.37</v>
      </c>
      <c r="H215" s="53"/>
      <c r="I215" s="53"/>
    </row>
    <row r="216" spans="1:9" ht="54">
      <c r="A216" s="21"/>
      <c r="B216" s="21"/>
      <c r="C216" s="21"/>
      <c r="D216" s="18"/>
      <c r="E216" s="41" t="s">
        <v>193</v>
      </c>
      <c r="F216" s="44">
        <v>175000</v>
      </c>
      <c r="G216" s="58">
        <v>175000</v>
      </c>
      <c r="H216" s="53"/>
      <c r="I216" s="53"/>
    </row>
    <row r="217" spans="1:9" ht="54">
      <c r="A217" s="21"/>
      <c r="B217" s="21"/>
      <c r="C217" s="21"/>
      <c r="D217" s="18"/>
      <c r="E217" s="41" t="s">
        <v>194</v>
      </c>
      <c r="F217" s="44">
        <v>91093.37</v>
      </c>
      <c r="G217" s="58">
        <v>91093.37</v>
      </c>
      <c r="H217" s="53"/>
      <c r="I217" s="53"/>
    </row>
    <row r="218" spans="1:9" ht="54">
      <c r="A218" s="21"/>
      <c r="B218" s="21"/>
      <c r="C218" s="21"/>
      <c r="D218" s="18"/>
      <c r="E218" s="41" t="s">
        <v>120</v>
      </c>
      <c r="F218" s="44">
        <f>188769.9-174691.77</f>
        <v>14078.130000000005</v>
      </c>
      <c r="G218" s="58">
        <f>188769.9-174691.77</f>
        <v>14078.130000000005</v>
      </c>
      <c r="H218" s="53"/>
      <c r="I218" s="53"/>
    </row>
    <row r="219" spans="1:9" ht="90">
      <c r="A219" s="21"/>
      <c r="B219" s="21"/>
      <c r="C219" s="21"/>
      <c r="D219" s="18"/>
      <c r="E219" s="46" t="s">
        <v>205</v>
      </c>
      <c r="F219" s="44">
        <f>350000-325000</f>
        <v>25000</v>
      </c>
      <c r="G219" s="58">
        <f>350000-325000</f>
        <v>25000</v>
      </c>
      <c r="H219" s="53"/>
      <c r="I219" s="53"/>
    </row>
    <row r="220" spans="1:9" ht="72">
      <c r="A220" s="21"/>
      <c r="B220" s="21"/>
      <c r="C220" s="21"/>
      <c r="D220" s="18"/>
      <c r="E220" s="41" t="s">
        <v>121</v>
      </c>
      <c r="F220" s="44">
        <f>1015720-975269</f>
        <v>40451</v>
      </c>
      <c r="G220" s="58">
        <f>1015720-975269</f>
        <v>40451</v>
      </c>
      <c r="H220" s="53"/>
      <c r="I220" s="53"/>
    </row>
    <row r="221" spans="1:9" ht="72">
      <c r="A221" s="21"/>
      <c r="B221" s="21"/>
      <c r="C221" s="21"/>
      <c r="D221" s="18"/>
      <c r="E221" s="46" t="s">
        <v>195</v>
      </c>
      <c r="F221" s="44">
        <f>438000+28400</f>
        <v>466400</v>
      </c>
      <c r="G221" s="58">
        <f>438000+28400</f>
        <v>466400</v>
      </c>
      <c r="H221" s="53"/>
      <c r="I221" s="53"/>
    </row>
    <row r="222" spans="1:9" ht="72">
      <c r="A222" s="21"/>
      <c r="B222" s="21"/>
      <c r="C222" s="21"/>
      <c r="D222" s="18"/>
      <c r="E222" s="46" t="s">
        <v>196</v>
      </c>
      <c r="F222" s="44">
        <f>4737120+850000-53400</f>
        <v>5533720</v>
      </c>
      <c r="G222" s="58">
        <f>4737120+850000-53400</f>
        <v>5533720</v>
      </c>
      <c r="H222" s="53"/>
      <c r="I222" s="53"/>
    </row>
    <row r="223" spans="1:9" ht="68.55" customHeight="1">
      <c r="A223" s="21"/>
      <c r="B223" s="21"/>
      <c r="C223" s="21"/>
      <c r="D223" s="18"/>
      <c r="E223" s="46" t="s">
        <v>282</v>
      </c>
      <c r="F223" s="44">
        <f>70000+100000+2297910-2403800</f>
        <v>64110</v>
      </c>
      <c r="G223" s="58">
        <f>70000+100000+2297910-2403800</f>
        <v>64110</v>
      </c>
      <c r="H223" s="53"/>
      <c r="I223" s="53"/>
    </row>
    <row r="224" spans="1:9" ht="108" hidden="1">
      <c r="A224" s="21" t="s">
        <v>159</v>
      </c>
      <c r="B224" s="32" t="s">
        <v>160</v>
      </c>
      <c r="C224" s="30" t="s">
        <v>88</v>
      </c>
      <c r="D224" s="35" t="s">
        <v>161</v>
      </c>
      <c r="E224" s="31" t="s">
        <v>174</v>
      </c>
      <c r="F224" s="42">
        <f>1188551-1188551</f>
        <v>0</v>
      </c>
      <c r="G224" s="53">
        <f>1188551-1188551</f>
        <v>0</v>
      </c>
      <c r="H224" s="54"/>
      <c r="I224" s="54"/>
    </row>
    <row r="225" spans="1:9" ht="36">
      <c r="A225" s="32">
        <v>1517310</v>
      </c>
      <c r="B225" s="48" t="s">
        <v>344</v>
      </c>
      <c r="C225" s="48" t="s">
        <v>88</v>
      </c>
      <c r="D225" s="35" t="s">
        <v>345</v>
      </c>
      <c r="E225" s="35" t="s">
        <v>16</v>
      </c>
      <c r="F225" s="33">
        <f>SUM(F226:F234)</f>
        <v>18502693</v>
      </c>
      <c r="G225" s="53">
        <f t="shared" ref="G225:I225" si="22">SUM(G226:G234)</f>
        <v>18502693</v>
      </c>
      <c r="H225" s="53">
        <f t="shared" si="22"/>
        <v>0</v>
      </c>
      <c r="I225" s="53">
        <f t="shared" si="22"/>
        <v>0</v>
      </c>
    </row>
    <row r="226" spans="1:9" ht="90">
      <c r="A226" s="32"/>
      <c r="B226" s="48"/>
      <c r="C226" s="48"/>
      <c r="D226" s="35"/>
      <c r="E226" s="35" t="s">
        <v>357</v>
      </c>
      <c r="F226" s="33">
        <v>3450000</v>
      </c>
      <c r="G226" s="91">
        <v>3450000</v>
      </c>
      <c r="H226" s="91"/>
      <c r="I226" s="90"/>
    </row>
    <row r="227" spans="1:9" ht="36">
      <c r="A227" s="32"/>
      <c r="B227" s="48"/>
      <c r="C227" s="48"/>
      <c r="D227" s="35"/>
      <c r="E227" s="30" t="s">
        <v>358</v>
      </c>
      <c r="F227" s="39">
        <f>3132000-172744</f>
        <v>2959256</v>
      </c>
      <c r="G227" s="91">
        <f>3132000-172744</f>
        <v>2959256</v>
      </c>
      <c r="H227" s="91"/>
      <c r="I227" s="90"/>
    </row>
    <row r="228" spans="1:9" ht="54">
      <c r="A228" s="32"/>
      <c r="B228" s="48"/>
      <c r="C228" s="48"/>
      <c r="D228" s="35"/>
      <c r="E228" s="30" t="s">
        <v>359</v>
      </c>
      <c r="F228" s="39">
        <f>2500000-150228+282161</f>
        <v>2631933</v>
      </c>
      <c r="G228" s="91">
        <f>2500000-150228+282161</f>
        <v>2631933</v>
      </c>
      <c r="H228" s="91"/>
      <c r="I228" s="90"/>
    </row>
    <row r="229" spans="1:9" ht="54">
      <c r="A229" s="32"/>
      <c r="B229" s="48"/>
      <c r="C229" s="48"/>
      <c r="D229" s="35"/>
      <c r="E229" s="67" t="s">
        <v>360</v>
      </c>
      <c r="F229" s="39">
        <f>720000-261171</f>
        <v>458829</v>
      </c>
      <c r="G229" s="91">
        <f>720000-261171</f>
        <v>458829</v>
      </c>
      <c r="H229" s="91"/>
      <c r="I229" s="90"/>
    </row>
    <row r="230" spans="1:9" ht="36">
      <c r="A230" s="32"/>
      <c r="B230" s="48"/>
      <c r="C230" s="48"/>
      <c r="D230" s="35"/>
      <c r="E230" s="30" t="s">
        <v>361</v>
      </c>
      <c r="F230" s="39">
        <f>70000+1377300</f>
        <v>1447300</v>
      </c>
      <c r="G230" s="91">
        <f>70000+1377300</f>
        <v>1447300</v>
      </c>
      <c r="H230" s="91"/>
      <c r="I230" s="90"/>
    </row>
    <row r="231" spans="1:9" ht="54">
      <c r="A231" s="32"/>
      <c r="B231" s="48"/>
      <c r="C231" s="48"/>
      <c r="D231" s="35"/>
      <c r="E231" s="30" t="s">
        <v>362</v>
      </c>
      <c r="F231" s="39">
        <v>1695000</v>
      </c>
      <c r="G231" s="91">
        <v>1695000</v>
      </c>
      <c r="H231" s="91"/>
      <c r="I231" s="90"/>
    </row>
    <row r="232" spans="1:9" ht="54">
      <c r="A232" s="32"/>
      <c r="B232" s="48"/>
      <c r="C232" s="48"/>
      <c r="D232" s="35"/>
      <c r="E232" s="84" t="s">
        <v>363</v>
      </c>
      <c r="F232" s="39">
        <f>5370000-298023</f>
        <v>5071977</v>
      </c>
      <c r="G232" s="91">
        <f>5370000-298023</f>
        <v>5071977</v>
      </c>
      <c r="H232" s="91"/>
      <c r="I232" s="90"/>
    </row>
    <row r="233" spans="1:9" ht="90">
      <c r="A233" s="32"/>
      <c r="B233" s="48"/>
      <c r="C233" s="48"/>
      <c r="D233" s="35"/>
      <c r="E233" s="30" t="s">
        <v>364</v>
      </c>
      <c r="F233" s="39">
        <v>215500</v>
      </c>
      <c r="G233" s="91">
        <v>215500</v>
      </c>
      <c r="H233" s="91"/>
      <c r="I233" s="90"/>
    </row>
    <row r="234" spans="1:9" ht="36">
      <c r="A234" s="32"/>
      <c r="B234" s="48"/>
      <c r="C234" s="48"/>
      <c r="D234" s="35"/>
      <c r="E234" s="30" t="s">
        <v>365</v>
      </c>
      <c r="F234" s="39">
        <v>572898</v>
      </c>
      <c r="G234" s="91">
        <v>572898</v>
      </c>
      <c r="H234" s="91"/>
      <c r="I234" s="90"/>
    </row>
    <row r="235" spans="1:9" ht="54">
      <c r="A235" s="21" t="s">
        <v>123</v>
      </c>
      <c r="B235" s="32" t="s">
        <v>124</v>
      </c>
      <c r="C235" s="30" t="s">
        <v>125</v>
      </c>
      <c r="D235" s="35" t="s">
        <v>126</v>
      </c>
      <c r="E235" s="35" t="s">
        <v>16</v>
      </c>
      <c r="F235" s="33">
        <f>SUM(F236:F241)</f>
        <v>9364931.959999999</v>
      </c>
      <c r="G235" s="53">
        <f t="shared" ref="G235:I235" si="23">SUM(G236:G241)</f>
        <v>9364931.959999999</v>
      </c>
      <c r="H235" s="53">
        <f t="shared" si="23"/>
        <v>0</v>
      </c>
      <c r="I235" s="53">
        <f t="shared" si="23"/>
        <v>0</v>
      </c>
    </row>
    <row r="236" spans="1:9" ht="36">
      <c r="A236" s="21"/>
      <c r="B236" s="21"/>
      <c r="C236" s="21"/>
      <c r="D236" s="18"/>
      <c r="E236" s="41" t="s">
        <v>127</v>
      </c>
      <c r="F236" s="33">
        <f>5730254.85+2220000</f>
        <v>7950254.8499999996</v>
      </c>
      <c r="G236" s="53">
        <f>5730254.85+2220000</f>
        <v>7950254.8499999996</v>
      </c>
      <c r="H236" s="53"/>
      <c r="I236" s="53"/>
    </row>
    <row r="237" spans="1:9" ht="36">
      <c r="A237" s="21"/>
      <c r="B237" s="21"/>
      <c r="C237" s="21"/>
      <c r="D237" s="18"/>
      <c r="E237" s="41" t="s">
        <v>128</v>
      </c>
      <c r="F237" s="33">
        <v>37107</v>
      </c>
      <c r="G237" s="53">
        <v>37107</v>
      </c>
      <c r="H237" s="53"/>
      <c r="I237" s="53"/>
    </row>
    <row r="238" spans="1:9" ht="54">
      <c r="A238" s="21"/>
      <c r="B238" s="21"/>
      <c r="C238" s="21"/>
      <c r="D238" s="18"/>
      <c r="E238" s="35" t="s">
        <v>122</v>
      </c>
      <c r="F238" s="33">
        <f>350000+325000</f>
        <v>675000</v>
      </c>
      <c r="G238" s="53">
        <f>350000+325000</f>
        <v>675000</v>
      </c>
      <c r="H238" s="53"/>
      <c r="I238" s="53"/>
    </row>
    <row r="239" spans="1:9" ht="54">
      <c r="A239" s="21"/>
      <c r="B239" s="21"/>
      <c r="C239" s="21"/>
      <c r="D239" s="18"/>
      <c r="E239" s="41" t="s">
        <v>129</v>
      </c>
      <c r="F239" s="33">
        <v>300000</v>
      </c>
      <c r="G239" s="53">
        <v>300000</v>
      </c>
      <c r="H239" s="53"/>
      <c r="I239" s="53"/>
    </row>
    <row r="240" spans="1:9" ht="90">
      <c r="A240" s="21"/>
      <c r="B240" s="21"/>
      <c r="C240" s="21"/>
      <c r="D240" s="18"/>
      <c r="E240" s="46" t="s">
        <v>172</v>
      </c>
      <c r="F240" s="33">
        <v>245600</v>
      </c>
      <c r="G240" s="53">
        <v>245600</v>
      </c>
      <c r="H240" s="53"/>
      <c r="I240" s="53"/>
    </row>
    <row r="241" spans="1:10" ht="36">
      <c r="A241" s="21"/>
      <c r="B241" s="21"/>
      <c r="C241" s="21"/>
      <c r="D241" s="18"/>
      <c r="E241" s="41" t="s">
        <v>366</v>
      </c>
      <c r="F241" s="33">
        <v>156970.10999999999</v>
      </c>
      <c r="G241" s="53">
        <v>156970.10999999999</v>
      </c>
      <c r="H241" s="53"/>
      <c r="I241" s="53"/>
      <c r="J241" s="85"/>
    </row>
    <row r="242" spans="1:10">
      <c r="A242" s="21" t="s">
        <v>130</v>
      </c>
      <c r="B242" s="32" t="s">
        <v>131</v>
      </c>
      <c r="C242" s="30" t="s">
        <v>89</v>
      </c>
      <c r="D242" s="35" t="s">
        <v>90</v>
      </c>
      <c r="E242" s="35" t="s">
        <v>16</v>
      </c>
      <c r="F242" s="33">
        <f>SUM(F243:F261)</f>
        <v>17855043.949999999</v>
      </c>
      <c r="G242" s="53">
        <f t="shared" ref="G242:I242" si="24">SUM(G243:G261)</f>
        <v>17855043.949999999</v>
      </c>
      <c r="H242" s="53">
        <f t="shared" si="24"/>
        <v>0</v>
      </c>
      <c r="I242" s="53">
        <f t="shared" si="24"/>
        <v>0</v>
      </c>
    </row>
    <row r="243" spans="1:10" ht="54">
      <c r="A243" s="21"/>
      <c r="B243" s="32"/>
      <c r="C243" s="30"/>
      <c r="D243" s="35"/>
      <c r="E243" s="67" t="s">
        <v>283</v>
      </c>
      <c r="F243" s="33">
        <f>100000-9851.29</f>
        <v>90148.709999999992</v>
      </c>
      <c r="G243" s="53">
        <f>100000-9851.29</f>
        <v>90148.709999999992</v>
      </c>
      <c r="H243" s="53"/>
      <c r="I243" s="53"/>
    </row>
    <row r="244" spans="1:10" ht="36">
      <c r="A244" s="21"/>
      <c r="B244" s="32"/>
      <c r="C244" s="30"/>
      <c r="D244" s="35"/>
      <c r="E244" s="30" t="s">
        <v>284</v>
      </c>
      <c r="F244" s="33">
        <f>150000-28029.02</f>
        <v>121970.98</v>
      </c>
      <c r="G244" s="53">
        <f>150000-28029.02</f>
        <v>121970.98</v>
      </c>
      <c r="H244" s="53"/>
      <c r="I244" s="53"/>
    </row>
    <row r="245" spans="1:10" ht="36">
      <c r="A245" s="21"/>
      <c r="B245" s="32"/>
      <c r="C245" s="30"/>
      <c r="D245" s="35"/>
      <c r="E245" s="30" t="s">
        <v>315</v>
      </c>
      <c r="F245" s="33">
        <f>150000-36400.08</f>
        <v>113599.92</v>
      </c>
      <c r="G245" s="53">
        <f>150000-36400.08</f>
        <v>113599.92</v>
      </c>
      <c r="H245" s="53"/>
      <c r="I245" s="53"/>
    </row>
    <row r="246" spans="1:10" ht="36">
      <c r="A246" s="21"/>
      <c r="B246" s="32"/>
      <c r="C246" s="30"/>
      <c r="D246" s="35"/>
      <c r="E246" s="30" t="s">
        <v>316</v>
      </c>
      <c r="F246" s="33">
        <v>120321.73</v>
      </c>
      <c r="G246" s="53">
        <v>120321.73</v>
      </c>
      <c r="H246" s="53"/>
      <c r="I246" s="53"/>
    </row>
    <row r="247" spans="1:10" ht="36">
      <c r="A247" s="21"/>
      <c r="B247" s="32"/>
      <c r="C247" s="30"/>
      <c r="D247" s="35"/>
      <c r="E247" s="30" t="s">
        <v>317</v>
      </c>
      <c r="F247" s="33">
        <v>120321.71</v>
      </c>
      <c r="G247" s="53">
        <v>120321.71</v>
      </c>
      <c r="H247" s="53"/>
      <c r="I247" s="53"/>
    </row>
    <row r="248" spans="1:10" ht="36">
      <c r="A248" s="21"/>
      <c r="B248" s="32"/>
      <c r="C248" s="30"/>
      <c r="D248" s="35"/>
      <c r="E248" s="30" t="s">
        <v>318</v>
      </c>
      <c r="F248" s="33">
        <v>120321.73</v>
      </c>
      <c r="G248" s="53">
        <v>120321.73</v>
      </c>
      <c r="H248" s="53"/>
      <c r="I248" s="53"/>
    </row>
    <row r="249" spans="1:10" ht="36">
      <c r="A249" s="21"/>
      <c r="B249" s="32"/>
      <c r="C249" s="30"/>
      <c r="D249" s="35"/>
      <c r="E249" s="30" t="s">
        <v>319</v>
      </c>
      <c r="F249" s="33">
        <v>120321.73</v>
      </c>
      <c r="G249" s="53">
        <v>120321.73</v>
      </c>
      <c r="H249" s="53"/>
      <c r="I249" s="53"/>
    </row>
    <row r="250" spans="1:10" s="25" customFormat="1" ht="36">
      <c r="A250" s="28"/>
      <c r="B250" s="28"/>
      <c r="C250" s="28"/>
      <c r="D250" s="29"/>
      <c r="E250" s="41" t="s">
        <v>136</v>
      </c>
      <c r="F250" s="43">
        <f>477515.88+992484.12-74158.68</f>
        <v>1395841.32</v>
      </c>
      <c r="G250" s="57">
        <f>477515.88+992484.12-74158.68</f>
        <v>1395841.32</v>
      </c>
      <c r="H250" s="54"/>
      <c r="I250" s="54"/>
    </row>
    <row r="251" spans="1:10" s="25" customFormat="1" ht="36">
      <c r="A251" s="28"/>
      <c r="B251" s="28"/>
      <c r="C251" s="28"/>
      <c r="D251" s="29"/>
      <c r="E251" s="41" t="s">
        <v>243</v>
      </c>
      <c r="F251" s="43">
        <v>179000</v>
      </c>
      <c r="G251" s="57">
        <v>179000</v>
      </c>
      <c r="H251" s="54"/>
      <c r="I251" s="54"/>
    </row>
    <row r="252" spans="1:10" s="25" customFormat="1" ht="36">
      <c r="A252" s="28"/>
      <c r="B252" s="28"/>
      <c r="C252" s="28"/>
      <c r="D252" s="29"/>
      <c r="E252" s="41" t="s">
        <v>137</v>
      </c>
      <c r="F252" s="43">
        <f>356325-22851.35-33468.88</f>
        <v>300004.77</v>
      </c>
      <c r="G252" s="57">
        <f>356325-22851.35-33468.88</f>
        <v>300004.77</v>
      </c>
      <c r="H252" s="54"/>
      <c r="I252" s="54"/>
    </row>
    <row r="253" spans="1:10" s="25" customFormat="1" ht="54">
      <c r="A253" s="28"/>
      <c r="B253" s="28"/>
      <c r="C253" s="28"/>
      <c r="D253" s="29"/>
      <c r="E253" s="41" t="s">
        <v>244</v>
      </c>
      <c r="F253" s="43">
        <v>322851.34999999998</v>
      </c>
      <c r="G253" s="57">
        <v>322851.34999999998</v>
      </c>
      <c r="H253" s="54"/>
      <c r="I253" s="54"/>
    </row>
    <row r="254" spans="1:10" s="25" customFormat="1" ht="36">
      <c r="A254" s="28"/>
      <c r="B254" s="28"/>
      <c r="C254" s="28"/>
      <c r="D254" s="29"/>
      <c r="E254" s="41" t="s">
        <v>138</v>
      </c>
      <c r="F254" s="43">
        <f>675427-39038.02-100000-124673.42</f>
        <v>411715.56</v>
      </c>
      <c r="G254" s="57">
        <f>675427-39038.02-100000-124673.42</f>
        <v>411715.56</v>
      </c>
      <c r="H254" s="54"/>
      <c r="I254" s="54"/>
    </row>
    <row r="255" spans="1:10" s="25" customFormat="1" ht="36">
      <c r="A255" s="28"/>
      <c r="B255" s="28"/>
      <c r="C255" s="28"/>
      <c r="D255" s="29"/>
      <c r="E255" s="41" t="s">
        <v>249</v>
      </c>
      <c r="F255" s="43">
        <f>156000-24062.54</f>
        <v>131937.46</v>
      </c>
      <c r="G255" s="57">
        <f>156000-24062.54</f>
        <v>131937.46</v>
      </c>
      <c r="H255" s="54"/>
      <c r="I255" s="54"/>
    </row>
    <row r="256" spans="1:10" s="25" customFormat="1" ht="36">
      <c r="A256" s="28"/>
      <c r="B256" s="28"/>
      <c r="C256" s="28"/>
      <c r="D256" s="29"/>
      <c r="E256" s="41" t="s">
        <v>139</v>
      </c>
      <c r="F256" s="43">
        <f>99306.77+59200</f>
        <v>158506.77000000002</v>
      </c>
      <c r="G256" s="57">
        <f>99306.77+59200</f>
        <v>158506.77000000002</v>
      </c>
      <c r="H256" s="54"/>
      <c r="I256" s="54"/>
    </row>
    <row r="257" spans="1:10" s="25" customFormat="1" ht="36">
      <c r="A257" s="28"/>
      <c r="B257" s="28"/>
      <c r="C257" s="28"/>
      <c r="D257" s="29"/>
      <c r="E257" s="41" t="s">
        <v>140</v>
      </c>
      <c r="F257" s="43">
        <f>284410.21+64400</f>
        <v>348810.21</v>
      </c>
      <c r="G257" s="57">
        <f>284410.21+64400</f>
        <v>348810.21</v>
      </c>
      <c r="H257" s="54"/>
      <c r="I257" s="54"/>
    </row>
    <row r="258" spans="1:10" s="25" customFormat="1" ht="36">
      <c r="A258" s="28"/>
      <c r="B258" s="28"/>
      <c r="C258" s="28"/>
      <c r="D258" s="29"/>
      <c r="E258" s="30" t="s">
        <v>285</v>
      </c>
      <c r="F258" s="43">
        <v>999570</v>
      </c>
      <c r="G258" s="57">
        <v>999570</v>
      </c>
      <c r="H258" s="54"/>
      <c r="I258" s="54"/>
    </row>
    <row r="259" spans="1:10" s="25" customFormat="1" ht="72">
      <c r="A259" s="28"/>
      <c r="B259" s="28"/>
      <c r="C259" s="28"/>
      <c r="D259" s="29"/>
      <c r="E259" s="31" t="s">
        <v>175</v>
      </c>
      <c r="F259" s="43">
        <f>100000+5411800</f>
        <v>5511800</v>
      </c>
      <c r="G259" s="57">
        <f>100000+5411800</f>
        <v>5511800</v>
      </c>
      <c r="H259" s="54"/>
      <c r="I259" s="54"/>
    </row>
    <row r="260" spans="1:10" s="25" customFormat="1" ht="72">
      <c r="A260" s="28"/>
      <c r="B260" s="28"/>
      <c r="C260" s="28"/>
      <c r="D260" s="29"/>
      <c r="E260" s="31" t="s">
        <v>176</v>
      </c>
      <c r="F260" s="43">
        <f>100000+3201000</f>
        <v>3301000</v>
      </c>
      <c r="G260" s="57">
        <f>100000+3201000</f>
        <v>3301000</v>
      </c>
      <c r="H260" s="54"/>
      <c r="I260" s="54"/>
    </row>
    <row r="261" spans="1:10" s="25" customFormat="1" ht="36">
      <c r="A261" s="28"/>
      <c r="B261" s="28"/>
      <c r="C261" s="28"/>
      <c r="D261" s="29"/>
      <c r="E261" s="31" t="s">
        <v>177</v>
      </c>
      <c r="F261" s="43">
        <f>3782400+204600</f>
        <v>3987000</v>
      </c>
      <c r="G261" s="57">
        <f>3782400+204600</f>
        <v>3987000</v>
      </c>
      <c r="H261" s="54"/>
      <c r="I261" s="54"/>
    </row>
    <row r="262" spans="1:10" ht="54">
      <c r="A262" s="21" t="s">
        <v>132</v>
      </c>
      <c r="B262" s="32" t="s">
        <v>133</v>
      </c>
      <c r="C262" s="30" t="s">
        <v>92</v>
      </c>
      <c r="D262" s="35" t="s">
        <v>93</v>
      </c>
      <c r="E262" s="35" t="s">
        <v>16</v>
      </c>
      <c r="F262" s="33">
        <f>SUM(F263:F270)</f>
        <v>29954391.739999998</v>
      </c>
      <c r="G262" s="53">
        <f t="shared" ref="G262:I262" si="25">SUM(G263:G270)</f>
        <v>25943598.739999998</v>
      </c>
      <c r="H262" s="53">
        <f t="shared" si="25"/>
        <v>4010793</v>
      </c>
      <c r="I262" s="53">
        <f t="shared" si="25"/>
        <v>0</v>
      </c>
    </row>
    <row r="263" spans="1:10" s="25" customFormat="1" ht="79.95" customHeight="1">
      <c r="A263" s="28"/>
      <c r="B263" s="28"/>
      <c r="C263" s="28"/>
      <c r="D263" s="29"/>
      <c r="E263" s="41" t="s">
        <v>141</v>
      </c>
      <c r="F263" s="42">
        <f>3265655.66+200000+490000-145000</f>
        <v>3810655.66</v>
      </c>
      <c r="G263" s="53">
        <f>3265655.66+200000+490000-145000</f>
        <v>3810655.66</v>
      </c>
      <c r="H263" s="53"/>
      <c r="I263" s="53"/>
    </row>
    <row r="264" spans="1:10" ht="144">
      <c r="A264" s="32"/>
      <c r="B264" s="32"/>
      <c r="C264" s="48"/>
      <c r="D264" s="30"/>
      <c r="E264" s="30" t="s">
        <v>367</v>
      </c>
      <c r="F264" s="42">
        <f>4276488+683000-239521.3</f>
        <v>4719966.7</v>
      </c>
      <c r="G264" s="53">
        <f>4276488+683000-239521.3</f>
        <v>4719966.7</v>
      </c>
      <c r="H264" s="96"/>
      <c r="I264" s="97"/>
      <c r="J264" s="86" t="s">
        <v>368</v>
      </c>
    </row>
    <row r="265" spans="1:10" s="25" customFormat="1" ht="54">
      <c r="A265" s="28"/>
      <c r="B265" s="28"/>
      <c r="C265" s="28"/>
      <c r="D265" s="29"/>
      <c r="E265" s="30" t="s">
        <v>142</v>
      </c>
      <c r="F265" s="42">
        <v>1004292.24</v>
      </c>
      <c r="G265" s="53">
        <v>1004292.24</v>
      </c>
      <c r="H265" s="53"/>
      <c r="I265" s="53"/>
    </row>
    <row r="266" spans="1:10" s="25" customFormat="1" ht="126">
      <c r="A266" s="28"/>
      <c r="B266" s="28"/>
      <c r="C266" s="28"/>
      <c r="D266" s="29"/>
      <c r="E266" s="30" t="s">
        <v>143</v>
      </c>
      <c r="F266" s="42">
        <f>10141431-6130638</f>
        <v>4010793</v>
      </c>
      <c r="G266" s="53"/>
      <c r="H266" s="53">
        <f>10141431-6130638</f>
        <v>4010793</v>
      </c>
      <c r="I266" s="53"/>
    </row>
    <row r="267" spans="1:10" s="25" customFormat="1" ht="90">
      <c r="A267" s="28"/>
      <c r="B267" s="28"/>
      <c r="C267" s="28"/>
      <c r="D267" s="47"/>
      <c r="E267" s="31" t="s">
        <v>178</v>
      </c>
      <c r="F267" s="42">
        <f>200000+3000000+2092484.14</f>
        <v>5292484.1399999997</v>
      </c>
      <c r="G267" s="53">
        <f>200000+3000000+2092484.14</f>
        <v>5292484.1399999997</v>
      </c>
      <c r="H267" s="53"/>
      <c r="I267" s="53"/>
    </row>
    <row r="268" spans="1:10" s="25" customFormat="1" ht="72">
      <c r="A268" s="28"/>
      <c r="B268" s="28"/>
      <c r="C268" s="28"/>
      <c r="D268" s="47"/>
      <c r="E268" s="31" t="s">
        <v>179</v>
      </c>
      <c r="F268" s="42">
        <f>100000+907900</f>
        <v>1007900</v>
      </c>
      <c r="G268" s="53">
        <f>100000+907900</f>
        <v>1007900</v>
      </c>
      <c r="H268" s="53"/>
      <c r="I268" s="53"/>
    </row>
    <row r="269" spans="1:10" s="25" customFormat="1" ht="72">
      <c r="A269" s="28"/>
      <c r="B269" s="28"/>
      <c r="C269" s="28"/>
      <c r="D269" s="47"/>
      <c r="E269" s="31" t="s">
        <v>173</v>
      </c>
      <c r="F269" s="42">
        <f>245400+1917200</f>
        <v>2162600</v>
      </c>
      <c r="G269" s="53">
        <f>245400+1917200</f>
        <v>2162600</v>
      </c>
      <c r="H269" s="53"/>
      <c r="I269" s="53"/>
    </row>
    <row r="270" spans="1:10" s="25" customFormat="1" ht="90">
      <c r="A270" s="28"/>
      <c r="B270" s="28"/>
      <c r="C270" s="28"/>
      <c r="D270" s="47"/>
      <c r="E270" s="30" t="s">
        <v>286</v>
      </c>
      <c r="F270" s="42">
        <v>7945700</v>
      </c>
      <c r="G270" s="53">
        <v>7945700</v>
      </c>
      <c r="H270" s="53"/>
      <c r="I270" s="53"/>
    </row>
    <row r="271" spans="1:10" ht="71.099999999999994" customHeight="1">
      <c r="A271" s="21" t="s">
        <v>206</v>
      </c>
      <c r="B271" s="32">
        <v>8742</v>
      </c>
      <c r="C271" s="63" t="s">
        <v>78</v>
      </c>
      <c r="D271" s="30" t="s">
        <v>207</v>
      </c>
      <c r="E271" s="35" t="s">
        <v>208</v>
      </c>
      <c r="F271" s="33">
        <f>4575000-414048.53</f>
        <v>4160951.4699999997</v>
      </c>
      <c r="G271" s="53">
        <f>4575000-414048.53</f>
        <v>4160951.4699999997</v>
      </c>
      <c r="H271" s="53"/>
      <c r="I271" s="53"/>
      <c r="J271" s="1"/>
    </row>
    <row r="272" spans="1:10" ht="37.950000000000003" customHeight="1">
      <c r="A272" s="20" t="s">
        <v>144</v>
      </c>
      <c r="B272" s="19" t="s">
        <v>20</v>
      </c>
      <c r="C272" s="19" t="s">
        <v>20</v>
      </c>
      <c r="D272" s="107" t="s">
        <v>145</v>
      </c>
      <c r="E272" s="108"/>
      <c r="F272" s="23">
        <f>F273</f>
        <v>2125300</v>
      </c>
      <c r="G272" s="52">
        <f>G273</f>
        <v>2125300</v>
      </c>
      <c r="H272" s="52"/>
      <c r="I272" s="52"/>
      <c r="J272" s="1"/>
    </row>
    <row r="273" spans="1:10" ht="42" customHeight="1">
      <c r="A273" s="20" t="s">
        <v>146</v>
      </c>
      <c r="B273" s="19" t="s">
        <v>20</v>
      </c>
      <c r="C273" s="19" t="s">
        <v>20</v>
      </c>
      <c r="D273" s="107" t="s">
        <v>145</v>
      </c>
      <c r="E273" s="108"/>
      <c r="F273" s="23">
        <f>F274+F275</f>
        <v>2125300</v>
      </c>
      <c r="G273" s="52">
        <f>G274+G275</f>
        <v>2125300</v>
      </c>
      <c r="H273" s="52"/>
      <c r="I273" s="52"/>
    </row>
    <row r="274" spans="1:10" ht="72">
      <c r="A274" s="21" t="s">
        <v>147</v>
      </c>
      <c r="B274" s="32" t="s">
        <v>36</v>
      </c>
      <c r="C274" s="30" t="s">
        <v>14</v>
      </c>
      <c r="D274" s="35" t="s">
        <v>37</v>
      </c>
      <c r="E274" s="35" t="s">
        <v>46</v>
      </c>
      <c r="F274" s="33">
        <v>30000</v>
      </c>
      <c r="G274" s="53">
        <v>30000</v>
      </c>
      <c r="H274" s="53"/>
      <c r="I274" s="53"/>
    </row>
    <row r="275" spans="1:10" ht="37.950000000000003" customHeight="1">
      <c r="A275" s="21" t="s">
        <v>148</v>
      </c>
      <c r="B275" s="32" t="s">
        <v>149</v>
      </c>
      <c r="C275" s="30" t="s">
        <v>125</v>
      </c>
      <c r="D275" s="35" t="s">
        <v>150</v>
      </c>
      <c r="E275" s="35" t="s">
        <v>46</v>
      </c>
      <c r="F275" s="33">
        <f>550000+260000+1200000+85300</f>
        <v>2095300</v>
      </c>
      <c r="G275" s="53">
        <f>550000+260000+1200000+85300</f>
        <v>2095300</v>
      </c>
      <c r="H275" s="53"/>
      <c r="I275" s="53"/>
      <c r="J275" s="1"/>
    </row>
    <row r="276" spans="1:10" ht="27" customHeight="1">
      <c r="A276" s="66" t="s">
        <v>151</v>
      </c>
      <c r="B276" s="21" t="s">
        <v>20</v>
      </c>
      <c r="C276" s="21" t="s">
        <v>20</v>
      </c>
      <c r="D276" s="109" t="s">
        <v>152</v>
      </c>
      <c r="E276" s="110"/>
      <c r="F276" s="23">
        <f>F277</f>
        <v>19388180</v>
      </c>
      <c r="G276" s="52">
        <f>G277</f>
        <v>18597141</v>
      </c>
      <c r="H276" s="52">
        <f>H277</f>
        <v>791039</v>
      </c>
      <c r="I276" s="52"/>
      <c r="J276" s="1"/>
    </row>
    <row r="277" spans="1:10" ht="25.2" customHeight="1">
      <c r="A277" s="66" t="s">
        <v>153</v>
      </c>
      <c r="B277" s="21" t="s">
        <v>20</v>
      </c>
      <c r="C277" s="21" t="s">
        <v>20</v>
      </c>
      <c r="D277" s="109" t="s">
        <v>152</v>
      </c>
      <c r="E277" s="110"/>
      <c r="F277" s="23">
        <f>F278+F279+F280</f>
        <v>19388180</v>
      </c>
      <c r="G277" s="52">
        <f>G278+G279+G280</f>
        <v>18597141</v>
      </c>
      <c r="H277" s="52">
        <f>H278+H279+H280</f>
        <v>791039</v>
      </c>
      <c r="I277" s="52"/>
    </row>
    <row r="278" spans="1:10" ht="89.7" customHeight="1">
      <c r="A278" s="21" t="s">
        <v>290</v>
      </c>
      <c r="B278" s="21" t="s">
        <v>36</v>
      </c>
      <c r="C278" s="21" t="s">
        <v>14</v>
      </c>
      <c r="D278" s="35" t="s">
        <v>37</v>
      </c>
      <c r="E278" s="35" t="s">
        <v>46</v>
      </c>
      <c r="F278" s="33">
        <f>20000+25500+55000</f>
        <v>100500</v>
      </c>
      <c r="G278" s="53">
        <f>20000+25500+55000</f>
        <v>100500</v>
      </c>
      <c r="H278" s="52"/>
      <c r="I278" s="52"/>
    </row>
    <row r="279" spans="1:10" ht="89.7" customHeight="1">
      <c r="A279" s="21" t="s">
        <v>320</v>
      </c>
      <c r="B279" s="21" t="s">
        <v>321</v>
      </c>
      <c r="C279" s="21" t="s">
        <v>156</v>
      </c>
      <c r="D279" s="35" t="s">
        <v>322</v>
      </c>
      <c r="E279" s="35" t="s">
        <v>323</v>
      </c>
      <c r="F279" s="33">
        <v>1000000</v>
      </c>
      <c r="G279" s="53">
        <v>1000000</v>
      </c>
      <c r="H279" s="52"/>
      <c r="I279" s="52"/>
    </row>
    <row r="280" spans="1:10" s="25" customFormat="1" ht="72">
      <c r="A280" s="21" t="s">
        <v>154</v>
      </c>
      <c r="B280" s="32" t="s">
        <v>155</v>
      </c>
      <c r="C280" s="71" t="s">
        <v>156</v>
      </c>
      <c r="D280" s="35" t="s">
        <v>157</v>
      </c>
      <c r="E280" s="35" t="s">
        <v>16</v>
      </c>
      <c r="F280" s="33">
        <f>F281+F282+F283+F284+F285+F286+F287+F288</f>
        <v>18287680</v>
      </c>
      <c r="G280" s="53">
        <f>G281+G282+G283+G284+G285+G286+G287+G288</f>
        <v>17496641</v>
      </c>
      <c r="H280" s="53">
        <f>H281+H282+H283+H284+H285+H286+H287+H288</f>
        <v>791039</v>
      </c>
      <c r="I280" s="53"/>
    </row>
    <row r="281" spans="1:10" s="25" customFormat="1" ht="36">
      <c r="A281" s="28"/>
      <c r="B281" s="28"/>
      <c r="C281" s="28"/>
      <c r="D281" s="29"/>
      <c r="E281" s="35" t="s">
        <v>158</v>
      </c>
      <c r="F281" s="33">
        <v>365250</v>
      </c>
      <c r="G281" s="53">
        <v>365250</v>
      </c>
      <c r="H281" s="54"/>
      <c r="I281" s="54"/>
    </row>
    <row r="282" spans="1:10" s="25" customFormat="1" ht="54">
      <c r="A282" s="28"/>
      <c r="B282" s="28"/>
      <c r="C282" s="28"/>
      <c r="D282" s="29"/>
      <c r="E282" s="35" t="s">
        <v>330</v>
      </c>
      <c r="F282" s="33">
        <f>409500+161200+1806370+560000+3500000</f>
        <v>6437070</v>
      </c>
      <c r="G282" s="53">
        <f>409500+161200+1806370+560000+3500000</f>
        <v>6437070</v>
      </c>
      <c r="H282" s="54"/>
      <c r="I282" s="54"/>
    </row>
    <row r="283" spans="1:10" s="25" customFormat="1" ht="54">
      <c r="A283" s="28"/>
      <c r="B283" s="28"/>
      <c r="C283" s="28"/>
      <c r="D283" s="29"/>
      <c r="E283" s="35" t="s">
        <v>163</v>
      </c>
      <c r="F283" s="33">
        <f>425000+850000+850000</f>
        <v>2125000</v>
      </c>
      <c r="G283" s="53">
        <f>425000+850000+850000</f>
        <v>2125000</v>
      </c>
      <c r="H283" s="54"/>
      <c r="I283" s="54"/>
    </row>
    <row r="284" spans="1:10" ht="90">
      <c r="A284" s="28"/>
      <c r="B284" s="28"/>
      <c r="C284" s="28"/>
      <c r="D284" s="29"/>
      <c r="E284" s="35" t="s">
        <v>198</v>
      </c>
      <c r="F284" s="33">
        <v>1500000</v>
      </c>
      <c r="G284" s="53">
        <v>1500000</v>
      </c>
      <c r="H284" s="54"/>
      <c r="I284" s="54"/>
    </row>
    <row r="285" spans="1:10" ht="54">
      <c r="A285" s="28"/>
      <c r="B285" s="28"/>
      <c r="C285" s="28"/>
      <c r="D285" s="29"/>
      <c r="E285" s="35" t="s">
        <v>218</v>
      </c>
      <c r="F285" s="33">
        <v>380860</v>
      </c>
      <c r="G285" s="53">
        <v>380860</v>
      </c>
      <c r="H285" s="54"/>
      <c r="I285" s="54"/>
    </row>
    <row r="286" spans="1:10" ht="36">
      <c r="A286" s="28"/>
      <c r="B286" s="28"/>
      <c r="C286" s="28"/>
      <c r="D286" s="29"/>
      <c r="E286" s="35" t="s">
        <v>222</v>
      </c>
      <c r="F286" s="33">
        <f>400000+629500</f>
        <v>1029500</v>
      </c>
      <c r="G286" s="53">
        <f>400000+629500</f>
        <v>1029500</v>
      </c>
      <c r="H286" s="54"/>
      <c r="I286" s="54"/>
    </row>
    <row r="287" spans="1:10" ht="54">
      <c r="A287" s="28"/>
      <c r="B287" s="28"/>
      <c r="C287" s="28"/>
      <c r="D287" s="29"/>
      <c r="E287" s="35" t="s">
        <v>287</v>
      </c>
      <c r="F287" s="33">
        <f>3000000+2000000</f>
        <v>5000000</v>
      </c>
      <c r="G287" s="53">
        <f>3000000+2000000-791039</f>
        <v>4208961</v>
      </c>
      <c r="H287" s="53">
        <v>791039</v>
      </c>
      <c r="I287" s="54"/>
    </row>
    <row r="288" spans="1:10" ht="72">
      <c r="A288" s="28"/>
      <c r="B288" s="28"/>
      <c r="C288" s="28"/>
      <c r="D288" s="29"/>
      <c r="E288" s="35" t="s">
        <v>288</v>
      </c>
      <c r="F288" s="33">
        <v>1450000</v>
      </c>
      <c r="G288" s="53">
        <v>1450000</v>
      </c>
      <c r="H288" s="54"/>
      <c r="I288" s="54"/>
    </row>
    <row r="289" spans="1:9">
      <c r="A289" s="26"/>
      <c r="B289" s="19"/>
      <c r="C289" s="19"/>
      <c r="D289" s="2"/>
      <c r="E289" s="14" t="s">
        <v>0</v>
      </c>
      <c r="F289" s="45">
        <f>F17+F35+F46+F54+F58+F62+F65+F133+F272+F276</f>
        <v>277603836.14999998</v>
      </c>
      <c r="G289" s="59">
        <f>G17+G35+G46+G54+G58+G62+G65+G133+G272+G276</f>
        <v>260375809.14999998</v>
      </c>
      <c r="H289" s="59">
        <f>H17+H35+H46+H54+H58+H62+H65+H133+H272+H276</f>
        <v>11628027</v>
      </c>
      <c r="I289" s="59">
        <f>I17+I35+I46+I54+I58+I62+I65+I133+I272+I276</f>
        <v>5600000</v>
      </c>
    </row>
    <row r="290" spans="1:9" s="22" customFormat="1">
      <c r="A290" s="5"/>
      <c r="B290" s="4"/>
      <c r="C290" s="4"/>
      <c r="D290" s="5"/>
      <c r="E290" s="15"/>
      <c r="F290" s="16"/>
      <c r="G290" s="60"/>
      <c r="H290" s="60"/>
      <c r="I290" s="60"/>
    </row>
    <row r="291" spans="1:9">
      <c r="A291" s="24"/>
      <c r="B291" s="13"/>
      <c r="C291" s="22"/>
      <c r="D291" s="22" t="s">
        <v>373</v>
      </c>
      <c r="E291" s="22"/>
      <c r="F291" s="22"/>
    </row>
    <row r="292" spans="1:9">
      <c r="F292" s="1"/>
      <c r="G292" s="61"/>
      <c r="H292" s="61"/>
      <c r="I292" s="61"/>
    </row>
    <row r="293" spans="1:9">
      <c r="F293" s="65">
        <v>282079602.14999998</v>
      </c>
      <c r="G293" s="98">
        <v>264851575.14999998</v>
      </c>
      <c r="H293" s="98">
        <v>11628027</v>
      </c>
      <c r="I293" s="98">
        <v>5600000</v>
      </c>
    </row>
    <row r="294" spans="1:9">
      <c r="F294" s="1">
        <f>G294+H294+I294</f>
        <v>-4475766</v>
      </c>
      <c r="G294" s="61">
        <f>G289-G293</f>
        <v>-4475766</v>
      </c>
      <c r="H294" s="61">
        <f>H289-H293</f>
        <v>0</v>
      </c>
      <c r="I294" s="61">
        <f>I289-I293</f>
        <v>0</v>
      </c>
    </row>
    <row r="295" spans="1:9">
      <c r="F295" s="1"/>
      <c r="G295" s="61"/>
      <c r="H295" s="61"/>
      <c r="I295" s="61"/>
    </row>
    <row r="296" spans="1:9">
      <c r="F296" s="27"/>
      <c r="G296" s="62"/>
      <c r="H296" s="62"/>
      <c r="I296" s="62"/>
    </row>
    <row r="297" spans="1:9">
      <c r="F297" s="72">
        <v>30556209.91</v>
      </c>
      <c r="G297" s="99">
        <v>22522836.909999996</v>
      </c>
      <c r="H297" s="99">
        <v>371973</v>
      </c>
      <c r="I297" s="61">
        <v>7661400</v>
      </c>
    </row>
    <row r="298" spans="1:9">
      <c r="F298" s="72">
        <v>22894809.909999996</v>
      </c>
      <c r="G298" s="99">
        <v>22522836.909999996</v>
      </c>
      <c r="H298" s="99">
        <v>371973</v>
      </c>
      <c r="I298" s="61"/>
    </row>
    <row r="299" spans="1:9" ht="20.399999999999999">
      <c r="F299" s="1">
        <f>F289+F297</f>
        <v>308160046.06</v>
      </c>
      <c r="G299" s="75">
        <f>G289+G297</f>
        <v>282898646.05999994</v>
      </c>
      <c r="H299" s="61">
        <f>H289+H297</f>
        <v>12000000</v>
      </c>
      <c r="I299" s="61">
        <f>I289+I297</f>
        <v>13261400</v>
      </c>
    </row>
    <row r="300" spans="1:9">
      <c r="F300" s="1">
        <f>F293+F298</f>
        <v>304974412.05999994</v>
      </c>
      <c r="G300" s="61">
        <f>G293+G298</f>
        <v>287374412.05999994</v>
      </c>
      <c r="H300" s="61">
        <f>H293+H298</f>
        <v>12000000</v>
      </c>
      <c r="I300" s="61">
        <f>I293+I298</f>
        <v>5600000</v>
      </c>
    </row>
    <row r="301" spans="1:9">
      <c r="F301" s="1">
        <f>F299-F300</f>
        <v>3185634.0000000596</v>
      </c>
      <c r="G301" s="61">
        <f>G299-G300</f>
        <v>-4475766</v>
      </c>
      <c r="H301" s="61">
        <f t="shared" ref="H301:I301" si="26">H299-H300</f>
        <v>0</v>
      </c>
      <c r="I301" s="61">
        <f t="shared" si="26"/>
        <v>7661400</v>
      </c>
    </row>
    <row r="302" spans="1:9">
      <c r="F302" s="1">
        <v>-4475766</v>
      </c>
    </row>
    <row r="303" spans="1:9">
      <c r="F303" s="1">
        <f>F301-F302</f>
        <v>7661400.0000000596</v>
      </c>
      <c r="G303" s="61"/>
    </row>
    <row r="304" spans="1:9">
      <c r="F304" s="1"/>
    </row>
    <row r="305" spans="6:6">
      <c r="F305" s="1"/>
    </row>
    <row r="307" spans="6:6">
      <c r="F307" s="1">
        <f>[1]Лист1!$K$220</f>
        <v>308160046.06</v>
      </c>
    </row>
    <row r="308" spans="6:6">
      <c r="F308" s="1">
        <f>F299-F307</f>
        <v>0</v>
      </c>
    </row>
  </sheetData>
  <mergeCells count="40">
    <mergeCell ref="E5:F5"/>
    <mergeCell ref="E6:F6"/>
    <mergeCell ref="E7:F7"/>
    <mergeCell ref="E8:F8"/>
    <mergeCell ref="E1:F1"/>
    <mergeCell ref="E2:F2"/>
    <mergeCell ref="E3:F3"/>
    <mergeCell ref="D277:E277"/>
    <mergeCell ref="D51:E51"/>
    <mergeCell ref="D53:E53"/>
    <mergeCell ref="D272:E272"/>
    <mergeCell ref="D276:E276"/>
    <mergeCell ref="D65:E65"/>
    <mergeCell ref="D66:E66"/>
    <mergeCell ref="D133:E133"/>
    <mergeCell ref="D134:E134"/>
    <mergeCell ref="D273:E273"/>
    <mergeCell ref="D52:E52"/>
    <mergeCell ref="D17:E17"/>
    <mergeCell ref="D18:E18"/>
    <mergeCell ref="D63:E63"/>
    <mergeCell ref="D35:E35"/>
    <mergeCell ref="D36:E36"/>
    <mergeCell ref="D46:E46"/>
    <mergeCell ref="D47:E47"/>
    <mergeCell ref="D58:E58"/>
    <mergeCell ref="D59:E59"/>
    <mergeCell ref="D62:E62"/>
    <mergeCell ref="D54:E54"/>
    <mergeCell ref="D55:E55"/>
    <mergeCell ref="A10:B10"/>
    <mergeCell ref="A11:B11"/>
    <mergeCell ref="A12:I12"/>
    <mergeCell ref="A14:A15"/>
    <mergeCell ref="B14:B15"/>
    <mergeCell ref="C14:C15"/>
    <mergeCell ref="D14:D15"/>
    <mergeCell ref="E14:E15"/>
    <mergeCell ref="F14:F15"/>
    <mergeCell ref="G14:I14"/>
  </mergeCells>
  <pageMargins left="0.19685039370078741" right="0.19685039370078741" top="0.59055118110236227" bottom="0.59055118110236227" header="0" footer="0"/>
  <pageSetup paperSize="9" scale="54"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220FU11</cp:lastModifiedBy>
  <cp:lastPrinted>2023-12-04T15:11:19Z</cp:lastPrinted>
  <dcterms:created xsi:type="dcterms:W3CDTF">2005-08-15T04:40:30Z</dcterms:created>
  <dcterms:modified xsi:type="dcterms:W3CDTF">2023-12-07T06:52:03Z</dcterms:modified>
</cp:coreProperties>
</file>