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3_НАСТУПНЕ\"/>
    </mc:Choice>
  </mc:AlternateContent>
  <bookViews>
    <workbookView xWindow="0" yWindow="0" windowWidth="20496" windowHeight="7152" tabRatio="500"/>
  </bookViews>
  <sheets>
    <sheet name="грудень" sheetId="1" r:id="rId1"/>
  </sheets>
  <definedNames>
    <definedName name="_xlnm.Print_Titles" localSheetId="0">грудень!$3:$5</definedName>
    <definedName name="_xlnm.Print_Area" localSheetId="0">грудень!$A$1:$K$90</definedName>
  </definedNames>
  <calcPr calcId="152511"/>
</workbook>
</file>

<file path=xl/calcChain.xml><?xml version="1.0" encoding="utf-8"?>
<calcChain xmlns="http://schemas.openxmlformats.org/spreadsheetml/2006/main">
  <c r="H67" i="1" l="1"/>
  <c r="E81" i="1" l="1"/>
  <c r="D80" i="1"/>
  <c r="D52" i="1"/>
  <c r="D49" i="1"/>
  <c r="D44" i="1"/>
  <c r="D43" i="1"/>
  <c r="D36" i="1"/>
  <c r="D35" i="1"/>
  <c r="D26" i="1"/>
  <c r="D25" i="1"/>
  <c r="D15" i="1"/>
  <c r="D12" i="1"/>
  <c r="D8" i="1"/>
  <c r="J80" i="1" l="1"/>
  <c r="I80" i="1" s="1"/>
  <c r="D82" i="1"/>
  <c r="D73" i="1"/>
  <c r="F80" i="1"/>
  <c r="C80" i="1"/>
  <c r="E60" i="1" l="1"/>
  <c r="D10" i="1" l="1"/>
  <c r="D17" i="1"/>
  <c r="D19" i="1"/>
  <c r="D20" i="1"/>
  <c r="D24" i="1"/>
  <c r="D27" i="1"/>
  <c r="D37" i="1"/>
  <c r="E39" i="1"/>
  <c r="D45" i="1"/>
  <c r="D50" i="1"/>
  <c r="D51" i="1"/>
  <c r="D56" i="1"/>
  <c r="E57" i="1"/>
  <c r="E65" i="1"/>
  <c r="E78" i="1"/>
  <c r="H61" i="1" l="1"/>
  <c r="F61" i="1" s="1"/>
  <c r="K62" i="1"/>
  <c r="K61" i="1" s="1"/>
  <c r="I61" i="1" s="1"/>
  <c r="K65" i="1"/>
  <c r="F62" i="1"/>
  <c r="E61" i="1"/>
  <c r="C61" i="1" s="1"/>
  <c r="C62" i="1"/>
  <c r="I62" i="1" l="1"/>
  <c r="D53" i="1" l="1"/>
  <c r="D34" i="1"/>
  <c r="D54" i="1" l="1"/>
  <c r="D77" i="1"/>
  <c r="E67" i="1"/>
  <c r="H73" i="1" l="1"/>
  <c r="K39" i="1" l="1"/>
  <c r="J82" i="1" l="1"/>
  <c r="F35" i="1" l="1"/>
  <c r="F34" i="1"/>
  <c r="K72" i="1"/>
  <c r="E71" i="1"/>
  <c r="C83" i="1"/>
  <c r="D84" i="1"/>
  <c r="E84" i="1"/>
  <c r="H84" i="1"/>
  <c r="D79" i="1"/>
  <c r="D78" i="1"/>
  <c r="C77" i="1"/>
  <c r="C75" i="1"/>
  <c r="C76" i="1"/>
  <c r="C74" i="1"/>
  <c r="J74" i="1"/>
  <c r="F85" i="1" l="1"/>
  <c r="F83" i="1"/>
  <c r="F79" i="1"/>
  <c r="F77" i="1"/>
  <c r="F75" i="1"/>
  <c r="F76" i="1"/>
  <c r="F74" i="1"/>
  <c r="J77" i="1" l="1"/>
  <c r="I77" i="1" s="1"/>
  <c r="G73" i="1"/>
  <c r="K75" i="1" l="1"/>
  <c r="J75" i="1"/>
  <c r="K85" i="1" l="1"/>
  <c r="J85" i="1"/>
  <c r="J83" i="1"/>
  <c r="G84" i="1"/>
  <c r="F84" i="1" s="1"/>
  <c r="C85" i="1"/>
  <c r="C84" i="1"/>
  <c r="K84" i="1" l="1"/>
  <c r="I85" i="1"/>
  <c r="I83" i="1"/>
  <c r="K74" i="1"/>
  <c r="K76" i="1"/>
  <c r="J76" i="1"/>
  <c r="I74" i="1" l="1"/>
  <c r="I76" i="1"/>
  <c r="D30" i="1" l="1"/>
  <c r="D72" i="1" l="1"/>
  <c r="K57" i="1" l="1"/>
  <c r="E55" i="1"/>
  <c r="E40" i="1" s="1"/>
  <c r="J56" i="1"/>
  <c r="K56" i="1"/>
  <c r="D71" i="1" l="1"/>
  <c r="J54" i="1"/>
  <c r="J8" i="1"/>
  <c r="D9" i="1"/>
  <c r="D7" i="1" s="1"/>
  <c r="E11" i="1"/>
  <c r="D11" i="1"/>
  <c r="E13" i="1"/>
  <c r="D14" i="1"/>
  <c r="D16" i="1"/>
  <c r="D18" i="1"/>
  <c r="E18" i="1"/>
  <c r="E23" i="1"/>
  <c r="D23" i="1"/>
  <c r="E28" i="1"/>
  <c r="D28" i="1"/>
  <c r="D33" i="1"/>
  <c r="E38" i="1"/>
  <c r="E6" i="1" s="1"/>
  <c r="E41" i="1"/>
  <c r="D41" i="1"/>
  <c r="E48" i="1"/>
  <c r="E47" i="1" s="1"/>
  <c r="D48" i="1"/>
  <c r="D55" i="1"/>
  <c r="K54" i="1"/>
  <c r="C56" i="1"/>
  <c r="K59" i="1"/>
  <c r="E64" i="1"/>
  <c r="C59" i="1"/>
  <c r="D66" i="1"/>
  <c r="E66" i="1"/>
  <c r="E73" i="1"/>
  <c r="J10" i="1"/>
  <c r="C82" i="1"/>
  <c r="C81" i="1"/>
  <c r="C65" i="1"/>
  <c r="C52" i="1"/>
  <c r="C46" i="1"/>
  <c r="C35" i="1"/>
  <c r="C34" i="1"/>
  <c r="C27" i="1"/>
  <c r="C26" i="1"/>
  <c r="C10" i="1"/>
  <c r="C78" i="1"/>
  <c r="C44" i="1"/>
  <c r="C37" i="1"/>
  <c r="C31" i="1"/>
  <c r="C30" i="1"/>
  <c r="C29" i="1"/>
  <c r="C72" i="1"/>
  <c r="C57" i="1"/>
  <c r="C53" i="1"/>
  <c r="C51" i="1"/>
  <c r="C50" i="1"/>
  <c r="C49" i="1"/>
  <c r="C45" i="1"/>
  <c r="C43" i="1"/>
  <c r="C42" i="1"/>
  <c r="C36" i="1"/>
  <c r="C32" i="1"/>
  <c r="C25" i="1"/>
  <c r="C24" i="1"/>
  <c r="C20" i="1"/>
  <c r="C19" i="1"/>
  <c r="C15" i="1"/>
  <c r="C12" i="1"/>
  <c r="C8" i="1"/>
  <c r="F12" i="1"/>
  <c r="E63" i="1" l="1"/>
  <c r="C64" i="1"/>
  <c r="C11" i="1"/>
  <c r="E22" i="1"/>
  <c r="E21" i="1" s="1"/>
  <c r="C66" i="1"/>
  <c r="E70" i="1"/>
  <c r="E69" i="1" s="1"/>
  <c r="C73" i="1"/>
  <c r="D47" i="1"/>
  <c r="D40" i="1" s="1"/>
  <c r="C28" i="1"/>
  <c r="D22" i="1"/>
  <c r="D21" i="1" s="1"/>
  <c r="D13" i="1"/>
  <c r="C18" i="1"/>
  <c r="C23" i="1"/>
  <c r="C9" i="1"/>
  <c r="C79" i="1"/>
  <c r="C67" i="1"/>
  <c r="C54" i="1"/>
  <c r="C58" i="1"/>
  <c r="C55" i="1" s="1"/>
  <c r="C33" i="1"/>
  <c r="C16" i="1"/>
  <c r="C7" i="1"/>
  <c r="C41" i="1"/>
  <c r="C38" i="1"/>
  <c r="C14" i="1"/>
  <c r="C71" i="1"/>
  <c r="C17" i="1"/>
  <c r="C86" i="1"/>
  <c r="C39" i="1"/>
  <c r="C48" i="1"/>
  <c r="G18" i="1"/>
  <c r="J18" i="1" s="1"/>
  <c r="C47" i="1" l="1"/>
  <c r="E68" i="1"/>
  <c r="E87" i="1" s="1"/>
  <c r="C40" i="1"/>
  <c r="D6" i="1"/>
  <c r="D68" i="1" s="1"/>
  <c r="C13" i="1"/>
  <c r="C63" i="1"/>
  <c r="C60" i="1"/>
  <c r="C22" i="1"/>
  <c r="C21" i="1"/>
  <c r="F43" i="1" l="1"/>
  <c r="C6" i="1" l="1"/>
  <c r="J43" i="1"/>
  <c r="I43" i="1" s="1"/>
  <c r="J36" i="1"/>
  <c r="C68" i="1" l="1"/>
  <c r="H70" i="1" l="1"/>
  <c r="H69" i="1" s="1"/>
  <c r="K81" i="1" l="1"/>
  <c r="K73" i="1" s="1"/>
  <c r="K70" i="1" s="1"/>
  <c r="K69" i="1" s="1"/>
  <c r="J79" i="1"/>
  <c r="J81" i="1" l="1"/>
  <c r="F81" i="1"/>
  <c r="I81" i="1" l="1"/>
  <c r="H18" i="1"/>
  <c r="K18" i="1" s="1"/>
  <c r="I18" i="1" s="1"/>
  <c r="F19" i="1" l="1"/>
  <c r="F20" i="1"/>
  <c r="J20" i="1"/>
  <c r="I20" i="1" s="1"/>
  <c r="J19" i="1"/>
  <c r="I19" i="1" s="1"/>
  <c r="F18" i="1" l="1"/>
  <c r="K67" i="1"/>
  <c r="J58" i="1" l="1"/>
  <c r="J86" i="1" l="1"/>
  <c r="J84" i="1" s="1"/>
  <c r="I84" i="1" s="1"/>
  <c r="I86" i="1" l="1"/>
  <c r="K64" i="1"/>
  <c r="I64" i="1" s="1"/>
  <c r="J57" i="1" l="1"/>
  <c r="J55" i="1" s="1"/>
  <c r="K58" i="1"/>
  <c r="F58" i="1"/>
  <c r="F56" i="1"/>
  <c r="G55" i="1"/>
  <c r="H55" i="1"/>
  <c r="I58" i="1" l="1"/>
  <c r="K55" i="1"/>
  <c r="I79" i="1"/>
  <c r="J78" i="1"/>
  <c r="J73" i="1" s="1"/>
  <c r="F73" i="1" l="1"/>
  <c r="K8" i="1" l="1"/>
  <c r="I8" i="1" s="1"/>
  <c r="K10" i="1"/>
  <c r="J9" i="1"/>
  <c r="J7" i="1" s="1"/>
  <c r="K12" i="1"/>
  <c r="K11" i="1" s="1"/>
  <c r="J12" i="1"/>
  <c r="K15" i="1"/>
  <c r="J15" i="1"/>
  <c r="J14" i="1" s="1"/>
  <c r="K17" i="1"/>
  <c r="K16" i="1" s="1"/>
  <c r="J17" i="1"/>
  <c r="J16" i="1" s="1"/>
  <c r="J24" i="1"/>
  <c r="K24" i="1"/>
  <c r="J25" i="1"/>
  <c r="K25" i="1"/>
  <c r="J26" i="1"/>
  <c r="K26" i="1"/>
  <c r="K27" i="1"/>
  <c r="J27" i="1"/>
  <c r="K32" i="1"/>
  <c r="J32" i="1"/>
  <c r="K31" i="1"/>
  <c r="J31" i="1"/>
  <c r="K30" i="1"/>
  <c r="J30" i="1"/>
  <c r="K29" i="1"/>
  <c r="J29" i="1"/>
  <c r="K35" i="1"/>
  <c r="J35" i="1"/>
  <c r="K34" i="1"/>
  <c r="J34" i="1"/>
  <c r="K36" i="1"/>
  <c r="K37" i="1"/>
  <c r="J37" i="1"/>
  <c r="J39" i="1"/>
  <c r="J59" i="1"/>
  <c r="K46" i="1"/>
  <c r="J46" i="1"/>
  <c r="K45" i="1"/>
  <c r="J45" i="1"/>
  <c r="K44" i="1"/>
  <c r="J44" i="1"/>
  <c r="K42" i="1"/>
  <c r="J42" i="1"/>
  <c r="I54" i="1"/>
  <c r="K53" i="1"/>
  <c r="J53" i="1"/>
  <c r="K52" i="1"/>
  <c r="J52" i="1"/>
  <c r="I52" i="1" s="1"/>
  <c r="K51" i="1"/>
  <c r="J51" i="1"/>
  <c r="K50" i="1"/>
  <c r="J50" i="1"/>
  <c r="K49" i="1"/>
  <c r="J49" i="1"/>
  <c r="I57" i="1"/>
  <c r="J65" i="1"/>
  <c r="J67" i="1"/>
  <c r="J66" i="1" s="1"/>
  <c r="K71" i="1"/>
  <c r="K78" i="1"/>
  <c r="K82" i="1"/>
  <c r="I82" i="1" s="1"/>
  <c r="F82" i="1"/>
  <c r="F78" i="1"/>
  <c r="F8" i="1"/>
  <c r="G9" i="1"/>
  <c r="G7" i="1" s="1"/>
  <c r="F10" i="1"/>
  <c r="G11" i="1"/>
  <c r="F11" i="1" s="1"/>
  <c r="G14" i="1"/>
  <c r="F15" i="1"/>
  <c r="G16" i="1"/>
  <c r="F16" i="1" s="1"/>
  <c r="F17" i="1"/>
  <c r="G23" i="1"/>
  <c r="F24" i="1"/>
  <c r="F25" i="1"/>
  <c r="F26" i="1"/>
  <c r="F27" i="1"/>
  <c r="G28" i="1"/>
  <c r="F29" i="1"/>
  <c r="F30" i="1"/>
  <c r="F31" i="1"/>
  <c r="F32" i="1"/>
  <c r="G33" i="1"/>
  <c r="F36" i="1"/>
  <c r="F37" i="1"/>
  <c r="H38" i="1"/>
  <c r="H6" i="1" s="1"/>
  <c r="F39" i="1"/>
  <c r="G41" i="1"/>
  <c r="F42" i="1"/>
  <c r="F44" i="1"/>
  <c r="F45" i="1"/>
  <c r="F46" i="1"/>
  <c r="G48" i="1"/>
  <c r="F48" i="1" s="1"/>
  <c r="F49" i="1"/>
  <c r="F50" i="1"/>
  <c r="F51" i="1"/>
  <c r="F52" i="1"/>
  <c r="F53" i="1"/>
  <c r="F54" i="1"/>
  <c r="H40" i="1"/>
  <c r="F57" i="1"/>
  <c r="F55" i="1" s="1"/>
  <c r="F59" i="1"/>
  <c r="H64" i="1"/>
  <c r="H63" i="1" s="1"/>
  <c r="H60" i="1" s="1"/>
  <c r="F60" i="1" s="1"/>
  <c r="F65" i="1"/>
  <c r="G66" i="1"/>
  <c r="H66" i="1"/>
  <c r="F67" i="1"/>
  <c r="F72" i="1"/>
  <c r="G71" i="1"/>
  <c r="G70" i="1" s="1"/>
  <c r="F63" i="1" l="1"/>
  <c r="F70" i="1"/>
  <c r="G69" i="1"/>
  <c r="J13" i="1"/>
  <c r="K38" i="1"/>
  <c r="K6" i="1" s="1"/>
  <c r="J33" i="1"/>
  <c r="J48" i="1"/>
  <c r="J47" i="1" s="1"/>
  <c r="I44" i="1"/>
  <c r="J41" i="1"/>
  <c r="I9" i="1"/>
  <c r="I7" i="1"/>
  <c r="I35" i="1"/>
  <c r="I32" i="1"/>
  <c r="I27" i="1"/>
  <c r="I26" i="1"/>
  <c r="I14" i="1"/>
  <c r="J23" i="1"/>
  <c r="J11" i="1"/>
  <c r="I11" i="1" s="1"/>
  <c r="I12" i="1"/>
  <c r="I78" i="1"/>
  <c r="I25" i="1"/>
  <c r="I15" i="1"/>
  <c r="F33" i="1"/>
  <c r="I49" i="1"/>
  <c r="I53" i="1"/>
  <c r="F66" i="1"/>
  <c r="I36" i="1"/>
  <c r="K28" i="1"/>
  <c r="K13" i="1"/>
  <c r="J72" i="1"/>
  <c r="I72" i="1" s="1"/>
  <c r="I56" i="1"/>
  <c r="I55" i="1" s="1"/>
  <c r="K40" i="1"/>
  <c r="G13" i="1"/>
  <c r="F13" i="1" s="1"/>
  <c r="F41" i="1"/>
  <c r="I65" i="1"/>
  <c r="F14" i="1"/>
  <c r="I51" i="1"/>
  <c r="I10" i="1"/>
  <c r="K41" i="1"/>
  <c r="J28" i="1"/>
  <c r="I24" i="1"/>
  <c r="K48" i="1"/>
  <c r="K47" i="1" s="1"/>
  <c r="I45" i="1"/>
  <c r="I37" i="1"/>
  <c r="I50" i="1"/>
  <c r="I46" i="1"/>
  <c r="I30" i="1"/>
  <c r="I31" i="1"/>
  <c r="I34" i="1"/>
  <c r="I29" i="1"/>
  <c r="K23" i="1"/>
  <c r="F28" i="1"/>
  <c r="I42" i="1"/>
  <c r="I16" i="1"/>
  <c r="I17" i="1"/>
  <c r="I39" i="1"/>
  <c r="I59" i="1"/>
  <c r="K63" i="1"/>
  <c r="K60" i="1" s="1"/>
  <c r="I60" i="1" s="1"/>
  <c r="I67" i="1"/>
  <c r="K66" i="1"/>
  <c r="I66" i="1" s="1"/>
  <c r="F9" i="1"/>
  <c r="F23" i="1"/>
  <c r="G22" i="1"/>
  <c r="F22" i="1" s="1"/>
  <c r="F38" i="1"/>
  <c r="G47" i="1"/>
  <c r="F47" i="1" s="1"/>
  <c r="F64" i="1"/>
  <c r="F71" i="1"/>
  <c r="F7" i="1"/>
  <c r="I38" i="1" l="1"/>
  <c r="F69" i="1"/>
  <c r="I73" i="1"/>
  <c r="J40" i="1"/>
  <c r="J22" i="1"/>
  <c r="I33" i="1"/>
  <c r="I13" i="1"/>
  <c r="G40" i="1"/>
  <c r="I23" i="1"/>
  <c r="I41" i="1"/>
  <c r="J71" i="1"/>
  <c r="K22" i="1"/>
  <c r="K21" i="1" s="1"/>
  <c r="I28" i="1"/>
  <c r="I48" i="1"/>
  <c r="I63" i="1"/>
  <c r="K68" i="1"/>
  <c r="K87" i="1" s="1"/>
  <c r="G21" i="1"/>
  <c r="H68" i="1"/>
  <c r="H87" i="1" s="1"/>
  <c r="F40" i="1" l="1"/>
  <c r="I47" i="1"/>
  <c r="I71" i="1"/>
  <c r="J70" i="1"/>
  <c r="J69" i="1" s="1"/>
  <c r="I22" i="1"/>
  <c r="J21" i="1"/>
  <c r="F21" i="1"/>
  <c r="G6" i="1"/>
  <c r="G68" i="1" s="1"/>
  <c r="G87" i="1" s="1"/>
  <c r="F6" i="1" l="1"/>
  <c r="I21" i="1"/>
  <c r="J6" i="1"/>
  <c r="I6" i="1" s="1"/>
  <c r="I69" i="1"/>
  <c r="I70" i="1"/>
  <c r="I40" i="1"/>
  <c r="J68" i="1" l="1"/>
  <c r="J87" i="1" s="1"/>
  <c r="F68" i="1"/>
  <c r="F87" i="1" s="1"/>
  <c r="I68" i="1" l="1"/>
  <c r="I87" i="1" s="1"/>
  <c r="D70" i="1"/>
  <c r="C70" i="1" s="1"/>
  <c r="D69" i="1" l="1"/>
  <c r="C69" i="1" l="1"/>
  <c r="C87" i="1" s="1"/>
  <c r="I89" i="1" s="1"/>
  <c r="D87" i="1"/>
  <c r="J89" i="1" s="1"/>
</calcChain>
</file>

<file path=xl/sharedStrings.xml><?xml version="1.0" encoding="utf-8"?>
<sst xmlns="http://schemas.openxmlformats.org/spreadsheetml/2006/main" count="158" uniqueCount="155">
  <si>
    <t>Всього_x000D_</t>
  </si>
  <si>
    <t>спеціальний фонд_x000D_</t>
  </si>
  <si>
    <t>Bсього_x000D_</t>
  </si>
  <si>
    <t>спеціальний   фонд_x000D_</t>
  </si>
  <si>
    <t>Всього</t>
  </si>
  <si>
    <t>загальний
фонд</t>
  </si>
  <si>
    <t>загальний
фонд_x000D_</t>
  </si>
  <si>
    <t>Код</t>
  </si>
  <si>
    <t>Найменування згідно з Класифікацією доходів бюджету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</si>
  <si>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</si>
  <si>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</si>
  <si>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(грн)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</si>
  <si>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</si>
  <si>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</si>
  <si>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</si>
  <si>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</si>
  <si>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</si>
  <si>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</si>
  <si>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</si>
  <si>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</si>
  <si>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</si>
  <si>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</si>
  <si>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</si>
  <si>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</si>
  <si>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</si>
  <si>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</si>
  <si>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</si>
  <si>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</si>
  <si>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</si>
  <si>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</si>
  <si>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</si>
  <si>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</si>
  <si>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</si>
  <si>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</si>
  <si>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</si>
  <si>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</si>
  <si>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</si>
  <si>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</si>
  <si>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</si>
  <si>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</si>
  <si>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</si>
  <si>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</si>
  <si>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</si>
  <si>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</si>
  <si>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</si>
  <si>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</si>
  <si>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</si>
  <si>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</si>
  <si>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</si>
  <si>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</si>
  <si>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</si>
  <si>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</si>
  <si>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</si>
  <si>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</si>
  <si>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</si>
  <si>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</si>
  <si>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</si>
  <si>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</si>
  <si>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</si>
  <si>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</si>
  <si>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</si>
  <si>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</si>
  <si>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</si>
  <si>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</si>
  <si>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</si>
  <si>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</si>
  <si>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</si>
  <si>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</si>
  <si>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</si>
  <si>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</si>
  <si>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</si>
  <si>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</si>
  <si>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</si>
  <si>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</si>
  <si>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</si>
  <si>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</si>
  <si>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</si>
  <si>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</si>
  <si>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</si>
  <si>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</si>
  <si>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</si>
  <si>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</si>
  <si>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</si>
  <si>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</si>
  <si>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</si>
  <si>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</si>
  <si>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</si>
  <si>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</si>
  <si>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</si>
  <si>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</si>
  <si>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</si>
  <si>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</si>
  <si>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</si>
  <si>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</si>
  <si>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</si>
  <si>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</si>
  <si>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</si>
  <si>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</si>
  <si>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</si>
  <si>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</si>
  <si>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</si>
  <si>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</si>
  <si>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</si>
  <si>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</si>
  <si>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</si>
  <si>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</si>
  <si>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</si>
  <si>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</si>
  <si>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</si>
  <si>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</si>
  <si>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</si>
  <si>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</si>
  <si>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</si>
  <si>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</si>
  <si>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</si>
  <si>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</si>
  <si>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</si>
  <si>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</si>
  <si>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</si>
  <si>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</si>
  <si>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</si>
  <si>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</si>
  <si>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</si>
  <si>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</si>
  <si>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</si>
  <si>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</si>
  <si>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</si>
  <si>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</si>
  <si>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 xml:space="preserve">Внутрішні податки на товари та послуги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</si>
  <si>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</si>
  <si>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Затверджено з урахуванням змін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</si>
  <si>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</si>
  <si>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 xml:space="preserve">Зміни, що пропонуються ПРОЄКТ 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</si>
  <si>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</si>
  <si>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Від Європейського Союзу, урядів іноземних держав, міжнародних організацій, донорських установ</t>
  </si>
  <si>
    <t>Проєкт з урахуванням запропонованих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</si>
  <si>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</si>
  <si>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</si>
  <si>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</si>
  <si>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Порівняльна таблиця змін до додатка 1 до рішення Чорноморської міської ради Одеського району Одеської області "Про бюджет Чорноморської міської територіальної громади на 2023 рік"</t>
  </si>
  <si>
    <t xml:space="preserve"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
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</si>
  <si>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</si>
  <si>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</si>
  <si>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</si>
  <si>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Гранти, що надійшли до місцевих бюджетів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</si>
  <si>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</si>
  <si>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</si>
  <si>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</si>
  <si>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</si>
  <si>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</si>
  <si>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</si>
  <si>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Начальник фінансового управління</t>
  </si>
  <si>
    <t>Ольга ЯКОВЕНКО</t>
  </si>
  <si>
    <t>Субвенція з місцевого бюджету на виконання інвестиційних проектів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</si>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</sst>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8" x14ac:knownFonts="1">
    <font>
      <sz val="10"/>
      <color indexed="8"/>
      <name val="ARIAL"/>
      <charset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57">
    <xf numFmtId="0" fontId="0" fillId="0" borderId="0" xfId="0">
      <alignment vertical="top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4" fontId="2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/>
    </xf>
    <xf numFmtId="0" fontId="3" fillId="0" borderId="0" xfId="0" applyFont="1" applyAlignment="1"/>
    <xf numFmtId="0" fontId="15" fillId="0" borderId="1" xfId="0" applyFont="1" applyBorder="1" applyAlignment="1">
      <alignment horizontal="left" vertical="center" wrapText="1"/>
    </xf>
    <xf numFmtId="4" fontId="17" fillId="0" borderId="0" xfId="0" applyNumberFormat="1" applyFont="1" applyAlignment="1">
      <alignment vertical="center" wrapText="1"/>
    </xf>
    <xf numFmtId="14" fontId="2" fillId="2" borderId="0" xfId="0" applyNumberFormat="1" applyFont="1" applyFill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3"/>
  <sheetViews>
    <sheetView showZeros="0" tabSelected="1" showOutlineSymbols="0" zoomScaleNormal="100" zoomScaleSheetLayoutView="100" workbookViewId="0">
      <pane xSplit="2" ySplit="5" topLeftCell="E65" activePane="bottomRight" state="frozen"/>
      <selection pane="topRight" activeCell="C1" sqref="C1"/>
      <selection pane="bottomLeft" activeCell="A7" sqref="A7"/>
      <selection pane="bottomRight" activeCell="H67" sqref="H67"/>
    </sheetView>
  </sheetViews>
  <sheetFormatPr defaultColWidth="6.88671875" defaultRowHeight="13.2" x14ac:dyDescent="0.25"/>
  <cols>
    <col min="1" max="1" width="12.5546875" style="10" customWidth="1"/>
    <col min="2" max="2" width="60" style="11" customWidth="1"/>
    <col min="3" max="3" width="16.88671875" style="9" customWidth="1"/>
    <col min="4" max="4" width="19.33203125" style="9" customWidth="1"/>
    <col min="5" max="5" width="14.44140625" style="9" customWidth="1"/>
    <col min="6" max="6" width="14.5546875" style="9" customWidth="1"/>
    <col min="7" max="7" width="14.6640625" style="9" customWidth="1"/>
    <col min="8" max="8" width="13" style="9" customWidth="1"/>
    <col min="9" max="9" width="17.5546875" style="9" customWidth="1"/>
    <col min="10" max="10" width="17.109375" style="9" customWidth="1"/>
    <col min="11" max="11" width="14.44140625" style="9" customWidth="1"/>
    <col min="12" max="12" width="44.109375" style="9" customWidth="1"/>
    <col min="13" max="16384" width="6.88671875" style="9"/>
  </cols>
  <sheetData>
    <row r="1" spans="1:12" ht="38.4" customHeight="1" x14ac:dyDescent="0.25">
      <c r="A1" s="51" t="s">
        <v>139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2" x14ac:dyDescent="0.25">
      <c r="H2" s="34"/>
      <c r="J2" s="49">
        <v>45278</v>
      </c>
      <c r="K2" s="10" t="s">
        <v>11</v>
      </c>
    </row>
    <row r="3" spans="1:12" s="20" customFormat="1" ht="33" customHeight="1" x14ac:dyDescent="0.25">
      <c r="A3" s="52" t="s">
        <v>7</v>
      </c>
      <c r="B3" s="52" t="s">
        <v>8</v>
      </c>
      <c r="C3" s="54" t="s">
        <v>130</v>
      </c>
      <c r="D3" s="54"/>
      <c r="E3" s="54"/>
      <c r="F3" s="54" t="s">
        <v>132</v>
      </c>
      <c r="G3" s="54"/>
      <c r="H3" s="54"/>
      <c r="I3" s="55" t="s">
        <v>135</v>
      </c>
      <c r="J3" s="55"/>
      <c r="K3" s="55"/>
    </row>
    <row r="4" spans="1:12" s="22" customFormat="1" ht="31.2" x14ac:dyDescent="0.25">
      <c r="A4" s="53"/>
      <c r="B4" s="52"/>
      <c r="C4" s="21" t="s">
        <v>0</v>
      </c>
      <c r="D4" s="21" t="s">
        <v>6</v>
      </c>
      <c r="E4" s="21" t="s">
        <v>1</v>
      </c>
      <c r="F4" s="21" t="s">
        <v>4</v>
      </c>
      <c r="G4" s="21" t="s">
        <v>6</v>
      </c>
      <c r="H4" s="21" t="s">
        <v>3</v>
      </c>
      <c r="I4" s="21" t="s">
        <v>2</v>
      </c>
      <c r="J4" s="21" t="s">
        <v>5</v>
      </c>
      <c r="K4" s="21" t="s">
        <v>3</v>
      </c>
    </row>
    <row r="5" spans="1:12" s="11" customFormat="1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2" s="11" customFormat="1" ht="15.6" x14ac:dyDescent="0.25">
      <c r="A6" s="5" t="s">
        <v>12</v>
      </c>
      <c r="B6" s="2" t="s">
        <v>13</v>
      </c>
      <c r="C6" s="28">
        <f>D6+E6</f>
        <v>929113500</v>
      </c>
      <c r="D6" s="28">
        <f>D7+D11+D13+D21</f>
        <v>928791000</v>
      </c>
      <c r="E6" s="28">
        <f>E38</f>
        <v>322500</v>
      </c>
      <c r="F6" s="28">
        <f>G6+H6</f>
        <v>-14000</v>
      </c>
      <c r="G6" s="28">
        <f>G7+G11+G13+G21</f>
        <v>-14000</v>
      </c>
      <c r="H6" s="28">
        <f>H38</f>
        <v>0</v>
      </c>
      <c r="I6" s="28">
        <f>J6+K6</f>
        <v>929099500</v>
      </c>
      <c r="J6" s="28">
        <f>J7+J11+J13+J21</f>
        <v>928777000</v>
      </c>
      <c r="K6" s="28">
        <f>K38</f>
        <v>322500</v>
      </c>
    </row>
    <row r="7" spans="1:12" s="11" customFormat="1" ht="31.2" x14ac:dyDescent="0.25">
      <c r="A7" s="5" t="s">
        <v>14</v>
      </c>
      <c r="B7" s="2" t="s">
        <v>15</v>
      </c>
      <c r="C7" s="28">
        <f>D7+E7</f>
        <v>624492800</v>
      </c>
      <c r="D7" s="28">
        <f>D8+D9</f>
        <v>624492800</v>
      </c>
      <c r="E7" s="28"/>
      <c r="F7" s="28">
        <f>G7+H7</f>
        <v>-14000</v>
      </c>
      <c r="G7" s="32">
        <f>G8+G9</f>
        <v>-14000</v>
      </c>
      <c r="H7" s="28"/>
      <c r="I7" s="28">
        <f>J7+K7</f>
        <v>624478800</v>
      </c>
      <c r="J7" s="28">
        <f>J8+J9</f>
        <v>624478800</v>
      </c>
      <c r="K7" s="28"/>
    </row>
    <row r="8" spans="1:12" s="11" customFormat="1" ht="30.75" customHeight="1" x14ac:dyDescent="0.25">
      <c r="A8" s="5" t="s">
        <v>16</v>
      </c>
      <c r="B8" s="2" t="s">
        <v>17</v>
      </c>
      <c r="C8" s="28">
        <f>D8+E8</f>
        <v>624241000</v>
      </c>
      <c r="D8" s="28">
        <f>544350000+81398200+72100-1097000-482300</f>
        <v>624241000</v>
      </c>
      <c r="E8" s="28">
        <v>0</v>
      </c>
      <c r="F8" s="28">
        <f>G8+H8</f>
        <v>-14000</v>
      </c>
      <c r="G8" s="32">
        <v>-14000</v>
      </c>
      <c r="H8" s="28"/>
      <c r="I8" s="28">
        <f>J8+K8</f>
        <v>624227000</v>
      </c>
      <c r="J8" s="28">
        <f>D8+G8</f>
        <v>624227000</v>
      </c>
      <c r="K8" s="28">
        <f>E8+H8</f>
        <v>0</v>
      </c>
    </row>
    <row r="9" spans="1:12" s="11" customFormat="1" ht="15.6" x14ac:dyDescent="0.25">
      <c r="A9" s="5" t="s">
        <v>18</v>
      </c>
      <c r="B9" s="2" t="s">
        <v>19</v>
      </c>
      <c r="C9" s="28">
        <f>D9+E9</f>
        <v>251800</v>
      </c>
      <c r="D9" s="28">
        <f>D10</f>
        <v>251800</v>
      </c>
      <c r="E9" s="28"/>
      <c r="F9" s="28">
        <f>G9+H9</f>
        <v>0</v>
      </c>
      <c r="G9" s="28">
        <f>G10</f>
        <v>0</v>
      </c>
      <c r="H9" s="28"/>
      <c r="I9" s="28">
        <f>J9+K9</f>
        <v>251800</v>
      </c>
      <c r="J9" s="28">
        <f>J10</f>
        <v>251800</v>
      </c>
      <c r="K9" s="28"/>
    </row>
    <row r="10" spans="1:12" s="11" customFormat="1" ht="31.2" x14ac:dyDescent="0.25">
      <c r="A10" s="6" t="s">
        <v>20</v>
      </c>
      <c r="B10" s="3" t="s">
        <v>21</v>
      </c>
      <c r="C10" s="29">
        <f>D10+E10</f>
        <v>251800</v>
      </c>
      <c r="D10" s="29">
        <f>3000000-2898200+150000</f>
        <v>251800</v>
      </c>
      <c r="E10" s="29">
        <v>0</v>
      </c>
      <c r="F10" s="29">
        <f>G10+H10</f>
        <v>0</v>
      </c>
      <c r="G10" s="29"/>
      <c r="H10" s="29"/>
      <c r="I10" s="29">
        <f>J10+K10</f>
        <v>251800</v>
      </c>
      <c r="J10" s="29">
        <f>D10+G10</f>
        <v>251800</v>
      </c>
      <c r="K10" s="29">
        <f>E10+H10</f>
        <v>0</v>
      </c>
      <c r="L10" s="13"/>
    </row>
    <row r="11" spans="1:12" s="11" customFormat="1" ht="15.6" x14ac:dyDescent="0.25">
      <c r="A11" s="5" t="s">
        <v>22</v>
      </c>
      <c r="B11" s="2" t="s">
        <v>23</v>
      </c>
      <c r="C11" s="28">
        <f t="shared" ref="C11:C22" si="0">D11+E11</f>
        <v>7300</v>
      </c>
      <c r="D11" s="28">
        <f>D12</f>
        <v>7300</v>
      </c>
      <c r="E11" s="28">
        <f>E12</f>
        <v>0</v>
      </c>
      <c r="F11" s="28">
        <f t="shared" ref="F11:F22" si="1">G11+H11</f>
        <v>0</v>
      </c>
      <c r="G11" s="28">
        <f>G12</f>
        <v>0</v>
      </c>
      <c r="H11" s="28"/>
      <c r="I11" s="28">
        <f t="shared" ref="I11:I22" si="2">J11+K11</f>
        <v>7300</v>
      </c>
      <c r="J11" s="28">
        <f>J12</f>
        <v>7300</v>
      </c>
      <c r="K11" s="28">
        <f>K12</f>
        <v>0</v>
      </c>
    </row>
    <row r="12" spans="1:12" s="11" customFormat="1" ht="31.2" x14ac:dyDescent="0.25">
      <c r="A12" s="6" t="s">
        <v>24</v>
      </c>
      <c r="B12" s="3" t="s">
        <v>25</v>
      </c>
      <c r="C12" s="29">
        <f>D12+E12</f>
        <v>7300</v>
      </c>
      <c r="D12" s="29">
        <f>7500-1000+1000-200</f>
        <v>7300</v>
      </c>
      <c r="E12" s="29">
        <v>0</v>
      </c>
      <c r="F12" s="29">
        <f t="shared" si="1"/>
        <v>0</v>
      </c>
      <c r="G12" s="29"/>
      <c r="H12" s="29"/>
      <c r="I12" s="29">
        <f>J12+K12</f>
        <v>7300</v>
      </c>
      <c r="J12" s="29">
        <f>D12+G12</f>
        <v>7300</v>
      </c>
      <c r="K12" s="29">
        <f>E12+H12</f>
        <v>0</v>
      </c>
    </row>
    <row r="13" spans="1:12" s="11" customFormat="1" ht="15.6" x14ac:dyDescent="0.25">
      <c r="A13" s="5" t="s">
        <v>26</v>
      </c>
      <c r="B13" s="2" t="s">
        <v>128</v>
      </c>
      <c r="C13" s="28">
        <f>D13+E13</f>
        <v>37445000</v>
      </c>
      <c r="D13" s="28">
        <f>D14+D16+D18</f>
        <v>37445000</v>
      </c>
      <c r="E13" s="28">
        <f>E14+E16+E18</f>
        <v>0</v>
      </c>
      <c r="F13" s="28">
        <f t="shared" si="1"/>
        <v>0</v>
      </c>
      <c r="G13" s="28">
        <f>G14+G16+G18</f>
        <v>0</v>
      </c>
      <c r="H13" s="28"/>
      <c r="I13" s="28">
        <f>J13+K13</f>
        <v>37445000</v>
      </c>
      <c r="J13" s="28">
        <f>J14+J16+J18</f>
        <v>37445000</v>
      </c>
      <c r="K13" s="28">
        <f>K14+K16+K18</f>
        <v>0</v>
      </c>
    </row>
    <row r="14" spans="1:12" s="11" customFormat="1" ht="31.2" x14ac:dyDescent="0.25">
      <c r="A14" s="5" t="s">
        <v>27</v>
      </c>
      <c r="B14" s="2" t="s">
        <v>28</v>
      </c>
      <c r="C14" s="28">
        <f t="shared" si="0"/>
        <v>2395000</v>
      </c>
      <c r="D14" s="28">
        <f>D15</f>
        <v>2395000</v>
      </c>
      <c r="E14" s="28"/>
      <c r="F14" s="28">
        <f t="shared" si="1"/>
        <v>0</v>
      </c>
      <c r="G14" s="28">
        <f>G15</f>
        <v>0</v>
      </c>
      <c r="H14" s="28"/>
      <c r="I14" s="28">
        <f t="shared" si="2"/>
        <v>2395000</v>
      </c>
      <c r="J14" s="28">
        <f>J15</f>
        <v>2395000</v>
      </c>
      <c r="K14" s="28"/>
    </row>
    <row r="15" spans="1:12" s="11" customFormat="1" ht="15.6" x14ac:dyDescent="0.25">
      <c r="A15" s="6" t="s">
        <v>29</v>
      </c>
      <c r="B15" s="3" t="s">
        <v>30</v>
      </c>
      <c r="C15" s="29">
        <f t="shared" si="0"/>
        <v>2395000</v>
      </c>
      <c r="D15" s="29">
        <f>2100000+400000-105000</f>
        <v>2395000</v>
      </c>
      <c r="E15" s="29">
        <v>0</v>
      </c>
      <c r="F15" s="29">
        <f t="shared" si="1"/>
        <v>0</v>
      </c>
      <c r="G15" s="29"/>
      <c r="H15" s="29"/>
      <c r="I15" s="29">
        <f t="shared" si="2"/>
        <v>2395000</v>
      </c>
      <c r="J15" s="29">
        <f>D15+G15</f>
        <v>2395000</v>
      </c>
      <c r="K15" s="29">
        <f>E15+H15</f>
        <v>0</v>
      </c>
    </row>
    <row r="16" spans="1:12" s="11" customFormat="1" ht="31.2" x14ac:dyDescent="0.25">
      <c r="A16" s="5" t="s">
        <v>31</v>
      </c>
      <c r="B16" s="2" t="s">
        <v>32</v>
      </c>
      <c r="C16" s="28">
        <f t="shared" si="0"/>
        <v>8650000</v>
      </c>
      <c r="D16" s="28">
        <f>D17</f>
        <v>8650000</v>
      </c>
      <c r="E16" s="28">
        <v>0</v>
      </c>
      <c r="F16" s="28">
        <f t="shared" si="1"/>
        <v>0</v>
      </c>
      <c r="G16" s="28">
        <f>G17</f>
        <v>0</v>
      </c>
      <c r="H16" s="28"/>
      <c r="I16" s="28">
        <f t="shared" si="2"/>
        <v>8650000</v>
      </c>
      <c r="J16" s="28">
        <f>J17</f>
        <v>8650000</v>
      </c>
      <c r="K16" s="28">
        <f>K17</f>
        <v>0</v>
      </c>
    </row>
    <row r="17" spans="1:12" s="11" customFormat="1" ht="15.6" x14ac:dyDescent="0.25">
      <c r="A17" s="6" t="s">
        <v>33</v>
      </c>
      <c r="B17" s="3" t="s">
        <v>30</v>
      </c>
      <c r="C17" s="29">
        <f t="shared" si="0"/>
        <v>8650000</v>
      </c>
      <c r="D17" s="29">
        <f>8400000-400000+350000+300000</f>
        <v>8650000</v>
      </c>
      <c r="E17" s="29">
        <v>0</v>
      </c>
      <c r="F17" s="29">
        <f t="shared" si="1"/>
        <v>0</v>
      </c>
      <c r="G17" s="29"/>
      <c r="H17" s="29"/>
      <c r="I17" s="29">
        <f t="shared" si="2"/>
        <v>8650000</v>
      </c>
      <c r="J17" s="29">
        <f>D17+G17</f>
        <v>8650000</v>
      </c>
      <c r="K17" s="29">
        <f>E17+H17</f>
        <v>0</v>
      </c>
    </row>
    <row r="18" spans="1:12" s="11" customFormat="1" ht="31.2" x14ac:dyDescent="0.25">
      <c r="A18" s="5" t="s">
        <v>34</v>
      </c>
      <c r="B18" s="2" t="s">
        <v>35</v>
      </c>
      <c r="C18" s="32">
        <f>D18+E18</f>
        <v>26400000</v>
      </c>
      <c r="D18" s="28">
        <f>SUM(D19:D20)</f>
        <v>26400000</v>
      </c>
      <c r="E18" s="28">
        <f>SUM(E19:E20)</f>
        <v>0</v>
      </c>
      <c r="F18" s="28">
        <f>F19+F20</f>
        <v>0</v>
      </c>
      <c r="G18" s="28">
        <f>G19+G20</f>
        <v>0</v>
      </c>
      <c r="H18" s="28">
        <f>H19+H20</f>
        <v>0</v>
      </c>
      <c r="I18" s="32">
        <f>J18+K18</f>
        <v>26400000</v>
      </c>
      <c r="J18" s="32">
        <f>D18+G18</f>
        <v>26400000</v>
      </c>
      <c r="K18" s="28">
        <f>E18+H18</f>
        <v>0</v>
      </c>
    </row>
    <row r="19" spans="1:12" s="11" customFormat="1" ht="99.75" customHeight="1" x14ac:dyDescent="0.25">
      <c r="A19" s="6">
        <v>14040100</v>
      </c>
      <c r="B19" s="3" t="s">
        <v>137</v>
      </c>
      <c r="C19" s="29">
        <f>D19+E19</f>
        <v>13800000</v>
      </c>
      <c r="D19" s="29">
        <f>13200000-1100000+1200000+500000</f>
        <v>13800000</v>
      </c>
      <c r="E19" s="29"/>
      <c r="F19" s="29">
        <f t="shared" ref="F19:F20" si="3">G19+H19</f>
        <v>0</v>
      </c>
      <c r="G19" s="29"/>
      <c r="H19" s="29"/>
      <c r="I19" s="29">
        <f>J19+K19</f>
        <v>13800000</v>
      </c>
      <c r="J19" s="29">
        <f>D19+G19</f>
        <v>13800000</v>
      </c>
      <c r="K19" s="28"/>
    </row>
    <row r="20" spans="1:12" s="11" customFormat="1" ht="62.4" x14ac:dyDescent="0.25">
      <c r="A20" s="6">
        <v>14040200</v>
      </c>
      <c r="B20" s="3" t="s">
        <v>136</v>
      </c>
      <c r="C20" s="29">
        <f>D20+E20</f>
        <v>12600000</v>
      </c>
      <c r="D20" s="29">
        <f>14300000-2500000+500000+300000</f>
        <v>12600000</v>
      </c>
      <c r="E20" s="29"/>
      <c r="F20" s="29">
        <f t="shared" si="3"/>
        <v>0</v>
      </c>
      <c r="G20" s="29"/>
      <c r="H20" s="29"/>
      <c r="I20" s="29">
        <f>J20+K20</f>
        <v>12600000</v>
      </c>
      <c r="J20" s="29">
        <f>D20+G20</f>
        <v>12600000</v>
      </c>
      <c r="K20" s="28"/>
    </row>
    <row r="21" spans="1:12" s="11" customFormat="1" ht="15.6" x14ac:dyDescent="0.25">
      <c r="A21" s="5" t="s">
        <v>36</v>
      </c>
      <c r="B21" s="2" t="s">
        <v>37</v>
      </c>
      <c r="C21" s="28">
        <f t="shared" si="0"/>
        <v>266845900</v>
      </c>
      <c r="D21" s="28">
        <f>D22+D36+D37</f>
        <v>266845900</v>
      </c>
      <c r="E21" s="28">
        <f>E22+E36+E37</f>
        <v>0</v>
      </c>
      <c r="F21" s="28">
        <f t="shared" si="1"/>
        <v>0</v>
      </c>
      <c r="G21" s="28">
        <f>G22+G36+G37</f>
        <v>0</v>
      </c>
      <c r="H21" s="28"/>
      <c r="I21" s="28">
        <f t="shared" si="2"/>
        <v>266845900</v>
      </c>
      <c r="J21" s="28">
        <f>J22+J36+J37</f>
        <v>266845900</v>
      </c>
      <c r="K21" s="28">
        <f>K22+K36+K37</f>
        <v>0</v>
      </c>
    </row>
    <row r="22" spans="1:12" s="11" customFormat="1" ht="15.6" x14ac:dyDescent="0.25">
      <c r="A22" s="5" t="s">
        <v>38</v>
      </c>
      <c r="B22" s="2" t="s">
        <v>39</v>
      </c>
      <c r="C22" s="28">
        <f t="shared" si="0"/>
        <v>184872900</v>
      </c>
      <c r="D22" s="28">
        <f>D23+D28+D33</f>
        <v>184872900</v>
      </c>
      <c r="E22" s="28">
        <f>E23+E28+E33</f>
        <v>0</v>
      </c>
      <c r="F22" s="28">
        <f t="shared" si="1"/>
        <v>0</v>
      </c>
      <c r="G22" s="28">
        <f>G23+G28+G33</f>
        <v>0</v>
      </c>
      <c r="H22" s="28"/>
      <c r="I22" s="28">
        <f t="shared" si="2"/>
        <v>184872900</v>
      </c>
      <c r="J22" s="28">
        <f>J23+J28+J33</f>
        <v>184872900</v>
      </c>
      <c r="K22" s="28">
        <f>K23+K28+K33</f>
        <v>0</v>
      </c>
    </row>
    <row r="23" spans="1:12" s="11" customFormat="1" ht="15.6" x14ac:dyDescent="0.25">
      <c r="A23" s="5"/>
      <c r="B23" s="2" t="s">
        <v>40</v>
      </c>
      <c r="C23" s="28">
        <f>SUM(C24:C27)</f>
        <v>31865000</v>
      </c>
      <c r="D23" s="28">
        <f>SUM(D24:D27)</f>
        <v>31865000</v>
      </c>
      <c r="E23" s="28">
        <f>SUM(E24:E27)</f>
        <v>0</v>
      </c>
      <c r="F23" s="28">
        <f>SUM(F24:F27)</f>
        <v>0</v>
      </c>
      <c r="G23" s="28">
        <f>SUM(G24:G27)</f>
        <v>0</v>
      </c>
      <c r="H23" s="28"/>
      <c r="I23" s="28">
        <f>SUM(I24:I27)</f>
        <v>31865000</v>
      </c>
      <c r="J23" s="28">
        <f>SUM(J24:J27)</f>
        <v>31865000</v>
      </c>
      <c r="K23" s="28">
        <f>SUM(K24:K27)</f>
        <v>0</v>
      </c>
    </row>
    <row r="24" spans="1:12" s="11" customFormat="1" ht="51.75" customHeight="1" x14ac:dyDescent="0.25">
      <c r="A24" s="6" t="s">
        <v>41</v>
      </c>
      <c r="B24" s="3" t="s">
        <v>42</v>
      </c>
      <c r="C24" s="29">
        <f t="shared" ref="C24:C26" si="4">D24+E24</f>
        <v>70000</v>
      </c>
      <c r="D24" s="29">
        <f>60000+10000</f>
        <v>70000</v>
      </c>
      <c r="E24" s="29">
        <v>0</v>
      </c>
      <c r="F24" s="29">
        <f t="shared" ref="F24:F26" si="5">G24+H24</f>
        <v>0</v>
      </c>
      <c r="G24" s="29"/>
      <c r="H24" s="29"/>
      <c r="I24" s="29">
        <f t="shared" ref="I24:I26" si="6">J24+K24</f>
        <v>70000</v>
      </c>
      <c r="J24" s="29">
        <f t="shared" ref="J24:J26" si="7">D24+G24</f>
        <v>70000</v>
      </c>
      <c r="K24" s="29">
        <f t="shared" ref="K24:K26" si="8">E24+H24</f>
        <v>0</v>
      </c>
    </row>
    <row r="25" spans="1:12" s="11" customFormat="1" ht="56.25" customHeight="1" x14ac:dyDescent="0.25">
      <c r="A25" s="6" t="s">
        <v>43</v>
      </c>
      <c r="B25" s="3" t="s">
        <v>44</v>
      </c>
      <c r="C25" s="29">
        <f t="shared" si="4"/>
        <v>2500000</v>
      </c>
      <c r="D25" s="29">
        <f>2100000+50000+150000+200000</f>
        <v>2500000</v>
      </c>
      <c r="E25" s="29">
        <v>0</v>
      </c>
      <c r="F25" s="29">
        <f t="shared" si="5"/>
        <v>0</v>
      </c>
      <c r="G25" s="29"/>
      <c r="H25" s="29"/>
      <c r="I25" s="29">
        <f t="shared" si="6"/>
        <v>2500000</v>
      </c>
      <c r="J25" s="29">
        <f t="shared" si="7"/>
        <v>2500000</v>
      </c>
      <c r="K25" s="29">
        <f t="shared" si="8"/>
        <v>0</v>
      </c>
    </row>
    <row r="26" spans="1:12" s="11" customFormat="1" ht="57.75" customHeight="1" x14ac:dyDescent="0.25">
      <c r="A26" s="6" t="s">
        <v>45</v>
      </c>
      <c r="B26" s="3" t="s">
        <v>46</v>
      </c>
      <c r="C26" s="29">
        <f t="shared" si="4"/>
        <v>10400000</v>
      </c>
      <c r="D26" s="29">
        <f>9900000+100000+400000</f>
        <v>10400000</v>
      </c>
      <c r="E26" s="29">
        <v>0</v>
      </c>
      <c r="F26" s="29">
        <f t="shared" si="5"/>
        <v>0</v>
      </c>
      <c r="G26" s="29"/>
      <c r="H26" s="29"/>
      <c r="I26" s="29">
        <f t="shared" si="6"/>
        <v>10400000</v>
      </c>
      <c r="J26" s="29">
        <f t="shared" si="7"/>
        <v>10400000</v>
      </c>
      <c r="K26" s="29">
        <f t="shared" si="8"/>
        <v>0</v>
      </c>
    </row>
    <row r="27" spans="1:12" s="11" customFormat="1" ht="55.5" customHeight="1" x14ac:dyDescent="0.25">
      <c r="A27" s="6" t="s">
        <v>47</v>
      </c>
      <c r="B27" s="3" t="s">
        <v>48</v>
      </c>
      <c r="C27" s="29">
        <f>D27+E27</f>
        <v>18895000</v>
      </c>
      <c r="D27" s="29">
        <f>18500000-1550000+945000+1000000</f>
        <v>18895000</v>
      </c>
      <c r="E27" s="29">
        <v>0</v>
      </c>
      <c r="F27" s="29">
        <f>G27+H27</f>
        <v>0</v>
      </c>
      <c r="G27" s="29"/>
      <c r="H27" s="29"/>
      <c r="I27" s="29">
        <f>J27+K27</f>
        <v>18895000</v>
      </c>
      <c r="J27" s="29">
        <f t="shared" ref="J27" si="9">D27+G27</f>
        <v>18895000</v>
      </c>
      <c r="K27" s="29">
        <f t="shared" ref="K27" si="10">E27+H27</f>
        <v>0</v>
      </c>
    </row>
    <row r="28" spans="1:12" s="11" customFormat="1" ht="21.15" customHeight="1" x14ac:dyDescent="0.25">
      <c r="A28" s="6"/>
      <c r="B28" s="2" t="s">
        <v>49</v>
      </c>
      <c r="C28" s="28">
        <f>SUM(C29:C32)</f>
        <v>152810000</v>
      </c>
      <c r="D28" s="28">
        <f>SUM(D29:D32)</f>
        <v>152810000</v>
      </c>
      <c r="E28" s="28">
        <f>SUM(E29:E32)</f>
        <v>0</v>
      </c>
      <c r="F28" s="28">
        <f>SUM(F29:F32)</f>
        <v>0</v>
      </c>
      <c r="G28" s="28">
        <f>SUM(G29:G32)</f>
        <v>0</v>
      </c>
      <c r="H28" s="29"/>
      <c r="I28" s="28">
        <f>SUM(I29:I32)</f>
        <v>152810000</v>
      </c>
      <c r="J28" s="28">
        <f>SUM(J29:J32)</f>
        <v>152810000</v>
      </c>
      <c r="K28" s="28">
        <f>SUM(K29:K32)</f>
        <v>0</v>
      </c>
    </row>
    <row r="29" spans="1:12" s="11" customFormat="1" ht="21.15" customHeight="1" x14ac:dyDescent="0.25">
      <c r="A29" s="6" t="s">
        <v>50</v>
      </c>
      <c r="B29" s="3" t="s">
        <v>51</v>
      </c>
      <c r="C29" s="29">
        <f t="shared" ref="C29:C31" si="11">D29+E29</f>
        <v>48400000</v>
      </c>
      <c r="D29" s="29">
        <v>48400000</v>
      </c>
      <c r="E29" s="29">
        <v>0</v>
      </c>
      <c r="F29" s="29">
        <f t="shared" ref="F29:F31" si="12">G29+H29</f>
        <v>0</v>
      </c>
      <c r="G29" s="29"/>
      <c r="H29" s="29"/>
      <c r="I29" s="29">
        <f t="shared" ref="I29:I31" si="13">J29+K29</f>
        <v>48400000</v>
      </c>
      <c r="J29" s="29">
        <f t="shared" ref="J29:J32" si="14">D29+G29</f>
        <v>48400000</v>
      </c>
      <c r="K29" s="29">
        <f t="shared" ref="K29:K32" si="15">E29+H29</f>
        <v>0</v>
      </c>
    </row>
    <row r="30" spans="1:12" s="11" customFormat="1" ht="21.15" customHeight="1" x14ac:dyDescent="0.25">
      <c r="A30" s="6" t="s">
        <v>52</v>
      </c>
      <c r="B30" s="3" t="s">
        <v>53</v>
      </c>
      <c r="C30" s="29">
        <f t="shared" si="11"/>
        <v>93220000</v>
      </c>
      <c r="D30" s="29">
        <f>93720000-500000</f>
        <v>93220000</v>
      </c>
      <c r="E30" s="29">
        <v>0</v>
      </c>
      <c r="F30" s="29">
        <f t="shared" si="12"/>
        <v>0</v>
      </c>
      <c r="G30" s="29"/>
      <c r="H30" s="29"/>
      <c r="I30" s="29">
        <f t="shared" si="13"/>
        <v>93220000</v>
      </c>
      <c r="J30" s="29">
        <f t="shared" si="14"/>
        <v>93220000</v>
      </c>
      <c r="K30" s="29">
        <f t="shared" si="15"/>
        <v>0</v>
      </c>
    </row>
    <row r="31" spans="1:12" s="11" customFormat="1" ht="21.15" customHeight="1" x14ac:dyDescent="0.25">
      <c r="A31" s="6" t="s">
        <v>54</v>
      </c>
      <c r="B31" s="3" t="s">
        <v>55</v>
      </c>
      <c r="C31" s="29">
        <f t="shared" si="11"/>
        <v>1570000</v>
      </c>
      <c r="D31" s="29">
        <v>1570000</v>
      </c>
      <c r="E31" s="29">
        <v>0</v>
      </c>
      <c r="F31" s="29">
        <f t="shared" si="12"/>
        <v>0</v>
      </c>
      <c r="G31" s="29"/>
      <c r="H31" s="29"/>
      <c r="I31" s="29">
        <f t="shared" si="13"/>
        <v>1570000</v>
      </c>
      <c r="J31" s="29">
        <f t="shared" si="14"/>
        <v>1570000</v>
      </c>
      <c r="K31" s="29">
        <f t="shared" si="15"/>
        <v>0</v>
      </c>
      <c r="L31" s="13"/>
    </row>
    <row r="32" spans="1:12" s="11" customFormat="1" ht="21.15" customHeight="1" x14ac:dyDescent="0.25">
      <c r="A32" s="6" t="s">
        <v>56</v>
      </c>
      <c r="B32" s="3" t="s">
        <v>57</v>
      </c>
      <c r="C32" s="29">
        <f>D32+E32</f>
        <v>9620000</v>
      </c>
      <c r="D32" s="29">
        <v>9620000</v>
      </c>
      <c r="E32" s="29">
        <v>0</v>
      </c>
      <c r="F32" s="29">
        <f>G32+H32</f>
        <v>0</v>
      </c>
      <c r="G32" s="29"/>
      <c r="H32" s="29"/>
      <c r="I32" s="29">
        <f>J32+K32</f>
        <v>9620000</v>
      </c>
      <c r="J32" s="29">
        <f t="shared" si="14"/>
        <v>9620000</v>
      </c>
      <c r="K32" s="29">
        <f t="shared" si="15"/>
        <v>0</v>
      </c>
      <c r="L32" s="13"/>
    </row>
    <row r="33" spans="1:12" s="11" customFormat="1" ht="21.15" customHeight="1" x14ac:dyDescent="0.25">
      <c r="A33" s="6"/>
      <c r="B33" s="2" t="s">
        <v>58</v>
      </c>
      <c r="C33" s="28">
        <f>SUM(C34:C35)</f>
        <v>197900</v>
      </c>
      <c r="D33" s="28">
        <f>SUM(D34:D35)</f>
        <v>197900</v>
      </c>
      <c r="E33" s="29"/>
      <c r="F33" s="28">
        <f>SUM(F34:F35)</f>
        <v>0</v>
      </c>
      <c r="G33" s="28">
        <f>SUM(G34:G35)</f>
        <v>0</v>
      </c>
      <c r="H33" s="29"/>
      <c r="I33" s="28">
        <f>SUM(I34:I35)</f>
        <v>197900</v>
      </c>
      <c r="J33" s="28">
        <f>SUM(J34:J35)</f>
        <v>197900</v>
      </c>
      <c r="K33" s="29"/>
      <c r="L33" s="13"/>
    </row>
    <row r="34" spans="1:12" s="11" customFormat="1" ht="21.15" customHeight="1" x14ac:dyDescent="0.25">
      <c r="A34" s="6" t="s">
        <v>59</v>
      </c>
      <c r="B34" s="3" t="s">
        <v>60</v>
      </c>
      <c r="C34" s="29">
        <f t="shared" ref="C34:C46" si="16">D34+E34</f>
        <v>97900</v>
      </c>
      <c r="D34" s="29">
        <f>54000+30000+13900</f>
        <v>97900</v>
      </c>
      <c r="E34" s="29">
        <v>0</v>
      </c>
      <c r="F34" s="29">
        <f>G34+H34</f>
        <v>0</v>
      </c>
      <c r="G34" s="29"/>
      <c r="H34" s="29"/>
      <c r="I34" s="29">
        <f t="shared" ref="I34:I43" si="17">J34+K34</f>
        <v>97900</v>
      </c>
      <c r="J34" s="29">
        <f t="shared" ref="J34:J35" si="18">D34+G34</f>
        <v>97900</v>
      </c>
      <c r="K34" s="29">
        <f t="shared" ref="K34:K35" si="19">E34+H34</f>
        <v>0</v>
      </c>
      <c r="L34" s="13"/>
    </row>
    <row r="35" spans="1:12" s="11" customFormat="1" ht="21.15" customHeight="1" x14ac:dyDescent="0.25">
      <c r="A35" s="6" t="s">
        <v>61</v>
      </c>
      <c r="B35" s="3" t="s">
        <v>62</v>
      </c>
      <c r="C35" s="29">
        <f t="shared" si="16"/>
        <v>100000</v>
      </c>
      <c r="D35" s="29">
        <f>150000-40000-10000</f>
        <v>100000</v>
      </c>
      <c r="E35" s="29">
        <v>0</v>
      </c>
      <c r="F35" s="29">
        <f>G35+H35</f>
        <v>0</v>
      </c>
      <c r="G35" s="29"/>
      <c r="H35" s="29"/>
      <c r="I35" s="29">
        <f t="shared" si="17"/>
        <v>100000</v>
      </c>
      <c r="J35" s="29">
        <f t="shared" si="18"/>
        <v>100000</v>
      </c>
      <c r="K35" s="29">
        <f t="shared" si="19"/>
        <v>0</v>
      </c>
      <c r="L35" s="13"/>
    </row>
    <row r="36" spans="1:12" s="11" customFormat="1" ht="35.4" customHeight="1" x14ac:dyDescent="0.25">
      <c r="A36" s="5" t="s">
        <v>63</v>
      </c>
      <c r="B36" s="2" t="s">
        <v>64</v>
      </c>
      <c r="C36" s="28">
        <f t="shared" si="16"/>
        <v>273000</v>
      </c>
      <c r="D36" s="28">
        <f>140000+140000-5000-2000</f>
        <v>273000</v>
      </c>
      <c r="E36" s="28">
        <v>0</v>
      </c>
      <c r="F36" s="28">
        <f t="shared" ref="F36:F42" si="20">G36+H36</f>
        <v>0</v>
      </c>
      <c r="G36" s="28"/>
      <c r="H36" s="28"/>
      <c r="I36" s="28">
        <f t="shared" si="17"/>
        <v>273000</v>
      </c>
      <c r="J36" s="28">
        <f>D36+G36</f>
        <v>273000</v>
      </c>
      <c r="K36" s="28">
        <f>E36+H36</f>
        <v>0</v>
      </c>
      <c r="L36" s="13"/>
    </row>
    <row r="37" spans="1:12" s="11" customFormat="1" ht="36" customHeight="1" x14ac:dyDescent="0.25">
      <c r="A37" s="5" t="s">
        <v>65</v>
      </c>
      <c r="B37" s="2" t="s">
        <v>66</v>
      </c>
      <c r="C37" s="28">
        <f t="shared" si="16"/>
        <v>81700000</v>
      </c>
      <c r="D37" s="28">
        <f>83100000-1400000</f>
        <v>81700000</v>
      </c>
      <c r="E37" s="28">
        <v>0</v>
      </c>
      <c r="F37" s="28">
        <f t="shared" si="20"/>
        <v>0</v>
      </c>
      <c r="G37" s="28"/>
      <c r="H37" s="28"/>
      <c r="I37" s="28">
        <f t="shared" si="17"/>
        <v>81700000</v>
      </c>
      <c r="J37" s="28">
        <f>D37+G37</f>
        <v>81700000</v>
      </c>
      <c r="K37" s="28">
        <f>E37+H37</f>
        <v>0</v>
      </c>
    </row>
    <row r="38" spans="1:12" s="11" customFormat="1" ht="21.15" customHeight="1" x14ac:dyDescent="0.25">
      <c r="A38" s="5" t="s">
        <v>67</v>
      </c>
      <c r="B38" s="2" t="s">
        <v>68</v>
      </c>
      <c r="C38" s="28">
        <f t="shared" si="16"/>
        <v>322500</v>
      </c>
      <c r="D38" s="28"/>
      <c r="E38" s="28">
        <f>E39</f>
        <v>322500</v>
      </c>
      <c r="F38" s="28">
        <f t="shared" si="20"/>
        <v>0</v>
      </c>
      <c r="G38" s="28"/>
      <c r="H38" s="28">
        <f>H39</f>
        <v>0</v>
      </c>
      <c r="I38" s="28">
        <f t="shared" si="17"/>
        <v>322500</v>
      </c>
      <c r="J38" s="28"/>
      <c r="K38" s="28">
        <f>K39</f>
        <v>322500</v>
      </c>
    </row>
    <row r="39" spans="1:12" s="11" customFormat="1" ht="21.15" customHeight="1" x14ac:dyDescent="0.25">
      <c r="A39" s="6" t="s">
        <v>69</v>
      </c>
      <c r="B39" s="3" t="s">
        <v>70</v>
      </c>
      <c r="C39" s="29">
        <f t="shared" si="16"/>
        <v>322500</v>
      </c>
      <c r="D39" s="29">
        <v>0</v>
      </c>
      <c r="E39" s="29">
        <f>205000+110000+7500</f>
        <v>322500</v>
      </c>
      <c r="F39" s="29">
        <f t="shared" si="20"/>
        <v>0</v>
      </c>
      <c r="G39" s="29"/>
      <c r="H39" s="31"/>
      <c r="I39" s="29">
        <f t="shared" si="17"/>
        <v>322500</v>
      </c>
      <c r="J39" s="29">
        <f t="shared" ref="J39" si="21">D39+G39</f>
        <v>0</v>
      </c>
      <c r="K39" s="29">
        <f>E39+H39</f>
        <v>322500</v>
      </c>
    </row>
    <row r="40" spans="1:12" s="11" customFormat="1" ht="21.15" customHeight="1" x14ac:dyDescent="0.25">
      <c r="A40" s="5" t="s">
        <v>71</v>
      </c>
      <c r="B40" s="2" t="s">
        <v>72</v>
      </c>
      <c r="C40" s="28">
        <f t="shared" si="16"/>
        <v>20376300</v>
      </c>
      <c r="D40" s="28">
        <f>D41+D47+D55+D59</f>
        <v>13490500</v>
      </c>
      <c r="E40" s="28">
        <f>E55+E59</f>
        <v>6885800</v>
      </c>
      <c r="F40" s="28">
        <f t="shared" si="20"/>
        <v>14000</v>
      </c>
      <c r="G40" s="28">
        <f>G41+G47+G55+G59</f>
        <v>14000</v>
      </c>
      <c r="H40" s="28">
        <f>H55+H59</f>
        <v>0</v>
      </c>
      <c r="I40" s="28">
        <f t="shared" si="17"/>
        <v>20390300</v>
      </c>
      <c r="J40" s="28">
        <f>J41+J47+J55+J59</f>
        <v>13504500</v>
      </c>
      <c r="K40" s="28">
        <f>K55+K59</f>
        <v>6885800</v>
      </c>
    </row>
    <row r="41" spans="1:12" s="11" customFormat="1" ht="15.6" x14ac:dyDescent="0.25">
      <c r="A41" s="5" t="s">
        <v>73</v>
      </c>
      <c r="B41" s="2" t="s">
        <v>74</v>
      </c>
      <c r="C41" s="28">
        <f t="shared" si="16"/>
        <v>689200</v>
      </c>
      <c r="D41" s="28">
        <f>SUM(D42:D46)</f>
        <v>689200</v>
      </c>
      <c r="E41" s="28">
        <f>SUM(E42:E46)</f>
        <v>0</v>
      </c>
      <c r="F41" s="28">
        <f t="shared" si="20"/>
        <v>15500</v>
      </c>
      <c r="G41" s="28">
        <f>SUM(G42:G46)</f>
        <v>15500</v>
      </c>
      <c r="H41" s="28"/>
      <c r="I41" s="28">
        <f t="shared" si="17"/>
        <v>704700</v>
      </c>
      <c r="J41" s="28">
        <f>SUM(J42:J46)</f>
        <v>704700</v>
      </c>
      <c r="K41" s="28">
        <f>SUM(K42:K46)</f>
        <v>0</v>
      </c>
    </row>
    <row r="42" spans="1:12" s="11" customFormat="1" ht="46.8" x14ac:dyDescent="0.25">
      <c r="A42" s="6" t="s">
        <v>75</v>
      </c>
      <c r="B42" s="3" t="s">
        <v>76</v>
      </c>
      <c r="C42" s="29">
        <f t="shared" si="16"/>
        <v>0</v>
      </c>
      <c r="D42" s="29"/>
      <c r="E42" s="29">
        <v>0</v>
      </c>
      <c r="F42" s="29">
        <f t="shared" si="20"/>
        <v>0</v>
      </c>
      <c r="G42" s="29"/>
      <c r="H42" s="29"/>
      <c r="I42" s="29">
        <f t="shared" si="17"/>
        <v>0</v>
      </c>
      <c r="J42" s="29">
        <f t="shared" ref="J42:J46" si="22">D42+G42</f>
        <v>0</v>
      </c>
      <c r="K42" s="29">
        <f t="shared" ref="K42:K46" si="23">E42+H42</f>
        <v>0</v>
      </c>
      <c r="L42" s="13"/>
    </row>
    <row r="43" spans="1:12" s="11" customFormat="1" ht="78" x14ac:dyDescent="0.25">
      <c r="A43" s="6">
        <v>21080900</v>
      </c>
      <c r="B43" s="33" t="s">
        <v>138</v>
      </c>
      <c r="C43" s="29">
        <f t="shared" si="16"/>
        <v>5200</v>
      </c>
      <c r="D43" s="29">
        <f>5700+2000-1000-1500</f>
        <v>5200</v>
      </c>
      <c r="E43" s="29"/>
      <c r="F43" s="29">
        <f>G43+H43</f>
        <v>0</v>
      </c>
      <c r="G43" s="29"/>
      <c r="H43" s="29"/>
      <c r="I43" s="29">
        <f t="shared" si="17"/>
        <v>5200</v>
      </c>
      <c r="J43" s="29">
        <f t="shared" si="22"/>
        <v>5200</v>
      </c>
      <c r="K43" s="29"/>
      <c r="L43" s="37"/>
    </row>
    <row r="44" spans="1:12" s="11" customFormat="1" ht="24.75" customHeight="1" x14ac:dyDescent="0.25">
      <c r="A44" s="6" t="s">
        <v>77</v>
      </c>
      <c r="B44" s="3" t="s">
        <v>78</v>
      </c>
      <c r="C44" s="29">
        <f t="shared" si="16"/>
        <v>202000</v>
      </c>
      <c r="D44" s="29">
        <f>130000+35000+27000+10000</f>
        <v>202000</v>
      </c>
      <c r="E44" s="29">
        <v>0</v>
      </c>
      <c r="F44" s="29">
        <f t="shared" ref="F44:F46" si="24">G44+H44</f>
        <v>15500</v>
      </c>
      <c r="G44" s="29">
        <v>15500</v>
      </c>
      <c r="H44" s="29"/>
      <c r="I44" s="29">
        <f t="shared" ref="I44:I46" si="25">J44+K44</f>
        <v>217500</v>
      </c>
      <c r="J44" s="29">
        <f t="shared" si="22"/>
        <v>217500</v>
      </c>
      <c r="K44" s="29">
        <f t="shared" si="23"/>
        <v>0</v>
      </c>
    </row>
    <row r="45" spans="1:12" s="11" customFormat="1" ht="105.75" customHeight="1" x14ac:dyDescent="0.25">
      <c r="A45" s="6" t="s">
        <v>79</v>
      </c>
      <c r="B45" s="3" t="s">
        <v>140</v>
      </c>
      <c r="C45" s="29">
        <f t="shared" si="16"/>
        <v>465000</v>
      </c>
      <c r="D45" s="29">
        <f>340000+100000+25000</f>
        <v>465000</v>
      </c>
      <c r="E45" s="29">
        <v>0</v>
      </c>
      <c r="F45" s="29">
        <f t="shared" si="24"/>
        <v>0</v>
      </c>
      <c r="G45" s="29"/>
      <c r="H45" s="29"/>
      <c r="I45" s="29">
        <f t="shared" si="25"/>
        <v>465000</v>
      </c>
      <c r="J45" s="29">
        <f t="shared" si="22"/>
        <v>465000</v>
      </c>
      <c r="K45" s="29">
        <f t="shared" si="23"/>
        <v>0</v>
      </c>
    </row>
    <row r="46" spans="1:12" s="11" customFormat="1" ht="78" x14ac:dyDescent="0.25">
      <c r="A46" s="6" t="s">
        <v>80</v>
      </c>
      <c r="B46" s="3" t="s">
        <v>81</v>
      </c>
      <c r="C46" s="29">
        <f t="shared" si="16"/>
        <v>17000</v>
      </c>
      <c r="D46" s="29">
        <v>17000</v>
      </c>
      <c r="E46" s="29">
        <v>0</v>
      </c>
      <c r="F46" s="29">
        <f t="shared" si="24"/>
        <v>0</v>
      </c>
      <c r="G46" s="29"/>
      <c r="H46" s="29"/>
      <c r="I46" s="29">
        <f t="shared" si="25"/>
        <v>17000</v>
      </c>
      <c r="J46" s="29">
        <f t="shared" si="22"/>
        <v>17000</v>
      </c>
      <c r="K46" s="29">
        <f t="shared" si="23"/>
        <v>0</v>
      </c>
    </row>
    <row r="47" spans="1:12" s="11" customFormat="1" ht="31.2" x14ac:dyDescent="0.25">
      <c r="A47" s="5" t="s">
        <v>82</v>
      </c>
      <c r="B47" s="2" t="s">
        <v>83</v>
      </c>
      <c r="C47" s="28">
        <f>D47+E47</f>
        <v>11011000</v>
      </c>
      <c r="D47" s="28">
        <f>D48+D53+D54</f>
        <v>11011000</v>
      </c>
      <c r="E47" s="28">
        <f>E48+E53+E54</f>
        <v>0</v>
      </c>
      <c r="F47" s="28">
        <f>G47+H47</f>
        <v>-1500</v>
      </c>
      <c r="G47" s="28">
        <f>G48+G53+G54</f>
        <v>-1500</v>
      </c>
      <c r="H47" s="28"/>
      <c r="I47" s="28">
        <f>J47+K47</f>
        <v>11009500</v>
      </c>
      <c r="J47" s="28">
        <f>J48+J53+J54</f>
        <v>11009500</v>
      </c>
      <c r="K47" s="28">
        <f>K48+K53+K54</f>
        <v>0</v>
      </c>
    </row>
    <row r="48" spans="1:12" s="11" customFormat="1" ht="15.6" x14ac:dyDescent="0.25">
      <c r="A48" s="5" t="s">
        <v>84</v>
      </c>
      <c r="B48" s="2" t="s">
        <v>85</v>
      </c>
      <c r="C48" s="28">
        <f>D48+E48</f>
        <v>6596000</v>
      </c>
      <c r="D48" s="28">
        <f>SUM(D49:D52)</f>
        <v>6596000</v>
      </c>
      <c r="E48" s="28">
        <f>SUM(E49:E52)</f>
        <v>0</v>
      </c>
      <c r="F48" s="28">
        <f>G48+H48</f>
        <v>-1500</v>
      </c>
      <c r="G48" s="28">
        <f>SUM(G49:G52)</f>
        <v>-1500</v>
      </c>
      <c r="H48" s="28"/>
      <c r="I48" s="28">
        <f>J48+K48</f>
        <v>6594500</v>
      </c>
      <c r="J48" s="28">
        <f>SUM(J49:J52)</f>
        <v>6594500</v>
      </c>
      <c r="K48" s="28">
        <f>SUM(K49:K52)</f>
        <v>0</v>
      </c>
    </row>
    <row r="49" spans="1:12" s="11" customFormat="1" ht="46.8" x14ac:dyDescent="0.25">
      <c r="A49" s="6" t="s">
        <v>86</v>
      </c>
      <c r="B49" s="3" t="s">
        <v>87</v>
      </c>
      <c r="C49" s="29">
        <f>D49+E49</f>
        <v>173000</v>
      </c>
      <c r="D49" s="29">
        <f>130000+40000+10000-7000</f>
        <v>173000</v>
      </c>
      <c r="E49" s="29">
        <v>0</v>
      </c>
      <c r="F49" s="29">
        <f>G49+H49</f>
        <v>-1000</v>
      </c>
      <c r="G49" s="29">
        <v>-1000</v>
      </c>
      <c r="H49" s="29"/>
      <c r="I49" s="29">
        <f>J49+K49</f>
        <v>172000</v>
      </c>
      <c r="J49" s="29">
        <f t="shared" ref="J49:J53" si="26">D49+G49</f>
        <v>172000</v>
      </c>
      <c r="K49" s="29">
        <f t="shared" ref="K49:K53" si="27">E49+H49</f>
        <v>0</v>
      </c>
    </row>
    <row r="50" spans="1:12" s="11" customFormat="1" ht="26.4" customHeight="1" x14ac:dyDescent="0.25">
      <c r="A50" s="6" t="s">
        <v>88</v>
      </c>
      <c r="B50" s="3" t="s">
        <v>89</v>
      </c>
      <c r="C50" s="29">
        <f t="shared" ref="C50:C53" si="28">D50+E50</f>
        <v>6157000</v>
      </c>
      <c r="D50" s="29">
        <f>5800000+370000-13000</f>
        <v>6157000</v>
      </c>
      <c r="E50" s="29">
        <v>0</v>
      </c>
      <c r="F50" s="29">
        <f t="shared" ref="F50:F53" si="29">G50+H50</f>
        <v>0</v>
      </c>
      <c r="G50" s="29"/>
      <c r="H50" s="29"/>
      <c r="I50" s="29">
        <f t="shared" ref="I50:I53" si="30">J50+K50</f>
        <v>6157000</v>
      </c>
      <c r="J50" s="29">
        <f t="shared" si="26"/>
        <v>6157000</v>
      </c>
      <c r="K50" s="29">
        <f t="shared" si="27"/>
        <v>0</v>
      </c>
    </row>
    <row r="51" spans="1:12" s="11" customFormat="1" ht="31.2" x14ac:dyDescent="0.25">
      <c r="A51" s="6" t="s">
        <v>90</v>
      </c>
      <c r="B51" s="3" t="s">
        <v>91</v>
      </c>
      <c r="C51" s="29">
        <f t="shared" si="28"/>
        <v>235000</v>
      </c>
      <c r="D51" s="29">
        <f>170000+50000+15000</f>
        <v>235000</v>
      </c>
      <c r="E51" s="29">
        <v>0</v>
      </c>
      <c r="F51" s="29">
        <f t="shared" si="29"/>
        <v>0</v>
      </c>
      <c r="G51" s="29"/>
      <c r="H51" s="29"/>
      <c r="I51" s="29">
        <f t="shared" si="30"/>
        <v>235000</v>
      </c>
      <c r="J51" s="29">
        <f t="shared" si="26"/>
        <v>235000</v>
      </c>
      <c r="K51" s="29">
        <f t="shared" si="27"/>
        <v>0</v>
      </c>
    </row>
    <row r="52" spans="1:12" s="11" customFormat="1" ht="93.6" x14ac:dyDescent="0.25">
      <c r="A52" s="6" t="s">
        <v>92</v>
      </c>
      <c r="B52" s="3" t="s">
        <v>146</v>
      </c>
      <c r="C52" s="29">
        <f t="shared" si="28"/>
        <v>31000</v>
      </c>
      <c r="D52" s="29">
        <f>25000+10000-2000-2000</f>
        <v>31000</v>
      </c>
      <c r="E52" s="29">
        <v>0</v>
      </c>
      <c r="F52" s="29">
        <f t="shared" si="29"/>
        <v>-500</v>
      </c>
      <c r="G52" s="29">
        <v>-500</v>
      </c>
      <c r="H52" s="29"/>
      <c r="I52" s="29">
        <f t="shared" si="30"/>
        <v>30500</v>
      </c>
      <c r="J52" s="29">
        <f t="shared" si="26"/>
        <v>30500</v>
      </c>
      <c r="K52" s="29">
        <f t="shared" si="27"/>
        <v>0</v>
      </c>
    </row>
    <row r="53" spans="1:12" s="11" customFormat="1" ht="46.8" x14ac:dyDescent="0.25">
      <c r="A53" s="6" t="s">
        <v>93</v>
      </c>
      <c r="B53" s="3" t="s">
        <v>94</v>
      </c>
      <c r="C53" s="29">
        <f t="shared" si="28"/>
        <v>4250000</v>
      </c>
      <c r="D53" s="29">
        <f>3850000+350000+50000</f>
        <v>4250000</v>
      </c>
      <c r="E53" s="29">
        <v>0</v>
      </c>
      <c r="F53" s="29">
        <f t="shared" si="29"/>
        <v>0</v>
      </c>
      <c r="G53" s="29"/>
      <c r="H53" s="29"/>
      <c r="I53" s="29">
        <f t="shared" si="30"/>
        <v>4250000</v>
      </c>
      <c r="J53" s="29">
        <f t="shared" si="26"/>
        <v>4250000</v>
      </c>
      <c r="K53" s="29">
        <f t="shared" si="27"/>
        <v>0</v>
      </c>
      <c r="L53" s="13"/>
    </row>
    <row r="54" spans="1:12" s="11" customFormat="1" ht="22.65" customHeight="1" x14ac:dyDescent="0.25">
      <c r="A54" s="5" t="s">
        <v>95</v>
      </c>
      <c r="B54" s="2" t="s">
        <v>96</v>
      </c>
      <c r="C54" s="28">
        <f>D54</f>
        <v>165000</v>
      </c>
      <c r="D54" s="28">
        <f>162000+3000</f>
        <v>165000</v>
      </c>
      <c r="E54" s="28">
        <v>0</v>
      </c>
      <c r="F54" s="28">
        <f>G54</f>
        <v>0</v>
      </c>
      <c r="G54" s="28"/>
      <c r="H54" s="28"/>
      <c r="I54" s="28">
        <f>J54</f>
        <v>165000</v>
      </c>
      <c r="J54" s="28">
        <f>D54+G54</f>
        <v>165000</v>
      </c>
      <c r="K54" s="28">
        <f>E54+H54</f>
        <v>0</v>
      </c>
      <c r="L54" s="13"/>
    </row>
    <row r="55" spans="1:12" s="11" customFormat="1" ht="18.75" customHeight="1" x14ac:dyDescent="0.25">
      <c r="A55" s="5" t="s">
        <v>97</v>
      </c>
      <c r="B55" s="2" t="s">
        <v>98</v>
      </c>
      <c r="C55" s="28">
        <f>C57+C56+C58</f>
        <v>1835700</v>
      </c>
      <c r="D55" s="28">
        <f>D57+D56+D58</f>
        <v>1790300</v>
      </c>
      <c r="E55" s="28">
        <f>E56+E57+E58</f>
        <v>45400</v>
      </c>
      <c r="F55" s="28">
        <f>F57+F56+F58</f>
        <v>0</v>
      </c>
      <c r="G55" s="28">
        <f>G57+G56+G58</f>
        <v>0</v>
      </c>
      <c r="H55" s="28">
        <f>H56+H57+H58</f>
        <v>0</v>
      </c>
      <c r="I55" s="28">
        <f>I57+I56+I58</f>
        <v>1835700</v>
      </c>
      <c r="J55" s="28">
        <f>J57+J56+J58</f>
        <v>1790300</v>
      </c>
      <c r="K55" s="28">
        <f>K56+K57+K58</f>
        <v>45400</v>
      </c>
      <c r="L55" s="13"/>
    </row>
    <row r="56" spans="1:12" s="11" customFormat="1" ht="24.75" customHeight="1" x14ac:dyDescent="0.25">
      <c r="A56" s="6" t="s">
        <v>99</v>
      </c>
      <c r="B56" s="3" t="s">
        <v>100</v>
      </c>
      <c r="C56" s="29">
        <f t="shared" ref="C56:C62" si="31">D56+E56</f>
        <v>1790300</v>
      </c>
      <c r="D56" s="29">
        <f>1600300+50000+50000+90000</f>
        <v>1790300</v>
      </c>
      <c r="E56" s="28"/>
      <c r="F56" s="29">
        <f t="shared" ref="F56:F61" si="32">G56+H56</f>
        <v>0</v>
      </c>
      <c r="G56" s="29"/>
      <c r="H56" s="29"/>
      <c r="I56" s="29">
        <f t="shared" ref="I56:I61" si="33">J56+K56</f>
        <v>1790300</v>
      </c>
      <c r="J56" s="29">
        <f>D56+G56</f>
        <v>1790300</v>
      </c>
      <c r="K56" s="29">
        <f>E56+H56</f>
        <v>0</v>
      </c>
      <c r="L56" s="13"/>
    </row>
    <row r="57" spans="1:12" s="11" customFormat="1" ht="46.5" customHeight="1" x14ac:dyDescent="0.25">
      <c r="A57" s="6" t="s">
        <v>101</v>
      </c>
      <c r="B57" s="3" t="s">
        <v>102</v>
      </c>
      <c r="C57" s="29">
        <f t="shared" si="31"/>
        <v>45400</v>
      </c>
      <c r="D57" s="29"/>
      <c r="E57" s="29">
        <f>500000-337100-110000-7500</f>
        <v>45400</v>
      </c>
      <c r="F57" s="29">
        <f t="shared" si="32"/>
        <v>0</v>
      </c>
      <c r="G57" s="29"/>
      <c r="H57" s="29"/>
      <c r="I57" s="29">
        <f t="shared" si="33"/>
        <v>45400</v>
      </c>
      <c r="J57" s="29">
        <f>D57+G57</f>
        <v>0</v>
      </c>
      <c r="K57" s="29">
        <f>E57+H57</f>
        <v>45400</v>
      </c>
    </row>
    <row r="58" spans="1:12" s="11" customFormat="1" ht="178.5" hidden="1" customHeight="1" x14ac:dyDescent="0.25">
      <c r="A58" s="6">
        <v>24062200</v>
      </c>
      <c r="B58" s="3" t="s">
        <v>131</v>
      </c>
      <c r="C58" s="29">
        <f t="shared" si="31"/>
        <v>0</v>
      </c>
      <c r="D58" s="29"/>
      <c r="E58" s="29">
        <v>0</v>
      </c>
      <c r="F58" s="29">
        <f t="shared" si="32"/>
        <v>0</v>
      </c>
      <c r="G58" s="29"/>
      <c r="H58" s="29"/>
      <c r="I58" s="29">
        <f t="shared" si="33"/>
        <v>0</v>
      </c>
      <c r="J58" s="29">
        <f>D58+G58</f>
        <v>0</v>
      </c>
      <c r="K58" s="29">
        <f t="shared" ref="J58:K59" si="34">E58+H58</f>
        <v>0</v>
      </c>
      <c r="L58" s="13"/>
    </row>
    <row r="59" spans="1:12" s="11" customFormat="1" ht="15.6" x14ac:dyDescent="0.25">
      <c r="A59" s="5" t="s">
        <v>103</v>
      </c>
      <c r="B59" s="2" t="s">
        <v>104</v>
      </c>
      <c r="C59" s="28">
        <f t="shared" si="31"/>
        <v>6840400</v>
      </c>
      <c r="D59" s="28">
        <v>0</v>
      </c>
      <c r="E59" s="28">
        <v>6840400</v>
      </c>
      <c r="F59" s="28">
        <f t="shared" si="32"/>
        <v>0</v>
      </c>
      <c r="G59" s="28"/>
      <c r="H59" s="28"/>
      <c r="I59" s="28">
        <f t="shared" si="33"/>
        <v>6840400</v>
      </c>
      <c r="J59" s="28">
        <f t="shared" si="34"/>
        <v>0</v>
      </c>
      <c r="K59" s="28">
        <f>E59+H59</f>
        <v>6840400</v>
      </c>
    </row>
    <row r="60" spans="1:12" s="11" customFormat="1" ht="15.6" x14ac:dyDescent="0.25">
      <c r="A60" s="5" t="s">
        <v>105</v>
      </c>
      <c r="B60" s="2" t="s">
        <v>106</v>
      </c>
      <c r="C60" s="28">
        <f t="shared" si="31"/>
        <v>5600000</v>
      </c>
      <c r="D60" s="28"/>
      <c r="E60" s="28">
        <f>E63+E61</f>
        <v>5600000</v>
      </c>
      <c r="F60" s="28">
        <f>G60+H60</f>
        <v>0</v>
      </c>
      <c r="G60" s="28"/>
      <c r="H60" s="28">
        <f>H63+H61</f>
        <v>0</v>
      </c>
      <c r="I60" s="28">
        <f>J60+K60</f>
        <v>5600000</v>
      </c>
      <c r="J60" s="28"/>
      <c r="K60" s="28">
        <f>K63+K61</f>
        <v>5600000</v>
      </c>
    </row>
    <row r="61" spans="1:12" s="11" customFormat="1" ht="15.6" x14ac:dyDescent="0.25">
      <c r="A61" s="5" t="s">
        <v>147</v>
      </c>
      <c r="B61" s="2" t="s">
        <v>148</v>
      </c>
      <c r="C61" s="28">
        <f t="shared" si="31"/>
        <v>1300</v>
      </c>
      <c r="D61" s="28"/>
      <c r="E61" s="28">
        <f>E62</f>
        <v>1300</v>
      </c>
      <c r="F61" s="28">
        <f t="shared" si="32"/>
        <v>0</v>
      </c>
      <c r="G61" s="28"/>
      <c r="H61" s="28">
        <f>H62</f>
        <v>0</v>
      </c>
      <c r="I61" s="28">
        <f t="shared" si="33"/>
        <v>1300</v>
      </c>
      <c r="J61" s="28"/>
      <c r="K61" s="28">
        <f>K62</f>
        <v>1300</v>
      </c>
    </row>
    <row r="62" spans="1:12" s="11" customFormat="1" ht="46.8" x14ac:dyDescent="0.25">
      <c r="A62" s="6" t="s">
        <v>149</v>
      </c>
      <c r="B62" s="3" t="s">
        <v>150</v>
      </c>
      <c r="C62" s="29">
        <f t="shared" si="31"/>
        <v>1300</v>
      </c>
      <c r="D62" s="28"/>
      <c r="E62" s="29">
        <v>1300</v>
      </c>
      <c r="F62" s="29">
        <f t="shared" ref="F62:F71" si="35">G62+H62</f>
        <v>0</v>
      </c>
      <c r="G62" s="28"/>
      <c r="H62" s="29"/>
      <c r="I62" s="29">
        <f t="shared" ref="I62:I69" si="36">J62+K62</f>
        <v>1300</v>
      </c>
      <c r="J62" s="28"/>
      <c r="K62" s="29">
        <f>E62+H62</f>
        <v>1300</v>
      </c>
    </row>
    <row r="63" spans="1:12" s="11" customFormat="1" ht="15.6" x14ac:dyDescent="0.25">
      <c r="A63" s="5" t="s">
        <v>107</v>
      </c>
      <c r="B63" s="2" t="s">
        <v>108</v>
      </c>
      <c r="C63" s="28">
        <f t="shared" ref="C63" si="37">D63+E63</f>
        <v>5598700</v>
      </c>
      <c r="D63" s="28"/>
      <c r="E63" s="28">
        <f t="shared" ref="E63" si="38">E64</f>
        <v>5598700</v>
      </c>
      <c r="F63" s="28">
        <f>G63+H63</f>
        <v>0</v>
      </c>
      <c r="G63" s="28"/>
      <c r="H63" s="28">
        <f t="shared" ref="H63:H64" si="39">H64</f>
        <v>0</v>
      </c>
      <c r="I63" s="28">
        <f t="shared" ref="I63" si="40">J63+K63</f>
        <v>5598700</v>
      </c>
      <c r="J63" s="28"/>
      <c r="K63" s="28">
        <f t="shared" ref="K63" si="41">K64</f>
        <v>5598700</v>
      </c>
    </row>
    <row r="64" spans="1:12" s="11" customFormat="1" ht="15.6" x14ac:dyDescent="0.25">
      <c r="A64" s="5" t="s">
        <v>109</v>
      </c>
      <c r="B64" s="2" t="s">
        <v>110</v>
      </c>
      <c r="C64" s="28">
        <f>D64+E64</f>
        <v>5598700</v>
      </c>
      <c r="D64" s="28"/>
      <c r="E64" s="28">
        <f>E65</f>
        <v>5598700</v>
      </c>
      <c r="F64" s="28">
        <f t="shared" si="35"/>
        <v>0</v>
      </c>
      <c r="G64" s="28"/>
      <c r="H64" s="28">
        <f t="shared" si="39"/>
        <v>0</v>
      </c>
      <c r="I64" s="28">
        <f>J64+K64</f>
        <v>5598700</v>
      </c>
      <c r="J64" s="28"/>
      <c r="K64" s="28">
        <f>K65</f>
        <v>5598700</v>
      </c>
    </row>
    <row r="65" spans="1:12" s="11" customFormat="1" ht="78" x14ac:dyDescent="0.25">
      <c r="A65" s="6" t="s">
        <v>111</v>
      </c>
      <c r="B65" s="3" t="s">
        <v>112</v>
      </c>
      <c r="C65" s="29">
        <f>D65+E65</f>
        <v>5598700</v>
      </c>
      <c r="D65" s="29">
        <v>0</v>
      </c>
      <c r="E65" s="29">
        <f>5600000-1300</f>
        <v>5598700</v>
      </c>
      <c r="F65" s="29">
        <f t="shared" si="35"/>
        <v>0</v>
      </c>
      <c r="G65" s="29"/>
      <c r="H65" s="29"/>
      <c r="I65" s="29">
        <f t="shared" si="36"/>
        <v>5598700</v>
      </c>
      <c r="J65" s="29">
        <f>D65+G65</f>
        <v>0</v>
      </c>
      <c r="K65" s="29">
        <f>E65+H65</f>
        <v>5598700</v>
      </c>
      <c r="L65" s="13"/>
    </row>
    <row r="66" spans="1:12" s="12" customFormat="1" ht="15.6" x14ac:dyDescent="0.25">
      <c r="A66" s="5">
        <v>50000000</v>
      </c>
      <c r="B66" s="2" t="s">
        <v>9</v>
      </c>
      <c r="C66" s="28">
        <f>D66+E66</f>
        <v>2923147.12</v>
      </c>
      <c r="D66" s="28">
        <f>D67</f>
        <v>0</v>
      </c>
      <c r="E66" s="28">
        <f>E67</f>
        <v>2923147.12</v>
      </c>
      <c r="F66" s="28">
        <f t="shared" si="35"/>
        <v>-367877.44</v>
      </c>
      <c r="G66" s="29">
        <f>G67</f>
        <v>0</v>
      </c>
      <c r="H66" s="28">
        <f>H67</f>
        <v>-367877.44</v>
      </c>
      <c r="I66" s="28">
        <f t="shared" si="36"/>
        <v>2555269.6800000002</v>
      </c>
      <c r="J66" s="29">
        <f>J67</f>
        <v>0</v>
      </c>
      <c r="K66" s="28">
        <f>K67</f>
        <v>2555269.6800000002</v>
      </c>
    </row>
    <row r="67" spans="1:12" s="13" customFormat="1" ht="46.8" x14ac:dyDescent="0.25">
      <c r="A67" s="6">
        <v>50110000</v>
      </c>
      <c r="B67" s="3" t="s">
        <v>10</v>
      </c>
      <c r="C67" s="29">
        <f>D67+E67</f>
        <v>2923147.12</v>
      </c>
      <c r="D67" s="29">
        <v>0</v>
      </c>
      <c r="E67" s="29">
        <f>552343.16+2254803.92-142486.96+258487</f>
        <v>2923147.12</v>
      </c>
      <c r="F67" s="29">
        <f t="shared" si="35"/>
        <v>-367877.44</v>
      </c>
      <c r="G67" s="29"/>
      <c r="H67" s="29">
        <f>-367877.44</f>
        <v>-367877.44</v>
      </c>
      <c r="I67" s="29">
        <f t="shared" si="36"/>
        <v>2555269.6800000002</v>
      </c>
      <c r="J67" s="29">
        <f>D67+G67</f>
        <v>0</v>
      </c>
      <c r="K67" s="29">
        <f>E67+H67</f>
        <v>2555269.6800000002</v>
      </c>
      <c r="L67" s="37"/>
    </row>
    <row r="68" spans="1:12" s="13" customFormat="1" ht="31.2" x14ac:dyDescent="0.25">
      <c r="A68" s="23"/>
      <c r="B68" s="23" t="s">
        <v>113</v>
      </c>
      <c r="C68" s="30">
        <f>D68+E68</f>
        <v>958012947.12</v>
      </c>
      <c r="D68" s="30">
        <f>D6+D40+D60+D66</f>
        <v>942281500</v>
      </c>
      <c r="E68" s="30">
        <f>E6+E40+E60+E66</f>
        <v>15731447.120000001</v>
      </c>
      <c r="F68" s="30">
        <f t="shared" si="35"/>
        <v>-367877.44</v>
      </c>
      <c r="G68" s="30">
        <f>G6+G40+G60+G66</f>
        <v>0</v>
      </c>
      <c r="H68" s="30">
        <f>H6+H40+H60+H66</f>
        <v>-367877.44</v>
      </c>
      <c r="I68" s="30">
        <f t="shared" si="36"/>
        <v>957645069.67999995</v>
      </c>
      <c r="J68" s="30">
        <f>J6+J40+J60+J66</f>
        <v>942281500</v>
      </c>
      <c r="K68" s="30">
        <f>K6+K40+K60+K66</f>
        <v>15363569.68</v>
      </c>
    </row>
    <row r="69" spans="1:12" s="46" customFormat="1" ht="29.25" customHeight="1" x14ac:dyDescent="0.3">
      <c r="A69" s="43" t="s">
        <v>114</v>
      </c>
      <c r="B69" s="44" t="s">
        <v>115</v>
      </c>
      <c r="C69" s="45">
        <f t="shared" ref="C69:C70" si="42">D69+E69</f>
        <v>156912266.36000001</v>
      </c>
      <c r="D69" s="45">
        <f>D70</f>
        <v>145346805</v>
      </c>
      <c r="E69" s="45">
        <f>E70+E84</f>
        <v>11565461.359999999</v>
      </c>
      <c r="F69" s="45">
        <f t="shared" si="35"/>
        <v>0</v>
      </c>
      <c r="G69" s="45">
        <f>G70+G84</f>
        <v>0</v>
      </c>
      <c r="H69" s="45">
        <f>H70+H84</f>
        <v>0</v>
      </c>
      <c r="I69" s="45">
        <f t="shared" si="36"/>
        <v>156912266.36000001</v>
      </c>
      <c r="J69" s="45">
        <f>J70+J84</f>
        <v>145346805</v>
      </c>
      <c r="K69" s="45">
        <f>K70+K84</f>
        <v>11565461.359999999</v>
      </c>
    </row>
    <row r="70" spans="1:12" s="13" customFormat="1" ht="15.6" x14ac:dyDescent="0.25">
      <c r="A70" s="5" t="s">
        <v>116</v>
      </c>
      <c r="B70" s="2" t="s">
        <v>117</v>
      </c>
      <c r="C70" s="28">
        <f t="shared" si="42"/>
        <v>153397473</v>
      </c>
      <c r="D70" s="28">
        <f>D71+D73</f>
        <v>145346805</v>
      </c>
      <c r="E70" s="28">
        <f>E71+E73</f>
        <v>8050668</v>
      </c>
      <c r="F70" s="28">
        <f t="shared" si="35"/>
        <v>0</v>
      </c>
      <c r="G70" s="28">
        <f>G71+G73</f>
        <v>0</v>
      </c>
      <c r="H70" s="28">
        <f>H71+H73</f>
        <v>0</v>
      </c>
      <c r="I70" s="28">
        <f t="shared" ref="I70" si="43">J70+K70</f>
        <v>153397473</v>
      </c>
      <c r="J70" s="28">
        <f>J71+J73</f>
        <v>145346805</v>
      </c>
      <c r="K70" s="28">
        <f>K71+K73</f>
        <v>8050668</v>
      </c>
    </row>
    <row r="71" spans="1:12" s="13" customFormat="1" ht="15.6" x14ac:dyDescent="0.25">
      <c r="A71" s="5" t="s">
        <v>118</v>
      </c>
      <c r="B71" s="2" t="s">
        <v>119</v>
      </c>
      <c r="C71" s="28">
        <f>D71+E71</f>
        <v>126914500</v>
      </c>
      <c r="D71" s="28">
        <f>D72</f>
        <v>126914500</v>
      </c>
      <c r="E71" s="28">
        <f>E72</f>
        <v>0</v>
      </c>
      <c r="F71" s="28">
        <f t="shared" si="35"/>
        <v>0</v>
      </c>
      <c r="G71" s="28">
        <f>G72</f>
        <v>0</v>
      </c>
      <c r="H71" s="28"/>
      <c r="I71" s="28">
        <f>J71+K71</f>
        <v>126914500</v>
      </c>
      <c r="J71" s="28">
        <f>J72</f>
        <v>126914500</v>
      </c>
      <c r="K71" s="28">
        <f>K72</f>
        <v>0</v>
      </c>
    </row>
    <row r="72" spans="1:12" s="13" customFormat="1" ht="31.2" x14ac:dyDescent="0.25">
      <c r="A72" s="6" t="s">
        <v>120</v>
      </c>
      <c r="B72" s="3" t="s">
        <v>121</v>
      </c>
      <c r="C72" s="29">
        <f>D72</f>
        <v>126914500</v>
      </c>
      <c r="D72" s="29">
        <f>126893900+20600</f>
        <v>126914500</v>
      </c>
      <c r="E72" s="29">
        <v>0</v>
      </c>
      <c r="F72" s="29">
        <f>G72</f>
        <v>0</v>
      </c>
      <c r="G72" s="29"/>
      <c r="H72" s="29"/>
      <c r="I72" s="29">
        <f>J72</f>
        <v>126914500</v>
      </c>
      <c r="J72" s="29">
        <f>D72+G72</f>
        <v>126914500</v>
      </c>
      <c r="K72" s="29">
        <f>E72+H72</f>
        <v>0</v>
      </c>
    </row>
    <row r="73" spans="1:12" s="13" customFormat="1" ht="31.2" x14ac:dyDescent="0.25">
      <c r="A73" s="5" t="s">
        <v>122</v>
      </c>
      <c r="B73" s="2" t="s">
        <v>123</v>
      </c>
      <c r="C73" s="28">
        <f>D73+E73</f>
        <v>26482973</v>
      </c>
      <c r="D73" s="28">
        <f>SUM(D74:D83)</f>
        <v>18432305</v>
      </c>
      <c r="E73" s="28">
        <f>SUM(E78:E82)</f>
        <v>8050668</v>
      </c>
      <c r="F73" s="28">
        <f>G73+H73</f>
        <v>0</v>
      </c>
      <c r="G73" s="28">
        <f>SUM(G74:G83)</f>
        <v>0</v>
      </c>
      <c r="H73" s="28">
        <f>H78+H79+H81+H82</f>
        <v>0</v>
      </c>
      <c r="I73" s="28">
        <f>J73+K73</f>
        <v>26482973</v>
      </c>
      <c r="J73" s="28">
        <f>SUM(J74:J83)</f>
        <v>18432305</v>
      </c>
      <c r="K73" s="28">
        <f>K74+K76+K78+K79+K81+K82+K83</f>
        <v>8050668</v>
      </c>
    </row>
    <row r="74" spans="1:12" s="13" customFormat="1" ht="304.5" customHeight="1" x14ac:dyDescent="0.25">
      <c r="A74" s="39">
        <v>41050400</v>
      </c>
      <c r="B74" s="38" t="s">
        <v>141</v>
      </c>
      <c r="C74" s="29">
        <f>D74</f>
        <v>3280161</v>
      </c>
      <c r="D74" s="29">
        <v>3280161</v>
      </c>
      <c r="E74" s="28"/>
      <c r="F74" s="29">
        <f>G74+H74</f>
        <v>0</v>
      </c>
      <c r="G74" s="29"/>
      <c r="H74" s="28"/>
      <c r="I74" s="29">
        <f>J74+K74</f>
        <v>3280161</v>
      </c>
      <c r="J74" s="29">
        <f>D74+G74</f>
        <v>3280161</v>
      </c>
      <c r="K74" s="29">
        <f t="shared" ref="K74:K76" si="44">E74+H74</f>
        <v>0</v>
      </c>
    </row>
    <row r="75" spans="1:12" s="13" customFormat="1" ht="114" hidden="1" customHeight="1" x14ac:dyDescent="0.25">
      <c r="A75" s="47"/>
      <c r="B75" s="41"/>
      <c r="C75" s="29">
        <f t="shared" ref="C75:C77" si="45">D75</f>
        <v>0</v>
      </c>
      <c r="D75" s="28"/>
      <c r="E75" s="28"/>
      <c r="F75" s="29">
        <f t="shared" ref="F75:F76" si="46">G75+H75</f>
        <v>0</v>
      </c>
      <c r="G75" s="29"/>
      <c r="H75" s="28"/>
      <c r="I75" s="28"/>
      <c r="J75" s="29">
        <f t="shared" ref="J75" si="47">D75+G75</f>
        <v>0</v>
      </c>
      <c r="K75" s="29">
        <f t="shared" ref="K75" si="48">E75+H75</f>
        <v>0</v>
      </c>
    </row>
    <row r="76" spans="1:12" s="40" customFormat="1" ht="214.5" customHeight="1" x14ac:dyDescent="0.25">
      <c r="A76" s="42">
        <v>41050500</v>
      </c>
      <c r="B76" s="41" t="s">
        <v>142</v>
      </c>
      <c r="C76" s="29">
        <f t="shared" si="45"/>
        <v>2240532</v>
      </c>
      <c r="D76" s="29">
        <v>2240532</v>
      </c>
      <c r="E76" s="29"/>
      <c r="F76" s="29">
        <f t="shared" si="46"/>
        <v>0</v>
      </c>
      <c r="G76" s="29"/>
      <c r="H76" s="29"/>
      <c r="I76" s="29">
        <f t="shared" ref="I76:I86" si="49">J76+K76</f>
        <v>2240532</v>
      </c>
      <c r="J76" s="29">
        <f t="shared" ref="J76" si="50">D76+G76</f>
        <v>2240532</v>
      </c>
      <c r="K76" s="29">
        <f t="shared" si="44"/>
        <v>0</v>
      </c>
    </row>
    <row r="77" spans="1:12" s="40" customFormat="1" ht="287.39999999999998" customHeight="1" x14ac:dyDescent="0.25">
      <c r="A77" s="42">
        <v>41050600</v>
      </c>
      <c r="B77" s="41" t="s">
        <v>145</v>
      </c>
      <c r="C77" s="29">
        <f t="shared" si="45"/>
        <v>6486648</v>
      </c>
      <c r="D77" s="29">
        <f>2353300+4133348</f>
        <v>6486648</v>
      </c>
      <c r="E77" s="29"/>
      <c r="F77" s="29">
        <f t="shared" ref="F77:F85" si="51">G77+H77</f>
        <v>0</v>
      </c>
      <c r="G77" s="29"/>
      <c r="H77" s="29"/>
      <c r="I77" s="29">
        <f t="shared" ref="I77" si="52">J77+K77</f>
        <v>6486648</v>
      </c>
      <c r="J77" s="29">
        <f t="shared" ref="J77" si="53">D77+G77</f>
        <v>6486648</v>
      </c>
      <c r="K77" s="29"/>
    </row>
    <row r="78" spans="1:12" s="13" customFormat="1" ht="46.8" x14ac:dyDescent="0.25">
      <c r="A78" s="8">
        <v>41051000</v>
      </c>
      <c r="B78" s="7" t="s">
        <v>124</v>
      </c>
      <c r="C78" s="29">
        <f t="shared" ref="C78:C86" si="54">D78+E78</f>
        <v>2684324</v>
      </c>
      <c r="D78" s="29">
        <f>1132828+1162228</f>
        <v>2295056</v>
      </c>
      <c r="E78" s="29">
        <f>384318+4950</f>
        <v>389268</v>
      </c>
      <c r="F78" s="29">
        <f t="shared" si="51"/>
        <v>0</v>
      </c>
      <c r="G78" s="29"/>
      <c r="H78" s="29"/>
      <c r="I78" s="29">
        <f t="shared" si="49"/>
        <v>2684324</v>
      </c>
      <c r="J78" s="29">
        <f>D78+G78</f>
        <v>2295056</v>
      </c>
      <c r="K78" s="29">
        <f>E78+H78</f>
        <v>389268</v>
      </c>
    </row>
    <row r="79" spans="1:12" s="13" customFormat="1" ht="46.8" x14ac:dyDescent="0.25">
      <c r="A79" s="8">
        <v>41051200</v>
      </c>
      <c r="B79" s="7" t="s">
        <v>129</v>
      </c>
      <c r="C79" s="29">
        <f t="shared" si="54"/>
        <v>351372</v>
      </c>
      <c r="D79" s="29">
        <f>160734+190638</f>
        <v>351372</v>
      </c>
      <c r="E79" s="29"/>
      <c r="F79" s="29">
        <f t="shared" si="51"/>
        <v>0</v>
      </c>
      <c r="G79" s="29"/>
      <c r="H79" s="29"/>
      <c r="I79" s="29">
        <f t="shared" si="49"/>
        <v>351372</v>
      </c>
      <c r="J79" s="29">
        <f>D79+G79</f>
        <v>351372</v>
      </c>
      <c r="K79" s="29"/>
    </row>
    <row r="80" spans="1:12" s="13" customFormat="1" ht="71.25" customHeight="1" x14ac:dyDescent="0.25">
      <c r="A80" s="8">
        <v>41051700</v>
      </c>
      <c r="B80" s="7" t="s">
        <v>154</v>
      </c>
      <c r="C80" s="29">
        <f t="shared" si="54"/>
        <v>395100</v>
      </c>
      <c r="D80" s="29">
        <f>395100</f>
        <v>395100</v>
      </c>
      <c r="E80" s="29"/>
      <c r="F80" s="29">
        <f t="shared" si="51"/>
        <v>0</v>
      </c>
      <c r="G80" s="29"/>
      <c r="H80" s="29"/>
      <c r="I80" s="29">
        <f t="shared" si="49"/>
        <v>395100</v>
      </c>
      <c r="J80" s="29">
        <f>D80+G80</f>
        <v>395100</v>
      </c>
      <c r="K80" s="29"/>
    </row>
    <row r="81" spans="1:11" s="13" customFormat="1" ht="49.5" customHeight="1" x14ac:dyDescent="0.25">
      <c r="A81" s="6">
        <v>41053400</v>
      </c>
      <c r="B81" s="3" t="s">
        <v>153</v>
      </c>
      <c r="C81" s="29">
        <f t="shared" si="54"/>
        <v>7661400</v>
      </c>
      <c r="D81" s="29">
        <v>0</v>
      </c>
      <c r="E81" s="29">
        <f>7661400</f>
        <v>7661400</v>
      </c>
      <c r="F81" s="29">
        <f t="shared" si="51"/>
        <v>0</v>
      </c>
      <c r="G81" s="29"/>
      <c r="H81" s="29"/>
      <c r="I81" s="29">
        <f t="shared" si="49"/>
        <v>7661400</v>
      </c>
      <c r="J81" s="29">
        <f>D81+G81</f>
        <v>0</v>
      </c>
      <c r="K81" s="29">
        <f>E81+H81</f>
        <v>7661400</v>
      </c>
    </row>
    <row r="82" spans="1:11" s="13" customFormat="1" ht="30.75" customHeight="1" x14ac:dyDescent="0.25">
      <c r="A82" s="6" t="s">
        <v>125</v>
      </c>
      <c r="B82" s="3" t="s">
        <v>126</v>
      </c>
      <c r="C82" s="29">
        <f t="shared" si="54"/>
        <v>3285348</v>
      </c>
      <c r="D82" s="29">
        <f>3374856+40770-130278</f>
        <v>3285348</v>
      </c>
      <c r="E82" s="29">
        <v>0</v>
      </c>
      <c r="F82" s="29">
        <f t="shared" si="51"/>
        <v>0</v>
      </c>
      <c r="G82" s="29"/>
      <c r="H82" s="29"/>
      <c r="I82" s="29">
        <f t="shared" si="49"/>
        <v>3285348</v>
      </c>
      <c r="J82" s="29">
        <f>D82+G82</f>
        <v>3285348</v>
      </c>
      <c r="K82" s="29">
        <f>E82+H82</f>
        <v>0</v>
      </c>
    </row>
    <row r="83" spans="1:11" s="13" customFormat="1" ht="74.25" customHeight="1" x14ac:dyDescent="0.25">
      <c r="A83" s="8">
        <v>41057700</v>
      </c>
      <c r="B83" s="7" t="s">
        <v>143</v>
      </c>
      <c r="C83" s="29">
        <f t="shared" si="54"/>
        <v>98088</v>
      </c>
      <c r="D83" s="29">
        <v>98088</v>
      </c>
      <c r="E83" s="29"/>
      <c r="F83" s="29">
        <f t="shared" si="51"/>
        <v>0</v>
      </c>
      <c r="G83" s="29"/>
      <c r="H83" s="29"/>
      <c r="I83" s="29">
        <f t="shared" ref="I83" si="55">J83+K83</f>
        <v>98088</v>
      </c>
      <c r="J83" s="29">
        <f>D83+G83</f>
        <v>98088</v>
      </c>
      <c r="K83" s="29"/>
    </row>
    <row r="84" spans="1:11" s="13" customFormat="1" ht="48.75" customHeight="1" x14ac:dyDescent="0.25">
      <c r="A84" s="5">
        <v>42000000</v>
      </c>
      <c r="B84" s="2" t="s">
        <v>134</v>
      </c>
      <c r="C84" s="28">
        <f>D84+E84</f>
        <v>3514793.36</v>
      </c>
      <c r="D84" s="28">
        <f>SUM(D85:D86)</f>
        <v>0</v>
      </c>
      <c r="E84" s="28">
        <f>SUM(E85:E86)</f>
        <v>3514793.36</v>
      </c>
      <c r="F84" s="28">
        <f>G84+H84</f>
        <v>0</v>
      </c>
      <c r="G84" s="28">
        <f>SUM(G85:G86)</f>
        <v>0</v>
      </c>
      <c r="H84" s="28">
        <f>SUM(H85:H86)</f>
        <v>0</v>
      </c>
      <c r="I84" s="28">
        <f>J84+K84</f>
        <v>3514793.36</v>
      </c>
      <c r="J84" s="28">
        <f>SUM(J85:J86)</f>
        <v>0</v>
      </c>
      <c r="K84" s="28">
        <f>SUM(K85:K86)</f>
        <v>3514793.36</v>
      </c>
    </row>
    <row r="85" spans="1:11" s="13" customFormat="1" ht="33.75" customHeight="1" x14ac:dyDescent="0.25">
      <c r="A85" s="6">
        <v>42020500</v>
      </c>
      <c r="B85" s="3" t="s">
        <v>144</v>
      </c>
      <c r="C85" s="31">
        <f t="shared" si="54"/>
        <v>3514793.36</v>
      </c>
      <c r="D85" s="28"/>
      <c r="E85" s="29">
        <v>3514793.36</v>
      </c>
      <c r="F85" s="29">
        <f t="shared" si="51"/>
        <v>0</v>
      </c>
      <c r="G85" s="28"/>
      <c r="H85" s="29"/>
      <c r="I85" s="29">
        <f t="shared" si="49"/>
        <v>3514793.36</v>
      </c>
      <c r="J85" s="29">
        <f>D85+G85</f>
        <v>0</v>
      </c>
      <c r="K85" s="29">
        <f>E85+H85</f>
        <v>3514793.36</v>
      </c>
    </row>
    <row r="86" spans="1:11" s="27" customFormat="1" ht="54" hidden="1" customHeight="1" x14ac:dyDescent="0.25">
      <c r="A86" s="25">
        <v>42030000</v>
      </c>
      <c r="B86" s="26" t="s">
        <v>133</v>
      </c>
      <c r="C86" s="31">
        <f t="shared" si="54"/>
        <v>0</v>
      </c>
      <c r="D86" s="31">
        <v>0</v>
      </c>
      <c r="E86" s="31"/>
      <c r="F86" s="31"/>
      <c r="G86" s="31"/>
      <c r="H86" s="31"/>
      <c r="I86" s="31">
        <f t="shared" si="49"/>
        <v>0</v>
      </c>
      <c r="J86" s="31">
        <f>D86+G86</f>
        <v>0</v>
      </c>
      <c r="K86" s="31"/>
    </row>
    <row r="87" spans="1:11" s="12" customFormat="1" ht="34.5" customHeight="1" x14ac:dyDescent="0.25">
      <c r="A87" s="5"/>
      <c r="B87" s="2" t="s">
        <v>127</v>
      </c>
      <c r="C87" s="19">
        <f>C68+C69</f>
        <v>1114925213.48</v>
      </c>
      <c r="D87" s="19">
        <f>D68+D69</f>
        <v>1087628305</v>
      </c>
      <c r="E87" s="19">
        <f>E68+E69</f>
        <v>27296908.48</v>
      </c>
      <c r="F87" s="19">
        <f>F68+F69</f>
        <v>-367877.44</v>
      </c>
      <c r="G87" s="19">
        <f>G68+G69</f>
        <v>0</v>
      </c>
      <c r="H87" s="19">
        <f t="shared" ref="H87" si="56">H68+H69</f>
        <v>-367877.44</v>
      </c>
      <c r="I87" s="19">
        <f>I68+I69</f>
        <v>1114557336.04</v>
      </c>
      <c r="J87" s="19">
        <f>J68+J69</f>
        <v>1087628305</v>
      </c>
      <c r="K87" s="19">
        <f>K68+K69</f>
        <v>26929031.039999999</v>
      </c>
    </row>
    <row r="88" spans="1:11" x14ac:dyDescent="0.25">
      <c r="A88" s="14"/>
      <c r="B88" s="15"/>
    </row>
    <row r="89" spans="1:11" x14ac:dyDescent="0.25">
      <c r="I89" s="36">
        <f>I87-C87</f>
        <v>-367877.44000005722</v>
      </c>
      <c r="J89" s="36">
        <f>J87-D87</f>
        <v>0</v>
      </c>
      <c r="K89" s="35"/>
    </row>
    <row r="90" spans="1:11" ht="28.5" customHeight="1" x14ac:dyDescent="0.35">
      <c r="B90" s="56" t="s">
        <v>151</v>
      </c>
      <c r="C90" s="56"/>
      <c r="D90" s="24"/>
      <c r="E90" s="24"/>
      <c r="F90" s="24"/>
      <c r="G90" s="50" t="s">
        <v>152</v>
      </c>
      <c r="H90" s="50"/>
      <c r="I90" s="16"/>
      <c r="J90" s="16"/>
      <c r="K90" s="16"/>
    </row>
    <row r="91" spans="1:11" ht="18" x14ac:dyDescent="0.25">
      <c r="B91" s="16"/>
      <c r="C91" s="16"/>
      <c r="D91" s="16"/>
      <c r="E91" s="16"/>
      <c r="F91" s="17"/>
      <c r="G91" s="17"/>
      <c r="H91" s="17"/>
      <c r="I91" s="16"/>
      <c r="J91" s="16"/>
      <c r="K91" s="16"/>
    </row>
    <row r="92" spans="1:11" ht="18" x14ac:dyDescent="0.25">
      <c r="B92" s="16"/>
      <c r="C92" s="16"/>
      <c r="D92" s="16"/>
      <c r="E92" s="48"/>
      <c r="F92" s="1"/>
      <c r="G92" s="1"/>
      <c r="H92" s="1"/>
      <c r="I92" s="16"/>
      <c r="J92" s="16"/>
      <c r="K92" s="16"/>
    </row>
    <row r="93" spans="1:11" ht="18" x14ac:dyDescent="0.25">
      <c r="B93" s="16"/>
      <c r="C93" s="16"/>
      <c r="D93" s="16"/>
      <c r="E93" s="16"/>
      <c r="F93" s="18"/>
      <c r="G93" s="18"/>
      <c r="H93" s="18"/>
      <c r="I93" s="16"/>
      <c r="J93" s="16"/>
      <c r="K93" s="16"/>
    </row>
  </sheetData>
  <mergeCells count="8">
    <mergeCell ref="G90:H90"/>
    <mergeCell ref="A1:K1"/>
    <mergeCell ref="A3:A4"/>
    <mergeCell ref="B3:B4"/>
    <mergeCell ref="C3:E3"/>
    <mergeCell ref="F3:H3"/>
    <mergeCell ref="I3:K3"/>
    <mergeCell ref="B90:C90"/>
  </mergeCells>
  <printOptions horizontalCentered="1"/>
  <pageMargins left="0.11811023622047245" right="0.11811023622047245" top="0.59055118110236227" bottom="7.874015748031496E-2" header="0" footer="0"/>
  <pageSetup paperSize="9" scale="64" fitToHeight="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грудень</vt:lpstr>
      <vt:lpstr>грудень!Заголовки_для_печати</vt:lpstr>
      <vt:lpstr>грудень!Область_печати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220FU6</cp:lastModifiedBy>
  <cp:lastPrinted>2023-12-19T08:52:29Z</cp:lastPrinted>
  <dcterms:created xsi:type="dcterms:W3CDTF">2021-05-27T07:05:27Z</dcterms:created>
  <dcterms:modified xsi:type="dcterms:W3CDTF">2023-12-19T13:55:43Z</dcterms:modified>
</cp:coreProperties>
</file>