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SHARE\0-Старые данные\SHARE\Бюджет 2023\УТОЧНЕННЯ\13_НАСТУПНЕ\"/>
    </mc:Choice>
  </mc:AlternateContent>
  <bookViews>
    <workbookView xWindow="-105" yWindow="-105" windowWidth="23250" windowHeight="12570" firstSheet="1" activeTab="1"/>
  </bookViews>
  <sheets>
    <sheet name="Лист1" sheetId="13" state="hidden" r:id="rId1"/>
    <sheet name="2023" sheetId="19" r:id="rId2"/>
  </sheets>
  <externalReferences>
    <externalReference r:id="rId3"/>
  </externalReferences>
  <definedNames>
    <definedName name="_xlnm.Print_Titles" localSheetId="1">'2023'!$12:$14</definedName>
    <definedName name="_xlnm.Print_Area" localSheetId="1">'2023'!$A$1:$I$291</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2" i="19" l="1"/>
  <c r="F32" i="19"/>
  <c r="F307" i="19" l="1"/>
  <c r="G282" i="19" l="1"/>
  <c r="F282" i="19"/>
  <c r="G131" i="19" l="1"/>
  <c r="G116" i="19"/>
  <c r="F131" i="19"/>
  <c r="F116" i="19"/>
  <c r="G28" i="19" l="1"/>
  <c r="F28" i="19"/>
  <c r="F123" i="19" l="1"/>
  <c r="F122" i="19" s="1"/>
  <c r="I300" i="19" l="1"/>
  <c r="G287" i="19" l="1"/>
  <c r="H280" i="19"/>
  <c r="H277" i="19" s="1"/>
  <c r="H276" i="19" s="1"/>
  <c r="G223" i="19"/>
  <c r="F223" i="19"/>
  <c r="G126" i="19"/>
  <c r="F127" i="19"/>
  <c r="F126" i="19" s="1"/>
  <c r="G96" i="19"/>
  <c r="F96" i="19"/>
  <c r="G40" i="19"/>
  <c r="H38" i="19" l="1"/>
  <c r="G38" i="19"/>
  <c r="G36" i="19"/>
  <c r="F40" i="19"/>
  <c r="F36" i="19"/>
  <c r="F38" i="19" l="1"/>
  <c r="F300" i="19" l="1"/>
  <c r="G228" i="19" l="1"/>
  <c r="G178" i="19"/>
  <c r="G123" i="19"/>
  <c r="F287" i="19"/>
  <c r="F228" i="19"/>
  <c r="F178" i="19"/>
  <c r="I262" i="19" l="1"/>
  <c r="H242" i="19"/>
  <c r="I242" i="19"/>
  <c r="H235" i="19"/>
  <c r="I235" i="19"/>
  <c r="H225" i="19"/>
  <c r="I225" i="19"/>
  <c r="H202" i="19"/>
  <c r="I202" i="19"/>
  <c r="H198" i="19"/>
  <c r="I198" i="19"/>
  <c r="H180" i="19"/>
  <c r="I180" i="19"/>
  <c r="G177" i="19"/>
  <c r="H177" i="19"/>
  <c r="I177" i="19"/>
  <c r="F177" i="19"/>
  <c r="H140" i="19"/>
  <c r="I140" i="19"/>
  <c r="G136" i="19"/>
  <c r="H136" i="19"/>
  <c r="I136" i="19"/>
  <c r="F136" i="19"/>
  <c r="H16" i="19"/>
  <c r="I16" i="19"/>
  <c r="G264" i="19"/>
  <c r="F264" i="19"/>
  <c r="G232" i="19"/>
  <c r="F232" i="19"/>
  <c r="G230" i="19"/>
  <c r="F230" i="19"/>
  <c r="G229" i="19"/>
  <c r="F229" i="19"/>
  <c r="G227" i="19"/>
  <c r="F227" i="19"/>
  <c r="F225" i="19" l="1"/>
  <c r="I134" i="19"/>
  <c r="G225" i="19"/>
  <c r="G122" i="19"/>
  <c r="G115" i="19"/>
  <c r="F115" i="19"/>
  <c r="G114" i="19"/>
  <c r="F114" i="19"/>
  <c r="G22" i="19"/>
  <c r="F22" i="19"/>
  <c r="F113" i="19" l="1"/>
  <c r="G113" i="19"/>
  <c r="G94" i="19" l="1"/>
  <c r="F94" i="19"/>
  <c r="G201" i="19" l="1"/>
  <c r="G198" i="19" s="1"/>
  <c r="F201" i="19"/>
  <c r="F198" i="19" s="1"/>
  <c r="H104" i="19" l="1"/>
  <c r="H65" i="19" s="1"/>
  <c r="I104" i="19"/>
  <c r="I65" i="19" s="1"/>
  <c r="G54" i="19" l="1"/>
  <c r="F54" i="19"/>
  <c r="H46" i="19"/>
  <c r="I46" i="19"/>
  <c r="G283" i="19" l="1"/>
  <c r="F283" i="19"/>
  <c r="G72" i="19" l="1"/>
  <c r="F72" i="19"/>
  <c r="G70" i="19"/>
  <c r="F70" i="19"/>
  <c r="H300" i="19"/>
  <c r="G300" i="19"/>
  <c r="G278" i="19"/>
  <c r="F278" i="19"/>
  <c r="G267" i="19"/>
  <c r="F267" i="19"/>
  <c r="G250" i="19"/>
  <c r="F250" i="19"/>
  <c r="G243" i="19"/>
  <c r="F243" i="19"/>
  <c r="G245" i="19"/>
  <c r="F245" i="19"/>
  <c r="G244" i="19"/>
  <c r="F244" i="19"/>
  <c r="G252" i="19"/>
  <c r="F252" i="19"/>
  <c r="G254" i="19"/>
  <c r="F254" i="19"/>
  <c r="G224" i="19"/>
  <c r="F224" i="19"/>
  <c r="G218" i="19"/>
  <c r="F218" i="19"/>
  <c r="G211" i="19"/>
  <c r="F211" i="19"/>
  <c r="G203" i="19"/>
  <c r="F203" i="19"/>
  <c r="G187" i="19"/>
  <c r="F187" i="19"/>
  <c r="G189" i="19"/>
  <c r="F189" i="19"/>
  <c r="G181" i="19"/>
  <c r="F181" i="19"/>
  <c r="G176" i="19"/>
  <c r="F176" i="19"/>
  <c r="G141" i="19"/>
  <c r="F141" i="19"/>
  <c r="G169" i="19"/>
  <c r="F169" i="19"/>
  <c r="G144" i="19"/>
  <c r="F144" i="19"/>
  <c r="G143" i="19"/>
  <c r="F143" i="19"/>
  <c r="G109" i="19" l="1"/>
  <c r="F109" i="19"/>
  <c r="G108" i="19"/>
  <c r="F108" i="19"/>
  <c r="G84" i="19" l="1"/>
  <c r="F84" i="19"/>
  <c r="G275" i="19" l="1"/>
  <c r="F275" i="19"/>
  <c r="G271" i="19"/>
  <c r="F271" i="19"/>
  <c r="G184" i="19" l="1"/>
  <c r="F184" i="19"/>
  <c r="G183" i="19"/>
  <c r="F183" i="19"/>
  <c r="G182" i="19"/>
  <c r="F182" i="19"/>
  <c r="G191" i="19"/>
  <c r="F191" i="19"/>
  <c r="G190" i="19"/>
  <c r="F190" i="19"/>
  <c r="G188" i="19"/>
  <c r="F188" i="19"/>
  <c r="G185" i="19"/>
  <c r="F185" i="19"/>
  <c r="G103" i="19"/>
  <c r="F103" i="19"/>
  <c r="G213" i="19" l="1"/>
  <c r="G172" i="19"/>
  <c r="G209" i="19" l="1"/>
  <c r="F209" i="19"/>
  <c r="G210" i="19"/>
  <c r="F210" i="19"/>
  <c r="G269" i="19" l="1"/>
  <c r="F269" i="19"/>
  <c r="G268" i="19"/>
  <c r="F268" i="19"/>
  <c r="G263" i="19"/>
  <c r="F263" i="19"/>
  <c r="G260" i="19"/>
  <c r="F260" i="19"/>
  <c r="G259" i="19"/>
  <c r="F259" i="19"/>
  <c r="G255" i="19"/>
  <c r="F255" i="19"/>
  <c r="G236" i="19"/>
  <c r="F236" i="19"/>
  <c r="G220" i="19"/>
  <c r="F220" i="19"/>
  <c r="G222" i="19"/>
  <c r="F222" i="19"/>
  <c r="G212" i="19"/>
  <c r="F212" i="19"/>
  <c r="G207" i="19"/>
  <c r="F207" i="19"/>
  <c r="G262" i="19" l="1"/>
  <c r="G146" i="19"/>
  <c r="F146" i="19"/>
  <c r="G167" i="19"/>
  <c r="F167" i="19"/>
  <c r="G162" i="19"/>
  <c r="F162" i="19"/>
  <c r="G160" i="19"/>
  <c r="F160" i="19"/>
  <c r="G135" i="19"/>
  <c r="F135" i="19"/>
  <c r="G112" i="19" l="1"/>
  <c r="F112" i="19"/>
  <c r="G92" i="19"/>
  <c r="F92" i="19"/>
  <c r="G95" i="19"/>
  <c r="F95" i="19"/>
  <c r="G89" i="19"/>
  <c r="F89" i="19"/>
  <c r="G51" i="19" l="1"/>
  <c r="F51" i="19"/>
  <c r="G49" i="19"/>
  <c r="F49" i="19"/>
  <c r="F46" i="19" s="1"/>
  <c r="G44" i="19"/>
  <c r="F44" i="19"/>
  <c r="G31" i="19"/>
  <c r="F31" i="19"/>
  <c r="G46" i="19" l="1"/>
  <c r="G130" i="19"/>
  <c r="G128" i="19" s="1"/>
  <c r="F130" i="19"/>
  <c r="F128" i="19" s="1"/>
  <c r="G66" i="19" l="1"/>
  <c r="G286" i="19" l="1"/>
  <c r="G280" i="19" s="1"/>
  <c r="G277" i="19" s="1"/>
  <c r="F286" i="19"/>
  <c r="F280" i="19" s="1"/>
  <c r="F277" i="19" s="1"/>
  <c r="G261" i="19"/>
  <c r="F261" i="19"/>
  <c r="G221" i="19"/>
  <c r="F221" i="19"/>
  <c r="G186" i="19"/>
  <c r="G180" i="19" s="1"/>
  <c r="F186" i="19"/>
  <c r="F180" i="19" s="1"/>
  <c r="G145" i="19"/>
  <c r="G140" i="19" s="1"/>
  <c r="F145" i="19"/>
  <c r="F140" i="19" s="1"/>
  <c r="G83" i="19" l="1"/>
  <c r="F83" i="19"/>
  <c r="G63" i="19"/>
  <c r="F63" i="19"/>
  <c r="G53" i="19"/>
  <c r="F53" i="19"/>
  <c r="H37" i="19" l="1"/>
  <c r="H35" i="19" s="1"/>
  <c r="I37" i="19"/>
  <c r="I35" i="19" s="1"/>
  <c r="G37" i="19" l="1"/>
  <c r="G35" i="19" s="1"/>
  <c r="F37" i="19" l="1"/>
  <c r="F35" i="19" s="1"/>
  <c r="G18" i="19" l="1"/>
  <c r="G17" i="19" s="1"/>
  <c r="G16" i="19" s="1"/>
  <c r="F18" i="19"/>
  <c r="F17" i="19" s="1"/>
  <c r="F16" i="19" s="1"/>
  <c r="F276" i="19" l="1"/>
  <c r="G121" i="19"/>
  <c r="G120" i="19" s="1"/>
  <c r="G119" i="19" s="1"/>
  <c r="F121" i="19"/>
  <c r="F120" i="19" s="1"/>
  <c r="F119" i="19" s="1"/>
  <c r="G111" i="19"/>
  <c r="F111" i="19"/>
  <c r="G102" i="19"/>
  <c r="F102" i="19"/>
  <c r="G99" i="19"/>
  <c r="F99" i="19"/>
  <c r="G93" i="19"/>
  <c r="F93" i="19"/>
  <c r="G91" i="19"/>
  <c r="F91" i="19"/>
  <c r="G90" i="19"/>
  <c r="F90" i="19"/>
  <c r="G88" i="19"/>
  <c r="F88" i="19"/>
  <c r="H45" i="19"/>
  <c r="I45" i="19"/>
  <c r="F45" i="19"/>
  <c r="G276" i="19"/>
  <c r="G273" i="19"/>
  <c r="G272" i="19" s="1"/>
  <c r="F273" i="19"/>
  <c r="F272" i="19" s="1"/>
  <c r="H266" i="19"/>
  <c r="H262" i="19" s="1"/>
  <c r="H134" i="19" s="1"/>
  <c r="F266" i="19"/>
  <c r="F262" i="19" s="1"/>
  <c r="G257" i="19"/>
  <c r="F257" i="19"/>
  <c r="G256" i="19"/>
  <c r="G242" i="19" s="1"/>
  <c r="F256" i="19"/>
  <c r="F242" i="19" s="1"/>
  <c r="G238" i="19"/>
  <c r="G235" i="19" s="1"/>
  <c r="F238" i="19"/>
  <c r="F235" i="19" s="1"/>
  <c r="G219" i="19"/>
  <c r="F219" i="19"/>
  <c r="G214" i="19"/>
  <c r="F214" i="19"/>
  <c r="F202" i="19" s="1"/>
  <c r="G107" i="19"/>
  <c r="F107" i="19"/>
  <c r="I64" i="19"/>
  <c r="H64" i="19"/>
  <c r="I62" i="19"/>
  <c r="I61" i="19" s="1"/>
  <c r="H62" i="19"/>
  <c r="H61" i="19" s="1"/>
  <c r="G62" i="19"/>
  <c r="G61" i="19" s="1"/>
  <c r="F62" i="19"/>
  <c r="F61" i="19" s="1"/>
  <c r="I58" i="19"/>
  <c r="I57" i="19" s="1"/>
  <c r="H58" i="19"/>
  <c r="H57" i="19" s="1"/>
  <c r="G58" i="19"/>
  <c r="G57" i="19" s="1"/>
  <c r="F58" i="19"/>
  <c r="F57" i="19" s="1"/>
  <c r="G45" i="19"/>
  <c r="I34" i="19"/>
  <c r="H34" i="19"/>
  <c r="G34" i="19"/>
  <c r="F34" i="19"/>
  <c r="I15" i="19"/>
  <c r="H15" i="19"/>
  <c r="G202" i="19" l="1"/>
  <c r="G134" i="19" s="1"/>
  <c r="F134" i="19"/>
  <c r="I133" i="19"/>
  <c r="I289" i="19" s="1"/>
  <c r="I299" i="19" s="1"/>
  <c r="I301" i="19" s="1"/>
  <c r="H133" i="19"/>
  <c r="G98" i="19"/>
  <c r="G97" i="19" s="1"/>
  <c r="F87" i="19"/>
  <c r="F67" i="19" s="1"/>
  <c r="F65" i="19" s="1"/>
  <c r="G15" i="19"/>
  <c r="F15" i="19"/>
  <c r="F98" i="19"/>
  <c r="F97" i="19" s="1"/>
  <c r="G110" i="19"/>
  <c r="G104" i="19" s="1"/>
  <c r="F110" i="19"/>
  <c r="F104" i="19" s="1"/>
  <c r="G87" i="19"/>
  <c r="G67" i="19" s="1"/>
  <c r="G65" i="19" s="1"/>
  <c r="H289" i="19" l="1"/>
  <c r="H299" i="19" s="1"/>
  <c r="H301" i="19" s="1"/>
  <c r="G64" i="19"/>
  <c r="F64" i="19"/>
  <c r="F133" i="19"/>
  <c r="G133" i="19"/>
  <c r="I294" i="19"/>
  <c r="H294" i="19" l="1"/>
  <c r="F289" i="19"/>
  <c r="F299" i="19" s="1"/>
  <c r="F301" i="19" s="1"/>
  <c r="G289" i="19"/>
  <c r="G294" i="19" s="1"/>
  <c r="F294" i="19" l="1"/>
  <c r="F303" i="19"/>
  <c r="G299" i="19"/>
  <c r="G301" i="19" l="1"/>
  <c r="F308" i="19" l="1"/>
</calcChain>
</file>

<file path=xl/sharedStrings.xml><?xml version="1.0" encoding="utf-8"?>
<sst xmlns="http://schemas.openxmlformats.org/spreadsheetml/2006/main" count="558" uniqueCount="398">
  <si>
    <t>ВСЬОГО</t>
  </si>
  <si>
    <t>Код Функціональної класифікації видатків та кредитування бюджету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</si>
  <si>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</si>
  <si>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</si>
  <si>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</si>
  <si>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9.1</t>
  </si>
  <si>
    <t>(код бюджету)</t>
  </si>
  <si>
    <t xml:space="preserve">Розподіл коштів бюджету розвитку у складі бюджету Чорноморської міської територіальної громади  на 2023 рік </t>
  </si>
  <si>
    <t>0200000</t>
  </si>
  <si>
    <t>0210000</t>
  </si>
  <si>
    <t>Виконавчий комітет Чорноморської  міської ради  Одеського району Одеської області</t>
  </si>
  <si>
    <t>0210150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</si>
  <si>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</si>
  <si>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</si>
  <si>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</si>
  <si>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Капітальні видатки разом, в т.ч.:</t>
  </si>
  <si>
    <t>0731</t>
  </si>
  <si>
    <t>Багатопрофільна стаціонарна медична допомога населенню</t>
  </si>
  <si>
    <t>0600000</t>
  </si>
  <si>
    <t/>
  </si>
  <si>
    <t>0610000</t>
  </si>
  <si>
    <t>0611021</t>
  </si>
  <si>
    <t>1021</t>
  </si>
  <si>
    <t>0921</t>
  </si>
  <si>
    <t>Надання загальної середньої освіти закладами загальної середньої освіти за рахунок коштів місцевого бюджету</t>
  </si>
  <si>
    <t>9.2</t>
  </si>
  <si>
    <t>з них за рахунок:</t>
  </si>
  <si>
    <r>
      <t xml:space="preserve">доходів
</t>
    </r>
    <r>
      <rPr>
        <b/>
        <sz val="12"/>
        <rFont val="Times New Roman"/>
        <family val="1"/>
        <charset val="204"/>
      </rPr>
      <t>33010100</t>
    </r>
  </si>
  <si>
    <r>
      <t xml:space="preserve">коштів, що передаються із загального фонду до бюджету розвитку (спеціального фонду)
</t>
    </r>
    <r>
      <rPr>
        <b/>
        <sz val="12"/>
        <rFont val="Times New Roman"/>
        <family val="1"/>
        <charset val="204"/>
      </rPr>
      <t>208400</t>
    </r>
  </si>
  <si>
    <r>
      <t xml:space="preserve">залишку коштів бюджету розвитку на початок року
</t>
    </r>
    <r>
      <rPr>
        <b/>
        <sz val="12"/>
        <rFont val="Times New Roman"/>
        <family val="1"/>
        <charset val="204"/>
      </rPr>
      <t>208100</t>
    </r>
  </si>
  <si>
    <t>9.3</t>
  </si>
  <si>
    <t>0800000</t>
  </si>
  <si>
    <t>Управлiння соцiальної полiтики Чорноморської мiської ради Одеського району Одеської областi</t>
  </si>
  <si>
    <t>0810000</t>
  </si>
  <si>
    <t>0810160</t>
  </si>
  <si>
    <t>0160</t>
  </si>
  <si>
    <t>Керівництво і управління у відповідній сфері у містах (місті Києві), селищах, селах, територіальних громадах</t>
  </si>
  <si>
    <t>0813104</t>
  </si>
  <si>
    <t>3104</t>
  </si>
  <si>
    <t>1020</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</si>
  <si>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</si>
  <si>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0813121</t>
  </si>
  <si>
    <t>3121</t>
  </si>
  <si>
    <t>1040</t>
  </si>
  <si>
    <t>Утримання та забезпечення діяльності центрів соціальних служб</t>
  </si>
  <si>
    <t>Капітальні видатки</t>
  </si>
  <si>
    <t>0610</t>
  </si>
  <si>
    <t>1000000</t>
  </si>
  <si>
    <t>Вiддiл культури Чорноморської мiської ради Одеського району Одеської областi</t>
  </si>
  <si>
    <t>1010000</t>
  </si>
  <si>
    <t>1014030</t>
  </si>
  <si>
    <t>4030</t>
  </si>
  <si>
    <t>0824</t>
  </si>
  <si>
    <t>Забезпечення діяльності бібліотек</t>
  </si>
  <si>
    <t>1014060</t>
  </si>
  <si>
    <t>4060</t>
  </si>
  <si>
    <t>0828</t>
  </si>
  <si>
    <t>Забезпечення діяльності палаців і будинків культури, клубів, центрів дозвілля та інших клубних закладів</t>
  </si>
  <si>
    <t>1100000</t>
  </si>
  <si>
    <t>Вiддiл молодi та спорту Чорноморської мiської ради Одеського району Одеської областi</t>
  </si>
  <si>
    <t>1110000</t>
  </si>
  <si>
    <t>1110160</t>
  </si>
  <si>
    <t>1200000</t>
  </si>
  <si>
    <t>Вiддiл комунального господарства та благоустрою Чорноморської мiської ради Одеського району Одеської областi</t>
  </si>
  <si>
    <t>1210000</t>
  </si>
  <si>
    <t>1210160</t>
  </si>
  <si>
    <t>Експлуатація та технічне обслуговування житлового фонду</t>
  </si>
  <si>
    <t>Міська цільова програма сприяння діяльності об'єднань співвласників багатоквартирних будинків, житлово-будівельних кооперативів у багатоквартирних будинках на території Чорноморської міської територіальної громади на 2023 -  2025 роки</t>
  </si>
  <si>
    <t>Капітальний ремонт житлового будинку (відновлення вхідних груп) за адресою: Одеська область, Одеській район, м.Чорноморськ, проспект Миру, 30 (ОСББ "Мирний 30")</t>
  </si>
  <si>
    <t>Капітальний ремонт елеваторного вузла системи центрального опалення житлового будинку за адресою: Одеська область, Одеський район, м.Чорноморськ, вул.Паркова, 34 Б, В  (ОСББ "МЖК Перший")</t>
  </si>
  <si>
    <t>Капітальний ремонт мереж електропостачання житлового будинку за адресою: Одеська область, Одеський район, м.Чорноморськ, вул.Парусна, 8 (ОСББ "Парусна-8")</t>
  </si>
  <si>
    <t>Капітальний ремонт цокольної частини фасаду, відмостки житлового будинку за адресою: Одеська область, Одеський район, м.Чорноморськ, вул.1 Травня, 6 (ЖБК "Судноремонтник-3")</t>
  </si>
  <si>
    <t>Капітальний ремонт багатоквартирного будинку (ремонт вхідних груп) за адресою: м.Чорноморськ, проспект Миру, 43 (4п.)</t>
  </si>
  <si>
    <t>Капітальний ремонт багатоквартирного будинку (ремонт внутрішньобудинкових мереж) за адресою: м.Чорноморськ, вул. 1 Травня, 11</t>
  </si>
  <si>
    <t>Капітальний ремонт житлового фонду</t>
  </si>
  <si>
    <t>1216015</t>
  </si>
  <si>
    <t>6015</t>
  </si>
  <si>
    <t>0620</t>
  </si>
  <si>
    <t>Забезпечення надійної та безперебійної експлуатації ліфтів</t>
  </si>
  <si>
    <t>1216030</t>
  </si>
  <si>
    <t>6030</t>
  </si>
  <si>
    <t>Організація благоустрою населених пунктів</t>
  </si>
  <si>
    <t>Капітальний ремонт ліфтів житлового будинку за адресою: Одеська область, Одеський район, м.Чорноморськ, вул.Парусна, 17 (ОК ЖБК "Новий")</t>
  </si>
  <si>
    <t>Відновлення елементів благоустрою - капітальний ремонт  прибудинкової території багатоквартирного будинку за адресою: вул. 1 Травня, будинок 10,  м. Чорноморськ Одеського району Одеської області</t>
  </si>
  <si>
    <t>Відновлення елементів благоустрою - капітальний ремонт прибудинкової території  за адресою: м.Чорноморськ, вул.1 Травня, 13</t>
  </si>
  <si>
    <t>Реконструкція скверу за адресою: Одеська область, м.Чорноморськ, проспект Миру, 14. Коригування (з урахуванням технічного та авторського нагляду)</t>
  </si>
  <si>
    <t>Відновлення елементів благоустрою - капітальний ремонт прибудинкової території за адресою: Одеська область, Одеський район, м.Чорноморськ, вул.Лазурна, 2 (ОСББ "Номер сім")</t>
  </si>
  <si>
    <t>0443</t>
  </si>
  <si>
    <t>0470</t>
  </si>
  <si>
    <t>Заходи з енергозбереження</t>
  </si>
  <si>
    <t>Капітальний ремонт (заміна вікон) в багатоквартирному будинку за адресою: Одеська область, Одеський район, м.Чорноморськ, вул.Парусна, 13/1 (ЖБК "Квант-1")</t>
  </si>
  <si>
    <t>0320</t>
  </si>
  <si>
    <t>Заходи із запобігання та ліквідації надзвичайних ситуацій та наслідків стихійного лиха</t>
  </si>
  <si>
    <t>1500000</t>
  </si>
  <si>
    <t>Управлiння капiтального будiвництва Чорноморської мiської ради Одеського району Одеської областi</t>
  </si>
  <si>
    <t>1510000</t>
  </si>
  <si>
    <t>Капітальний ремонт приміщень адміністративної будівлі виконавчого комітету Чорноморської міської ради Одеського району Одеської області за адресою: Одеська область, м.Чорноморськ, проспект Миру, 33</t>
  </si>
  <si>
    <t>Капітальний ремонт системи  протипожежного захисту: системи пожежної сигналізації, системи оповіщення та управління евакуацією людей на об'єкті Комунального некомерційного підприємства "Чорноморська лікарня" Чорноморської міської ради  Одеського району Одеської області за адресою: м.Чорноморськ, вул.В.Шума, 4</t>
  </si>
  <si>
    <t>1516011</t>
  </si>
  <si>
    <t>6011</t>
  </si>
  <si>
    <t>Капітальний ремонт покрівлі багатоквартирного будинку за адресою: м.Чорноморськ вул.Корабельна, 4б</t>
  </si>
  <si>
    <t>Капітальний ремонт багатоквартирного будинку (ремонт відмостки, оздоблювальні роботи по фасаду та ганку) за адресою: м.Чорноморськ, проспект Миру, 17</t>
  </si>
  <si>
    <t>Капітальний ремонт багатоквартирного  будинку (ремонт даху) за адресою: м.Чорноморськ, проспект Миру, 18</t>
  </si>
  <si>
    <t>Капітальний ремонт багатоквартирного будинку (ремонт вимощення) за адресою: м.Чорноморськ, вул.Парусна, 7</t>
  </si>
  <si>
    <t>Капітальний ремонт багатоквартирного будинку (ремонт вимощення) за адресою: м.Чорноморськ, вул.Парусна, 9</t>
  </si>
  <si>
    <t>Капітальний ремонт електромереж та заміна ВРЩ в багатоквартирному  будинку за адресою: м.Чорноморськ,  вул.Праці, 3</t>
  </si>
  <si>
    <t>Капітальний ремонт багатоквартирного будинку (ремонт вхідних груп, ремонт відмостки) за адресою: м.Чорноморськ, вул.В.Шума, 15</t>
  </si>
  <si>
    <t>1516013</t>
  </si>
  <si>
    <t>6013</t>
  </si>
  <si>
    <t>Забезпечення діяльності водопровідно-каналізаційного господарства</t>
  </si>
  <si>
    <t>1516015</t>
  </si>
  <si>
    <t>Капітальний ремонт (заміна) ліфтів за адресою: м. Чорноморськ, пр.Миру, 28</t>
  </si>
  <si>
    <t>Капітальний ремонт (заміна) ліфтів за адресою: м. Чорноморськ, вул.Парусна, 16</t>
  </si>
  <si>
    <t>1516030</t>
  </si>
  <si>
    <t>Відновлення елементів благоустрою - капітальний ремонт прибудинкової території,  внутрішньоквартального проїзду за адресою: м.Чорноморськ, вул.Олександрійська, 4</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</si>
  <si>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15</t>
  </si>
  <si>
    <t>Відновлення елементів благоустрою - капітальний ремонт прибудинкової території з улаштуванням дитячого майданчика за адресою: м.Чорноморськ, вул.Олександрійська, 20</t>
  </si>
  <si>
    <t>Відновлення елементів благоустрою - капітальний ремонт  прибудинкової території за адресою: м.Чорноморськ, вул.Паркова, 20</t>
  </si>
  <si>
    <t>Відновлення елементів благоустрою - капітальний ремонт  прибудинкової території за адресою: м.Чорноморськ, вул.Парусна, 9</t>
  </si>
  <si>
    <t>Відновлення елементів благоустрою - капітальний ремонт  внутрішньоквартальних проїздів (з улаштуванням паркувального карману) за адресою: м.Чорноморськ, вул.Шума, 19</t>
  </si>
  <si>
    <t>Капітальний ремонт - відновлення елементів благоустрою спортивного майданчика  з улаштуванням комплексу "Варкаут", розташованого за  адресою: вул. Центральна кут Інститутської в с. Бурлача Балка, м.Чорноморськ Одеського району Одеської області</t>
  </si>
  <si>
    <t>Будівництво автобусної зупинки біля Малодолинської ЗОШ по вул.Зелена, 2 в с.Малодолинське, м.Чорноморськ, Одеського району Одеської області</t>
  </si>
  <si>
    <t>1517370</t>
  </si>
  <si>
    <t>7370</t>
  </si>
  <si>
    <t>0490</t>
  </si>
  <si>
    <t>Реалізація інших заходів щодо соціально-економічного розвитку територій</t>
  </si>
  <si>
    <t>Збільшення електропотужностей для 13-го мікрорайону міста Чорноморська, Одеської області</t>
  </si>
  <si>
    <t>Будівництво паркової зони біля головної КНС в м.Чорноморськ. Проектні роботи</t>
  </si>
  <si>
    <t>Будівництво автобусної зупинки на Чорноморськ біля АЗК Motto по вулиці Перемоги в м. Чорноморськ Одеського району Одеської області</t>
  </si>
  <si>
    <t>1517640</t>
  </si>
  <si>
    <t>7640</t>
  </si>
  <si>
    <t>1518110</t>
  </si>
  <si>
    <t>8110</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</si>
  <si>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років - часткова компенсація відшкодування вартості закупівлі електрогенераторів у багатоквартирних будинках</t>
  </si>
  <si>
    <t>Міська цільова соціальна програма розвитку цивільного захисту Чорноморської міської територіальної громади на 2021-2025 роки - капітальні видатки</t>
  </si>
  <si>
    <t>Капітальний ремонт (заміна вікон) у багатоквартирному будинку за адресою: м.Чорноморськ, вул.Олександрійська, 18 А</t>
  </si>
  <si>
    <t>Капітальний ремонт (заміна вікон) в багатоквартирному  будинку за адресою: м.Чорноморськ, вулиця Олександрійська, 24</t>
  </si>
  <si>
    <t>Капітальний ремонт (заміна вікон) в багатоквартирному  будинку за адресою: м.Чорноморськ, вулиця Паркова, 36</t>
  </si>
  <si>
    <t>Капітальний ремонт (заміна вікон) в багатоквартирному  будинку за адресою: м.Чорноморськ, вул. 1 Травня, 7</t>
  </si>
  <si>
    <t>Капітальний ремонт (заміна вікон) в багатоквартирному  будинку за адресою: м.Чорноморськ, вул. 1 Травня, 17 (1п.)</t>
  </si>
  <si>
    <t>Капітальний ремонт приміщень підвального поверху адміністративної будівлі виконавчого комітету Чорноморської міської ради Одеського району Одеської області для облаштування укриття за адресою: Одеська область, м.Чорноморськ, проспект Миру, 33</t>
  </si>
  <si>
    <t>Капітальний ремонт вбудованої захисної споруди цивільного захисту (цивільної оборони) (сховища) в будівлі поліклініки за адресою: Одеська область, м.Чорноморськ, вул.1 Травня, 1</t>
  </si>
  <si>
    <t>Заходи із цивільного захисту населення в частині розгортання пунктів обігріву, в тому числі що використовуються в якості найпростіших укритів,  під час дії правового режиму воєнного стану на території Чорноморської міської територіальної громади Одеського району Одеської області - підготовка об'єктів до опалювального сезону 2022/2023року - придбання джерел резервного живлення</t>
  </si>
  <si>
    <t>3100000</t>
  </si>
  <si>
    <t>Управлiння комунальної власностi та земельних вiдносин Чорноморської мiської ради Одеського району Одеської областi</t>
  </si>
  <si>
    <t>3110000</t>
  </si>
  <si>
    <t>3110160</t>
  </si>
  <si>
    <t>3117693</t>
  </si>
  <si>
    <t>7693</t>
  </si>
  <si>
    <t>Інші заходи, пов'язані з економічною діяльністю</t>
  </si>
  <si>
    <t>3700000</t>
  </si>
  <si>
    <t>Фiнансове управлiння Чорноморської мiської ради Одеського району Одеської областi</t>
  </si>
  <si>
    <t>3710000</t>
  </si>
  <si>
    <t>3719800</t>
  </si>
  <si>
    <t>9800</t>
  </si>
  <si>
    <t>0180</t>
  </si>
  <si>
    <t>Субвенція з місцевого бюджету державному бюджету на виконання програм соціально-економічного розвитку регіонів</t>
  </si>
  <si>
    <t>Міська цільова соціальна програма розвитку цивільного захисту Чорноморської міської територіальної громади на 2021-2025 роки</t>
  </si>
  <si>
    <t>1516050</t>
  </si>
  <si>
    <t>6050</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</si>
  <si>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</si>
  <si>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Капітальний ремонт електромереж багатоквартирного  будинку та заміна ВРЩ в багатоквартирному будинку за адресою: м.Чорноморськ, проспект Миру, 9</t>
  </si>
  <si>
    <t>Міська цільова програма  протидії  злочинності та посилення громадської  безпеки  на  території  Чорноморської міської територіальної громади на  2023  рік</t>
  </si>
  <si>
    <t>Реконструкція мережі водовідведення, яка приймає стоки від житлового будинку ОСББ "НОМЕР СІМ" за адресою: Одеська область, м.Чорноморськ, вул.Лазурна, 2</t>
  </si>
  <si>
    <t>Розробка проектно-кошторисної документації на капітальний ремонт інженерних мереж холодного водопостачання з улаштуванням приладів колективного обліку та водовідведення, електропостачання з улаштуванням приладів індивідуального обліку, автоматичної системи пожежної сигналізації, капітальний ремонт фасадів, ліфтів, гідроізоляцію душових в гуртожитках за адресами: Одеська область, Одеський район, м Чорноморськ, провулок Шкільний, 4-А, вул.Паркова, 20-А, вул.Олександрійська, 16</t>
  </si>
  <si>
    <t>Виконавчий комітет</t>
  </si>
  <si>
    <t>Бурлачобалківська сільська адміністрація</t>
  </si>
  <si>
    <t>1516012</t>
  </si>
  <si>
    <t>6012</t>
  </si>
  <si>
    <t>Забезпечення діяльності з виробництва, транспортування, постачання теплової енергії</t>
  </si>
  <si>
    <t>Придбання спеціальної техніки з очищення теплових камер від замулювання - муловсмоктувача</t>
  </si>
  <si>
    <t>Технічне переоснащення системи донної аерації першої секції аеротенка каналізаційних очисних споруд м.Чорноморська, розташованих за адресою: Одеська область, Овідіопольський район, Дальницька сільрада, комплекс будівель і споруд № 2 (за межами населеного пункту)</t>
  </si>
  <si>
    <t>Капітальний ремонт системи пожежної сигналізації, системи керування евакуюванням, системи централізованого пожежного спостерігання  будинку побуту "Райдуга" за адресою: Одеська область, Одеський район, м.Чорноморськ,вул.1-го Травня буд.3</t>
  </si>
  <si>
    <t>Капітальний ремонт аварійної ділянки каналізаційного колектору, розташованої  за адресою: Одеська область, Одеський район,  м. Чорноморськ, вул. 1 Травня, 1</t>
  </si>
  <si>
    <t xml:space="preserve">Капітальний ремонт з заміною вікон та заходами з енергозбереження в будівлі поліклініки КНП "Чорноморська лікарня" ЧМР, за адресою: вул. 1 Травня, буд.1, м.Чорноморськ, Одеського району, Одеської області </t>
  </si>
  <si>
    <t>Капітальний ремонт з заміною вікон та заходами з енергозбереження в будівлі КНП "Чорноморська лікарня" ЧМР, за адресою: вул. Віталія Шума, буд.4, м.Чорноморськ, Одеського району, Одеської області</t>
  </si>
  <si>
    <t>Капітальний ремонт фасаду будівлі за адресою: вул.Шевченка, 10, м.Чорноморськ, Одеського району, Одеської області</t>
  </si>
  <si>
    <t>Капітальний ремонт системи протипожежного захисту будівлі поліклініки № 1 з вбудованою захисною спорудою цивільного захисту (цивільної оборони) сховище обліковий № 57620. розташованої за адресою: вул.1 Травня, буд.1 м.Чорноморськ, Одеської області (інв.номер № 101310011)</t>
  </si>
  <si>
    <t>Капітальний ремонт системи протипожежного захисту відділення сімейної медицини поліклініки № 1, розташованої за адресою: Одеська область, м.Чорноморськ, селище Олександрівка, вулиця Перемоги, 64 літ. "А"; "Б" (інв.номера 101310012; 101310017)</t>
  </si>
  <si>
    <t>Видатки з благоустрою - придбання техніки з обслуговування об'єктів благоустрою - фонтанів</t>
  </si>
  <si>
    <t>Управління освiти Чорноморської мiської ради Одеського району Одеської областi</t>
  </si>
  <si>
    <t>0212100</t>
  </si>
  <si>
    <t>2100</t>
  </si>
  <si>
    <t>Стоматологічна допомога населенню</t>
  </si>
  <si>
    <t>0722</t>
  </si>
  <si>
    <t>0218210</t>
  </si>
  <si>
    <t>Муніципальні формування з охорони громадського порядку</t>
  </si>
  <si>
    <t>8210</t>
  </si>
  <si>
    <t>0380</t>
  </si>
  <si>
    <t>Капітальний ремонт ліфту під'їзду № 1 житлового будинку за адресою: Одеська область, Одеський район, м.Чорноморськ, вул.Лазурна, 5 (ОСББ "ЛАЗУРНА 5")</t>
  </si>
  <si>
    <t>Капітальний ремонт об'єкту благоустрою - улаштування тротуарного покриття на кладовищі Старобугівське за адресою: М.Чорноморськ, вул.Радісна, 19</t>
  </si>
  <si>
    <t>Капітальний ремонт мереж електропостачання, заміна електрощитових в багатоквартирному житловому будинку за адресою: м.Чорноморськ, вул.Парусна, 16</t>
  </si>
  <si>
    <t>Відновлення елементів благоустрою - капітальний ремонт прибудинкової території за адресою: м.Чорноморськ, вул.1 Травня, 17</t>
  </si>
  <si>
    <t>Відновлення елементів благоустрою - капітальний ремонт прибудинкової території (улаштування майданчика для контейнера побутових відходів) за адресою: м.Чорноморськ, вул.1 Травня, 17</t>
  </si>
  <si>
    <t>Відновлення елементів благоустрою - капітальний ремонт тротуарної доріжки (на ділянці від адміністративної будівлі Чорноморської міської ради до поліклініки № 1) за адресою: вул.1 Травня, 1, м.Чорноморськ, Одеського району, Одеської області</t>
  </si>
  <si>
    <t>Капітальний ремонт об'єкту благоустрою - улаштування дорожнього покриття проїжджої частини по вул.В.Шума від буд. № 6Г до буд. № 6Є в м.Чорноморськ Одеського району Одеської області</t>
  </si>
  <si>
    <t>Відновлення елементів благоустрою - капітальний ремонт прибудинкової території (улаштування майданчика для контейнера побутових відходів) за адресою: м.Чорноморськ, вул.Лазурна, 7</t>
  </si>
  <si>
    <t xml:space="preserve">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 </t>
  </si>
  <si>
    <t>Придбання засувок Д 500 мм з обгумованим клином для заміни на водопровідних мережах</t>
  </si>
  <si>
    <t>Придбання частотного перетворювача для заміни аварійного на ЦНС по вул.Транспортна, 11 м.Чорноморську Одеського району Одеської області</t>
  </si>
  <si>
    <t>Придбання шиберних засувок Д 250 мм для реконструкції каналізаційних насосних станцій</t>
  </si>
  <si>
    <t>Придбання засувки Д 600 мм з обгумованим клином для заміни на водогоні Д 700 мм</t>
  </si>
  <si>
    <t>Придбання насосних станцій для заміни зношеного енерговитратного насосного обладнання на НС м.Чорноморська Одеського району, Одеської області</t>
  </si>
  <si>
    <t>Експертне обстеження, капітальний ремонт, заміна ліфтів згідно Міської програми модернізації ліфтового господарства Чорноморської міської ради Одеської області на 2019 - 2025 роки</t>
  </si>
  <si>
    <t>Капітальний ремонт - відновлення елементів благоустрою пішохідної доріжки по вул.Лейтенанта Шмідта (на ділянці від вул.Паромна до будинку вул.Лейтенанта Шмідта 36) в с.Малодолинське, м.Чорноморськ Одеського району Одеської області</t>
  </si>
  <si>
    <t>1518742</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</si>
  <si>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</si>
  <si>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Капітальний ремонт каналізаційного колектору Ду 800 мм за адресою: Одеська область, Одеський район, м.Чорноморськ, вул.1 Травня (частково) - парк Молодіжний</t>
  </si>
  <si>
    <t>0813221</t>
  </si>
  <si>
    <t>3221</t>
  </si>
  <si>
    <t>1060</t>
  </si>
  <si>
    <t>Грошова компенсація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</si>
  <si>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0813223</t>
  </si>
  <si>
    <t>3223</t>
  </si>
  <si>
    <t>Грошова компенсація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t>
  </si>
  <si>
    <t>Капітальний ремонт вимощення та цокольної частини фасаду багатоквартирного будинку за адресою: м.Чорноморськ, вул.Спортивна, 4 (ЖБК "Чорноморський портовик - 4")</t>
  </si>
  <si>
    <t>Капітальний ремонт ліфту в багатоквартирному будинку за адресою: м.Чорноморськ, вул.Парусна, 3-Б (ОСББ "Фієста")</t>
  </si>
  <si>
    <t>Міська цільова програма підтримки Регіонального сервісного центру ГСЦ МВС в Одеській області в сфері надання адміністративних послуг на 2023 рік</t>
  </si>
  <si>
    <t>0813222</t>
  </si>
  <si>
    <t>3222</t>
  </si>
  <si>
    <t>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19 - 21 частини першої статті 6 Закону України "Про статус ветеранів війни, гарантії їх соціального захисту", та які потребують поліпшення житлових умов</t>
  </si>
  <si>
    <t xml:space="preserve">Міська цільова програма фінансової підтримки Іллічівського міського суду Одеської області на 2023 рік </t>
  </si>
  <si>
    <t>0212111</t>
  </si>
  <si>
    <t>2111</t>
  </si>
  <si>
    <t>0726</t>
  </si>
  <si>
    <t>Первинна медична допомога населенню, що надається центрами первинної медичної (медико-санітарної) допомоги</t>
  </si>
  <si>
    <t>0611010</t>
  </si>
  <si>
    <t>1010</t>
  </si>
  <si>
    <t>0910</t>
  </si>
  <si>
    <t>Надання дошкільної освіти</t>
  </si>
  <si>
    <t>0618110</t>
  </si>
  <si>
    <t>0900000</t>
  </si>
  <si>
    <t>Служба у справах дітей Чорноморської мiської ради Одеського району Одеської областi</t>
  </si>
  <si>
    <t>0910000</t>
  </si>
  <si>
    <t>0910160</t>
  </si>
  <si>
    <t>Капітальний ремонт багатоквартирного будинку (ремонт електромереж) за адресою: м.Чорноморськ, проспект Миру, 6-А</t>
  </si>
  <si>
    <t>Капітальний ремонт покрівлі багатоповерхового житлового будинку за адресою: м.Чорноморськ, проспект Миру, 20-А</t>
  </si>
  <si>
    <t>Капітальний ремонт покрівлі багатоповерхового житлового будинку за адресою: м.Чорноморськ, вул.Паркова, 20</t>
  </si>
  <si>
    <t xml:space="preserve">Реконструкція сталевої ділянки водогону Д 700 мм за адресою: Одеська область, Овідіопольський район, с. Молодіжне, район вул. Заводської </t>
  </si>
  <si>
    <t>Реконструкція каналізаційного трубопроводу Д150 мм за адресою: Одеська область, Одеський район, м.Чорноморськ, вул.Корабельна, 10</t>
  </si>
  <si>
    <t>Придбання витратоміру Д 500 мм для встановлення на вузлі обліку води в с. В. Дальник, Одеського району, Одеської області</t>
  </si>
  <si>
    <t>Реконструкція трубопроводу для відновлення вводу водопроводу на КНП "Чорноморська лікарня" Чорноморської міської ради Одеського району Одеської області за адресою: м. Чорноморськ, вул. В. Шума, 4</t>
  </si>
  <si>
    <t>Капітальний ремонт (заміна вікон) в багатоквартирному  будинку за адресою: м.Чорноморськ, вулиця Олександрійська, 20</t>
  </si>
  <si>
    <t>Капітальний ремонт (заміна вікон) в приміщеннях загального користування багатоквартирного будинка за адресою: м.Чорноморськ, вулиця Олександрійська, 24</t>
  </si>
  <si>
    <t xml:space="preserve">Капітальний ремонт житлового фонду </t>
  </si>
  <si>
    <t>Відновлення елементів благоустрою - капітальний ремонт прибудинкової території з улаштуванням майданчика для контейнерів побутових відходів за адресою: м.Чорноморськ, вул.Олександрійська, 2</t>
  </si>
  <si>
    <t>Відновлення елементів благоустрою - капітальний ремонт прибудинкової території (улаштування пандусу) в багатоквартирному будинку за адресою: м.Чорноморськ, проспект Миру, 15-Б</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</si>
  <si>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проспект Миру, 2</t>
  </si>
  <si>
    <t>Капітальний ремонт (заміна вікон та дверей) у багатоквартирному будинку за адресою: м.Чорноморськ, вул. Парусна, 6</t>
  </si>
  <si>
    <t>Олександрівська селищна адміністрація</t>
  </si>
  <si>
    <t>0218230</t>
  </si>
  <si>
    <t>8230</t>
  </si>
  <si>
    <t>0611070</t>
  </si>
  <si>
    <t>1070</t>
  </si>
  <si>
    <t>0611151</t>
  </si>
  <si>
    <t>1151</t>
  </si>
  <si>
    <t xml:space="preserve">Забезпечення резервним живленням котельні по вул.Садова, буд.1 в м.Чорноморську шляхом приєднання дизель генератора до системи електроживлення котельні </t>
  </si>
  <si>
    <t>Капітальний ремонт (улаштування козирків над входами в під'їзд, ремонт вимощення) в багатоквартирному будинку за адресою: м.Чорноморськ, вул.Данченка, 10</t>
  </si>
  <si>
    <t>Капітальний ремонт багатоквартирного будинку (ремонт вимощення) за адресою: м. Чорноморськ, вулиця Олександрійська, 2</t>
  </si>
  <si>
    <t>Капітальний ремонт багатоквартирного будинку (ремонт внутрішньобудинкових мереж водопостачання) за адресою: м. Чорноморськ, вулиця Олександрійська, 2</t>
  </si>
  <si>
    <t>Капітальний ремонт багатоквартирного будинку (ремонт внутрішньобудинкових мереж водопостачання) за адресою: м.Чорноморськ, вул.Олександрійська, 4</t>
  </si>
  <si>
    <t>Капітальний ремонт багатоквартирного будинку (ремонт мереж водовідведення) за адресою: м.Чорноморськ, вул.Олександрійська, 4а</t>
  </si>
  <si>
    <t>Капітальний ремонт багатоквартирного будинку (ремонт внутрішньобудинкових мереж водовідведення) за адресою: м.Чорноморськ, вул.Олександрійська, 9</t>
  </si>
  <si>
    <t>Капітальний ремонт багатоквартирного будинку (ремонт вимощення) за адресою: м.Чорноморськ, вул.Олександрійська, 10</t>
  </si>
  <si>
    <r>
      <t>Капітальний ремонт багатоквартирного будинку (внутрішньобудинкових мереж) за адресою: м.Чорноморсь</t>
    </r>
    <r>
      <rPr>
        <sz val="14"/>
        <rFont val="Times New Roman"/>
        <family val="1"/>
        <charset val="204"/>
      </rPr>
      <t>к, вул.Парусна, 4а</t>
    </r>
  </si>
  <si>
    <t>Капітальний ремонт багатоквартирного будинку (ремонт внутрішньобудинкових мереж холодного водопостачання та водовідведення) за адресою: м.Чорноморськ, вул.Парусна, 7</t>
  </si>
  <si>
    <t>Капітальний ремонт багатоквартирного будинку (ремонт внутрішньобудинкових мереж холодного водопостачання та водовідведення, заміна випусків зливової каналізації) за адресою: м.Чорноморськ, вул.Парусна, 9</t>
  </si>
  <si>
    <t>Капітальний ремонт багатоквартирного будинку (ремонт внутрішньобудинкових мереж холодного водопостачання та водовідведення) за адресою: м.Чорноморськ, вул.Парусна, 10</t>
  </si>
  <si>
    <t>Капітальний ремонт багатоквартирного будинку (ремонт вимощення) за адресою: м.Чорноморськ, вул.Парусна, буд. 11</t>
  </si>
  <si>
    <t>Капітальний ремонт багатоквартирного будинку (ремонт вимощення) за адресою: м.Чорноморськ, вул.В.Шума, 13</t>
  </si>
  <si>
    <t>Капітальний ремонт багатоквартирного будинку (ремонт внутрішньобудинкових мереж електропостачання) за адресою: м.Чорноморськ, вул.Віталія Шума, 13</t>
  </si>
  <si>
    <t>Капітальний ремонт багатоквартирного будинку за адресою: м.Чорноморськ, вул. Віталія Шума, 13 А</t>
  </si>
  <si>
    <t>Капітальний ремонт багатоквартирного будинку (ремонт внутрішньобудинкових мереж водопостачання) за адресою: м.Чорноморськ, вул.Віталія Шума, 15</t>
  </si>
  <si>
    <t>Капітальний ремонт багатоквартирного  будинку (ремонт внутрішньобудинкових мереж водопостачання) за адресою: м.Чорноморськ, проспект Миру, 21</t>
  </si>
  <si>
    <t>Капітальний ремонт багатоквартирного  будинку (ремонт внутрішньобудинкових мереж) за адресою: м.Чорноморськ, проспект Миру, 23</t>
  </si>
  <si>
    <t>Капітальний ремонт багатоквартирного  будинку (ремонт внутрішньобудинкових мереж водопостачання) за адресою: м.Чорноморськ, проспект Миру, 25</t>
  </si>
  <si>
    <t>Капітальний ремонт багатоквартирного  будинку (ремонт внутрішньобудинкових мереж водопостачання) за адресою: м.Чорноморськ, проспект Миру, 27</t>
  </si>
  <si>
    <t>Придбання насосу для заміни на ГКНС м.Чорноморська</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</si>
  <si>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вул.Олександрійська, 4а</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</si>
  <si>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вул.1 Травня, 13</t>
  </si>
  <si>
    <t>Відновлення елементів благоустрою - капітальний ремонт прибудинкової території (відведення дощових та поверхневих вод) за адресою: м.Чорноморськ, вул.Паркова, 20</t>
  </si>
  <si>
    <t>Капітальний ремонт - відновлення елементів благоустрою проїжджої частини по вул.Торгова (на ділянці від вул.Шевченка до вул.Перемоги) в м.Чорноморськ Одеського району Одеської області</t>
  </si>
  <si>
    <t>Капітальний ремонт (заміна вікон та вхідних дверей) в багатоквартирному будинку за адресою: м.Чорноморськ, вул.Данченка, 10</t>
  </si>
  <si>
    <t>Капітальний ремонт (заміна вікон) в багатоквартирному будинку за адресою: м.Чорноморськ, вул.Корабельна, 2</t>
  </si>
  <si>
    <t>Капітальний ремонт (заміна вікон) в багатоквартирному  будинку за адресою: м.Чорноморськ, вул. 1 Травня, 17 (2-5п.)</t>
  </si>
  <si>
    <t>Капітальний ремонт підвального приміщення будівлі КНП "Чорноморська лікарня" Чорноморської міської ради Одеського району Одеської області, з улаштуванням під найпростіше укриття, за адресою: Одеська область, м.Чорноморськ, вул.Віталія Шума, 4, літ.А</t>
  </si>
  <si>
    <t xml:space="preserve">Міська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 </t>
  </si>
  <si>
    <t>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t>
  </si>
  <si>
    <t>Капітальний ремонт багатоквартирного будинку (відновлення вхідних груп, встановлення внутрішніх дверей) за адресою: м.Чорноморськ, проспект Миру, 26 (три під'їзди)</t>
  </si>
  <si>
    <t>3710160</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</si>
  <si>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10</t>
  </si>
  <si>
    <t>Інші заходи громадського порядку та безпеки</t>
  </si>
  <si>
    <t>1216020</t>
  </si>
  <si>
    <t>6020</t>
  </si>
  <si>
    <t>Забезпечення функціонування підприємств, установ та організацій, що виробляють, виконують та/або надають житлово-комунальні послуги</t>
  </si>
  <si>
    <t>1512111</t>
  </si>
  <si>
    <t>Капітальний ремонт мереж електропостачання багатоквартирного житлового будинку за адресою: м.Чорноморськ, вул.Паркова, 36</t>
  </si>
  <si>
    <t xml:space="preserve">Реконструкція водопровідної мережі по вул. Затишна в смт. Олександрівка,  м. Чорноморськ, Одеського району, Одеської області </t>
  </si>
  <si>
    <t>Реконструкція водопровідної мережі по вул. Єдності в смт. Олександрівка,  м. Чорноморськ, Одеського району, Одеської області</t>
  </si>
  <si>
    <t>Реконструкція водопровідної мережі по вул. Набережній в смт. Олександрівка,  м. Чорноморськ, Одеського району, Одеської області</t>
  </si>
  <si>
    <t>0212010</t>
  </si>
  <si>
    <t>2010</t>
  </si>
  <si>
    <t>Реконструкція систем центрального опалення в багатоквартирних будинках за адресами: м. Чорноморськ, вул. 1 Травня, 2</t>
  </si>
  <si>
    <t>Реконструкція систем центрального опалення в багатоквартирних будинках за адресами: м. Чорноморськ, вул. Данченка, 3-Б</t>
  </si>
  <si>
    <t>Капітальний ремонт мереж водопостачання багатоквартирного житлового будинку за адресою: м.Чорноморськ, вул.Олександрійська, 20</t>
  </si>
  <si>
    <t>Капітальний ремонт мереж водопостачання багатоквартирного житлового будинку за адресою: м.Чорноморськ, вул.Олександрійська, 22</t>
  </si>
  <si>
    <t>Капітальний ремонт мереж водопостачання багатоквартирного житлового будинку за адресою: м.Чорноморськ, вул.Олександрійська, 24</t>
  </si>
  <si>
    <t>1216013</t>
  </si>
  <si>
    <t>Капітальні видаткм</t>
  </si>
  <si>
    <t>Капітальний ремонт багатоквартирного будинку (ремонт вимощення) за адресою: м.Чорноморськ, вул.Данченка, 22</t>
  </si>
  <si>
    <t>Капітальний ремонт багатоквартирного будинку (ремонт вимощення) за адресою: м.Чорноморськ, вул.Шевченка, 13</t>
  </si>
  <si>
    <t>Капітальний ремонт багатоквартирного будинку (ремонт внутрішньобудинкових мереж водопостачання та водовідведення) за адресою: м.Чорноморськ, вул.Парусна, 12</t>
  </si>
  <si>
    <t>Капітальний ремонт багатоквартирного будинку (ремонт внутрішньобудинкових мереж водопостачання та водовідведення) за адресою: м.Чорноморськ, вул.Парусна, 16</t>
  </si>
  <si>
    <t>Придбання затворів (засувок) з демонтажними вставками для заміни на водогонах</t>
  </si>
  <si>
    <r>
      <t>Капітальний ремонт (заміна вікон) в багатоквартирному будинку за адресою: м.Чорноморськ, вул.Корабельн</t>
    </r>
    <r>
      <rPr>
        <sz val="14"/>
        <rFont val="Times New Roman"/>
        <family val="1"/>
        <charset val="204"/>
      </rPr>
      <t>а, 3</t>
    </r>
  </si>
  <si>
    <t>Капітальний ремонт (заміна вікон) в багатоквартирному будинку за адресою: м.Чорноморськ, проспект Миру, 3</t>
  </si>
  <si>
    <t>Капітальний ремонт (заміна вікон) в багатоквартирному будинку за адресою: м.Чорноморськ, проспект Миру, 3а</t>
  </si>
  <si>
    <t>Капітальний ремонт (заміна вікон) в багатоквартирному будинку за адресою: м.Чорноморськ, проспект Миру, 5а</t>
  </si>
  <si>
    <t>Капітальний ремонт (заміна вікон) в багатоквартирному будинку за адресою: м.Чорноморськ, проспект Миру, 7</t>
  </si>
  <si>
    <t>3719770</t>
  </si>
  <si>
    <t>9770</t>
  </si>
  <si>
    <t>Інші субвенції з місцевого бюджету</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</si>
  <si>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2023 рік / Капітальні видатки</t>
  </si>
  <si>
    <t>Капітальний ремонт фасаду житлового будинку за адресою: Одеська область, Одеський район, м.Чорноморськ, вул.Паркова, 22-А (ОСББ "Паркова - 22-А"). Коригування</t>
  </si>
  <si>
    <t>Капітальний ремонт покрівлі над 3 та 4 під'їздами житлового будинку за адресою: Одеська область, Одеський район, м.Чорноморськ, вул.Шевченка, 9-А (ОСББ "Номер шість"). Коригування</t>
  </si>
  <si>
    <t>Капітальний ремонт покрівлі житлового будинку за адресою: Одеська область, Одеський район, м.Чорноморськ, вул.1 Травня, 10-Б (ОСББ "Будинки АББО"). Коригування</t>
  </si>
  <si>
    <t>0218240</t>
  </si>
  <si>
    <t>8240</t>
  </si>
  <si>
    <t>Заходи та роботи з територіальної оборони</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</si>
  <si>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</si>
  <si>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r>
      <t xml:space="preserve">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 / </t>
    </r>
    <r>
      <rPr>
        <i/>
        <sz val="14"/>
        <rFont val="Times New Roman"/>
        <family val="1"/>
        <charset val="204"/>
      </rPr>
      <t>Капітальні видатки</t>
    </r>
  </si>
  <si>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</si>
  <si>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Міська цільова програма забезпечення житлом дітей-сиріт та дітей, позбавлених батьківського піклування, а також осіб з їх числа на 2023-2025 роки - виплата грошової компенсації особам та молоді із числа дітей-сиріт та дітей, позбавлених батьківського піклування, за належні для отримання житлових приміщень</t>
  </si>
  <si>
    <t>Капітальний ремонт (заміна) ліфту у 3му під'їзді житлового будинку за адресою: Одеська область, Одеський район, м.Чорноморськ, пр. Миру, 30 (ОСББ "Мирний 30")</t>
  </si>
  <si>
    <t>Реконструкція системи пожежної сигналізації (СПС), системи оповіщення про пожежу та управління евакуацією людей на об'єкті "Технічне переоснащення системи протипожежного захисту - системи пожежної сигналізації і системи оповіщення про пожежу та управління евакуацією людей загальноосвітньої школи" за адресою: Одеська область, Одеський район, м.Чорноморськ, с.Малодолинське, вул.Зелена, 2</t>
  </si>
  <si>
    <t>Реконструкція системи пожежної сигналізації, системи оповіщення про пожежу та управління евакуацією людей на об’єкті: «Технічне переоснащення системи протипожежного захисту: установка системи пожежної сигналізації і системи оповіщення про пожежу та управління евакуацією людей Чорноморської загальноосвітньої школи №7 Чорноморської міської ради, за адресою: Одеська область. Одеський район, м. Чорноморську проспект Миру, 43-А</t>
  </si>
  <si>
    <t>Найменування робіт</t>
  </si>
  <si>
    <t>0916083</t>
  </si>
  <si>
    <t>Капітальний ремонт внутрішніх мереж електропостачання поліклініки із встановленням пристрою безперебійного електроживлення на базі дизельної електростанції для будівлі поліклініки Комунального некомерційного підприємства "Чорноморська лікарня" Чорноморської міської ради Одеського району Одеської області за адресою: м. Чорноморськ, вул. 1 Травня, буд. 1</t>
  </si>
  <si>
    <t>Капітальний ремонт вбиральні відділення сімейної медицини поліклініки № 1 КНП "Чорноморський міський центр первинної медико-санітарної допомоги", розташованої за адресою: Одеська область, Одеський район, м.Чорноморськ, селище Олександрівка, вулиця Перемоги, 64</t>
  </si>
  <si>
    <t>Відновлення елементів благоустрою - капітальний ремонт прибудинкової території за адресою: Одеська область, Одеський район, м.Чорноморськ, проспект Миру, буд.8-А (ОСББ "ДЕСЯТЬ")</t>
  </si>
  <si>
    <t xml:space="preserve">Реконструкція частини приміщення акушерського відділення КНП "Чорноморська лікарня" Чорноморської міської ради Одеського району Одеської області за адресою: м.Чорноморськ, вул.В.Шума, 4 </t>
  </si>
  <si>
    <t xml:space="preserve">Реконструкція приміщення дитячого відділення КНП "Чорноморська лікарня" Чорноморської міської ради Одеського району Одеської області за адресою: м.Чорноморськ, вул.В.Шума, 4 </t>
  </si>
  <si>
    <t>7310</t>
  </si>
  <si>
    <t>Будівництво об'єктів житлово-комунального господарства</t>
  </si>
  <si>
    <t>Придбання матеріалів та обладнання в рамках реалізації демо-проєкту "Технічне переобладнання системи очищення каналізаційних стічних вод міста Чорноморськ Одеського району Одеської області" (співфінансування)</t>
  </si>
  <si>
    <t>Будівництво колектора зливової каналізації довжиною 925м від вул.Данченка до вул. 1-го Травня в м.Чорноморськ Одеської області (коригування проєкту)</t>
  </si>
  <si>
    <t>Реконструкція магістральної теплової камери МК-32 на перехресті вулиць 1 Травня - Середня в м.Чорноморськ Одеської області</t>
  </si>
  <si>
    <t>Реконструкція ГКНС, що розташована за адресою: Одеська область, Одеський район, м.Чорноморськ, вул.Паркова, 23 (проектні роботи)</t>
  </si>
  <si>
    <t>Будівництво зливної станції рідких відходів за адресою: Одеська область, Одеський район, Дальницька сільська рада, комплекс будівель і споруд № 2 (за межами населеного пункту) (проектні роботи)</t>
  </si>
  <si>
    <t>7670</t>
  </si>
  <si>
    <t>Внески до статутного капіталу суб'єктів господарювання</t>
  </si>
  <si>
    <t>Придбання спеціалізованої техніки КП "МУЖКГ"</t>
  </si>
  <si>
    <t>Придбання спеціалізованої техніки КП "Зеленгосп"</t>
  </si>
  <si>
    <t>Капітальний ремонт первинного відстійника на каналізаційних очисних спорудах м.Чорноморська за адресою: Одеська область, Одеський район, Дальницька сільська рада, комплекс будівель і споруд № 2 (за межами населеного пункту)</t>
  </si>
  <si>
    <t>Капітальний ремонт приймальної камери та лотків на каналізаційних очисних спорудах м.Чорноморська, що розташовані за адресою: Одеська область, Одеський район, Дальницька сільська рада, комплекс будівель та споруд №2 (за межами населеного пункту)</t>
  </si>
  <si>
    <t>Реконструкція каналізаційних очисних споруд м.Чорноморська за адресою: Одеська обл., Овідіопольський район, Дальницька сільська рада, комплекс будівель та споруд № 2 (за межами населеного пункту)/Придбання мулошкребу для заміни на первинному відстійнику КОС</t>
  </si>
  <si>
    <t xml:space="preserve">Реконструкція вводу водопроводу на НС по вул.Парусній, 5-А в м.Чорноморську  Одеського району Одеської області </t>
  </si>
  <si>
    <r>
      <t>Реконструкція ділянки каналізаційного колектора Dn 200 мм за адресою: від вул.Данченка, 5 до пр-ту Миру, 11 в м.Чорноморську  Одеського району  Одеської області</t>
    </r>
    <r>
      <rPr>
        <sz val="14"/>
        <color rgb="FFFF0000"/>
        <rFont val="Times New Roman"/>
        <family val="1"/>
        <charset val="204"/>
      </rPr>
      <t xml:space="preserve"> </t>
    </r>
  </si>
  <si>
    <t>Реконструкція мереж водопроводу, що проходить по пр.Мира від будинку №12 до будинку №18 (перемичка через дорогу) у м.Чорноморську Одеського району Одеської області</t>
  </si>
  <si>
    <t>Будівництво (буріння) артезіанської свердловини на території котельні № 2 за адресою: м.Чорноморськ, вул.Садова, 1</t>
  </si>
  <si>
    <t>Будівництво (буріння) артезіанської свердловини за адресою: Одеська область, Одеський район, с.Малодолинське, вул.Вишнева, 1-н</t>
  </si>
  <si>
    <t>Капітальний ремонт ділянки водогону Dn 700мм, що розташований за адресою: Одеська область, Одеський район, м.Чорноморськ, перехрестя вул. Перемоги - вул. Транспортної</t>
  </si>
  <si>
    <t>Реконструкція напірного каналізаційного колектору за адресою: Одеська область, Одеський район, м.Чорноморськ, від вул.Космонавтів, 59Г в с.Малодолинське до вул.Світла, 51 в смт.Олександрівка (проектні роботи, проведення експертизи проекту)</t>
  </si>
  <si>
    <t>Реконструкція  каналізаційного трубопроводу Д 160 мм за адресою: Одеська область, Одеський район, м.Чорноморськ, вул.Хантадзе, 2</t>
  </si>
  <si>
    <t>Реконструкція існуючого стадіону за адресою: Одеська область, Одеський район, місто Чорноморськ, вулиця Набережна, 2</t>
  </si>
  <si>
    <t>Будівництво (улаштування) системи пожежної сигналізації, системи керування евакуюванням (в частині системи оповіщення про пожежу і покажчиків напрямку евакуювання; системи централізованого пожежного спостереження; автоматичної системи аерозольного пожежогасіння на об'єкті: адміністративна будівля Виконавчого комітету Чорноморської міської ради Одеського району Одеської області за адресою: 68003, Одеська область, Одеський район, м.Чорноморськ, проспект Миру,буд.33</t>
  </si>
  <si>
    <t>Виконком по 0150 в 2021-24948грн,но как реконструкція</t>
  </si>
  <si>
    <t>Придбання медичного та іншого обладнання для реабілітаційного відділення КНП "Чорноморська лікарня"</t>
  </si>
  <si>
    <t xml:space="preserve">                                                                                       "Додаток 6</t>
  </si>
  <si>
    <t xml:space="preserve">                                                                                        до  рішення Чорноморської міської ради </t>
  </si>
  <si>
    <t xml:space="preserve">                                                                                        Одеського району Одеської області</t>
  </si>
  <si>
    <t>Начальник фінансового управління                                                                                 Ольга ЯКОВЕНКО</t>
  </si>
  <si>
    <t>Обсяг видатків бюджету розвитку, грн</t>
  </si>
  <si>
    <t xml:space="preserve">                                                                                        Додаток 5</t>
  </si>
  <si>
    <t>0216030</t>
  </si>
  <si>
    <t>Малодолинська сільська адміністрація</t>
  </si>
  <si>
    <t xml:space="preserve">Капітальний ремонт магістральної теплової мережі на ділянці по вул.Торговій (р-н ринку "Ранковий") в м.Чорноморськ Одеської області. Коригування </t>
  </si>
  <si>
    <r>
      <t xml:space="preserve">Капітальний ремонт системи протипожежної безпеки багатоквартирного будинку підвищеної поверховості за адресою: м.Чорноморськ, </t>
    </r>
    <r>
      <rPr>
        <sz val="14"/>
        <color theme="1"/>
        <rFont val="Times New Roman"/>
        <family val="1"/>
        <charset val="204"/>
      </rPr>
      <t>вул.Данченка, 3-Б (розробка проектно-кошторисної документації)</t>
    </r>
  </si>
  <si>
    <r>
      <t xml:space="preserve">Капітальний ремонт системи протипожежної безпеки багатоквартирного будинку підвищеної поверховості за адресою: м.Чорноморськ, </t>
    </r>
    <r>
      <rPr>
        <sz val="14"/>
        <color theme="1"/>
        <rFont val="Times New Roman"/>
        <family val="1"/>
        <charset val="204"/>
      </rPr>
      <t>вул.1 Травня, 2  (розробка проектно-кошторисної документації)</t>
    </r>
  </si>
  <si>
    <t>Капітальний ремонт системи протипожежної безпеки багатоквартирного будинку підвищеної поверховості за адресою: м.Чорноморськ, проспект Миру, 35-Б  (розробка проектно-кошторисної документації)</t>
  </si>
  <si>
    <t>Капітальний ремонт системи протипожежної безпеки багатоквартирного будинку підвищеної поверховості за адресою: м.Чорноморськ, проспект Миру, 35-Г  (розробка проектно-кошторисної документації)</t>
  </si>
  <si>
    <t xml:space="preserve">                                                                                        від ___.___.2023  № ____ - VIII</t>
  </si>
  <si>
    <t>0617372</t>
  </si>
  <si>
    <t>7372</t>
  </si>
  <si>
    <t>0960</t>
  </si>
  <si>
    <t>0990</t>
  </si>
  <si>
    <t>Забезпечення діяльності інклюзивно-ресурсних центрів за рахунок коштів місцевого бюджету</t>
  </si>
  <si>
    <t>Надання позашкільної освіти закладами позашкільної освіти, заходи із позашкільної роботи з дітьми</t>
  </si>
  <si>
    <t>Реалізація проектів (заходів) з відновлення освітніх установ та закладів, пошкоджених / знищених внаслідок збройної агресії, за рахунок коштів місцевих бюджетів</t>
  </si>
  <si>
    <t>Фінансова підтримка КП "Чорноморськводоканал"</t>
  </si>
  <si>
    <t>Придбання обладнання для ремонту внутрішньобудинкових електричних мереж в багатоквартирних будинках</t>
  </si>
  <si>
    <t xml:space="preserve">                                                                                        від 20.12.2022  № 284 - VIII"</t>
  </si>
  <si>
    <t>Капітальні трансферти на поповнення статутного капіталу на оновлення основних засобів КП "МУЖКГ"</t>
  </si>
  <si>
    <t>1218761</t>
  </si>
  <si>
    <t>8761</t>
  </si>
  <si>
    <t>0540</t>
  </si>
  <si>
    <t>Заходи із запобігання та ліквідації наслідків надзвичайної ситуації внаслідок стихійного лиха за рахунок коштів резервного фонду місцевого бюджету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</si>
</sst>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quot;-&quot;??\ _₽_-;_-@_-"/>
    <numFmt numFmtId="165" formatCode="0.0%"/>
    <numFmt numFmtId="166" formatCode="#,##0.00_ ;\-#,##0.00\ "/>
  </numFmts>
  <fonts count="24">
    <font>
      <sz val="10"/>
      <name val="Arial Cyr"/>
      <charset val="204"/>
    </font>
    <font>
      <b/>
      <sz val="14"/>
      <name val="Times New Roman"/>
      <family val="1"/>
      <charset val="204"/>
    </font>
    <font>
      <sz val="14"/>
      <name val="Times New Roman"/>
      <family val="1"/>
      <charset val="204"/>
    </font>
    <font>
      <sz val="16"/>
      <name val="Times New Roman"/>
      <family val="1"/>
      <charset val="204"/>
    </font>
    <font>
      <sz val="11"/>
      <color indexed="8"/>
      <name val="Calibri"/>
      <family val="2"/>
      <charset val="204"/>
    </font>
    <font>
      <b/>
      <sz val="16"/>
      <name val="Times New Roman"/>
      <family val="1"/>
      <charset val="204"/>
    </font>
    <font>
      <sz val="12"/>
      <name val="Times New Roman"/>
      <family val="1"/>
      <charset val="204"/>
    </font>
    <font>
      <sz val="8"/>
      <name val="Arial Cyr"/>
      <charset val="204"/>
    </font>
    <font>
      <i/>
      <sz val="14"/>
      <name val="Times New Roman"/>
      <family val="1"/>
    </font>
    <font>
      <sz val="11"/>
      <color theme="1"/>
      <name val="Calibri"/>
      <family val="2"/>
      <charset val="204"/>
      <scheme val="minor"/>
    </font>
    <font>
      <sz val="14"/>
      <name val="Times New Roman"/>
      <family val="1"/>
    </font>
    <font>
      <i/>
      <sz val="14"/>
      <name val="Times New Roman"/>
      <family val="1"/>
      <charset val="204"/>
    </font>
    <font>
      <sz val="12"/>
      <name val="Arial Cyr"/>
      <charset val="204"/>
    </font>
    <font>
      <b/>
      <vertAlign val="superscript"/>
      <sz val="8"/>
      <name val="Times New Roman"/>
      <family val="1"/>
      <charset val="204"/>
    </font>
    <font>
      <u/>
      <sz val="14"/>
      <name val="Times New Roman"/>
      <family val="1"/>
      <charset val="204"/>
    </font>
    <font>
      <sz val="14"/>
      <color theme="1"/>
      <name val="Times New Roman"/>
      <family val="1"/>
      <charset val="204"/>
    </font>
    <font>
      <b/>
      <sz val="12"/>
      <name val="Times New Roman"/>
      <family val="1"/>
      <charset val="204"/>
    </font>
    <font>
      <i/>
      <sz val="14"/>
      <color theme="1"/>
      <name val="Times New Roman"/>
      <family val="1"/>
      <charset val="204"/>
    </font>
    <font>
      <sz val="10"/>
      <name val="Arial Cyr"/>
      <charset val="204"/>
    </font>
    <font>
      <sz val="14"/>
      <color rgb="FFFF0000"/>
      <name val="Times New Roman"/>
      <family val="1"/>
      <charset val="204"/>
    </font>
    <font>
      <sz val="10"/>
      <name val="Helv"/>
      <charset val="204"/>
    </font>
    <font>
      <sz val="10"/>
      <color rgb="FF000000"/>
      <name val="Arimo"/>
    </font>
    <font>
      <sz val="10"/>
      <name val="Arial"/>
      <family val="2"/>
      <charset val="204"/>
    </font>
    <font>
      <b/>
      <sz val="16"/>
      <color rgb="FF06036F"/>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FFFFFF"/>
        <bgColor rgb="FF000000"/>
      </patternFill>
    </fill>
    <fill>
      <patternFill patternType="solid">
        <fgColor theme="8" tint="0.79998168889431442"/>
        <bgColor rgb="FF000000"/>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
    <xf numFmtId="0" fontId="0" fillId="0" borderId="0"/>
    <xf numFmtId="0" fontId="4" fillId="0" borderId="0"/>
    <xf numFmtId="0" fontId="4" fillId="0" borderId="0"/>
    <xf numFmtId="0" fontId="4" fillId="0" borderId="0"/>
    <xf numFmtId="0" fontId="4" fillId="0" borderId="0"/>
    <xf numFmtId="0" fontId="9" fillId="0" borderId="0"/>
    <xf numFmtId="0" fontId="4" fillId="0" borderId="0"/>
    <xf numFmtId="164" fontId="18" fillId="0" borderId="0" applyFont="0" applyFill="0" applyBorder="0" applyAlignment="0" applyProtection="0"/>
    <xf numFmtId="0" fontId="20" fillId="0" borderId="0"/>
    <xf numFmtId="0" fontId="21" fillId="0" borderId="0"/>
    <xf numFmtId="0" fontId="22" fillId="0" borderId="0"/>
    <xf numFmtId="0" fontId="4" fillId="0" borderId="0"/>
  </cellStyleXfs>
  <cellXfs count="114">
    <xf numFmtId="0" fontId="0" fillId="0" borderId="0" xfId="0"/>
    <xf numFmtId="4" fontId="2" fillId="2" borderId="0" xfId="0" applyNumberFormat="1" applyFont="1" applyFill="1"/>
    <xf numFmtId="0" fontId="1" fillId="2" borderId="1" xfId="0" applyFont="1" applyFill="1" applyBorder="1"/>
    <xf numFmtId="0" fontId="3" fillId="2" borderId="0" xfId="0" applyFont="1" applyFill="1"/>
    <xf numFmtId="49" fontId="2" fillId="2" borderId="0" xfId="0" applyNumberFormat="1" applyFont="1" applyFill="1" applyAlignment="1">
      <alignment horizontal="center"/>
    </xf>
    <xf numFmtId="0" fontId="2" fillId="2" borderId="0" xfId="0" applyFont="1" applyFill="1"/>
    <xf numFmtId="0" fontId="2" fillId="2" borderId="0" xfId="0" applyFont="1" applyFill="1" applyAlignment="1">
      <alignment horizontal="left" vertical="center"/>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center"/>
    </xf>
    <xf numFmtId="0" fontId="8" fillId="0" borderId="0" xfId="0" applyFont="1"/>
    <xf numFmtId="0" fontId="1" fillId="2" borderId="1" xfId="0" applyFont="1" applyFill="1" applyBorder="1" applyAlignment="1">
      <alignment horizontal="left" wrapText="1"/>
    </xf>
    <xf numFmtId="0" fontId="2" fillId="2" borderId="0" xfId="0" applyFont="1" applyFill="1" applyAlignment="1">
      <alignment horizontal="right" vertical="center" wrapText="1"/>
    </xf>
    <xf numFmtId="4" fontId="2" fillId="2" borderId="0" xfId="0" applyNumberFormat="1" applyFont="1" applyFill="1" applyAlignment="1">
      <alignment horizontal="center"/>
    </xf>
    <xf numFmtId="0" fontId="6" fillId="2" borderId="0" xfId="0" applyFont="1" applyFill="1"/>
    <xf numFmtId="0" fontId="2" fillId="2" borderId="1" xfId="0" applyFont="1" applyFill="1" applyBorder="1" applyAlignment="1">
      <alignment horizontal="left" vertical="center" wrapText="1"/>
    </xf>
    <xf numFmtId="49" fontId="2" fillId="2" borderId="1" xfId="0" applyNumberFormat="1" applyFont="1" applyFill="1" applyBorder="1" applyAlignment="1">
      <alignment horizontal="center"/>
    </xf>
    <xf numFmtId="49" fontId="1" fillId="2" borderId="1" xfId="0" applyNumberFormat="1" applyFont="1" applyFill="1" applyBorder="1" applyAlignment="1">
      <alignment horizontal="center"/>
    </xf>
    <xf numFmtId="49" fontId="2" fillId="2" borderId="1" xfId="0" applyNumberFormat="1" applyFont="1" applyFill="1" applyBorder="1" applyAlignment="1">
      <alignment horizontal="center" vertical="center"/>
    </xf>
    <xf numFmtId="0" fontId="10" fillId="2" borderId="0" xfId="0" applyFont="1" applyFill="1"/>
    <xf numFmtId="4" fontId="1" fillId="2" borderId="1" xfId="0" applyNumberFormat="1" applyFont="1" applyFill="1" applyBorder="1" applyAlignment="1">
      <alignment horizontal="center" vertical="center" wrapText="1"/>
    </xf>
    <xf numFmtId="0" fontId="13" fillId="0" borderId="0" xfId="0" applyFont="1"/>
    <xf numFmtId="0" fontId="11" fillId="2" borderId="0" xfId="0" applyFont="1" applyFill="1"/>
    <xf numFmtId="49" fontId="2" fillId="2" borderId="1" xfId="0" applyNumberFormat="1" applyFont="1" applyFill="1" applyBorder="1" applyAlignment="1">
      <alignment horizontal="center" vertical="center" wrapText="1"/>
    </xf>
    <xf numFmtId="4" fontId="1" fillId="2" borderId="0" xfId="0" applyNumberFormat="1" applyFont="1" applyFill="1"/>
    <xf numFmtId="49" fontId="11" fillId="2" borderId="1" xfId="0" applyNumberFormat="1" applyFont="1" applyFill="1" applyBorder="1" applyAlignment="1">
      <alignment horizontal="center" vertical="center"/>
    </xf>
    <xf numFmtId="0" fontId="11" fillId="2" borderId="1" xfId="0" applyFont="1" applyFill="1" applyBorder="1" applyAlignment="1">
      <alignment horizontal="left" vertical="center" wrapText="1"/>
    </xf>
    <xf numFmtId="0" fontId="15" fillId="2" borderId="1" xfId="0" quotePrefix="1" applyFont="1" applyFill="1" applyBorder="1" applyAlignment="1">
      <alignment vertical="center" wrapText="1"/>
    </xf>
    <xf numFmtId="0" fontId="15" fillId="2" borderId="1" xfId="0" applyFont="1" applyFill="1" applyBorder="1" applyAlignment="1">
      <alignment vertical="center" wrapText="1"/>
    </xf>
    <xf numFmtId="0" fontId="15" fillId="2" borderId="1" xfId="0" applyFont="1" applyFill="1" applyBorder="1" applyAlignment="1">
      <alignment horizontal="center" vertical="center" wrapText="1"/>
    </xf>
    <xf numFmtId="4" fontId="2" fillId="2" borderId="1" xfId="0" applyNumberFormat="1" applyFont="1" applyFill="1" applyBorder="1" applyAlignment="1">
      <alignment horizontal="center" vertical="center" wrapText="1"/>
    </xf>
    <xf numFmtId="4" fontId="11" fillId="2" borderId="1" xfId="0" applyNumberFormat="1" applyFont="1" applyFill="1" applyBorder="1" applyAlignment="1">
      <alignment horizontal="center" vertical="center" wrapText="1"/>
    </xf>
    <xf numFmtId="0" fontId="2" fillId="2" borderId="1" xfId="0" quotePrefix="1" applyFont="1" applyFill="1" applyBorder="1" applyAlignment="1">
      <alignment horizontal="left" vertical="center" wrapText="1"/>
    </xf>
    <xf numFmtId="0" fontId="11" fillId="2" borderId="1" xfId="0" quotePrefix="1" applyFont="1" applyFill="1" applyBorder="1" applyAlignment="1">
      <alignment horizontal="left" vertical="center" wrapText="1"/>
    </xf>
    <xf numFmtId="0" fontId="17" fillId="2" borderId="1" xfId="0" quotePrefix="1" applyFont="1" applyFill="1" applyBorder="1" applyAlignment="1">
      <alignment vertical="center" wrapText="1"/>
    </xf>
    <xf numFmtId="4" fontId="17" fillId="2" borderId="1" xfId="0" applyNumberFormat="1" applyFont="1" applyFill="1" applyBorder="1" applyAlignment="1">
      <alignment horizontal="center" vertical="center"/>
    </xf>
    <xf numFmtId="4" fontId="15" fillId="2" borderId="1" xfId="0" applyNumberFormat="1" applyFont="1" applyFill="1" applyBorder="1" applyAlignment="1">
      <alignment horizontal="center" vertical="center"/>
    </xf>
    <xf numFmtId="0" fontId="17" fillId="2" borderId="1" xfId="0" applyFont="1" applyFill="1" applyBorder="1" applyAlignment="1">
      <alignment horizontal="center" vertical="center" wrapText="1"/>
    </xf>
    <xf numFmtId="0" fontId="15" fillId="2" borderId="1" xfId="0" applyFont="1" applyFill="1" applyBorder="1" applyAlignment="1">
      <alignment wrapText="1"/>
    </xf>
    <xf numFmtId="4" fontId="15" fillId="2" borderId="1" xfId="0" applyNumberFormat="1" applyFont="1" applyFill="1" applyBorder="1" applyAlignment="1">
      <alignment horizontal="center" vertical="center" wrapText="1"/>
    </xf>
    <xf numFmtId="4" fontId="15" fillId="2" borderId="1" xfId="7" applyNumberFormat="1" applyFont="1" applyFill="1" applyBorder="1" applyAlignment="1">
      <alignment horizontal="center" vertical="center"/>
    </xf>
    <xf numFmtId="4" fontId="15" fillId="2" borderId="1" xfId="7" applyNumberFormat="1" applyFont="1" applyFill="1" applyBorder="1" applyAlignment="1">
      <alignment horizontal="center" vertical="center" wrapText="1"/>
    </xf>
    <xf numFmtId="4" fontId="1" fillId="2" borderId="1" xfId="0" applyNumberFormat="1" applyFont="1" applyFill="1" applyBorder="1" applyAlignment="1">
      <alignment horizontal="center" vertical="center"/>
    </xf>
    <xf numFmtId="0" fontId="15" fillId="2" borderId="1" xfId="0" quotePrefix="1" applyFont="1" applyFill="1" applyBorder="1" applyAlignment="1">
      <alignment wrapText="1"/>
    </xf>
    <xf numFmtId="0" fontId="11" fillId="2" borderId="4" xfId="0" applyFont="1" applyFill="1" applyBorder="1" applyAlignment="1">
      <alignment horizontal="left" vertical="center" wrapText="1"/>
    </xf>
    <xf numFmtId="49" fontId="15" fillId="2" borderId="1" xfId="0" applyNumberFormat="1" applyFont="1" applyFill="1" applyBorder="1" applyAlignment="1">
      <alignment horizontal="center" vertical="center" wrapText="1"/>
    </xf>
    <xf numFmtId="0" fontId="2" fillId="3" borderId="0" xfId="0" applyFont="1" applyFill="1"/>
    <xf numFmtId="49" fontId="2" fillId="3" borderId="1" xfId="0" applyNumberFormat="1" applyFont="1" applyFill="1" applyBorder="1" applyAlignment="1">
      <alignment horizontal="center" vertical="center" wrapText="1"/>
    </xf>
    <xf numFmtId="4" fontId="1"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wrapText="1"/>
    </xf>
    <xf numFmtId="4" fontId="11"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xf>
    <xf numFmtId="4" fontId="11" fillId="3" borderId="1" xfId="0" applyNumberFormat="1" applyFont="1" applyFill="1" applyBorder="1" applyAlignment="1">
      <alignment horizontal="center" vertical="center"/>
    </xf>
    <xf numFmtId="4" fontId="2" fillId="3" borderId="1" xfId="7" applyNumberFormat="1" applyFont="1" applyFill="1" applyBorder="1" applyAlignment="1">
      <alignment horizontal="center" vertical="center"/>
    </xf>
    <xf numFmtId="4" fontId="2" fillId="3" borderId="1" xfId="7" applyNumberFormat="1" applyFont="1" applyFill="1" applyBorder="1" applyAlignment="1">
      <alignment horizontal="center" vertical="center" wrapText="1"/>
    </xf>
    <xf numFmtId="4" fontId="1" fillId="3" borderId="1" xfId="0" applyNumberFormat="1" applyFont="1" applyFill="1" applyBorder="1" applyAlignment="1">
      <alignment horizontal="center" vertical="center"/>
    </xf>
    <xf numFmtId="4" fontId="2" fillId="3" borderId="0" xfId="0" applyNumberFormat="1" applyFont="1" applyFill="1" applyAlignment="1">
      <alignment horizontal="center"/>
    </xf>
    <xf numFmtId="4" fontId="2" fillId="3" borderId="0" xfId="0" applyNumberFormat="1" applyFont="1" applyFill="1"/>
    <xf numFmtId="4" fontId="1" fillId="3" borderId="0" xfId="0" applyNumberFormat="1" applyFont="1" applyFill="1"/>
    <xf numFmtId="49" fontId="15" fillId="2" borderId="1" xfId="0" applyNumberFormat="1" applyFont="1" applyFill="1" applyBorder="1" applyAlignment="1">
      <alignment vertical="center" wrapText="1"/>
    </xf>
    <xf numFmtId="4" fontId="2" fillId="2" borderId="1" xfId="6" applyNumberFormat="1" applyFont="1" applyFill="1" applyBorder="1" applyAlignment="1">
      <alignment horizontal="center" vertical="center" wrapText="1"/>
    </xf>
    <xf numFmtId="4" fontId="1" fillId="4" borderId="1" xfId="0" applyNumberFormat="1" applyFont="1" applyFill="1" applyBorder="1" applyAlignment="1">
      <alignment horizontal="center" vertical="center"/>
    </xf>
    <xf numFmtId="49" fontId="1" fillId="2" borderId="1" xfId="0" applyNumberFormat="1" applyFont="1" applyFill="1" applyBorder="1" applyAlignment="1">
      <alignment horizontal="center" vertical="center"/>
    </xf>
    <xf numFmtId="0" fontId="2" fillId="2" borderId="1" xfId="0" quotePrefix="1" applyFont="1" applyFill="1" applyBorder="1" applyAlignment="1">
      <alignment vertical="center" wrapText="1"/>
    </xf>
    <xf numFmtId="1" fontId="2" fillId="2" borderId="1" xfId="8" applyNumberFormat="1" applyFont="1" applyFill="1" applyBorder="1" applyAlignment="1">
      <alignment horizontal="left" vertical="top" wrapText="1"/>
    </xf>
    <xf numFmtId="0" fontId="15" fillId="2" borderId="1" xfId="0" quotePrefix="1" applyFont="1" applyFill="1" applyBorder="1" applyAlignment="1">
      <alignment horizontal="left" vertical="center" wrapText="1"/>
    </xf>
    <xf numFmtId="0" fontId="15" fillId="0" borderId="2" xfId="0" quotePrefix="1" applyFont="1" applyBorder="1" applyAlignment="1">
      <alignment vertical="center" wrapText="1"/>
    </xf>
    <xf numFmtId="0" fontId="15" fillId="2" borderId="1" xfId="0" quotePrefix="1" applyFont="1" applyFill="1" applyBorder="1" applyAlignment="1">
      <alignment horizontal="center" vertical="center" wrapText="1"/>
    </xf>
    <xf numFmtId="4" fontId="2" fillId="2" borderId="1" xfId="0" applyNumberFormat="1" applyFont="1" applyFill="1" applyBorder="1" applyAlignment="1">
      <alignment horizontal="right" vertical="center"/>
    </xf>
    <xf numFmtId="0" fontId="2" fillId="2" borderId="5" xfId="0" quotePrefix="1" applyFont="1" applyFill="1" applyBorder="1" applyAlignment="1">
      <alignment horizontal="left" vertical="center" wrapText="1"/>
    </xf>
    <xf numFmtId="0" fontId="11" fillId="2" borderId="0" xfId="0" applyFont="1" applyFill="1" applyAlignment="1">
      <alignment vertical="center"/>
    </xf>
    <xf numFmtId="4" fontId="23" fillId="3" borderId="0" xfId="0" applyNumberFormat="1" applyFont="1" applyFill="1"/>
    <xf numFmtId="0" fontId="1" fillId="2" borderId="1" xfId="6" applyFont="1" applyFill="1" applyBorder="1" applyAlignment="1">
      <alignment horizontal="center" wrapText="1"/>
    </xf>
    <xf numFmtId="0" fontId="1" fillId="2" borderId="1" xfId="6" applyFont="1" applyFill="1" applyBorder="1" applyAlignment="1">
      <alignment horizontal="center" vertical="center" wrapText="1"/>
    </xf>
    <xf numFmtId="0" fontId="2" fillId="2" borderId="1" xfId="6" applyFont="1" applyFill="1" applyBorder="1" applyAlignment="1">
      <alignment horizontal="left" vertical="center" wrapText="1"/>
    </xf>
    <xf numFmtId="0" fontId="15" fillId="0" borderId="1" xfId="0" applyFont="1" applyBorder="1" applyAlignment="1">
      <alignment vertical="center" wrapText="1"/>
    </xf>
    <xf numFmtId="0" fontId="11" fillId="2" borderId="2" xfId="0" applyFont="1" applyFill="1" applyBorder="1" applyAlignment="1">
      <alignment horizontal="center" vertical="center" wrapText="1"/>
    </xf>
    <xf numFmtId="49" fontId="17" fillId="2" borderId="1" xfId="0" applyNumberFormat="1" applyFont="1" applyFill="1" applyBorder="1" applyAlignment="1">
      <alignment horizontal="center" vertical="center" wrapText="1"/>
    </xf>
    <xf numFmtId="49" fontId="17" fillId="2" borderId="1" xfId="0" applyNumberFormat="1" applyFont="1" applyFill="1" applyBorder="1" applyAlignment="1">
      <alignment vertical="center" wrapText="1"/>
    </xf>
    <xf numFmtId="0" fontId="17" fillId="0" borderId="1" xfId="0" applyFont="1" applyBorder="1" applyAlignment="1">
      <alignment vertical="center" wrapText="1"/>
    </xf>
    <xf numFmtId="0" fontId="15" fillId="2" borderId="2" xfId="0" quotePrefix="1" applyFont="1" applyFill="1" applyBorder="1" applyAlignment="1">
      <alignment horizontal="left" vertical="center" wrapText="1"/>
    </xf>
    <xf numFmtId="165" fontId="2" fillId="2" borderId="0" xfId="0" applyNumberFormat="1" applyFont="1" applyFill="1" applyAlignment="1">
      <alignment horizontal="center" vertical="center" wrapText="1"/>
    </xf>
    <xf numFmtId="0" fontId="2" fillId="2" borderId="0" xfId="0" applyFont="1" applyFill="1" applyAlignment="1">
      <alignment vertical="center"/>
    </xf>
    <xf numFmtId="0" fontId="6" fillId="2" borderId="0" xfId="0" applyFont="1" applyFill="1" applyAlignment="1">
      <alignment horizontal="left"/>
    </xf>
    <xf numFmtId="0" fontId="6" fillId="3" borderId="1" xfId="0" applyFont="1" applyFill="1" applyBorder="1" applyAlignment="1">
      <alignment horizontal="center" vertical="center" wrapText="1"/>
    </xf>
    <xf numFmtId="166" fontId="2" fillId="3" borderId="1" xfId="0" applyNumberFormat="1" applyFont="1" applyFill="1" applyBorder="1" applyAlignment="1">
      <alignment horizontal="center" vertical="center" wrapText="1"/>
    </xf>
    <xf numFmtId="165" fontId="2" fillId="3" borderId="1" xfId="0" applyNumberFormat="1" applyFont="1" applyFill="1" applyBorder="1" applyAlignment="1">
      <alignment horizontal="center" vertical="center" wrapText="1"/>
    </xf>
    <xf numFmtId="164" fontId="2" fillId="3" borderId="1" xfId="0" applyNumberFormat="1" applyFont="1" applyFill="1" applyBorder="1" applyAlignment="1">
      <alignment vertical="center" wrapText="1"/>
    </xf>
    <xf numFmtId="164" fontId="11" fillId="3" borderId="1" xfId="0" applyNumberFormat="1" applyFont="1" applyFill="1" applyBorder="1" applyAlignment="1">
      <alignment vertical="center" wrapText="1"/>
    </xf>
    <xf numFmtId="165" fontId="11" fillId="3" borderId="1" xfId="0" applyNumberFormat="1" applyFont="1" applyFill="1" applyBorder="1" applyAlignment="1">
      <alignment horizontal="center" vertical="center" wrapText="1"/>
    </xf>
    <xf numFmtId="4" fontId="15" fillId="3" borderId="1" xfId="0" applyNumberFormat="1" applyFont="1" applyFill="1" applyBorder="1" applyAlignment="1">
      <alignment horizontal="center" vertical="center" wrapText="1"/>
    </xf>
    <xf numFmtId="164" fontId="1" fillId="3" borderId="1" xfId="0" applyNumberFormat="1" applyFont="1" applyFill="1" applyBorder="1" applyAlignment="1">
      <alignment vertical="center" wrapText="1"/>
    </xf>
    <xf numFmtId="164" fontId="2" fillId="3" borderId="2" xfId="0" applyNumberFormat="1" applyFont="1" applyFill="1" applyBorder="1" applyAlignment="1">
      <alignment vertical="center" wrapText="1"/>
    </xf>
    <xf numFmtId="165" fontId="2" fillId="3" borderId="2" xfId="0" applyNumberFormat="1" applyFont="1" applyFill="1" applyBorder="1" applyAlignment="1">
      <alignment horizontal="center" vertical="center" wrapText="1"/>
    </xf>
    <xf numFmtId="4" fontId="1" fillId="5" borderId="1" xfId="0" applyNumberFormat="1" applyFont="1" applyFill="1" applyBorder="1" applyAlignment="1">
      <alignment horizontal="center" vertical="center"/>
    </xf>
    <xf numFmtId="4" fontId="2" fillId="3" borderId="1" xfId="0" applyNumberFormat="1" applyFont="1" applyFill="1" applyBorder="1" applyAlignment="1">
      <alignment horizontal="right" vertical="center"/>
    </xf>
    <xf numFmtId="4" fontId="2" fillId="3" borderId="1" xfId="0" applyNumberFormat="1" applyFont="1" applyFill="1" applyBorder="1"/>
    <xf numFmtId="0" fontId="14" fillId="2" borderId="0" xfId="0" applyFont="1" applyFill="1" applyAlignment="1">
      <alignment horizontal="center"/>
    </xf>
    <xf numFmtId="0" fontId="6" fillId="2" borderId="0" xfId="0" applyFont="1" applyFill="1" applyAlignment="1">
      <alignment horizontal="center" wrapText="1"/>
    </xf>
    <xf numFmtId="0" fontId="5" fillId="2" borderId="0" xfId="0" applyFont="1" applyFill="1" applyAlignment="1">
      <alignment horizontal="center" vertical="center" wrapText="1"/>
    </xf>
    <xf numFmtId="0" fontId="6" fillId="2" borderId="3" xfId="0" applyFont="1" applyFill="1" applyBorder="1" applyAlignment="1">
      <alignment horizontal="center" vertical="center" wrapText="1"/>
    </xf>
    <xf numFmtId="0" fontId="12" fillId="0" borderId="2" xfId="0" applyFont="1" applyBorder="1"/>
    <xf numFmtId="0" fontId="6" fillId="2" borderId="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 fillId="2" borderId="4" xfId="6" applyFont="1" applyFill="1" applyBorder="1" applyAlignment="1">
      <alignment horizontal="center" wrapText="1"/>
    </xf>
    <xf numFmtId="0" fontId="1" fillId="2" borderId="5" xfId="6" applyFont="1" applyFill="1" applyBorder="1" applyAlignment="1">
      <alignment horizontal="center" wrapText="1"/>
    </xf>
    <xf numFmtId="0" fontId="1" fillId="2" borderId="4" xfId="6" applyFont="1" applyFill="1" applyBorder="1" applyAlignment="1">
      <alignment horizontal="center" vertical="center" wrapText="1"/>
    </xf>
    <xf numFmtId="0" fontId="1" fillId="2" borderId="5" xfId="6" applyFont="1" applyFill="1" applyBorder="1" applyAlignment="1">
      <alignment horizontal="center" vertical="center" wrapText="1"/>
    </xf>
    <xf numFmtId="0" fontId="2" fillId="2" borderId="4" xfId="6" applyFont="1" applyFill="1" applyBorder="1" applyAlignment="1">
      <alignment horizontal="left" wrapText="1"/>
    </xf>
    <xf numFmtId="0" fontId="2" fillId="2" borderId="5" xfId="6" applyFont="1" applyFill="1" applyBorder="1" applyAlignment="1">
      <alignment horizontal="left" wrapText="1"/>
    </xf>
    <xf numFmtId="0" fontId="2" fillId="2" borderId="4" xfId="2" applyFont="1" applyFill="1" applyBorder="1" applyAlignment="1">
      <alignment horizontal="left" vertical="center" wrapText="1"/>
    </xf>
    <xf numFmtId="0" fontId="2" fillId="2" borderId="5" xfId="2" applyFont="1" applyFill="1" applyBorder="1" applyAlignment="1">
      <alignment horizontal="left" vertical="center" wrapText="1"/>
    </xf>
    <xf numFmtId="0" fontId="1" fillId="2" borderId="1" xfId="6" applyFont="1" applyFill="1" applyBorder="1" applyAlignment="1">
      <alignment horizontal="center" wrapText="1"/>
    </xf>
    <xf numFmtId="0" fontId="6" fillId="2" borderId="0" xfId="0" applyFont="1" applyFill="1" applyAlignment="1">
      <alignment horizontal="left"/>
    </xf>
  </cellXfs>
  <cellStyles count="12">
    <cellStyle name="Excel Built-in Normal" xfId="11"/>
    <cellStyle name="Звичайний" xfId="0" builtinId="0"/>
    <cellStyle name="Обычный 10" xfId="9"/>
    <cellStyle name="Обычный 2" xfId="1"/>
    <cellStyle name="Обычный 3" xfId="2"/>
    <cellStyle name="Обычный 4" xfId="3"/>
    <cellStyle name="Обычный 5" xfId="4"/>
    <cellStyle name="Обычный 6" xfId="5"/>
    <cellStyle name="Обычный 7" xfId="10"/>
    <cellStyle name="Обычный_дод 3" xfId="6"/>
    <cellStyle name="Обычный_Лист1" xfId="8"/>
    <cellStyle name="Фінансовий" xfId="7" builtinId="3"/>
  </cellStyles>
  <dxfs count="0"/>
  <tableStyles count="0" defaultTableStyle="TableStyleMedium9" defaultPivotStyle="PivotStyleLight16"/>
  <colors>
    <mruColors>
      <color rgb="FF06036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86;&#1076;&#1072;&#1090;&#1086;&#1082;%203%20(3)%20&#1042;&#1080;&#1076;&#1072;&#1090;&#1082;&#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25">
          <cell r="K225">
            <v>316851765.03999996</v>
          </cell>
        </row>
      </sheetData>
    </sheetDataSet>
  </externalBook>
</externalLink>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7"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12"/>
  <sheetViews>
    <sheetView tabSelected="1" view="pageBreakPreview" topLeftCell="A271" zoomScale="70" zoomScaleNormal="100" zoomScaleSheetLayoutView="70" workbookViewId="0">
      <selection activeCell="F282" sqref="F282"/>
    </sheetView>
  </sheetViews>
  <sheetFormatPr defaultColWidth="9.140625" defaultRowHeight="18.75"/>
  <cols>
    <col min="1" max="1" width="17.140625" style="9" customWidth="1"/>
    <col min="2" max="2" width="13.28515625" style="5" customWidth="1"/>
    <col min="3" max="3" width="15.28515625" style="5" customWidth="1"/>
    <col min="4" max="4" width="40" style="5" customWidth="1"/>
    <col min="5" max="5" width="78.28515625" style="6" customWidth="1"/>
    <col min="6" max="6" width="21" style="5" customWidth="1"/>
    <col min="7" max="9" width="21" style="46" hidden="1" customWidth="1"/>
    <col min="10" max="10" width="21" style="5" customWidth="1"/>
    <col min="11" max="11" width="18" style="5" bestFit="1" customWidth="1"/>
    <col min="12" max="12" width="15.28515625" style="5" bestFit="1" customWidth="1"/>
    <col min="13" max="16384" width="9.140625" style="5"/>
  </cols>
  <sheetData>
    <row r="1" spans="1:11">
      <c r="E1" s="113" t="s">
        <v>374</v>
      </c>
      <c r="F1" s="113"/>
    </row>
    <row r="2" spans="1:11">
      <c r="E2" s="113" t="s">
        <v>370</v>
      </c>
      <c r="F2" s="113"/>
    </row>
    <row r="3" spans="1:11">
      <c r="E3" s="113" t="s">
        <v>382</v>
      </c>
      <c r="F3" s="113"/>
    </row>
    <row r="4" spans="1:11">
      <c r="E4" s="83"/>
    </row>
    <row r="5" spans="1:11">
      <c r="E5" s="113" t="s">
        <v>369</v>
      </c>
      <c r="F5" s="113"/>
    </row>
    <row r="6" spans="1:11">
      <c r="E6" s="113" t="s">
        <v>370</v>
      </c>
      <c r="F6" s="113"/>
    </row>
    <row r="7" spans="1:11">
      <c r="E7" s="113" t="s">
        <v>371</v>
      </c>
      <c r="F7" s="113"/>
    </row>
    <row r="8" spans="1:11">
      <c r="E8" s="113" t="s">
        <v>392</v>
      </c>
      <c r="F8" s="113"/>
    </row>
    <row r="9" spans="1:11">
      <c r="A9" s="97">
        <v>1558900000</v>
      </c>
      <c r="B9" s="97"/>
    </row>
    <row r="10" spans="1:11">
      <c r="A10" s="98" t="s">
        <v>6</v>
      </c>
      <c r="B10" s="98"/>
      <c r="D10" s="9"/>
    </row>
    <row r="11" spans="1:11" s="3" customFormat="1" ht="45" customHeight="1">
      <c r="A11" s="99" t="s">
        <v>7</v>
      </c>
      <c r="B11" s="99"/>
      <c r="C11" s="99"/>
      <c r="D11" s="99"/>
      <c r="E11" s="99"/>
      <c r="F11" s="99"/>
      <c r="G11" s="99"/>
      <c r="H11" s="99"/>
      <c r="I11" s="99"/>
    </row>
    <row r="12" spans="1:11" s="14" customFormat="1" ht="15.6" customHeight="1">
      <c r="A12" s="100" t="s">
        <v>2</v>
      </c>
      <c r="B12" s="100" t="s">
        <v>3</v>
      </c>
      <c r="C12" s="100" t="s">
        <v>1</v>
      </c>
      <c r="D12" s="100" t="s">
        <v>4</v>
      </c>
      <c r="E12" s="100" t="s">
        <v>336</v>
      </c>
      <c r="F12" s="100" t="s">
        <v>373</v>
      </c>
      <c r="G12" s="103" t="s">
        <v>26</v>
      </c>
      <c r="H12" s="103"/>
      <c r="I12" s="103"/>
    </row>
    <row r="13" spans="1:11" s="14" customFormat="1" ht="141.6" customHeight="1">
      <c r="A13" s="101"/>
      <c r="B13" s="101"/>
      <c r="C13" s="101"/>
      <c r="D13" s="102"/>
      <c r="E13" s="102"/>
      <c r="F13" s="102"/>
      <c r="G13" s="84" t="s">
        <v>28</v>
      </c>
      <c r="H13" s="84" t="s">
        <v>29</v>
      </c>
      <c r="I13" s="84" t="s">
        <v>27</v>
      </c>
    </row>
    <row r="14" spans="1:11">
      <c r="A14" s="7">
        <v>1</v>
      </c>
      <c r="B14" s="7">
        <v>2</v>
      </c>
      <c r="C14" s="7">
        <v>3</v>
      </c>
      <c r="D14" s="8">
        <v>4</v>
      </c>
      <c r="E14" s="8">
        <v>5</v>
      </c>
      <c r="F14" s="8">
        <v>9</v>
      </c>
      <c r="G14" s="47" t="s">
        <v>5</v>
      </c>
      <c r="H14" s="47" t="s">
        <v>25</v>
      </c>
      <c r="I14" s="47" t="s">
        <v>30</v>
      </c>
    </row>
    <row r="15" spans="1:11" ht="18.75" customHeight="1">
      <c r="A15" s="17" t="s">
        <v>8</v>
      </c>
      <c r="B15" s="17"/>
      <c r="C15" s="17"/>
      <c r="D15" s="104" t="s">
        <v>10</v>
      </c>
      <c r="E15" s="105"/>
      <c r="F15" s="20">
        <f t="shared" ref="F15:I15" si="0">F16</f>
        <v>9497792</v>
      </c>
      <c r="G15" s="48">
        <f t="shared" si="0"/>
        <v>9497792</v>
      </c>
      <c r="H15" s="48">
        <f t="shared" si="0"/>
        <v>0</v>
      </c>
      <c r="I15" s="48">
        <f t="shared" si="0"/>
        <v>0</v>
      </c>
      <c r="J15" s="1"/>
      <c r="K15" s="1"/>
    </row>
    <row r="16" spans="1:11" ht="18.75" customHeight="1">
      <c r="A16" s="17" t="s">
        <v>9</v>
      </c>
      <c r="B16" s="16"/>
      <c r="C16" s="16"/>
      <c r="D16" s="104" t="s">
        <v>10</v>
      </c>
      <c r="E16" s="105"/>
      <c r="F16" s="20">
        <f>F17+F22+F26+F27+F28+F31+F32+F33</f>
        <v>9497792</v>
      </c>
      <c r="G16" s="48">
        <f>G17+G22+G26+G27+G28+G31+G32+G33</f>
        <v>9497792</v>
      </c>
      <c r="H16" s="48">
        <f t="shared" ref="H16:I16" si="1">H17+H22+H26+H27+H31+H32+H33</f>
        <v>0</v>
      </c>
      <c r="I16" s="48">
        <f t="shared" si="1"/>
        <v>0</v>
      </c>
      <c r="J16" s="1"/>
    </row>
    <row r="17" spans="1:9" ht="150">
      <c r="A17" s="18" t="s">
        <v>11</v>
      </c>
      <c r="B17" s="18" t="s">
        <v>12</v>
      </c>
      <c r="C17" s="29" t="s">
        <v>13</v>
      </c>
      <c r="D17" s="27" t="s">
        <v>14</v>
      </c>
      <c r="E17" s="15" t="s">
        <v>15</v>
      </c>
      <c r="F17" s="30">
        <f>F18+F19+F20+F21</f>
        <v>1238900</v>
      </c>
      <c r="G17" s="49">
        <f>G18+G19+G20+G21</f>
        <v>1238900</v>
      </c>
      <c r="H17" s="49"/>
      <c r="I17" s="49"/>
    </row>
    <row r="18" spans="1:9" s="22" customFormat="1">
      <c r="A18" s="25"/>
      <c r="B18" s="25"/>
      <c r="C18" s="37"/>
      <c r="D18" s="34"/>
      <c r="E18" s="26" t="s">
        <v>165</v>
      </c>
      <c r="F18" s="31">
        <f>490000+554000</f>
        <v>1044000</v>
      </c>
      <c r="G18" s="50">
        <f>490000+554000</f>
        <v>1044000</v>
      </c>
      <c r="H18" s="50"/>
      <c r="I18" s="50"/>
    </row>
    <row r="19" spans="1:9" s="22" customFormat="1">
      <c r="A19" s="25"/>
      <c r="B19" s="25"/>
      <c r="C19" s="25"/>
      <c r="D19" s="26"/>
      <c r="E19" s="26" t="s">
        <v>166</v>
      </c>
      <c r="F19" s="31">
        <v>100000</v>
      </c>
      <c r="G19" s="50">
        <v>100000</v>
      </c>
      <c r="H19" s="50"/>
      <c r="I19" s="50"/>
    </row>
    <row r="20" spans="1:9" s="22" customFormat="1">
      <c r="A20" s="25"/>
      <c r="B20" s="25"/>
      <c r="C20" s="25"/>
      <c r="D20" s="26"/>
      <c r="E20" s="26" t="s">
        <v>376</v>
      </c>
      <c r="F20" s="31">
        <v>45000</v>
      </c>
      <c r="G20" s="50">
        <v>45000</v>
      </c>
      <c r="H20" s="50"/>
      <c r="I20" s="50"/>
    </row>
    <row r="21" spans="1:9" s="22" customFormat="1">
      <c r="A21" s="25"/>
      <c r="B21" s="25"/>
      <c r="C21" s="25"/>
      <c r="D21" s="26"/>
      <c r="E21" s="26" t="s">
        <v>249</v>
      </c>
      <c r="F21" s="31">
        <v>49900</v>
      </c>
      <c r="G21" s="50">
        <v>49900</v>
      </c>
      <c r="H21" s="50"/>
      <c r="I21" s="50"/>
    </row>
    <row r="22" spans="1:9" ht="37.5">
      <c r="A22" s="18" t="s">
        <v>300</v>
      </c>
      <c r="B22" s="18" t="s">
        <v>301</v>
      </c>
      <c r="C22" s="45" t="s">
        <v>16</v>
      </c>
      <c r="D22" s="27" t="s">
        <v>17</v>
      </c>
      <c r="E22" s="32" t="s">
        <v>15</v>
      </c>
      <c r="F22" s="30">
        <f>F23+F24+F25</f>
        <v>5300000</v>
      </c>
      <c r="G22" s="49">
        <f>G23+G24+G25</f>
        <v>5300000</v>
      </c>
      <c r="H22" s="49"/>
      <c r="I22" s="49"/>
    </row>
    <row r="23" spans="1:9" ht="37.5">
      <c r="A23" s="18"/>
      <c r="B23" s="18"/>
      <c r="C23" s="45"/>
      <c r="D23" s="27"/>
      <c r="E23" s="32" t="s">
        <v>368</v>
      </c>
      <c r="F23" s="30">
        <v>4500000</v>
      </c>
      <c r="G23" s="49">
        <v>4500000</v>
      </c>
      <c r="H23" s="49"/>
      <c r="I23" s="49"/>
    </row>
    <row r="24" spans="1:9" ht="75">
      <c r="A24" s="62"/>
      <c r="B24" s="18"/>
      <c r="C24" s="18"/>
      <c r="D24" s="73"/>
      <c r="E24" s="74" t="s">
        <v>341</v>
      </c>
      <c r="F24" s="30">
        <v>400000</v>
      </c>
      <c r="G24" s="85">
        <v>400000</v>
      </c>
      <c r="H24" s="85"/>
      <c r="I24" s="86"/>
    </row>
    <row r="25" spans="1:9" ht="75">
      <c r="A25" s="62"/>
      <c r="B25" s="18"/>
      <c r="C25" s="18"/>
      <c r="D25" s="73"/>
      <c r="E25" s="74" t="s">
        <v>342</v>
      </c>
      <c r="F25" s="30">
        <v>400000</v>
      </c>
      <c r="G25" s="85">
        <v>400000</v>
      </c>
      <c r="H25" s="85"/>
      <c r="I25" s="86"/>
    </row>
    <row r="26" spans="1:9" ht="40.15" customHeight="1">
      <c r="A26" s="18" t="s">
        <v>181</v>
      </c>
      <c r="B26" s="18" t="s">
        <v>182</v>
      </c>
      <c r="C26" s="45" t="s">
        <v>184</v>
      </c>
      <c r="D26" s="27" t="s">
        <v>183</v>
      </c>
      <c r="E26" s="32" t="s">
        <v>45</v>
      </c>
      <c r="F26" s="30">
        <v>27300</v>
      </c>
      <c r="G26" s="49">
        <v>27300</v>
      </c>
      <c r="H26" s="49"/>
      <c r="I26" s="49"/>
    </row>
    <row r="27" spans="1:9" ht="75">
      <c r="A27" s="18" t="s">
        <v>222</v>
      </c>
      <c r="B27" s="18" t="s">
        <v>223</v>
      </c>
      <c r="C27" s="45" t="s">
        <v>224</v>
      </c>
      <c r="D27" s="27" t="s">
        <v>225</v>
      </c>
      <c r="E27" s="32" t="s">
        <v>45</v>
      </c>
      <c r="F27" s="30">
        <v>70000</v>
      </c>
      <c r="G27" s="49">
        <v>70000</v>
      </c>
      <c r="H27" s="49"/>
      <c r="I27" s="49"/>
    </row>
    <row r="28" spans="1:9" ht="37.5">
      <c r="A28" s="18" t="s">
        <v>375</v>
      </c>
      <c r="B28" s="18" t="s">
        <v>80</v>
      </c>
      <c r="C28" s="29" t="s">
        <v>77</v>
      </c>
      <c r="D28" s="27" t="s">
        <v>81</v>
      </c>
      <c r="E28" s="32" t="s">
        <v>15</v>
      </c>
      <c r="F28" s="30">
        <f>F29+F30</f>
        <v>108900</v>
      </c>
      <c r="G28" s="49">
        <f>G29+G30</f>
        <v>108900</v>
      </c>
      <c r="H28" s="49"/>
      <c r="I28" s="49"/>
    </row>
    <row r="29" spans="1:9" s="22" customFormat="1">
      <c r="A29" s="25"/>
      <c r="B29" s="25"/>
      <c r="C29" s="77"/>
      <c r="D29" s="34"/>
      <c r="E29" s="26" t="s">
        <v>376</v>
      </c>
      <c r="F29" s="31">
        <v>50000</v>
      </c>
      <c r="G29" s="50">
        <v>50000</v>
      </c>
      <c r="H29" s="50"/>
      <c r="I29" s="50"/>
    </row>
    <row r="30" spans="1:9">
      <c r="A30" s="18"/>
      <c r="B30" s="18"/>
      <c r="C30" s="45"/>
      <c r="D30" s="27"/>
      <c r="E30" s="26" t="s">
        <v>166</v>
      </c>
      <c r="F30" s="31">
        <v>58900</v>
      </c>
      <c r="G30" s="50">
        <v>58900</v>
      </c>
      <c r="H30" s="49"/>
      <c r="I30" s="49"/>
    </row>
    <row r="31" spans="1:9" ht="37.5">
      <c r="A31" s="18" t="s">
        <v>185</v>
      </c>
      <c r="B31" s="18" t="s">
        <v>187</v>
      </c>
      <c r="C31" s="45" t="s">
        <v>188</v>
      </c>
      <c r="D31" s="27" t="s">
        <v>186</v>
      </c>
      <c r="E31" s="32" t="s">
        <v>45</v>
      </c>
      <c r="F31" s="30">
        <f>1300000-250000-106000-73880</f>
        <v>870120</v>
      </c>
      <c r="G31" s="49">
        <f>1300000-250000-106000-73880</f>
        <v>870120</v>
      </c>
      <c r="H31" s="49"/>
      <c r="I31" s="49"/>
    </row>
    <row r="32" spans="1:9" ht="37.5">
      <c r="A32" s="18" t="s">
        <v>250</v>
      </c>
      <c r="B32" s="18" t="s">
        <v>251</v>
      </c>
      <c r="C32" s="45" t="s">
        <v>188</v>
      </c>
      <c r="D32" s="27" t="s">
        <v>291</v>
      </c>
      <c r="E32" s="32" t="s">
        <v>45</v>
      </c>
      <c r="F32" s="30">
        <f>101232+188700+193640</f>
        <v>483572</v>
      </c>
      <c r="G32" s="49">
        <f>101232+188700+193640</f>
        <v>483572</v>
      </c>
      <c r="H32" s="49"/>
      <c r="I32" s="49"/>
    </row>
    <row r="33" spans="1:10" ht="61.9" customHeight="1">
      <c r="A33" s="18" t="s">
        <v>326</v>
      </c>
      <c r="B33" s="18" t="s">
        <v>327</v>
      </c>
      <c r="C33" s="45" t="s">
        <v>188</v>
      </c>
      <c r="D33" s="27" t="s">
        <v>328</v>
      </c>
      <c r="E33" s="69" t="s">
        <v>330</v>
      </c>
      <c r="F33" s="30">
        <v>1399000</v>
      </c>
      <c r="G33" s="49">
        <v>1399000</v>
      </c>
      <c r="H33" s="49"/>
      <c r="I33" s="49"/>
    </row>
    <row r="34" spans="1:10" ht="18.75" customHeight="1">
      <c r="A34" s="17" t="s">
        <v>18</v>
      </c>
      <c r="B34" s="16" t="s">
        <v>19</v>
      </c>
      <c r="C34" s="16" t="s">
        <v>19</v>
      </c>
      <c r="D34" s="104" t="s">
        <v>180</v>
      </c>
      <c r="E34" s="105"/>
      <c r="F34" s="20">
        <f>F35</f>
        <v>11909535</v>
      </c>
      <c r="G34" s="48">
        <f t="shared" ref="G34:I34" si="2">G35</f>
        <v>11321978</v>
      </c>
      <c r="H34" s="48">
        <f t="shared" si="2"/>
        <v>587557</v>
      </c>
      <c r="I34" s="48">
        <f t="shared" si="2"/>
        <v>0</v>
      </c>
      <c r="J34" s="1"/>
    </row>
    <row r="35" spans="1:10" ht="18.75" customHeight="1">
      <c r="A35" s="17" t="s">
        <v>20</v>
      </c>
      <c r="B35" s="16" t="s">
        <v>19</v>
      </c>
      <c r="C35" s="16" t="s">
        <v>19</v>
      </c>
      <c r="D35" s="104" t="s">
        <v>180</v>
      </c>
      <c r="E35" s="105"/>
      <c r="F35" s="20">
        <f>F36+F37+F41+F42+F43+F44</f>
        <v>11909535</v>
      </c>
      <c r="G35" s="20">
        <f t="shared" ref="G35:I35" si="3">G36+G37+G41+G42+G43+G44</f>
        <v>11321978</v>
      </c>
      <c r="H35" s="20">
        <f t="shared" si="3"/>
        <v>587557</v>
      </c>
      <c r="I35" s="20">
        <f t="shared" si="3"/>
        <v>0</v>
      </c>
      <c r="J35" s="1"/>
    </row>
    <row r="36" spans="1:10">
      <c r="A36" s="18" t="s">
        <v>226</v>
      </c>
      <c r="B36" s="18" t="s">
        <v>227</v>
      </c>
      <c r="C36" s="29" t="s">
        <v>228</v>
      </c>
      <c r="D36" s="27" t="s">
        <v>229</v>
      </c>
      <c r="E36" s="32" t="s">
        <v>45</v>
      </c>
      <c r="F36" s="30">
        <f>1600000+1120000+150000+1650000+1500000+1650000-2600000-300000-3200000</f>
        <v>1570000</v>
      </c>
      <c r="G36" s="49">
        <f>7670000-2600000-300000-3200000</f>
        <v>1570000</v>
      </c>
      <c r="H36" s="49"/>
      <c r="I36" s="49"/>
    </row>
    <row r="37" spans="1:10" ht="75">
      <c r="A37" s="18" t="s">
        <v>21</v>
      </c>
      <c r="B37" s="18" t="s">
        <v>22</v>
      </c>
      <c r="C37" s="29" t="s">
        <v>23</v>
      </c>
      <c r="D37" s="27" t="s">
        <v>24</v>
      </c>
      <c r="E37" s="32" t="s">
        <v>15</v>
      </c>
      <c r="F37" s="30">
        <f>F38+F39+F40</f>
        <v>5441885</v>
      </c>
      <c r="G37" s="49">
        <f>G38+G39+G40</f>
        <v>4854328</v>
      </c>
      <c r="H37" s="49">
        <f t="shared" ref="H37:I37" si="4">H38+H39+H40</f>
        <v>587557</v>
      </c>
      <c r="I37" s="49">
        <f t="shared" si="4"/>
        <v>0</v>
      </c>
    </row>
    <row r="38" spans="1:10" ht="139.15" customHeight="1">
      <c r="A38" s="18"/>
      <c r="B38" s="18"/>
      <c r="C38" s="29"/>
      <c r="D38" s="27"/>
      <c r="E38" s="32" t="s">
        <v>334</v>
      </c>
      <c r="F38" s="30">
        <f>1486596+450000-1349039</f>
        <v>587557</v>
      </c>
      <c r="G38" s="49">
        <f>450000+108000-558000</f>
        <v>0</v>
      </c>
      <c r="H38" s="49">
        <f>1486596-108000-791039</f>
        <v>587557</v>
      </c>
      <c r="I38" s="49"/>
    </row>
    <row r="39" spans="1:10" ht="150">
      <c r="A39" s="18"/>
      <c r="B39" s="18"/>
      <c r="C39" s="29"/>
      <c r="D39" s="27"/>
      <c r="E39" s="32" t="s">
        <v>335</v>
      </c>
      <c r="F39" s="30">
        <v>1145000</v>
      </c>
      <c r="G39" s="49">
        <v>1145000</v>
      </c>
      <c r="H39" s="49"/>
      <c r="I39" s="49"/>
    </row>
    <row r="40" spans="1:10">
      <c r="A40" s="18"/>
      <c r="B40" s="18"/>
      <c r="C40" s="29"/>
      <c r="D40" s="27"/>
      <c r="E40" s="32" t="s">
        <v>45</v>
      </c>
      <c r="F40" s="30">
        <f>7932000+1700000+3300000-4500000-4722672</f>
        <v>3709328</v>
      </c>
      <c r="G40" s="49">
        <f>7932000+1700000+3300000-4500000-4722672</f>
        <v>3709328</v>
      </c>
      <c r="H40" s="49"/>
      <c r="I40" s="49"/>
    </row>
    <row r="41" spans="1:10" ht="75">
      <c r="A41" s="18" t="s">
        <v>252</v>
      </c>
      <c r="B41" s="18" t="s">
        <v>253</v>
      </c>
      <c r="C41" s="45" t="s">
        <v>385</v>
      </c>
      <c r="D41" s="27" t="s">
        <v>388</v>
      </c>
      <c r="E41" s="32" t="s">
        <v>45</v>
      </c>
      <c r="F41" s="30">
        <v>73500</v>
      </c>
      <c r="G41" s="49">
        <v>73500</v>
      </c>
      <c r="H41" s="49"/>
      <c r="I41" s="49"/>
    </row>
    <row r="42" spans="1:10" ht="75">
      <c r="A42" s="18" t="s">
        <v>254</v>
      </c>
      <c r="B42" s="18" t="s">
        <v>255</v>
      </c>
      <c r="C42" s="45" t="s">
        <v>386</v>
      </c>
      <c r="D42" s="27" t="s">
        <v>387</v>
      </c>
      <c r="E42" s="32" t="s">
        <v>45</v>
      </c>
      <c r="F42" s="30">
        <v>40500</v>
      </c>
      <c r="G42" s="49">
        <v>40500</v>
      </c>
      <c r="H42" s="49"/>
      <c r="I42" s="49"/>
    </row>
    <row r="43" spans="1:10" ht="112.5">
      <c r="A43" s="18" t="s">
        <v>383</v>
      </c>
      <c r="B43" s="18" t="s">
        <v>384</v>
      </c>
      <c r="C43" s="45" t="s">
        <v>124</v>
      </c>
      <c r="D43" s="27" t="s">
        <v>389</v>
      </c>
      <c r="E43" s="32" t="s">
        <v>45</v>
      </c>
      <c r="F43" s="30">
        <v>283650</v>
      </c>
      <c r="G43" s="49">
        <v>283650</v>
      </c>
      <c r="H43" s="49"/>
      <c r="I43" s="49"/>
    </row>
    <row r="44" spans="1:10" ht="75">
      <c r="A44" s="18" t="s">
        <v>230</v>
      </c>
      <c r="B44" s="18">
        <v>8110</v>
      </c>
      <c r="C44" s="29" t="s">
        <v>91</v>
      </c>
      <c r="D44" s="27" t="s">
        <v>92</v>
      </c>
      <c r="E44" s="32" t="s">
        <v>45</v>
      </c>
      <c r="F44" s="30">
        <f>1000000+3500000</f>
        <v>4500000</v>
      </c>
      <c r="G44" s="49">
        <f>1000000+3500000</f>
        <v>4500000</v>
      </c>
      <c r="H44" s="49"/>
      <c r="I44" s="49"/>
    </row>
    <row r="45" spans="1:10" ht="18.75" customHeight="1">
      <c r="A45" s="17" t="s">
        <v>31</v>
      </c>
      <c r="B45" s="16" t="s">
        <v>19</v>
      </c>
      <c r="C45" s="16" t="s">
        <v>19</v>
      </c>
      <c r="D45" s="104" t="s">
        <v>32</v>
      </c>
      <c r="E45" s="105"/>
      <c r="F45" s="20">
        <f>F46</f>
        <v>12555341</v>
      </c>
      <c r="G45" s="48">
        <f t="shared" ref="G45:I45" si="5">G46</f>
        <v>12555341</v>
      </c>
      <c r="H45" s="48">
        <f t="shared" si="5"/>
        <v>0</v>
      </c>
      <c r="I45" s="48">
        <f t="shared" si="5"/>
        <v>0</v>
      </c>
      <c r="J45" s="1"/>
    </row>
    <row r="46" spans="1:10" ht="18.75" customHeight="1">
      <c r="A46" s="17" t="s">
        <v>33</v>
      </c>
      <c r="B46" s="16" t="s">
        <v>19</v>
      </c>
      <c r="C46" s="16" t="s">
        <v>19</v>
      </c>
      <c r="D46" s="104" t="s">
        <v>32</v>
      </c>
      <c r="E46" s="105"/>
      <c r="F46" s="20">
        <f>F47+F48+F49+F50+F51+F52</f>
        <v>12555341</v>
      </c>
      <c r="G46" s="48">
        <f t="shared" ref="G46:I46" si="6">G47+G48+G49+G50+G51+G52</f>
        <v>12555341</v>
      </c>
      <c r="H46" s="48">
        <f t="shared" si="6"/>
        <v>0</v>
      </c>
      <c r="I46" s="48">
        <f t="shared" si="6"/>
        <v>0</v>
      </c>
      <c r="J46" s="1"/>
    </row>
    <row r="47" spans="1:10" ht="75">
      <c r="A47" s="18" t="s">
        <v>34</v>
      </c>
      <c r="B47" s="18" t="s">
        <v>35</v>
      </c>
      <c r="C47" s="29" t="s">
        <v>13</v>
      </c>
      <c r="D47" s="27" t="s">
        <v>36</v>
      </c>
      <c r="E47" s="32" t="s">
        <v>45</v>
      </c>
      <c r="F47" s="30">
        <v>400000</v>
      </c>
      <c r="G47" s="49">
        <v>400000</v>
      </c>
      <c r="H47" s="49"/>
      <c r="I47" s="49"/>
    </row>
    <row r="48" spans="1:10" ht="112.5">
      <c r="A48" s="18" t="s">
        <v>37</v>
      </c>
      <c r="B48" s="18" t="s">
        <v>38</v>
      </c>
      <c r="C48" s="29" t="s">
        <v>39</v>
      </c>
      <c r="D48" s="27" t="s">
        <v>40</v>
      </c>
      <c r="E48" s="32" t="s">
        <v>45</v>
      </c>
      <c r="F48" s="30">
        <v>88000</v>
      </c>
      <c r="G48" s="49">
        <v>88000</v>
      </c>
      <c r="H48" s="49"/>
      <c r="I48" s="49"/>
    </row>
    <row r="49" spans="1:11" ht="54" customHeight="1">
      <c r="A49" s="18" t="s">
        <v>41</v>
      </c>
      <c r="B49" s="18" t="s">
        <v>42</v>
      </c>
      <c r="C49" s="29" t="s">
        <v>43</v>
      </c>
      <c r="D49" s="27" t="s">
        <v>44</v>
      </c>
      <c r="E49" s="32" t="s">
        <v>45</v>
      </c>
      <c r="F49" s="30">
        <f>84500-24500</f>
        <v>60000</v>
      </c>
      <c r="G49" s="49">
        <f>84500-24500</f>
        <v>60000</v>
      </c>
      <c r="H49" s="49"/>
      <c r="I49" s="49"/>
    </row>
    <row r="50" spans="1:11" ht="184.9" customHeight="1">
      <c r="A50" s="18" t="s">
        <v>208</v>
      </c>
      <c r="B50" s="18" t="s">
        <v>209</v>
      </c>
      <c r="C50" s="18" t="s">
        <v>210</v>
      </c>
      <c r="D50" s="108" t="s">
        <v>211</v>
      </c>
      <c r="E50" s="109"/>
      <c r="F50" s="60">
        <v>3280161</v>
      </c>
      <c r="G50" s="49">
        <v>3280161</v>
      </c>
      <c r="H50" s="49"/>
      <c r="I50" s="49"/>
    </row>
    <row r="51" spans="1:11" ht="188.45" customHeight="1">
      <c r="A51" s="18" t="s">
        <v>218</v>
      </c>
      <c r="B51" s="18" t="s">
        <v>219</v>
      </c>
      <c r="C51" s="18" t="s">
        <v>210</v>
      </c>
      <c r="D51" s="108" t="s">
        <v>220</v>
      </c>
      <c r="E51" s="109"/>
      <c r="F51" s="60">
        <f>2353300+4133348</f>
        <v>6486648</v>
      </c>
      <c r="G51" s="49">
        <f>2353300+4133348</f>
        <v>6486648</v>
      </c>
      <c r="H51" s="49"/>
      <c r="I51" s="49"/>
    </row>
    <row r="52" spans="1:11" ht="138.4" customHeight="1">
      <c r="A52" s="18" t="s">
        <v>212</v>
      </c>
      <c r="B52" s="18" t="s">
        <v>213</v>
      </c>
      <c r="C52" s="18" t="s">
        <v>210</v>
      </c>
      <c r="D52" s="110" t="s">
        <v>214</v>
      </c>
      <c r="E52" s="111"/>
      <c r="F52" s="60">
        <v>2240532</v>
      </c>
      <c r="G52" s="49">
        <v>2240532</v>
      </c>
      <c r="H52" s="49"/>
      <c r="I52" s="49"/>
    </row>
    <row r="53" spans="1:11" ht="18.75" customHeight="1">
      <c r="A53" s="17" t="s">
        <v>231</v>
      </c>
      <c r="B53" s="16" t="s">
        <v>19</v>
      </c>
      <c r="C53" s="16" t="s">
        <v>19</v>
      </c>
      <c r="D53" s="104" t="s">
        <v>232</v>
      </c>
      <c r="E53" s="105"/>
      <c r="F53" s="20">
        <f>F54</f>
        <v>1035000</v>
      </c>
      <c r="G53" s="48">
        <f>G54</f>
        <v>1035000</v>
      </c>
      <c r="H53" s="48"/>
      <c r="I53" s="48"/>
      <c r="J53" s="1"/>
    </row>
    <row r="54" spans="1:11" ht="18.75" customHeight="1">
      <c r="A54" s="17" t="s">
        <v>233</v>
      </c>
      <c r="B54" s="16" t="s">
        <v>19</v>
      </c>
      <c r="C54" s="16" t="s">
        <v>19</v>
      </c>
      <c r="D54" s="104" t="s">
        <v>232</v>
      </c>
      <c r="E54" s="105"/>
      <c r="F54" s="20">
        <f>F55+F56</f>
        <v>1035000</v>
      </c>
      <c r="G54" s="48">
        <f>G55+G56</f>
        <v>1035000</v>
      </c>
      <c r="H54" s="48"/>
      <c r="I54" s="48"/>
      <c r="J54" s="1"/>
    </row>
    <row r="55" spans="1:11" ht="75">
      <c r="A55" s="18" t="s">
        <v>234</v>
      </c>
      <c r="B55" s="18" t="s">
        <v>35</v>
      </c>
      <c r="C55" s="29" t="s">
        <v>13</v>
      </c>
      <c r="D55" s="27" t="s">
        <v>36</v>
      </c>
      <c r="E55" s="32" t="s">
        <v>45</v>
      </c>
      <c r="F55" s="30">
        <v>35000</v>
      </c>
      <c r="G55" s="49">
        <v>35000</v>
      </c>
      <c r="H55" s="49"/>
      <c r="I55" s="49"/>
    </row>
    <row r="56" spans="1:11" ht="168.75">
      <c r="A56" s="18" t="s">
        <v>337</v>
      </c>
      <c r="B56" s="18">
        <v>6083</v>
      </c>
      <c r="C56" s="29" t="s">
        <v>46</v>
      </c>
      <c r="D56" s="27" t="s">
        <v>331</v>
      </c>
      <c r="E56" s="32" t="s">
        <v>332</v>
      </c>
      <c r="F56" s="30">
        <v>1000000</v>
      </c>
      <c r="G56" s="49">
        <v>1000000</v>
      </c>
      <c r="H56" s="49"/>
      <c r="I56" s="49"/>
      <c r="J56" s="70"/>
      <c r="K56" s="22"/>
    </row>
    <row r="57" spans="1:11" ht="18.75" customHeight="1">
      <c r="A57" s="17" t="s">
        <v>47</v>
      </c>
      <c r="B57" s="16" t="s">
        <v>19</v>
      </c>
      <c r="C57" s="16" t="s">
        <v>19</v>
      </c>
      <c r="D57" s="104" t="s">
        <v>48</v>
      </c>
      <c r="E57" s="105"/>
      <c r="F57" s="20">
        <f>F58</f>
        <v>94000</v>
      </c>
      <c r="G57" s="48">
        <f t="shared" ref="G57:I57" si="7">G58</f>
        <v>94000</v>
      </c>
      <c r="H57" s="48">
        <f t="shared" si="7"/>
        <v>0</v>
      </c>
      <c r="I57" s="48">
        <f t="shared" si="7"/>
        <v>0</v>
      </c>
      <c r="J57" s="1"/>
    </row>
    <row r="58" spans="1:11" ht="18.75" customHeight="1">
      <c r="A58" s="17" t="s">
        <v>49</v>
      </c>
      <c r="B58" s="16" t="s">
        <v>19</v>
      </c>
      <c r="C58" s="16" t="s">
        <v>19</v>
      </c>
      <c r="D58" s="104" t="s">
        <v>48</v>
      </c>
      <c r="E58" s="105"/>
      <c r="F58" s="20">
        <f>F59+F60</f>
        <v>94000</v>
      </c>
      <c r="G58" s="48">
        <f t="shared" ref="G58:I58" si="8">G59+G60</f>
        <v>94000</v>
      </c>
      <c r="H58" s="48">
        <f t="shared" si="8"/>
        <v>0</v>
      </c>
      <c r="I58" s="48">
        <f t="shared" si="8"/>
        <v>0</v>
      </c>
      <c r="J58" s="1"/>
    </row>
    <row r="59" spans="1:11" ht="37.5">
      <c r="A59" s="18" t="s">
        <v>50</v>
      </c>
      <c r="B59" s="18" t="s">
        <v>51</v>
      </c>
      <c r="C59" s="29" t="s">
        <v>52</v>
      </c>
      <c r="D59" s="27" t="s">
        <v>53</v>
      </c>
      <c r="E59" s="32" t="s">
        <v>45</v>
      </c>
      <c r="F59" s="30">
        <v>74000</v>
      </c>
      <c r="G59" s="49">
        <v>74000</v>
      </c>
      <c r="H59" s="49"/>
      <c r="I59" s="49"/>
    </row>
    <row r="60" spans="1:11" ht="75">
      <c r="A60" s="18" t="s">
        <v>54</v>
      </c>
      <c r="B60" s="18" t="s">
        <v>55</v>
      </c>
      <c r="C60" s="29" t="s">
        <v>56</v>
      </c>
      <c r="D60" s="27" t="s">
        <v>57</v>
      </c>
      <c r="E60" s="32" t="s">
        <v>45</v>
      </c>
      <c r="F60" s="30">
        <v>20000</v>
      </c>
      <c r="G60" s="49">
        <v>20000</v>
      </c>
      <c r="H60" s="49"/>
      <c r="I60" s="49"/>
    </row>
    <row r="61" spans="1:11" ht="18.75" customHeight="1">
      <c r="A61" s="17" t="s">
        <v>58</v>
      </c>
      <c r="B61" s="16" t="s">
        <v>19</v>
      </c>
      <c r="C61" s="16" t="s">
        <v>19</v>
      </c>
      <c r="D61" s="104" t="s">
        <v>59</v>
      </c>
      <c r="E61" s="105"/>
      <c r="F61" s="20">
        <f>F62</f>
        <v>171000</v>
      </c>
      <c r="G61" s="48">
        <f t="shared" ref="G61:I62" si="9">G62</f>
        <v>171000</v>
      </c>
      <c r="H61" s="48">
        <f t="shared" si="9"/>
        <v>0</v>
      </c>
      <c r="I61" s="48">
        <f t="shared" si="9"/>
        <v>0</v>
      </c>
      <c r="J61" s="1"/>
    </row>
    <row r="62" spans="1:11" ht="18.75" customHeight="1">
      <c r="A62" s="17" t="s">
        <v>60</v>
      </c>
      <c r="B62" s="16" t="s">
        <v>19</v>
      </c>
      <c r="C62" s="16" t="s">
        <v>19</v>
      </c>
      <c r="D62" s="104" t="s">
        <v>59</v>
      </c>
      <c r="E62" s="105"/>
      <c r="F62" s="20">
        <f>F63</f>
        <v>171000</v>
      </c>
      <c r="G62" s="48">
        <f t="shared" si="9"/>
        <v>171000</v>
      </c>
      <c r="H62" s="48">
        <f t="shared" si="9"/>
        <v>0</v>
      </c>
      <c r="I62" s="48">
        <f t="shared" si="9"/>
        <v>0</v>
      </c>
      <c r="J62" s="1"/>
    </row>
    <row r="63" spans="1:11" ht="75">
      <c r="A63" s="18" t="s">
        <v>61</v>
      </c>
      <c r="B63" s="18" t="s">
        <v>35</v>
      </c>
      <c r="C63" s="29" t="s">
        <v>13</v>
      </c>
      <c r="D63" s="27" t="s">
        <v>36</v>
      </c>
      <c r="E63" s="32" t="s">
        <v>45</v>
      </c>
      <c r="F63" s="30">
        <f>50000+121000</f>
        <v>171000</v>
      </c>
      <c r="G63" s="49">
        <f>50000+121000</f>
        <v>171000</v>
      </c>
      <c r="H63" s="49"/>
      <c r="I63" s="49"/>
    </row>
    <row r="64" spans="1:11" ht="40.9" customHeight="1">
      <c r="A64" s="17" t="s">
        <v>62</v>
      </c>
      <c r="B64" s="16" t="s">
        <v>19</v>
      </c>
      <c r="C64" s="16" t="s">
        <v>19</v>
      </c>
      <c r="D64" s="104" t="s">
        <v>63</v>
      </c>
      <c r="E64" s="105"/>
      <c r="F64" s="20">
        <f>F65</f>
        <v>44370386.299999997</v>
      </c>
      <c r="G64" s="48">
        <f>G65</f>
        <v>44262386.299999997</v>
      </c>
      <c r="H64" s="48">
        <f t="shared" ref="H64:I64" si="10">H65</f>
        <v>108000</v>
      </c>
      <c r="I64" s="48">
        <f t="shared" si="10"/>
        <v>0</v>
      </c>
      <c r="J64" s="1"/>
    </row>
    <row r="65" spans="1:11" ht="40.9" customHeight="1">
      <c r="A65" s="17" t="s">
        <v>64</v>
      </c>
      <c r="B65" s="16" t="s">
        <v>19</v>
      </c>
      <c r="C65" s="16" t="s">
        <v>19</v>
      </c>
      <c r="D65" s="104" t="s">
        <v>63</v>
      </c>
      <c r="E65" s="105"/>
      <c r="F65" s="20">
        <f>F66+F67+F96+F97+F103+F104+F113+F119+F122+F126+F128+F132</f>
        <v>44370386.299999997</v>
      </c>
      <c r="G65" s="20">
        <f t="shared" ref="G65:H65" si="11">G66+G67+G96+G97+G103+G104+G113+G119+G122+G126+G128+G132</f>
        <v>44262386.299999997</v>
      </c>
      <c r="H65" s="20">
        <f t="shared" si="11"/>
        <v>108000</v>
      </c>
      <c r="I65" s="48">
        <f t="shared" ref="I65" si="12">I66+I67+I96+I97+I103+I104+I113+I119+I122+I128</f>
        <v>0</v>
      </c>
      <c r="J65" s="1"/>
      <c r="K65" s="1"/>
    </row>
    <row r="66" spans="1:11" ht="75">
      <c r="A66" s="18" t="s">
        <v>65</v>
      </c>
      <c r="B66" s="18" t="s">
        <v>35</v>
      </c>
      <c r="C66" s="29" t="s">
        <v>13</v>
      </c>
      <c r="D66" s="27" t="s">
        <v>36</v>
      </c>
      <c r="E66" s="32" t="s">
        <v>45</v>
      </c>
      <c r="F66" s="30">
        <v>199800</v>
      </c>
      <c r="G66" s="49">
        <f>199800-108000</f>
        <v>91800</v>
      </c>
      <c r="H66" s="49">
        <v>108000</v>
      </c>
      <c r="I66" s="49"/>
    </row>
    <row r="67" spans="1:11" ht="56.25">
      <c r="A67" s="18">
        <v>1216011</v>
      </c>
      <c r="B67" s="18">
        <v>6011</v>
      </c>
      <c r="C67" s="29" t="s">
        <v>46</v>
      </c>
      <c r="D67" s="27" t="s">
        <v>66</v>
      </c>
      <c r="E67" s="32" t="s">
        <v>15</v>
      </c>
      <c r="F67" s="30">
        <f>SUM(F68:F87)</f>
        <v>14561447.15</v>
      </c>
      <c r="G67" s="49">
        <f>SUM(G68:G87)</f>
        <v>14561447.15</v>
      </c>
      <c r="H67" s="49"/>
      <c r="I67" s="49"/>
    </row>
    <row r="68" spans="1:11" ht="168.75">
      <c r="A68" s="18"/>
      <c r="B68" s="18"/>
      <c r="C68" s="29"/>
      <c r="D68" s="27"/>
      <c r="E68" s="32" t="s">
        <v>164</v>
      </c>
      <c r="F68" s="30">
        <v>598000</v>
      </c>
      <c r="G68" s="49">
        <v>598000</v>
      </c>
      <c r="H68" s="49"/>
      <c r="I68" s="49"/>
    </row>
    <row r="69" spans="1:11" ht="75">
      <c r="A69" s="18"/>
      <c r="B69" s="18"/>
      <c r="C69" s="29"/>
      <c r="D69" s="27"/>
      <c r="E69" s="32" t="s">
        <v>378</v>
      </c>
      <c r="F69" s="30">
        <v>911100</v>
      </c>
      <c r="G69" s="49">
        <v>911100</v>
      </c>
      <c r="H69" s="49"/>
      <c r="I69" s="49"/>
    </row>
    <row r="70" spans="1:11" ht="56.25">
      <c r="A70" s="18"/>
      <c r="B70" s="18"/>
      <c r="C70" s="29"/>
      <c r="D70" s="27"/>
      <c r="E70" s="32" t="s">
        <v>303</v>
      </c>
      <c r="F70" s="30">
        <f>62500+7000</f>
        <v>69500</v>
      </c>
      <c r="G70" s="49">
        <f>62500+7000</f>
        <v>69500</v>
      </c>
      <c r="H70" s="49"/>
      <c r="I70" s="49"/>
    </row>
    <row r="71" spans="1:11" ht="75">
      <c r="A71" s="18"/>
      <c r="B71" s="18"/>
      <c r="C71" s="29"/>
      <c r="D71" s="27"/>
      <c r="E71" s="32" t="s">
        <v>379</v>
      </c>
      <c r="F71" s="30">
        <v>911100</v>
      </c>
      <c r="G71" s="49">
        <v>911100</v>
      </c>
      <c r="H71" s="49"/>
      <c r="I71" s="49"/>
    </row>
    <row r="72" spans="1:11" ht="56.25">
      <c r="A72" s="18"/>
      <c r="B72" s="18"/>
      <c r="C72" s="29"/>
      <c r="D72" s="27"/>
      <c r="E72" s="32" t="s">
        <v>302</v>
      </c>
      <c r="F72" s="30">
        <f>62500+7000</f>
        <v>69500</v>
      </c>
      <c r="G72" s="49">
        <f>62500+7000</f>
        <v>69500</v>
      </c>
      <c r="H72" s="49"/>
      <c r="I72" s="49"/>
    </row>
    <row r="73" spans="1:11" ht="56.25">
      <c r="A73" s="18"/>
      <c r="B73" s="18"/>
      <c r="C73" s="29"/>
      <c r="D73" s="27"/>
      <c r="E73" s="32" t="s">
        <v>73</v>
      </c>
      <c r="F73" s="30">
        <v>550000</v>
      </c>
      <c r="G73" s="49">
        <v>550000</v>
      </c>
      <c r="H73" s="49"/>
      <c r="I73" s="49"/>
    </row>
    <row r="74" spans="1:11" ht="56.25">
      <c r="A74" s="18"/>
      <c r="B74" s="18"/>
      <c r="C74" s="29"/>
      <c r="D74" s="27"/>
      <c r="E74" s="27" t="s">
        <v>235</v>
      </c>
      <c r="F74" s="30">
        <v>48000</v>
      </c>
      <c r="G74" s="49">
        <v>48000</v>
      </c>
      <c r="H74" s="49"/>
      <c r="I74" s="49"/>
    </row>
    <row r="75" spans="1:11" ht="37.5">
      <c r="A75" s="18"/>
      <c r="B75" s="18"/>
      <c r="C75" s="29"/>
      <c r="D75" s="27"/>
      <c r="E75" s="27" t="s">
        <v>236</v>
      </c>
      <c r="F75" s="30">
        <v>1452000</v>
      </c>
      <c r="G75" s="49">
        <v>1452000</v>
      </c>
      <c r="H75" s="49"/>
      <c r="I75" s="49"/>
    </row>
    <row r="76" spans="1:11" ht="75">
      <c r="A76" s="18"/>
      <c r="B76" s="18"/>
      <c r="C76" s="29"/>
      <c r="D76" s="27"/>
      <c r="E76" s="27" t="s">
        <v>380</v>
      </c>
      <c r="F76" s="30">
        <v>685700</v>
      </c>
      <c r="G76" s="49">
        <v>685700</v>
      </c>
      <c r="H76" s="49"/>
      <c r="I76" s="49"/>
    </row>
    <row r="77" spans="1:11" ht="75">
      <c r="A77" s="18"/>
      <c r="B77" s="18"/>
      <c r="C77" s="29"/>
      <c r="D77" s="27"/>
      <c r="E77" s="27" t="s">
        <v>381</v>
      </c>
      <c r="F77" s="30">
        <v>685700</v>
      </c>
      <c r="G77" s="49">
        <v>685700</v>
      </c>
      <c r="H77" s="49"/>
      <c r="I77" s="49"/>
    </row>
    <row r="78" spans="1:11" ht="56.25">
      <c r="A78" s="18"/>
      <c r="B78" s="18"/>
      <c r="C78" s="29"/>
      <c r="D78" s="27"/>
      <c r="E78" s="32" t="s">
        <v>72</v>
      </c>
      <c r="F78" s="30">
        <v>100000</v>
      </c>
      <c r="G78" s="49">
        <v>100000</v>
      </c>
      <c r="H78" s="49"/>
      <c r="I78" s="49"/>
    </row>
    <row r="79" spans="1:11" ht="56.25">
      <c r="A79" s="18"/>
      <c r="B79" s="18"/>
      <c r="C79" s="29"/>
      <c r="D79" s="27"/>
      <c r="E79" s="66" t="s">
        <v>304</v>
      </c>
      <c r="F79" s="30">
        <v>83938</v>
      </c>
      <c r="G79" s="49">
        <v>83938</v>
      </c>
      <c r="H79" s="49"/>
      <c r="I79" s="49"/>
    </row>
    <row r="80" spans="1:11" ht="56.25">
      <c r="A80" s="18"/>
      <c r="B80" s="18"/>
      <c r="C80" s="29"/>
      <c r="D80" s="27"/>
      <c r="E80" s="66" t="s">
        <v>305</v>
      </c>
      <c r="F80" s="30">
        <v>85297</v>
      </c>
      <c r="G80" s="49">
        <v>85297</v>
      </c>
      <c r="H80" s="49"/>
      <c r="I80" s="49"/>
    </row>
    <row r="81" spans="1:9" ht="56.25">
      <c r="A81" s="18"/>
      <c r="B81" s="18"/>
      <c r="C81" s="29"/>
      <c r="D81" s="27"/>
      <c r="E81" s="66" t="s">
        <v>306</v>
      </c>
      <c r="F81" s="30">
        <v>73615</v>
      </c>
      <c r="G81" s="49">
        <v>73615</v>
      </c>
      <c r="H81" s="49"/>
      <c r="I81" s="49"/>
    </row>
    <row r="82" spans="1:9" ht="37.5">
      <c r="A82" s="18"/>
      <c r="B82" s="18"/>
      <c r="C82" s="29"/>
      <c r="D82" s="27"/>
      <c r="E82" s="27" t="s">
        <v>237</v>
      </c>
      <c r="F82" s="30">
        <v>800000</v>
      </c>
      <c r="G82" s="49">
        <v>800000</v>
      </c>
      <c r="H82" s="49"/>
      <c r="I82" s="49"/>
    </row>
    <row r="83" spans="1:9">
      <c r="A83" s="18"/>
      <c r="B83" s="18"/>
      <c r="C83" s="29"/>
      <c r="D83" s="27"/>
      <c r="E83" s="32" t="s">
        <v>74</v>
      </c>
      <c r="F83" s="30">
        <f>230600+400000</f>
        <v>630600</v>
      </c>
      <c r="G83" s="49">
        <f>230600+400000</f>
        <v>630600</v>
      </c>
      <c r="H83" s="49"/>
      <c r="I83" s="49"/>
    </row>
    <row r="84" spans="1:9">
      <c r="A84" s="18"/>
      <c r="B84" s="18"/>
      <c r="C84" s="29"/>
      <c r="D84" s="27"/>
      <c r="E84" s="32" t="s">
        <v>244</v>
      </c>
      <c r="F84" s="30">
        <f>3000000+210000-200000-200000-100000</f>
        <v>2710000</v>
      </c>
      <c r="G84" s="49">
        <f>3000000+210000-200000-200000-100000</f>
        <v>2710000</v>
      </c>
      <c r="H84" s="49"/>
      <c r="I84" s="49"/>
    </row>
    <row r="85" spans="1:9">
      <c r="A85" s="18"/>
      <c r="B85" s="18"/>
      <c r="C85" s="29"/>
      <c r="D85" s="27"/>
      <c r="E85" s="32" t="s">
        <v>74</v>
      </c>
      <c r="F85" s="30">
        <v>600000</v>
      </c>
      <c r="G85" s="49">
        <v>600000</v>
      </c>
      <c r="H85" s="49"/>
      <c r="I85" s="49"/>
    </row>
    <row r="86" spans="1:9" ht="37.5">
      <c r="A86" s="18"/>
      <c r="B86" s="18"/>
      <c r="C86" s="29"/>
      <c r="D86" s="27"/>
      <c r="E86" s="32" t="s">
        <v>391</v>
      </c>
      <c r="F86" s="30">
        <v>500000</v>
      </c>
      <c r="G86" s="49">
        <v>500000</v>
      </c>
      <c r="H86" s="49"/>
      <c r="I86" s="49"/>
    </row>
    <row r="87" spans="1:9" ht="93.75">
      <c r="A87" s="18"/>
      <c r="B87" s="18"/>
      <c r="C87" s="29"/>
      <c r="D87" s="27"/>
      <c r="E87" s="32" t="s">
        <v>67</v>
      </c>
      <c r="F87" s="30">
        <f>SUM(F88:F95)</f>
        <v>2997397.15</v>
      </c>
      <c r="G87" s="49">
        <f>SUM(G88:G95)</f>
        <v>2997397.15</v>
      </c>
      <c r="H87" s="49"/>
      <c r="I87" s="49"/>
    </row>
    <row r="88" spans="1:9" s="22" customFormat="1" ht="56.25">
      <c r="A88" s="25"/>
      <c r="B88" s="25"/>
      <c r="C88" s="37"/>
      <c r="D88" s="34"/>
      <c r="E88" s="33" t="s">
        <v>68</v>
      </c>
      <c r="F88" s="31">
        <f>152934.75+19116.85</f>
        <v>172051.6</v>
      </c>
      <c r="G88" s="50">
        <f>152934.75+19116.85</f>
        <v>172051.6</v>
      </c>
      <c r="H88" s="50"/>
      <c r="I88" s="50"/>
    </row>
    <row r="89" spans="1:9" s="22" customFormat="1" ht="56.25">
      <c r="A89" s="25"/>
      <c r="B89" s="25"/>
      <c r="C89" s="37"/>
      <c r="D89" s="34"/>
      <c r="E89" s="33" t="s">
        <v>323</v>
      </c>
      <c r="F89" s="31">
        <f>373727.2+46715.9+562017.23</f>
        <v>982460.33000000007</v>
      </c>
      <c r="G89" s="50">
        <f>373727.2+46715.9+562017.23</f>
        <v>982460.33000000007</v>
      </c>
      <c r="H89" s="50"/>
      <c r="I89" s="50"/>
    </row>
    <row r="90" spans="1:9" s="22" customFormat="1" ht="75">
      <c r="A90" s="25"/>
      <c r="B90" s="25"/>
      <c r="C90" s="37"/>
      <c r="D90" s="34"/>
      <c r="E90" s="33" t="s">
        <v>69</v>
      </c>
      <c r="F90" s="31">
        <f>40000+5000</f>
        <v>45000</v>
      </c>
      <c r="G90" s="50">
        <f>40000+5000</f>
        <v>45000</v>
      </c>
      <c r="H90" s="50"/>
      <c r="I90" s="50"/>
    </row>
    <row r="91" spans="1:9" s="22" customFormat="1" ht="56.25">
      <c r="A91" s="25"/>
      <c r="B91" s="25"/>
      <c r="C91" s="37"/>
      <c r="D91" s="34"/>
      <c r="E91" s="33" t="s">
        <v>70</v>
      </c>
      <c r="F91" s="31">
        <f>400000+50000</f>
        <v>450000</v>
      </c>
      <c r="G91" s="50">
        <f>400000+50000</f>
        <v>450000</v>
      </c>
      <c r="H91" s="50"/>
      <c r="I91" s="50"/>
    </row>
    <row r="92" spans="1:9" s="22" customFormat="1" ht="75">
      <c r="A92" s="25"/>
      <c r="B92" s="25"/>
      <c r="C92" s="37"/>
      <c r="D92" s="34"/>
      <c r="E92" s="33" t="s">
        <v>215</v>
      </c>
      <c r="F92" s="31">
        <f>378000-28524.96</f>
        <v>349475.04</v>
      </c>
      <c r="G92" s="50">
        <f>378000-28524.96</f>
        <v>349475.04</v>
      </c>
      <c r="H92" s="50"/>
      <c r="I92" s="50"/>
    </row>
    <row r="93" spans="1:9" s="22" customFormat="1" ht="75">
      <c r="A93" s="25"/>
      <c r="B93" s="25"/>
      <c r="C93" s="37"/>
      <c r="D93" s="34"/>
      <c r="E93" s="33" t="s">
        <v>71</v>
      </c>
      <c r="F93" s="31">
        <f>27337.22+3417.16</f>
        <v>30754.38</v>
      </c>
      <c r="G93" s="50">
        <f>27337.22+3417.16</f>
        <v>30754.38</v>
      </c>
      <c r="H93" s="50"/>
      <c r="I93" s="50"/>
    </row>
    <row r="94" spans="1:9" s="22" customFormat="1" ht="56.25">
      <c r="A94" s="25"/>
      <c r="B94" s="25"/>
      <c r="C94" s="37"/>
      <c r="D94" s="34"/>
      <c r="E94" s="33" t="s">
        <v>325</v>
      </c>
      <c r="F94" s="31">
        <f>379444.8+47430.6+1451585.7-1869200</f>
        <v>9261.0999999998603</v>
      </c>
      <c r="G94" s="50">
        <f>379444.8+47430.6+1451585.7-1869200</f>
        <v>9261.0999999998603</v>
      </c>
      <c r="H94" s="50"/>
      <c r="I94" s="50"/>
    </row>
    <row r="95" spans="1:9" s="22" customFormat="1" ht="75">
      <c r="A95" s="25"/>
      <c r="B95" s="25"/>
      <c r="C95" s="37"/>
      <c r="D95" s="34"/>
      <c r="E95" s="33" t="s">
        <v>324</v>
      </c>
      <c r="F95" s="31">
        <f>375515.2+46939.4+535940.1</f>
        <v>958394.7</v>
      </c>
      <c r="G95" s="50">
        <f>375515.2+46939.4+535940.1</f>
        <v>958394.7</v>
      </c>
      <c r="H95" s="50"/>
      <c r="I95" s="50"/>
    </row>
    <row r="96" spans="1:9" ht="56.25">
      <c r="A96" s="18" t="s">
        <v>307</v>
      </c>
      <c r="B96" s="18" t="s">
        <v>108</v>
      </c>
      <c r="C96" s="29" t="s">
        <v>77</v>
      </c>
      <c r="D96" s="27" t="s">
        <v>109</v>
      </c>
      <c r="E96" s="32" t="s">
        <v>308</v>
      </c>
      <c r="F96" s="30">
        <f>122724</f>
        <v>122724</v>
      </c>
      <c r="G96" s="49">
        <f>122724</f>
        <v>122724</v>
      </c>
      <c r="H96" s="49"/>
      <c r="I96" s="49"/>
    </row>
    <row r="97" spans="1:9" ht="56.25">
      <c r="A97" s="18" t="s">
        <v>75</v>
      </c>
      <c r="B97" s="18" t="s">
        <v>76</v>
      </c>
      <c r="C97" s="29" t="s">
        <v>77</v>
      </c>
      <c r="D97" s="27" t="s">
        <v>78</v>
      </c>
      <c r="E97" s="32" t="s">
        <v>15</v>
      </c>
      <c r="F97" s="30">
        <f>F98</f>
        <v>1391959.38</v>
      </c>
      <c r="G97" s="49">
        <f>G98</f>
        <v>1391959.38</v>
      </c>
      <c r="H97" s="49"/>
      <c r="I97" s="49"/>
    </row>
    <row r="98" spans="1:9" ht="93.75">
      <c r="A98" s="18"/>
      <c r="B98" s="18"/>
      <c r="C98" s="29"/>
      <c r="D98" s="27"/>
      <c r="E98" s="32" t="s">
        <v>67</v>
      </c>
      <c r="F98" s="30">
        <f>F99+F100+F101+F102</f>
        <v>1391959.38</v>
      </c>
      <c r="G98" s="49">
        <f>G99+G100+G101+G102</f>
        <v>1391959.38</v>
      </c>
      <c r="H98" s="49"/>
      <c r="I98" s="49"/>
    </row>
    <row r="99" spans="1:9" s="22" customFormat="1" ht="56.25">
      <c r="A99" s="25"/>
      <c r="B99" s="25"/>
      <c r="C99" s="25"/>
      <c r="D99" s="26"/>
      <c r="E99" s="34" t="s">
        <v>189</v>
      </c>
      <c r="F99" s="35">
        <f>382905.94+44644.06</f>
        <v>427550</v>
      </c>
      <c r="G99" s="52">
        <f>382905.94+44644.06</f>
        <v>427550</v>
      </c>
      <c r="H99" s="50"/>
      <c r="I99" s="50"/>
    </row>
    <row r="100" spans="1:9" s="22" customFormat="1" ht="56.25">
      <c r="A100" s="25"/>
      <c r="B100" s="25"/>
      <c r="C100" s="25"/>
      <c r="D100" s="26"/>
      <c r="E100" s="34" t="s">
        <v>333</v>
      </c>
      <c r="F100" s="35">
        <v>495000</v>
      </c>
      <c r="G100" s="52">
        <v>495000</v>
      </c>
      <c r="H100" s="50"/>
      <c r="I100" s="50"/>
    </row>
    <row r="101" spans="1:9" s="22" customFormat="1" ht="37.5">
      <c r="A101" s="25"/>
      <c r="B101" s="25"/>
      <c r="C101" s="25"/>
      <c r="D101" s="26"/>
      <c r="E101" s="34" t="s">
        <v>216</v>
      </c>
      <c r="F101" s="35">
        <v>45000</v>
      </c>
      <c r="G101" s="52">
        <v>45000</v>
      </c>
      <c r="H101" s="50"/>
      <c r="I101" s="50"/>
    </row>
    <row r="102" spans="1:9" s="22" customFormat="1" ht="56.25">
      <c r="A102" s="25"/>
      <c r="B102" s="25"/>
      <c r="C102" s="25"/>
      <c r="D102" s="26"/>
      <c r="E102" s="34" t="s">
        <v>82</v>
      </c>
      <c r="F102" s="35">
        <f>377779.54+46629.84</f>
        <v>424409.38</v>
      </c>
      <c r="G102" s="52">
        <f>377779.54+46629.84</f>
        <v>424409.38</v>
      </c>
      <c r="H102" s="50"/>
      <c r="I102" s="50"/>
    </row>
    <row r="103" spans="1:9" ht="93.75">
      <c r="A103" s="18" t="s">
        <v>292</v>
      </c>
      <c r="B103" s="18" t="s">
        <v>293</v>
      </c>
      <c r="C103" s="18" t="s">
        <v>77</v>
      </c>
      <c r="D103" s="32" t="s">
        <v>294</v>
      </c>
      <c r="E103" s="27" t="s">
        <v>45</v>
      </c>
      <c r="F103" s="36">
        <f>540000+99990</f>
        <v>639990</v>
      </c>
      <c r="G103" s="51">
        <f>540000+99990</f>
        <v>639990</v>
      </c>
      <c r="H103" s="49"/>
      <c r="I103" s="49"/>
    </row>
    <row r="104" spans="1:9" ht="37.5">
      <c r="A104" s="18" t="s">
        <v>79</v>
      </c>
      <c r="B104" s="18" t="s">
        <v>80</v>
      </c>
      <c r="C104" s="29" t="s">
        <v>77</v>
      </c>
      <c r="D104" s="27" t="s">
        <v>81</v>
      </c>
      <c r="E104" s="32" t="s">
        <v>15</v>
      </c>
      <c r="F104" s="30">
        <f>F105+F106+F107+F108+F109+F110</f>
        <v>1897832</v>
      </c>
      <c r="G104" s="49">
        <f t="shared" ref="G104:I104" si="13">G105+G106+G107+G108+G109+G110</f>
        <v>1897832</v>
      </c>
      <c r="H104" s="49">
        <f t="shared" si="13"/>
        <v>0</v>
      </c>
      <c r="I104" s="49">
        <f t="shared" si="13"/>
        <v>0</v>
      </c>
    </row>
    <row r="105" spans="1:9" s="22" customFormat="1" ht="75">
      <c r="A105" s="25"/>
      <c r="B105" s="25"/>
      <c r="C105" s="25"/>
      <c r="D105" s="26"/>
      <c r="E105" s="28" t="s">
        <v>83</v>
      </c>
      <c r="F105" s="36">
        <v>220000</v>
      </c>
      <c r="G105" s="51">
        <v>220000</v>
      </c>
      <c r="H105" s="50"/>
      <c r="I105" s="50"/>
    </row>
    <row r="106" spans="1:9" s="22" customFormat="1" ht="40.9" customHeight="1">
      <c r="A106" s="25"/>
      <c r="B106" s="25"/>
      <c r="C106" s="25"/>
      <c r="D106" s="26"/>
      <c r="E106" s="28" t="s">
        <v>84</v>
      </c>
      <c r="F106" s="36">
        <v>50000</v>
      </c>
      <c r="G106" s="51">
        <v>50000</v>
      </c>
      <c r="H106" s="50"/>
      <c r="I106" s="50"/>
    </row>
    <row r="107" spans="1:9" s="22" customFormat="1" ht="56.25">
      <c r="A107" s="25"/>
      <c r="B107" s="25"/>
      <c r="C107" s="25"/>
      <c r="D107" s="26"/>
      <c r="E107" s="32" t="s">
        <v>85</v>
      </c>
      <c r="F107" s="30">
        <f>741099.08+49800+48600</f>
        <v>839499.08</v>
      </c>
      <c r="G107" s="49">
        <f>741099.08+49800+48600</f>
        <v>839499.08</v>
      </c>
      <c r="H107" s="50"/>
      <c r="I107" s="50"/>
    </row>
    <row r="108" spans="1:9" ht="37.5">
      <c r="A108" s="18"/>
      <c r="B108" s="18"/>
      <c r="C108" s="18"/>
      <c r="D108" s="15"/>
      <c r="E108" s="27" t="s">
        <v>179</v>
      </c>
      <c r="F108" s="36">
        <f>100800-1821</f>
        <v>98979</v>
      </c>
      <c r="G108" s="51">
        <f>100800-1821</f>
        <v>98979</v>
      </c>
      <c r="H108" s="49"/>
      <c r="I108" s="49"/>
    </row>
    <row r="109" spans="1:9" ht="56.25">
      <c r="A109" s="18"/>
      <c r="B109" s="18"/>
      <c r="C109" s="18"/>
      <c r="D109" s="15"/>
      <c r="E109" s="27" t="s">
        <v>190</v>
      </c>
      <c r="F109" s="36">
        <f>261000-14000</f>
        <v>247000</v>
      </c>
      <c r="G109" s="51">
        <f>261000-14000</f>
        <v>247000</v>
      </c>
      <c r="H109" s="49"/>
      <c r="I109" s="49"/>
    </row>
    <row r="110" spans="1:9" s="22" customFormat="1" ht="93.75">
      <c r="A110" s="25"/>
      <c r="B110" s="25"/>
      <c r="C110" s="25"/>
      <c r="D110" s="26"/>
      <c r="E110" s="32" t="s">
        <v>67</v>
      </c>
      <c r="F110" s="30">
        <f>F111+F112</f>
        <v>442353.91999999998</v>
      </c>
      <c r="G110" s="49">
        <f>G111+G112</f>
        <v>442353.91999999998</v>
      </c>
      <c r="H110" s="50"/>
      <c r="I110" s="50"/>
    </row>
    <row r="111" spans="1:9" s="22" customFormat="1" ht="56.45" customHeight="1">
      <c r="A111" s="25"/>
      <c r="B111" s="25"/>
      <c r="C111" s="25"/>
      <c r="D111" s="26"/>
      <c r="E111" s="34" t="s">
        <v>86</v>
      </c>
      <c r="F111" s="35">
        <f>34555.23+33444.77</f>
        <v>68000</v>
      </c>
      <c r="G111" s="52">
        <f>34555.23+33444.77</f>
        <v>68000</v>
      </c>
      <c r="H111" s="50"/>
      <c r="I111" s="50"/>
    </row>
    <row r="112" spans="1:9" s="22" customFormat="1" ht="64.150000000000006" customHeight="1">
      <c r="A112" s="25"/>
      <c r="B112" s="25"/>
      <c r="C112" s="25"/>
      <c r="D112" s="26"/>
      <c r="E112" s="34" t="s">
        <v>340</v>
      </c>
      <c r="F112" s="35">
        <f>189169.08+194830.92-9646.08</f>
        <v>374353.91999999998</v>
      </c>
      <c r="G112" s="52">
        <f>189169.08+194830.92-9646.08</f>
        <v>374353.91999999998</v>
      </c>
      <c r="H112" s="50"/>
      <c r="I112" s="50"/>
    </row>
    <row r="113" spans="1:9" ht="37.5">
      <c r="A113" s="7">
        <v>1217310</v>
      </c>
      <c r="B113" s="45" t="s">
        <v>343</v>
      </c>
      <c r="C113" s="45" t="s">
        <v>87</v>
      </c>
      <c r="D113" s="32" t="s">
        <v>344</v>
      </c>
      <c r="E113" s="15" t="s">
        <v>15</v>
      </c>
      <c r="F113" s="30">
        <f>F114+F115+F116+F117+F118</f>
        <v>4543206.6400000006</v>
      </c>
      <c r="G113" s="49">
        <f>G114+G115+G116+G117+G118</f>
        <v>4543206.6400000006</v>
      </c>
      <c r="H113" s="49"/>
      <c r="I113" s="86"/>
    </row>
    <row r="114" spans="1:9" ht="75">
      <c r="A114" s="7"/>
      <c r="B114" s="45"/>
      <c r="C114" s="45"/>
      <c r="D114" s="32"/>
      <c r="E114" s="15" t="s">
        <v>345</v>
      </c>
      <c r="F114" s="30">
        <f>2100000+85206.64</f>
        <v>2185206.64</v>
      </c>
      <c r="G114" s="87">
        <f>2100000+85206.64</f>
        <v>2185206.64</v>
      </c>
      <c r="H114" s="87"/>
      <c r="I114" s="86"/>
    </row>
    <row r="115" spans="1:9" ht="56.25">
      <c r="A115" s="7"/>
      <c r="B115" s="45"/>
      <c r="C115" s="45"/>
      <c r="D115" s="32"/>
      <c r="E115" s="15" t="s">
        <v>346</v>
      </c>
      <c r="F115" s="30">
        <f>225000+75000</f>
        <v>300000</v>
      </c>
      <c r="G115" s="87">
        <f>225000+75000</f>
        <v>300000</v>
      </c>
      <c r="H115" s="87"/>
      <c r="I115" s="86"/>
    </row>
    <row r="116" spans="1:9" ht="56.25">
      <c r="A116" s="7"/>
      <c r="B116" s="45"/>
      <c r="C116" s="45"/>
      <c r="D116" s="32"/>
      <c r="E116" s="15" t="s">
        <v>347</v>
      </c>
      <c r="F116" s="30">
        <f>1150000+350000-735000+331000</f>
        <v>1096000</v>
      </c>
      <c r="G116" s="87">
        <f>1150000+350000-735000+331000</f>
        <v>1096000</v>
      </c>
      <c r="H116" s="87"/>
      <c r="I116" s="86"/>
    </row>
    <row r="117" spans="1:9" ht="56.25">
      <c r="A117" s="7"/>
      <c r="B117" s="45"/>
      <c r="C117" s="45"/>
      <c r="D117" s="32"/>
      <c r="E117" s="75" t="s">
        <v>348</v>
      </c>
      <c r="F117" s="30">
        <v>582000</v>
      </c>
      <c r="G117" s="87">
        <v>582000</v>
      </c>
      <c r="H117" s="87"/>
      <c r="I117" s="86"/>
    </row>
    <row r="118" spans="1:9" ht="75">
      <c r="A118" s="7"/>
      <c r="B118" s="45"/>
      <c r="C118" s="45"/>
      <c r="D118" s="32"/>
      <c r="E118" s="75" t="s">
        <v>349</v>
      </c>
      <c r="F118" s="30">
        <v>380000</v>
      </c>
      <c r="G118" s="87">
        <v>380000</v>
      </c>
      <c r="H118" s="87"/>
      <c r="I118" s="86"/>
    </row>
    <row r="119" spans="1:9" ht="30.6" customHeight="1">
      <c r="A119" s="18">
        <v>1217640</v>
      </c>
      <c r="B119" s="29">
        <v>7640</v>
      </c>
      <c r="C119" s="27" t="s">
        <v>88</v>
      </c>
      <c r="D119" s="32" t="s">
        <v>89</v>
      </c>
      <c r="E119" s="32" t="s">
        <v>15</v>
      </c>
      <c r="F119" s="30">
        <f>F120</f>
        <v>324089.55</v>
      </c>
      <c r="G119" s="49">
        <f>G120</f>
        <v>324089.55</v>
      </c>
      <c r="H119" s="49"/>
      <c r="I119" s="49"/>
    </row>
    <row r="120" spans="1:9" s="22" customFormat="1" ht="93.75">
      <c r="A120" s="25"/>
      <c r="B120" s="25"/>
      <c r="C120" s="25"/>
      <c r="D120" s="26"/>
      <c r="E120" s="32" t="s">
        <v>67</v>
      </c>
      <c r="F120" s="30">
        <f>F121</f>
        <v>324089.55</v>
      </c>
      <c r="G120" s="49">
        <f>G121</f>
        <v>324089.55</v>
      </c>
      <c r="H120" s="50"/>
      <c r="I120" s="50"/>
    </row>
    <row r="121" spans="1:9" s="22" customFormat="1" ht="56.25">
      <c r="A121" s="25"/>
      <c r="B121" s="25"/>
      <c r="C121" s="25"/>
      <c r="D121" s="26"/>
      <c r="E121" s="33" t="s">
        <v>90</v>
      </c>
      <c r="F121" s="31">
        <f>24079.6+300009.95</f>
        <v>324089.55</v>
      </c>
      <c r="G121" s="50">
        <f>24079.6+300009.95</f>
        <v>324089.55</v>
      </c>
      <c r="H121" s="50"/>
      <c r="I121" s="50"/>
    </row>
    <row r="122" spans="1:9" ht="37.5">
      <c r="A122" s="7">
        <v>1217670</v>
      </c>
      <c r="B122" s="45" t="s">
        <v>350</v>
      </c>
      <c r="C122" s="59" t="s">
        <v>124</v>
      </c>
      <c r="D122" s="27" t="s">
        <v>351</v>
      </c>
      <c r="E122" s="75" t="s">
        <v>15</v>
      </c>
      <c r="F122" s="30">
        <f>F123+F124+F125</f>
        <v>11896600</v>
      </c>
      <c r="G122" s="49">
        <f>G123+G125</f>
        <v>11896600</v>
      </c>
      <c r="H122" s="87"/>
      <c r="I122" s="86"/>
    </row>
    <row r="123" spans="1:9" s="22" customFormat="1">
      <c r="A123" s="76"/>
      <c r="B123" s="77"/>
      <c r="C123" s="78"/>
      <c r="D123" s="34"/>
      <c r="E123" s="79" t="s">
        <v>352</v>
      </c>
      <c r="F123" s="31">
        <f>9446600</f>
        <v>9446600</v>
      </c>
      <c r="G123" s="88">
        <f>9446600+1930000</f>
        <v>11376600</v>
      </c>
      <c r="H123" s="88"/>
      <c r="I123" s="89"/>
    </row>
    <row r="124" spans="1:9" s="22" customFormat="1" ht="37.5">
      <c r="A124" s="76"/>
      <c r="B124" s="77"/>
      <c r="C124" s="78"/>
      <c r="D124" s="34"/>
      <c r="E124" s="79" t="s">
        <v>393</v>
      </c>
      <c r="F124" s="31">
        <v>1930000</v>
      </c>
      <c r="G124" s="88"/>
      <c r="H124" s="88"/>
      <c r="I124" s="89"/>
    </row>
    <row r="125" spans="1:9" s="22" customFormat="1">
      <c r="A125" s="76"/>
      <c r="B125" s="77"/>
      <c r="C125" s="78"/>
      <c r="D125" s="34"/>
      <c r="E125" s="79" t="s">
        <v>353</v>
      </c>
      <c r="F125" s="31">
        <v>520000</v>
      </c>
      <c r="G125" s="88">
        <v>520000</v>
      </c>
      <c r="H125" s="88"/>
      <c r="I125" s="89"/>
    </row>
    <row r="126" spans="1:9" ht="37.5">
      <c r="A126" s="7">
        <v>1217693</v>
      </c>
      <c r="B126" s="45" t="s">
        <v>148</v>
      </c>
      <c r="C126" s="59" t="s">
        <v>124</v>
      </c>
      <c r="D126" s="27" t="s">
        <v>149</v>
      </c>
      <c r="E126" s="75" t="s">
        <v>15</v>
      </c>
      <c r="F126" s="30">
        <f>F127</f>
        <v>5111684</v>
      </c>
      <c r="G126" s="87">
        <f>G127</f>
        <v>5111684</v>
      </c>
      <c r="H126" s="87"/>
      <c r="I126" s="86"/>
    </row>
    <row r="127" spans="1:9" s="22" customFormat="1">
      <c r="A127" s="76"/>
      <c r="B127" s="77"/>
      <c r="C127" s="78"/>
      <c r="D127" s="34"/>
      <c r="E127" s="79" t="s">
        <v>390</v>
      </c>
      <c r="F127" s="31">
        <f>5111684</f>
        <v>5111684</v>
      </c>
      <c r="G127" s="88">
        <v>5111684</v>
      </c>
      <c r="H127" s="88"/>
      <c r="I127" s="89"/>
    </row>
    <row r="128" spans="1:9" ht="75">
      <c r="A128" s="18">
        <v>1218110</v>
      </c>
      <c r="B128" s="29">
        <v>8110</v>
      </c>
      <c r="C128" s="27" t="s">
        <v>91</v>
      </c>
      <c r="D128" s="32" t="s">
        <v>92</v>
      </c>
      <c r="E128" s="32" t="s">
        <v>15</v>
      </c>
      <c r="F128" s="30">
        <f>F129+F130+F131</f>
        <v>3424114.6</v>
      </c>
      <c r="G128" s="49">
        <f>G129+G130+G131</f>
        <v>3424114.6</v>
      </c>
      <c r="H128" s="49"/>
      <c r="I128" s="49"/>
    </row>
    <row r="129" spans="1:11" ht="131.25">
      <c r="A129" s="18"/>
      <c r="B129" s="18"/>
      <c r="C129" s="18"/>
      <c r="D129" s="15"/>
      <c r="E129" s="15" t="s">
        <v>133</v>
      </c>
      <c r="F129" s="30">
        <v>1170000</v>
      </c>
      <c r="G129" s="49">
        <v>1170000</v>
      </c>
      <c r="H129" s="49"/>
      <c r="I129" s="49"/>
    </row>
    <row r="130" spans="1:11" ht="56.25">
      <c r="A130" s="18"/>
      <c r="B130" s="18"/>
      <c r="C130" s="18"/>
      <c r="D130" s="15"/>
      <c r="E130" s="15" t="s">
        <v>134</v>
      </c>
      <c r="F130" s="30">
        <f>2639114.6-1150000</f>
        <v>1489114.6</v>
      </c>
      <c r="G130" s="49">
        <f>2639114.6-1150000</f>
        <v>1489114.6</v>
      </c>
      <c r="H130" s="49"/>
      <c r="I130" s="49"/>
    </row>
    <row r="131" spans="1:11" ht="56.25">
      <c r="A131" s="18"/>
      <c r="B131" s="18"/>
      <c r="C131" s="18"/>
      <c r="D131" s="15"/>
      <c r="E131" s="15" t="s">
        <v>256</v>
      </c>
      <c r="F131" s="30">
        <f>1500000-404000-331000</f>
        <v>765000</v>
      </c>
      <c r="G131" s="49">
        <f>1500000-404000-331000</f>
        <v>765000</v>
      </c>
      <c r="H131" s="49"/>
      <c r="I131" s="49"/>
    </row>
    <row r="132" spans="1:11" ht="112.5">
      <c r="A132" s="18" t="s">
        <v>394</v>
      </c>
      <c r="B132" s="18" t="s">
        <v>395</v>
      </c>
      <c r="C132" s="18" t="s">
        <v>396</v>
      </c>
      <c r="D132" s="15" t="s">
        <v>397</v>
      </c>
      <c r="E132" s="15" t="s">
        <v>45</v>
      </c>
      <c r="F132" s="30">
        <v>256938.98</v>
      </c>
      <c r="G132" s="49">
        <v>256938.98</v>
      </c>
      <c r="H132" s="49"/>
      <c r="I132" s="49"/>
    </row>
    <row r="133" spans="1:11" ht="37.9" customHeight="1">
      <c r="A133" s="17" t="s">
        <v>93</v>
      </c>
      <c r="B133" s="16" t="s">
        <v>19</v>
      </c>
      <c r="C133" s="16" t="s">
        <v>19</v>
      </c>
      <c r="D133" s="112" t="s">
        <v>94</v>
      </c>
      <c r="E133" s="112"/>
      <c r="F133" s="20">
        <f>F134</f>
        <v>176966780.82999998</v>
      </c>
      <c r="G133" s="48">
        <f t="shared" ref="G133:I133" si="14">G134</f>
        <v>161225349.82999998</v>
      </c>
      <c r="H133" s="48">
        <f t="shared" si="14"/>
        <v>10141431</v>
      </c>
      <c r="I133" s="48">
        <f t="shared" si="14"/>
        <v>5600000</v>
      </c>
      <c r="J133" s="1"/>
    </row>
    <row r="134" spans="1:11" ht="37.9" customHeight="1">
      <c r="A134" s="17" t="s">
        <v>95</v>
      </c>
      <c r="B134" s="16" t="s">
        <v>19</v>
      </c>
      <c r="C134" s="16" t="s">
        <v>19</v>
      </c>
      <c r="D134" s="104" t="s">
        <v>94</v>
      </c>
      <c r="E134" s="105"/>
      <c r="F134" s="20">
        <f>F135+F136+F139+F140+F177+F180+F198+F202+F224+F225+F235+F242+F262+F271</f>
        <v>176966780.82999998</v>
      </c>
      <c r="G134" s="48">
        <f t="shared" ref="G134:I134" si="15">G135+G136+G139+G140+G177+G180+G198+G202+G224+G225+G235+G242+G262+G271</f>
        <v>161225349.82999998</v>
      </c>
      <c r="H134" s="48">
        <f t="shared" si="15"/>
        <v>10141431</v>
      </c>
      <c r="I134" s="48">
        <f t="shared" si="15"/>
        <v>5600000</v>
      </c>
      <c r="J134" s="1"/>
      <c r="K134" s="1"/>
    </row>
    <row r="135" spans="1:11" ht="150">
      <c r="A135" s="18">
        <v>1510150</v>
      </c>
      <c r="B135" s="29">
        <v>150</v>
      </c>
      <c r="C135" s="27" t="s">
        <v>13</v>
      </c>
      <c r="D135" s="32" t="s">
        <v>14</v>
      </c>
      <c r="E135" s="32" t="s">
        <v>96</v>
      </c>
      <c r="F135" s="30">
        <f>550229.42-11200</f>
        <v>539029.42000000004</v>
      </c>
      <c r="G135" s="49">
        <f>550229.42-11200</f>
        <v>539029.42000000004</v>
      </c>
      <c r="H135" s="49"/>
      <c r="I135" s="49"/>
    </row>
    <row r="136" spans="1:11" ht="37.5">
      <c r="A136" s="18">
        <v>1512010</v>
      </c>
      <c r="B136" s="29">
        <v>2010</v>
      </c>
      <c r="C136" s="27" t="s">
        <v>16</v>
      </c>
      <c r="D136" s="32" t="s">
        <v>17</v>
      </c>
      <c r="E136" s="32" t="s">
        <v>15</v>
      </c>
      <c r="F136" s="30">
        <f>F137+F138</f>
        <v>12254240.16</v>
      </c>
      <c r="G136" s="49">
        <f t="shared" ref="G136:I136" si="16">G137+G138</f>
        <v>6654240.1600000001</v>
      </c>
      <c r="H136" s="49">
        <f t="shared" si="16"/>
        <v>0</v>
      </c>
      <c r="I136" s="49">
        <f t="shared" si="16"/>
        <v>5600000</v>
      </c>
    </row>
    <row r="137" spans="1:11" ht="112.5">
      <c r="A137" s="18"/>
      <c r="B137" s="29"/>
      <c r="C137" s="27"/>
      <c r="D137" s="32"/>
      <c r="E137" s="32" t="s">
        <v>97</v>
      </c>
      <c r="F137" s="30">
        <v>11568240.16</v>
      </c>
      <c r="G137" s="49">
        <v>5968240.1600000001</v>
      </c>
      <c r="H137" s="49"/>
      <c r="I137" s="49">
        <v>5600000</v>
      </c>
    </row>
    <row r="138" spans="1:11" ht="131.25">
      <c r="A138" s="18"/>
      <c r="B138" s="29"/>
      <c r="C138" s="27"/>
      <c r="D138" s="32"/>
      <c r="E138" s="32" t="s">
        <v>338</v>
      </c>
      <c r="F138" s="30">
        <v>686000</v>
      </c>
      <c r="G138" s="49">
        <v>686000</v>
      </c>
      <c r="H138" s="49"/>
      <c r="I138" s="49"/>
    </row>
    <row r="139" spans="1:11" ht="93.75">
      <c r="A139" s="18" t="s">
        <v>295</v>
      </c>
      <c r="B139" s="29">
        <v>2111</v>
      </c>
      <c r="C139" s="32" t="s">
        <v>224</v>
      </c>
      <c r="D139" s="32" t="s">
        <v>225</v>
      </c>
      <c r="E139" s="32" t="s">
        <v>339</v>
      </c>
      <c r="F139" s="30">
        <v>450000</v>
      </c>
      <c r="G139" s="49">
        <v>450000</v>
      </c>
      <c r="H139" s="49"/>
      <c r="I139" s="49"/>
    </row>
    <row r="140" spans="1:11" ht="56.25">
      <c r="A140" s="18" t="s">
        <v>98</v>
      </c>
      <c r="B140" s="29" t="s">
        <v>99</v>
      </c>
      <c r="C140" s="27" t="s">
        <v>46</v>
      </c>
      <c r="D140" s="32" t="s">
        <v>66</v>
      </c>
      <c r="E140" s="32" t="s">
        <v>15</v>
      </c>
      <c r="F140" s="30">
        <f>SUM(F141:F176)</f>
        <v>8007811.7199999997</v>
      </c>
      <c r="G140" s="49">
        <f t="shared" ref="G140:I140" si="17">SUM(G141:G176)</f>
        <v>8007811.7199999997</v>
      </c>
      <c r="H140" s="49">
        <f t="shared" si="17"/>
        <v>0</v>
      </c>
      <c r="I140" s="49">
        <f t="shared" si="17"/>
        <v>0</v>
      </c>
    </row>
    <row r="141" spans="1:11" ht="56.25">
      <c r="A141" s="18"/>
      <c r="B141" s="29"/>
      <c r="C141" s="27"/>
      <c r="D141" s="32"/>
      <c r="E141" s="38" t="s">
        <v>257</v>
      </c>
      <c r="F141" s="30">
        <f>50000-554.73</f>
        <v>49445.27</v>
      </c>
      <c r="G141" s="49">
        <f>50000-554.73</f>
        <v>49445.27</v>
      </c>
      <c r="H141" s="49"/>
      <c r="I141" s="49"/>
    </row>
    <row r="142" spans="1:11" s="22" customFormat="1" ht="37.5">
      <c r="A142" s="25"/>
      <c r="B142" s="25"/>
      <c r="C142" s="25"/>
      <c r="D142" s="26"/>
      <c r="E142" s="27" t="s">
        <v>309</v>
      </c>
      <c r="F142" s="40">
        <v>50000</v>
      </c>
      <c r="G142" s="53">
        <v>50000</v>
      </c>
      <c r="H142" s="50"/>
      <c r="I142" s="50"/>
    </row>
    <row r="143" spans="1:11" s="22" customFormat="1" ht="37.5">
      <c r="A143" s="25"/>
      <c r="B143" s="25"/>
      <c r="C143" s="25"/>
      <c r="D143" s="26"/>
      <c r="E143" s="38" t="s">
        <v>100</v>
      </c>
      <c r="F143" s="40">
        <f>1521966.3-39885.24</f>
        <v>1482081.06</v>
      </c>
      <c r="G143" s="53">
        <f>1521966.3-39885.24</f>
        <v>1482081.06</v>
      </c>
      <c r="H143" s="50"/>
      <c r="I143" s="50"/>
    </row>
    <row r="144" spans="1:11" s="22" customFormat="1" ht="56.25">
      <c r="A144" s="25"/>
      <c r="B144" s="25"/>
      <c r="C144" s="25"/>
      <c r="D144" s="26"/>
      <c r="E144" s="38" t="s">
        <v>161</v>
      </c>
      <c r="F144" s="40">
        <f>195577.45-16436.15</f>
        <v>179141.30000000002</v>
      </c>
      <c r="G144" s="53">
        <f>195577.45-16436.15</f>
        <v>179141.30000000002</v>
      </c>
      <c r="H144" s="50"/>
      <c r="I144" s="50"/>
    </row>
    <row r="145" spans="1:9" s="22" customFormat="1" ht="56.25">
      <c r="A145" s="25"/>
      <c r="B145" s="25"/>
      <c r="C145" s="25"/>
      <c r="D145" s="26"/>
      <c r="E145" s="38" t="s">
        <v>101</v>
      </c>
      <c r="F145" s="40">
        <f>128577+159861.37</f>
        <v>288438.37</v>
      </c>
      <c r="G145" s="53">
        <f>128577+159861.37</f>
        <v>288438.37</v>
      </c>
      <c r="H145" s="50"/>
      <c r="I145" s="50"/>
    </row>
    <row r="146" spans="1:9" s="22" customFormat="1" ht="37.5">
      <c r="A146" s="25"/>
      <c r="B146" s="25"/>
      <c r="C146" s="25"/>
      <c r="D146" s="26"/>
      <c r="E146" s="38" t="s">
        <v>102</v>
      </c>
      <c r="F146" s="40">
        <f>371069+260282.07+254815.94</f>
        <v>886167.01</v>
      </c>
      <c r="G146" s="53">
        <f>371069+260282.07+254815.94</f>
        <v>886167.01</v>
      </c>
      <c r="H146" s="50"/>
      <c r="I146" s="50"/>
    </row>
    <row r="147" spans="1:9" s="22" customFormat="1" ht="56.25">
      <c r="A147" s="25"/>
      <c r="B147" s="25"/>
      <c r="C147" s="25"/>
      <c r="D147" s="26"/>
      <c r="E147" s="64" t="s">
        <v>273</v>
      </c>
      <c r="F147" s="40">
        <v>73246.070000000007</v>
      </c>
      <c r="G147" s="53">
        <v>73246.070000000007</v>
      </c>
      <c r="H147" s="50"/>
      <c r="I147" s="50"/>
    </row>
    <row r="148" spans="1:9" s="22" customFormat="1" ht="56.25">
      <c r="A148" s="25"/>
      <c r="B148" s="25"/>
      <c r="C148" s="25"/>
      <c r="D148" s="26"/>
      <c r="E148" s="64" t="s">
        <v>274</v>
      </c>
      <c r="F148" s="40">
        <v>61159.98</v>
      </c>
      <c r="G148" s="53">
        <v>61159.98</v>
      </c>
      <c r="H148" s="50"/>
      <c r="I148" s="50"/>
    </row>
    <row r="149" spans="1:9" s="22" customFormat="1" ht="56.25">
      <c r="A149" s="25"/>
      <c r="B149" s="25"/>
      <c r="C149" s="25"/>
      <c r="D149" s="26"/>
      <c r="E149" s="64" t="s">
        <v>275</v>
      </c>
      <c r="F149" s="40">
        <v>61931.54</v>
      </c>
      <c r="G149" s="53">
        <v>61931.54</v>
      </c>
      <c r="H149" s="50"/>
      <c r="I149" s="50"/>
    </row>
    <row r="150" spans="1:9" s="22" customFormat="1" ht="56.25">
      <c r="A150" s="25"/>
      <c r="B150" s="25"/>
      <c r="C150" s="25"/>
      <c r="D150" s="26"/>
      <c r="E150" s="64" t="s">
        <v>288</v>
      </c>
      <c r="F150" s="40">
        <v>250000</v>
      </c>
      <c r="G150" s="53">
        <v>250000</v>
      </c>
      <c r="H150" s="50"/>
      <c r="I150" s="50"/>
    </row>
    <row r="151" spans="1:9" s="22" customFormat="1" ht="56.25">
      <c r="A151" s="25"/>
      <c r="B151" s="25"/>
      <c r="C151" s="25"/>
      <c r="D151" s="26"/>
      <c r="E151" s="64" t="s">
        <v>276</v>
      </c>
      <c r="F151" s="40">
        <v>129255.31</v>
      </c>
      <c r="G151" s="53">
        <v>129255.31</v>
      </c>
      <c r="H151" s="50"/>
      <c r="I151" s="50"/>
    </row>
    <row r="152" spans="1:9" s="22" customFormat="1" ht="36" customHeight="1">
      <c r="A152" s="25"/>
      <c r="B152" s="25"/>
      <c r="C152" s="25"/>
      <c r="D152" s="26"/>
      <c r="E152" s="38" t="s">
        <v>258</v>
      </c>
      <c r="F152" s="40">
        <v>212865.41</v>
      </c>
      <c r="G152" s="53">
        <v>212865.41</v>
      </c>
      <c r="H152" s="50"/>
      <c r="I152" s="50"/>
    </row>
    <row r="153" spans="1:9" s="22" customFormat="1" ht="56.25">
      <c r="A153" s="25"/>
      <c r="B153" s="25"/>
      <c r="C153" s="25"/>
      <c r="D153" s="26"/>
      <c r="E153" s="38" t="s">
        <v>259</v>
      </c>
      <c r="F153" s="40">
        <v>97680</v>
      </c>
      <c r="G153" s="53">
        <v>97680</v>
      </c>
      <c r="H153" s="50"/>
      <c r="I153" s="50"/>
    </row>
    <row r="154" spans="1:9" s="22" customFormat="1" ht="56.25">
      <c r="A154" s="25"/>
      <c r="B154" s="25"/>
      <c r="C154" s="25"/>
      <c r="D154" s="26"/>
      <c r="E154" s="38" t="s">
        <v>260</v>
      </c>
      <c r="F154" s="40">
        <v>88900</v>
      </c>
      <c r="G154" s="53">
        <v>88900</v>
      </c>
      <c r="H154" s="50"/>
      <c r="I154" s="50"/>
    </row>
    <row r="155" spans="1:9" s="22" customFormat="1" ht="34.9" customHeight="1">
      <c r="A155" s="25"/>
      <c r="B155" s="25"/>
      <c r="C155" s="25"/>
      <c r="D155" s="26"/>
      <c r="E155" s="38" t="s">
        <v>261</v>
      </c>
      <c r="F155" s="40">
        <v>133035.41</v>
      </c>
      <c r="G155" s="53">
        <v>133035.41</v>
      </c>
      <c r="H155" s="50"/>
      <c r="I155" s="50"/>
    </row>
    <row r="156" spans="1:9" s="22" customFormat="1" ht="56.25">
      <c r="A156" s="25"/>
      <c r="B156" s="25"/>
      <c r="C156" s="25"/>
      <c r="D156" s="26"/>
      <c r="E156" s="38" t="s">
        <v>262</v>
      </c>
      <c r="F156" s="40">
        <v>257340.7</v>
      </c>
      <c r="G156" s="53">
        <v>257340.7</v>
      </c>
      <c r="H156" s="50"/>
      <c r="I156" s="50"/>
    </row>
    <row r="157" spans="1:9" s="22" customFormat="1" ht="56.25">
      <c r="A157" s="25"/>
      <c r="B157" s="25"/>
      <c r="C157" s="25"/>
      <c r="D157" s="26"/>
      <c r="E157" s="27" t="s">
        <v>263</v>
      </c>
      <c r="F157" s="40">
        <v>352761</v>
      </c>
      <c r="G157" s="53">
        <v>352761</v>
      </c>
      <c r="H157" s="50"/>
      <c r="I157" s="50"/>
    </row>
    <row r="158" spans="1:9" s="22" customFormat="1" ht="56.25">
      <c r="A158" s="25"/>
      <c r="B158" s="25"/>
      <c r="C158" s="25"/>
      <c r="D158" s="26"/>
      <c r="E158" s="27" t="s">
        <v>296</v>
      </c>
      <c r="F158" s="40">
        <v>300000</v>
      </c>
      <c r="G158" s="53">
        <v>300000</v>
      </c>
      <c r="H158" s="50"/>
      <c r="I158" s="50"/>
    </row>
    <row r="159" spans="1:9" s="22" customFormat="1" ht="56.25">
      <c r="A159" s="25"/>
      <c r="B159" s="25"/>
      <c r="C159" s="25"/>
      <c r="D159" s="26"/>
      <c r="E159" s="38" t="s">
        <v>264</v>
      </c>
      <c r="F159" s="40">
        <v>68062.539999999994</v>
      </c>
      <c r="G159" s="53">
        <v>68062.539999999994</v>
      </c>
      <c r="H159" s="50"/>
      <c r="I159" s="50"/>
    </row>
    <row r="160" spans="1:9" s="22" customFormat="1" ht="37.5">
      <c r="A160" s="25"/>
      <c r="B160" s="25"/>
      <c r="C160" s="25"/>
      <c r="D160" s="26"/>
      <c r="E160" s="38" t="s">
        <v>103</v>
      </c>
      <c r="F160" s="40">
        <f>92033+96808.06</f>
        <v>188841.06</v>
      </c>
      <c r="G160" s="53">
        <f>92033+96808.06</f>
        <v>188841.06</v>
      </c>
      <c r="H160" s="50"/>
      <c r="I160" s="50"/>
    </row>
    <row r="161" spans="1:9" s="22" customFormat="1" ht="56.25">
      <c r="A161" s="25"/>
      <c r="B161" s="25"/>
      <c r="C161" s="25"/>
      <c r="D161" s="26"/>
      <c r="E161" s="38" t="s">
        <v>265</v>
      </c>
      <c r="F161" s="40">
        <v>150594.01</v>
      </c>
      <c r="G161" s="53">
        <v>150594.01</v>
      </c>
      <c r="H161" s="50"/>
      <c r="I161" s="50"/>
    </row>
    <row r="162" spans="1:9" s="22" customFormat="1" ht="37.5">
      <c r="A162" s="25"/>
      <c r="B162" s="25"/>
      <c r="C162" s="25"/>
      <c r="D162" s="26"/>
      <c r="E162" s="38" t="s">
        <v>104</v>
      </c>
      <c r="F162" s="40">
        <f>89932+185870.18</f>
        <v>275802.18</v>
      </c>
      <c r="G162" s="53">
        <f>89932+185870.18</f>
        <v>275802.18</v>
      </c>
      <c r="H162" s="50"/>
      <c r="I162" s="50"/>
    </row>
    <row r="163" spans="1:9" s="22" customFormat="1" ht="75">
      <c r="A163" s="25"/>
      <c r="B163" s="25"/>
      <c r="C163" s="25"/>
      <c r="D163" s="26"/>
      <c r="E163" s="38" t="s">
        <v>266</v>
      </c>
      <c r="F163" s="40">
        <v>286689.61</v>
      </c>
      <c r="G163" s="53">
        <v>286689.61</v>
      </c>
      <c r="H163" s="50"/>
      <c r="I163" s="50"/>
    </row>
    <row r="164" spans="1:9" s="22" customFormat="1" ht="56.25">
      <c r="A164" s="25"/>
      <c r="B164" s="25"/>
      <c r="C164" s="25"/>
      <c r="D164" s="26"/>
      <c r="E164" s="38" t="s">
        <v>267</v>
      </c>
      <c r="F164" s="40">
        <v>78240.91</v>
      </c>
      <c r="G164" s="53">
        <v>78240.91</v>
      </c>
      <c r="H164" s="50"/>
      <c r="I164" s="50"/>
    </row>
    <row r="165" spans="1:9" s="22" customFormat="1" ht="37.5">
      <c r="A165" s="25"/>
      <c r="B165" s="25"/>
      <c r="C165" s="25"/>
      <c r="D165" s="26"/>
      <c r="E165" s="38" t="s">
        <v>268</v>
      </c>
      <c r="F165" s="40">
        <v>254546.03</v>
      </c>
      <c r="G165" s="53">
        <v>254546.03</v>
      </c>
      <c r="H165" s="50"/>
      <c r="I165" s="50"/>
    </row>
    <row r="166" spans="1:9" s="22" customFormat="1" ht="56.25">
      <c r="A166" s="25"/>
      <c r="B166" s="25"/>
      <c r="C166" s="25"/>
      <c r="D166" s="26"/>
      <c r="E166" s="27" t="s">
        <v>311</v>
      </c>
      <c r="F166" s="40">
        <v>91000</v>
      </c>
      <c r="G166" s="53">
        <v>91000</v>
      </c>
      <c r="H166" s="50"/>
      <c r="I166" s="50"/>
    </row>
    <row r="167" spans="1:9" s="22" customFormat="1" ht="56.25">
      <c r="A167" s="25"/>
      <c r="B167" s="25"/>
      <c r="C167" s="25"/>
      <c r="D167" s="26"/>
      <c r="E167" s="38" t="s">
        <v>191</v>
      </c>
      <c r="F167" s="40">
        <f>400000-54546.03</f>
        <v>345453.97</v>
      </c>
      <c r="G167" s="53">
        <f>400000-54546.03</f>
        <v>345453.97</v>
      </c>
      <c r="H167" s="50"/>
      <c r="I167" s="50"/>
    </row>
    <row r="168" spans="1:9" s="22" customFormat="1" ht="56.25">
      <c r="A168" s="25"/>
      <c r="B168" s="25"/>
      <c r="C168" s="25"/>
      <c r="D168" s="26"/>
      <c r="E168" s="27" t="s">
        <v>312</v>
      </c>
      <c r="F168" s="40">
        <v>177000</v>
      </c>
      <c r="G168" s="53">
        <v>177000</v>
      </c>
      <c r="H168" s="50"/>
      <c r="I168" s="50"/>
    </row>
    <row r="169" spans="1:9" s="22" customFormat="1" ht="56.25">
      <c r="A169" s="25"/>
      <c r="B169" s="25"/>
      <c r="C169" s="25"/>
      <c r="D169" s="26"/>
      <c r="E169" s="38" t="s">
        <v>105</v>
      </c>
      <c r="F169" s="40">
        <f>2784.01-130.39</f>
        <v>2653.6200000000003</v>
      </c>
      <c r="G169" s="53">
        <f>2784.01-130.39</f>
        <v>2653.6200000000003</v>
      </c>
      <c r="H169" s="50"/>
      <c r="I169" s="50"/>
    </row>
    <row r="170" spans="1:9" s="22" customFormat="1" ht="37.5">
      <c r="A170" s="25"/>
      <c r="B170" s="25"/>
      <c r="C170" s="25"/>
      <c r="D170" s="26"/>
      <c r="E170" s="27" t="s">
        <v>310</v>
      </c>
      <c r="F170" s="40">
        <v>50000</v>
      </c>
      <c r="G170" s="53">
        <v>50000</v>
      </c>
      <c r="H170" s="50"/>
      <c r="I170" s="50"/>
    </row>
    <row r="171" spans="1:9" s="22" customFormat="1" ht="37.5">
      <c r="A171" s="25"/>
      <c r="B171" s="25"/>
      <c r="C171" s="25"/>
      <c r="D171" s="26"/>
      <c r="E171" s="63" t="s">
        <v>269</v>
      </c>
      <c r="F171" s="40">
        <v>332008.94</v>
      </c>
      <c r="G171" s="53">
        <v>332008.94</v>
      </c>
      <c r="H171" s="50"/>
      <c r="I171" s="50"/>
    </row>
    <row r="172" spans="1:9" s="22" customFormat="1" ht="56.25">
      <c r="A172" s="25"/>
      <c r="B172" s="25"/>
      <c r="C172" s="25"/>
      <c r="D172" s="26"/>
      <c r="E172" s="63" t="s">
        <v>270</v>
      </c>
      <c r="F172" s="40">
        <v>201416.06</v>
      </c>
      <c r="G172" s="53">
        <f>214416.06-13000</f>
        <v>201416.06</v>
      </c>
      <c r="H172" s="50"/>
      <c r="I172" s="50"/>
    </row>
    <row r="173" spans="1:9" s="22" customFormat="1" ht="37.5">
      <c r="A173" s="25"/>
      <c r="B173" s="25"/>
      <c r="C173" s="25"/>
      <c r="D173" s="26"/>
      <c r="E173" s="63" t="s">
        <v>271</v>
      </c>
      <c r="F173" s="40">
        <v>30124</v>
      </c>
      <c r="G173" s="53">
        <v>30124</v>
      </c>
      <c r="H173" s="50"/>
      <c r="I173" s="50"/>
    </row>
    <row r="174" spans="1:9" s="22" customFormat="1" ht="56.25">
      <c r="A174" s="25"/>
      <c r="B174" s="25"/>
      <c r="C174" s="25"/>
      <c r="D174" s="26"/>
      <c r="E174" s="63" t="s">
        <v>106</v>
      </c>
      <c r="F174" s="40">
        <v>120193.15</v>
      </c>
      <c r="G174" s="53">
        <v>120193.15</v>
      </c>
      <c r="H174" s="50"/>
      <c r="I174" s="50"/>
    </row>
    <row r="175" spans="1:9" s="22" customFormat="1" ht="56.25">
      <c r="A175" s="25"/>
      <c r="B175" s="25"/>
      <c r="C175" s="25"/>
      <c r="D175" s="26"/>
      <c r="E175" s="63" t="s">
        <v>272</v>
      </c>
      <c r="F175" s="40">
        <v>199846.85</v>
      </c>
      <c r="G175" s="53">
        <v>199846.85</v>
      </c>
      <c r="H175" s="50"/>
      <c r="I175" s="50"/>
    </row>
    <row r="176" spans="1:9" s="22" customFormat="1">
      <c r="A176" s="25"/>
      <c r="B176" s="25"/>
      <c r="C176" s="25"/>
      <c r="D176" s="26"/>
      <c r="E176" s="38" t="s">
        <v>244</v>
      </c>
      <c r="F176" s="40">
        <f>4400000-101706-156000-2376905.4+2795.76-200000-1366294</f>
        <v>201890.3600000001</v>
      </c>
      <c r="G176" s="53">
        <f>4400000-101706-156000-2376905.4+2795.76-200000-1366294</f>
        <v>201890.3600000001</v>
      </c>
      <c r="H176" s="50"/>
      <c r="I176" s="50"/>
    </row>
    <row r="177" spans="1:9" ht="56.25">
      <c r="A177" s="18" t="s">
        <v>167</v>
      </c>
      <c r="B177" s="29" t="s">
        <v>168</v>
      </c>
      <c r="C177" s="27" t="s">
        <v>77</v>
      </c>
      <c r="D177" s="32" t="s">
        <v>169</v>
      </c>
      <c r="E177" s="32" t="s">
        <v>15</v>
      </c>
      <c r="F177" s="39">
        <f>F178+F179</f>
        <v>18305250</v>
      </c>
      <c r="G177" s="90">
        <f t="shared" ref="G177:I177" si="18">G178+G179</f>
        <v>14174612</v>
      </c>
      <c r="H177" s="90">
        <f t="shared" si="18"/>
        <v>4130638</v>
      </c>
      <c r="I177" s="90">
        <f t="shared" si="18"/>
        <v>0</v>
      </c>
    </row>
    <row r="178" spans="1:9" ht="56.25">
      <c r="A178" s="18"/>
      <c r="B178" s="18"/>
      <c r="C178" s="18"/>
      <c r="D178" s="15"/>
      <c r="E178" s="27" t="s">
        <v>377</v>
      </c>
      <c r="F178" s="40">
        <f>13360000+1945250</f>
        <v>15305250</v>
      </c>
      <c r="G178" s="53">
        <f>9229362+1945250</f>
        <v>11174612</v>
      </c>
      <c r="H178" s="49">
        <v>4130638</v>
      </c>
      <c r="I178" s="49"/>
    </row>
    <row r="179" spans="1:9" ht="37.5">
      <c r="A179" s="18"/>
      <c r="B179" s="18"/>
      <c r="C179" s="18"/>
      <c r="D179" s="15"/>
      <c r="E179" s="27" t="s">
        <v>170</v>
      </c>
      <c r="F179" s="40">
        <v>3000000</v>
      </c>
      <c r="G179" s="53">
        <v>3000000</v>
      </c>
      <c r="H179" s="49"/>
      <c r="I179" s="49"/>
    </row>
    <row r="180" spans="1:9" ht="56.25">
      <c r="A180" s="18" t="s">
        <v>107</v>
      </c>
      <c r="B180" s="29" t="s">
        <v>108</v>
      </c>
      <c r="C180" s="27" t="s">
        <v>77</v>
      </c>
      <c r="D180" s="32" t="s">
        <v>109</v>
      </c>
      <c r="E180" s="27" t="s">
        <v>15</v>
      </c>
      <c r="F180" s="39">
        <f>SUM(F181:F197)</f>
        <v>27170100.75</v>
      </c>
      <c r="G180" s="90">
        <f t="shared" ref="G180:I180" si="19">SUM(G181:G197)</f>
        <v>27170100.75</v>
      </c>
      <c r="H180" s="90">
        <f t="shared" si="19"/>
        <v>0</v>
      </c>
      <c r="I180" s="90">
        <f t="shared" si="19"/>
        <v>0</v>
      </c>
    </row>
    <row r="181" spans="1:9" ht="56.25">
      <c r="A181" s="18"/>
      <c r="B181" s="29"/>
      <c r="C181" s="27"/>
      <c r="D181" s="32"/>
      <c r="E181" s="27" t="s">
        <v>163</v>
      </c>
      <c r="F181" s="39">
        <f>1700210+467676</f>
        <v>2167886</v>
      </c>
      <c r="G181" s="49">
        <f>1700210+467676</f>
        <v>2167886</v>
      </c>
      <c r="H181" s="50"/>
      <c r="I181" s="50"/>
    </row>
    <row r="182" spans="1:9" ht="56.25">
      <c r="A182" s="18"/>
      <c r="B182" s="29"/>
      <c r="C182" s="27"/>
      <c r="D182" s="32"/>
      <c r="E182" s="27" t="s">
        <v>239</v>
      </c>
      <c r="F182" s="39">
        <f>1001010-339343</f>
        <v>661667</v>
      </c>
      <c r="G182" s="49">
        <f>1001010-339343</f>
        <v>661667</v>
      </c>
      <c r="H182" s="50"/>
      <c r="I182" s="50"/>
    </row>
    <row r="183" spans="1:9" ht="56.25">
      <c r="A183" s="18"/>
      <c r="B183" s="18"/>
      <c r="C183" s="45"/>
      <c r="D183" s="27"/>
      <c r="E183" s="28" t="s">
        <v>238</v>
      </c>
      <c r="F183" s="36">
        <f>12212800-649589</f>
        <v>11563211</v>
      </c>
      <c r="G183" s="51">
        <f>12212800-649589</f>
        <v>11563211</v>
      </c>
      <c r="H183" s="51"/>
      <c r="I183" s="49"/>
    </row>
    <row r="184" spans="1:9" ht="75">
      <c r="A184" s="18"/>
      <c r="B184" s="18"/>
      <c r="C184" s="45"/>
      <c r="D184" s="27"/>
      <c r="E184" s="28" t="s">
        <v>241</v>
      </c>
      <c r="F184" s="36">
        <f>750000-24779</f>
        <v>725221</v>
      </c>
      <c r="G184" s="51">
        <f>750000-24779</f>
        <v>725221</v>
      </c>
      <c r="H184" s="51"/>
      <c r="I184" s="49"/>
    </row>
    <row r="185" spans="1:9" ht="37.5">
      <c r="A185" s="18"/>
      <c r="B185" s="18"/>
      <c r="C185" s="45"/>
      <c r="D185" s="27"/>
      <c r="E185" s="28" t="s">
        <v>201</v>
      </c>
      <c r="F185" s="36">
        <f>380000-76967</f>
        <v>303033</v>
      </c>
      <c r="G185" s="51">
        <f>380000-76967</f>
        <v>303033</v>
      </c>
      <c r="H185" s="51"/>
      <c r="I185" s="49"/>
    </row>
    <row r="186" spans="1:9" ht="37.5">
      <c r="A186" s="18"/>
      <c r="B186" s="18"/>
      <c r="C186" s="45"/>
      <c r="D186" s="27"/>
      <c r="E186" s="28" t="s">
        <v>198</v>
      </c>
      <c r="F186" s="36">
        <f>450000+163800</f>
        <v>613800</v>
      </c>
      <c r="G186" s="51">
        <f>450000+163800</f>
        <v>613800</v>
      </c>
      <c r="H186" s="51"/>
      <c r="I186" s="49"/>
    </row>
    <row r="187" spans="1:9" ht="37.5">
      <c r="A187" s="18"/>
      <c r="B187" s="18"/>
      <c r="C187" s="45"/>
      <c r="D187" s="27"/>
      <c r="E187" s="28" t="s">
        <v>313</v>
      </c>
      <c r="F187" s="36">
        <f>3551000+5500</f>
        <v>3556500</v>
      </c>
      <c r="G187" s="51">
        <f>3551000+5500</f>
        <v>3556500</v>
      </c>
      <c r="H187" s="51"/>
      <c r="I187" s="49"/>
    </row>
    <row r="188" spans="1:9" ht="56.25">
      <c r="A188" s="18"/>
      <c r="B188" s="18"/>
      <c r="C188" s="45"/>
      <c r="D188" s="27"/>
      <c r="E188" s="28" t="s">
        <v>202</v>
      </c>
      <c r="F188" s="36">
        <f>1065000+727000+1089000+591000-230000-285040</f>
        <v>2956960</v>
      </c>
      <c r="G188" s="51">
        <f>1065000+727000+1089000+591000-230000-285040</f>
        <v>2956960</v>
      </c>
      <c r="H188" s="51"/>
      <c r="I188" s="49"/>
    </row>
    <row r="189" spans="1:9">
      <c r="A189" s="18"/>
      <c r="B189" s="18"/>
      <c r="C189" s="45"/>
      <c r="D189" s="27"/>
      <c r="E189" s="28" t="s">
        <v>277</v>
      </c>
      <c r="F189" s="36">
        <f>1930000-5500</f>
        <v>1924500</v>
      </c>
      <c r="G189" s="51">
        <f>1930000-5500</f>
        <v>1924500</v>
      </c>
      <c r="H189" s="51"/>
      <c r="I189" s="49"/>
    </row>
    <row r="190" spans="1:9" ht="56.25">
      <c r="A190" s="18"/>
      <c r="B190" s="18"/>
      <c r="C190" s="45"/>
      <c r="D190" s="27"/>
      <c r="E190" s="28" t="s">
        <v>199</v>
      </c>
      <c r="F190" s="36">
        <f>485000-311885</f>
        <v>173115</v>
      </c>
      <c r="G190" s="51">
        <f>485000-311885</f>
        <v>173115</v>
      </c>
      <c r="H190" s="51"/>
      <c r="I190" s="49"/>
    </row>
    <row r="191" spans="1:9" ht="37.5">
      <c r="A191" s="18"/>
      <c r="B191" s="18"/>
      <c r="C191" s="45"/>
      <c r="D191" s="27"/>
      <c r="E191" s="28" t="s">
        <v>200</v>
      </c>
      <c r="F191" s="36">
        <f>640000-163800-85206.64-27777</f>
        <v>363216.36</v>
      </c>
      <c r="G191" s="51">
        <f>640000-163800-85206.64-27777</f>
        <v>363216.36</v>
      </c>
      <c r="H191" s="51"/>
      <c r="I191" s="49"/>
    </row>
    <row r="192" spans="1:9" ht="56.25">
      <c r="A192" s="18"/>
      <c r="B192" s="18"/>
      <c r="C192" s="45"/>
      <c r="D192" s="27"/>
      <c r="E192" s="28" t="s">
        <v>240</v>
      </c>
      <c r="F192" s="36">
        <v>440000</v>
      </c>
      <c r="G192" s="51">
        <v>440000</v>
      </c>
      <c r="H192" s="51"/>
      <c r="I192" s="49"/>
    </row>
    <row r="193" spans="1:9" ht="56.25">
      <c r="A193" s="18"/>
      <c r="B193" s="18"/>
      <c r="C193" s="45"/>
      <c r="D193" s="27"/>
      <c r="E193" s="28" t="s">
        <v>297</v>
      </c>
      <c r="F193" s="36">
        <v>121990</v>
      </c>
      <c r="G193" s="51">
        <v>121990</v>
      </c>
      <c r="H193" s="51"/>
      <c r="I193" s="49"/>
    </row>
    <row r="194" spans="1:9" ht="56.25">
      <c r="A194" s="18"/>
      <c r="B194" s="18"/>
      <c r="C194" s="45"/>
      <c r="D194" s="27"/>
      <c r="E194" s="28" t="s">
        <v>298</v>
      </c>
      <c r="F194" s="36">
        <v>66810</v>
      </c>
      <c r="G194" s="51">
        <v>66810</v>
      </c>
      <c r="H194" s="51"/>
      <c r="I194" s="49"/>
    </row>
    <row r="195" spans="1:9" ht="56.25">
      <c r="A195" s="18"/>
      <c r="B195" s="18"/>
      <c r="C195" s="45"/>
      <c r="D195" s="27"/>
      <c r="E195" s="28" t="s">
        <v>299</v>
      </c>
      <c r="F195" s="36">
        <v>81200</v>
      </c>
      <c r="G195" s="51">
        <v>81200</v>
      </c>
      <c r="H195" s="51"/>
      <c r="I195" s="49"/>
    </row>
    <row r="196" spans="1:9" ht="75">
      <c r="A196" s="29"/>
      <c r="B196" s="29"/>
      <c r="C196" s="45"/>
      <c r="D196" s="27"/>
      <c r="E196" s="28" t="s">
        <v>354</v>
      </c>
      <c r="F196" s="30">
        <v>966374.39</v>
      </c>
      <c r="G196" s="87">
        <v>966374.39</v>
      </c>
      <c r="H196" s="87"/>
      <c r="I196" s="86"/>
    </row>
    <row r="197" spans="1:9" ht="93.75">
      <c r="A197" s="62"/>
      <c r="B197" s="18"/>
      <c r="C197" s="18"/>
      <c r="D197" s="72"/>
      <c r="E197" s="75" t="s">
        <v>355</v>
      </c>
      <c r="F197" s="30">
        <v>484617</v>
      </c>
      <c r="G197" s="87">
        <v>484617</v>
      </c>
      <c r="H197" s="91"/>
      <c r="I197" s="86"/>
    </row>
    <row r="198" spans="1:9" ht="56.25">
      <c r="A198" s="18" t="s">
        <v>110</v>
      </c>
      <c r="B198" s="29" t="s">
        <v>76</v>
      </c>
      <c r="C198" s="27" t="s">
        <v>77</v>
      </c>
      <c r="D198" s="32" t="s">
        <v>78</v>
      </c>
      <c r="E198" s="32" t="s">
        <v>15</v>
      </c>
      <c r="F198" s="30">
        <f>F199+F200+F201</f>
        <v>21668438.559999999</v>
      </c>
      <c r="G198" s="49">
        <f t="shared" ref="G198:I198" si="20">G199+G200+G201</f>
        <v>19668438.559999999</v>
      </c>
      <c r="H198" s="49">
        <f t="shared" si="20"/>
        <v>2000000</v>
      </c>
      <c r="I198" s="49">
        <f t="shared" si="20"/>
        <v>0</v>
      </c>
    </row>
    <row r="199" spans="1:9" s="22" customFormat="1" ht="37.5">
      <c r="A199" s="25"/>
      <c r="B199" s="25"/>
      <c r="C199" s="25"/>
      <c r="D199" s="26"/>
      <c r="E199" s="38" t="s">
        <v>111</v>
      </c>
      <c r="F199" s="39">
        <v>1100019.28</v>
      </c>
      <c r="G199" s="49">
        <v>1100019.28</v>
      </c>
      <c r="H199" s="50"/>
      <c r="I199" s="50"/>
    </row>
    <row r="200" spans="1:9" s="22" customFormat="1" ht="37.5">
      <c r="A200" s="25"/>
      <c r="B200" s="25"/>
      <c r="C200" s="25"/>
      <c r="D200" s="26"/>
      <c r="E200" s="38" t="s">
        <v>112</v>
      </c>
      <c r="F200" s="39">
        <v>1100019.28</v>
      </c>
      <c r="G200" s="49">
        <v>1100019.28</v>
      </c>
      <c r="H200" s="50"/>
      <c r="I200" s="50"/>
    </row>
    <row r="201" spans="1:9" s="22" customFormat="1" ht="75">
      <c r="A201" s="25"/>
      <c r="B201" s="25"/>
      <c r="C201" s="25"/>
      <c r="D201" s="26"/>
      <c r="E201" s="38" t="s">
        <v>203</v>
      </c>
      <c r="F201" s="39">
        <f>25512000-6097000+53400</f>
        <v>19468400</v>
      </c>
      <c r="G201" s="49">
        <f>23512000-6097000+53400</f>
        <v>17468400</v>
      </c>
      <c r="H201" s="49">
        <v>2000000</v>
      </c>
      <c r="I201" s="50"/>
    </row>
    <row r="202" spans="1:9" ht="37.5">
      <c r="A202" s="18" t="s">
        <v>113</v>
      </c>
      <c r="B202" s="29" t="s">
        <v>80</v>
      </c>
      <c r="C202" s="27" t="s">
        <v>77</v>
      </c>
      <c r="D202" s="32" t="s">
        <v>81</v>
      </c>
      <c r="E202" s="32" t="s">
        <v>15</v>
      </c>
      <c r="F202" s="30">
        <f>SUM(F203:F223)</f>
        <v>8733898.0999999996</v>
      </c>
      <c r="G202" s="49">
        <f t="shared" ref="G202:I202" si="21">SUM(G203:G223)</f>
        <v>8733898.0999999996</v>
      </c>
      <c r="H202" s="49">
        <f t="shared" si="21"/>
        <v>0</v>
      </c>
      <c r="I202" s="49">
        <f t="shared" si="21"/>
        <v>0</v>
      </c>
    </row>
    <row r="203" spans="1:9" ht="75">
      <c r="A203" s="18"/>
      <c r="B203" s="29"/>
      <c r="C203" s="27"/>
      <c r="D203" s="32"/>
      <c r="E203" s="38" t="s">
        <v>196</v>
      </c>
      <c r="F203" s="30">
        <f>134497.4+39038.02-18850.59</f>
        <v>154684.82999999999</v>
      </c>
      <c r="G203" s="49">
        <f>134497.4+39038.02-18850.59</f>
        <v>154684.82999999999</v>
      </c>
      <c r="H203" s="49"/>
      <c r="I203" s="49"/>
    </row>
    <row r="204" spans="1:9" ht="75">
      <c r="A204" s="18"/>
      <c r="B204" s="29"/>
      <c r="C204" s="27"/>
      <c r="D204" s="32"/>
      <c r="E204" s="38" t="s">
        <v>247</v>
      </c>
      <c r="F204" s="30">
        <v>101706</v>
      </c>
      <c r="G204" s="49">
        <v>101706</v>
      </c>
      <c r="H204" s="49"/>
      <c r="I204" s="49"/>
    </row>
    <row r="205" spans="1:9" ht="75">
      <c r="A205" s="18"/>
      <c r="B205" s="29"/>
      <c r="C205" s="27"/>
      <c r="D205" s="32"/>
      <c r="E205" s="38" t="s">
        <v>246</v>
      </c>
      <c r="F205" s="30">
        <v>313200</v>
      </c>
      <c r="G205" s="49">
        <v>313200</v>
      </c>
      <c r="H205" s="49"/>
      <c r="I205" s="49"/>
    </row>
    <row r="206" spans="1:9" ht="75">
      <c r="A206" s="18"/>
      <c r="B206" s="29"/>
      <c r="C206" s="27"/>
      <c r="D206" s="32"/>
      <c r="E206" s="38" t="s">
        <v>245</v>
      </c>
      <c r="F206" s="30">
        <v>237030</v>
      </c>
      <c r="G206" s="49">
        <v>237030</v>
      </c>
      <c r="H206" s="49"/>
      <c r="I206" s="49"/>
    </row>
    <row r="207" spans="1:9" ht="56.25">
      <c r="A207" s="18"/>
      <c r="B207" s="18"/>
      <c r="C207" s="18"/>
      <c r="D207" s="15"/>
      <c r="E207" s="38" t="s">
        <v>114</v>
      </c>
      <c r="F207" s="41">
        <f>105735.81-65633.52</f>
        <v>40102.289999999994</v>
      </c>
      <c r="G207" s="54">
        <f>105735.81-65633.52</f>
        <v>40102.289999999994</v>
      </c>
      <c r="H207" s="49"/>
      <c r="I207" s="49"/>
    </row>
    <row r="208" spans="1:9" ht="75">
      <c r="A208" s="18"/>
      <c r="B208" s="18"/>
      <c r="C208" s="18"/>
      <c r="D208" s="15"/>
      <c r="E208" s="65" t="s">
        <v>278</v>
      </c>
      <c r="F208" s="41">
        <v>221397.97</v>
      </c>
      <c r="G208" s="54">
        <v>221397.97</v>
      </c>
      <c r="H208" s="49"/>
      <c r="I208" s="49"/>
    </row>
    <row r="209" spans="1:9" ht="56.25">
      <c r="A209" s="18"/>
      <c r="B209" s="18"/>
      <c r="C209" s="18"/>
      <c r="D209" s="15"/>
      <c r="E209" s="65" t="s">
        <v>290</v>
      </c>
      <c r="F209" s="41">
        <f>68045</f>
        <v>68045</v>
      </c>
      <c r="G209" s="54">
        <f>68045</f>
        <v>68045</v>
      </c>
      <c r="H209" s="49"/>
      <c r="I209" s="49"/>
    </row>
    <row r="210" spans="1:9" ht="56.25">
      <c r="A210" s="18"/>
      <c r="B210" s="18"/>
      <c r="C210" s="18"/>
      <c r="D210" s="15"/>
      <c r="E210" s="38" t="s">
        <v>115</v>
      </c>
      <c r="F210" s="41">
        <f>91093.37+25600+68045-68045</f>
        <v>116693.37</v>
      </c>
      <c r="G210" s="54">
        <f>91093.37+25600+68045-68045</f>
        <v>116693.37</v>
      </c>
      <c r="H210" s="49"/>
      <c r="I210" s="49"/>
    </row>
    <row r="211" spans="1:9" ht="56.25">
      <c r="A211" s="18"/>
      <c r="B211" s="18"/>
      <c r="C211" s="18"/>
      <c r="D211" s="15"/>
      <c r="E211" s="38" t="s">
        <v>116</v>
      </c>
      <c r="F211" s="41">
        <f>148644+40300-179000-9381.12</f>
        <v>562.8799999999992</v>
      </c>
      <c r="G211" s="54">
        <f>148644+40300-179000-9381.12</f>
        <v>562.8799999999992</v>
      </c>
      <c r="H211" s="49"/>
      <c r="I211" s="49"/>
    </row>
    <row r="212" spans="1:9" ht="56.25">
      <c r="A212" s="18"/>
      <c r="B212" s="18"/>
      <c r="C212" s="18"/>
      <c r="D212" s="15"/>
      <c r="E212" s="38" t="s">
        <v>117</v>
      </c>
      <c r="F212" s="41">
        <f>329491.84-32320.57</f>
        <v>297171.27</v>
      </c>
      <c r="G212" s="54">
        <f>329491.84-32320.57</f>
        <v>297171.27</v>
      </c>
      <c r="H212" s="49"/>
      <c r="I212" s="49"/>
    </row>
    <row r="213" spans="1:9" ht="56.25">
      <c r="A213" s="18"/>
      <c r="B213" s="18"/>
      <c r="C213" s="18"/>
      <c r="D213" s="15"/>
      <c r="E213" s="65" t="s">
        <v>280</v>
      </c>
      <c r="F213" s="41">
        <v>417218.57</v>
      </c>
      <c r="G213" s="54">
        <f>418218.57-1000</f>
        <v>417218.57</v>
      </c>
      <c r="H213" s="49"/>
      <c r="I213" s="49"/>
    </row>
    <row r="214" spans="1:9" ht="56.25">
      <c r="A214" s="18"/>
      <c r="B214" s="18"/>
      <c r="C214" s="18"/>
      <c r="D214" s="15"/>
      <c r="E214" s="38" t="s">
        <v>118</v>
      </c>
      <c r="F214" s="41">
        <f>186640.05+58100</f>
        <v>244740.05</v>
      </c>
      <c r="G214" s="54">
        <f>186640.05+58100</f>
        <v>244740.05</v>
      </c>
      <c r="H214" s="49"/>
      <c r="I214" s="49"/>
    </row>
    <row r="215" spans="1:9" ht="75">
      <c r="A215" s="18"/>
      <c r="B215" s="18"/>
      <c r="C215" s="18"/>
      <c r="D215" s="15"/>
      <c r="E215" s="65" t="s">
        <v>279</v>
      </c>
      <c r="F215" s="41">
        <v>111493.37</v>
      </c>
      <c r="G215" s="54">
        <v>111493.37</v>
      </c>
      <c r="H215" s="49"/>
      <c r="I215" s="49"/>
    </row>
    <row r="216" spans="1:9" ht="56.25">
      <c r="A216" s="18"/>
      <c r="B216" s="18"/>
      <c r="C216" s="18"/>
      <c r="D216" s="15"/>
      <c r="E216" s="38" t="s">
        <v>192</v>
      </c>
      <c r="F216" s="41">
        <v>175000</v>
      </c>
      <c r="G216" s="54">
        <v>175000</v>
      </c>
      <c r="H216" s="49"/>
      <c r="I216" s="49"/>
    </row>
    <row r="217" spans="1:9" ht="75">
      <c r="A217" s="18"/>
      <c r="B217" s="18"/>
      <c r="C217" s="18"/>
      <c r="D217" s="15"/>
      <c r="E217" s="38" t="s">
        <v>193</v>
      </c>
      <c r="F217" s="41">
        <v>91093.37</v>
      </c>
      <c r="G217" s="54">
        <v>91093.37</v>
      </c>
      <c r="H217" s="49"/>
      <c r="I217" s="49"/>
    </row>
    <row r="218" spans="1:9" ht="75">
      <c r="A218" s="18"/>
      <c r="B218" s="18"/>
      <c r="C218" s="18"/>
      <c r="D218" s="15"/>
      <c r="E218" s="38" t="s">
        <v>119</v>
      </c>
      <c r="F218" s="41">
        <f>188769.9-174691.77</f>
        <v>14078.130000000005</v>
      </c>
      <c r="G218" s="54">
        <f>188769.9-174691.77</f>
        <v>14078.130000000005</v>
      </c>
      <c r="H218" s="49"/>
      <c r="I218" s="49"/>
    </row>
    <row r="219" spans="1:9" ht="93.75">
      <c r="A219" s="18"/>
      <c r="B219" s="18"/>
      <c r="C219" s="18"/>
      <c r="D219" s="15"/>
      <c r="E219" s="43" t="s">
        <v>204</v>
      </c>
      <c r="F219" s="41">
        <f>350000-325000</f>
        <v>25000</v>
      </c>
      <c r="G219" s="54">
        <f>350000-325000</f>
        <v>25000</v>
      </c>
      <c r="H219" s="49"/>
      <c r="I219" s="49"/>
    </row>
    <row r="220" spans="1:9" ht="93.75">
      <c r="A220" s="18"/>
      <c r="B220" s="18"/>
      <c r="C220" s="18"/>
      <c r="D220" s="15"/>
      <c r="E220" s="38" t="s">
        <v>120</v>
      </c>
      <c r="F220" s="41">
        <f>1015720-975269</f>
        <v>40451</v>
      </c>
      <c r="G220" s="54">
        <f>1015720-975269</f>
        <v>40451</v>
      </c>
      <c r="H220" s="49"/>
      <c r="I220" s="49"/>
    </row>
    <row r="221" spans="1:9" ht="93.75">
      <c r="A221" s="18"/>
      <c r="B221" s="18"/>
      <c r="C221" s="18"/>
      <c r="D221" s="15"/>
      <c r="E221" s="43" t="s">
        <v>194</v>
      </c>
      <c r="F221" s="41">
        <f>438000+28400</f>
        <v>466400</v>
      </c>
      <c r="G221" s="54">
        <f>438000+28400</f>
        <v>466400</v>
      </c>
      <c r="H221" s="49"/>
      <c r="I221" s="49"/>
    </row>
    <row r="222" spans="1:9" ht="75">
      <c r="A222" s="18"/>
      <c r="B222" s="18"/>
      <c r="C222" s="18"/>
      <c r="D222" s="15"/>
      <c r="E222" s="43" t="s">
        <v>195</v>
      </c>
      <c r="F222" s="41">
        <f>4737120+850000-53400</f>
        <v>5533720</v>
      </c>
      <c r="G222" s="54">
        <f>4737120+850000-53400</f>
        <v>5533720</v>
      </c>
      <c r="H222" s="49"/>
      <c r="I222" s="49"/>
    </row>
    <row r="223" spans="1:9" ht="68.650000000000006" customHeight="1">
      <c r="A223" s="18"/>
      <c r="B223" s="18"/>
      <c r="C223" s="18"/>
      <c r="D223" s="15"/>
      <c r="E223" s="43" t="s">
        <v>281</v>
      </c>
      <c r="F223" s="41">
        <f>70000+100000+2297910-2403800</f>
        <v>64110</v>
      </c>
      <c r="G223" s="54">
        <f>70000+100000+2297910-2403800</f>
        <v>64110</v>
      </c>
      <c r="H223" s="49"/>
      <c r="I223" s="49"/>
    </row>
    <row r="224" spans="1:9" ht="112.5" hidden="1">
      <c r="A224" s="18" t="s">
        <v>158</v>
      </c>
      <c r="B224" s="29" t="s">
        <v>159</v>
      </c>
      <c r="C224" s="27" t="s">
        <v>87</v>
      </c>
      <c r="D224" s="32" t="s">
        <v>160</v>
      </c>
      <c r="E224" s="28" t="s">
        <v>173</v>
      </c>
      <c r="F224" s="39">
        <f>1188551-1188551</f>
        <v>0</v>
      </c>
      <c r="G224" s="49">
        <f>1188551-1188551</f>
        <v>0</v>
      </c>
      <c r="H224" s="50"/>
      <c r="I224" s="50"/>
    </row>
    <row r="225" spans="1:9" ht="37.5">
      <c r="A225" s="29">
        <v>1517310</v>
      </c>
      <c r="B225" s="45" t="s">
        <v>343</v>
      </c>
      <c r="C225" s="45" t="s">
        <v>87</v>
      </c>
      <c r="D225" s="32" t="s">
        <v>344</v>
      </c>
      <c r="E225" s="32" t="s">
        <v>15</v>
      </c>
      <c r="F225" s="30">
        <f>SUM(F226:F234)</f>
        <v>18502693</v>
      </c>
      <c r="G225" s="49">
        <f t="shared" ref="G225:I225" si="22">SUM(G226:G234)</f>
        <v>18502693</v>
      </c>
      <c r="H225" s="49">
        <f t="shared" si="22"/>
        <v>0</v>
      </c>
      <c r="I225" s="49">
        <f t="shared" si="22"/>
        <v>0</v>
      </c>
    </row>
    <row r="226" spans="1:9" ht="93.75">
      <c r="A226" s="29"/>
      <c r="B226" s="45"/>
      <c r="C226" s="45"/>
      <c r="D226" s="32"/>
      <c r="E226" s="32" t="s">
        <v>356</v>
      </c>
      <c r="F226" s="30">
        <v>3450000</v>
      </c>
      <c r="G226" s="87">
        <v>3450000</v>
      </c>
      <c r="H226" s="87"/>
      <c r="I226" s="86"/>
    </row>
    <row r="227" spans="1:9" ht="37.5">
      <c r="A227" s="29"/>
      <c r="B227" s="45"/>
      <c r="C227" s="45"/>
      <c r="D227" s="32"/>
      <c r="E227" s="27" t="s">
        <v>357</v>
      </c>
      <c r="F227" s="36">
        <f>3132000-172744</f>
        <v>2959256</v>
      </c>
      <c r="G227" s="87">
        <f>3132000-172744</f>
        <v>2959256</v>
      </c>
      <c r="H227" s="87"/>
      <c r="I227" s="86"/>
    </row>
    <row r="228" spans="1:9" ht="56.25">
      <c r="A228" s="29"/>
      <c r="B228" s="45"/>
      <c r="C228" s="45"/>
      <c r="D228" s="32"/>
      <c r="E228" s="27" t="s">
        <v>358</v>
      </c>
      <c r="F228" s="36">
        <f>2500000-150228+282161</f>
        <v>2631933</v>
      </c>
      <c r="G228" s="87">
        <f>2500000-150228+282161</f>
        <v>2631933</v>
      </c>
      <c r="H228" s="87"/>
      <c r="I228" s="86"/>
    </row>
    <row r="229" spans="1:9" ht="56.25">
      <c r="A229" s="29"/>
      <c r="B229" s="45"/>
      <c r="C229" s="45"/>
      <c r="D229" s="32"/>
      <c r="E229" s="63" t="s">
        <v>359</v>
      </c>
      <c r="F229" s="36">
        <f>720000-261171</f>
        <v>458829</v>
      </c>
      <c r="G229" s="87">
        <f>720000-261171</f>
        <v>458829</v>
      </c>
      <c r="H229" s="87"/>
      <c r="I229" s="86"/>
    </row>
    <row r="230" spans="1:9" ht="37.5">
      <c r="A230" s="29"/>
      <c r="B230" s="45"/>
      <c r="C230" s="45"/>
      <c r="D230" s="32"/>
      <c r="E230" s="27" t="s">
        <v>360</v>
      </c>
      <c r="F230" s="36">
        <f>70000+1377300</f>
        <v>1447300</v>
      </c>
      <c r="G230" s="87">
        <f>70000+1377300</f>
        <v>1447300</v>
      </c>
      <c r="H230" s="87"/>
      <c r="I230" s="86"/>
    </row>
    <row r="231" spans="1:9" ht="56.25">
      <c r="A231" s="29"/>
      <c r="B231" s="45"/>
      <c r="C231" s="45"/>
      <c r="D231" s="32"/>
      <c r="E231" s="27" t="s">
        <v>361</v>
      </c>
      <c r="F231" s="36">
        <v>1695000</v>
      </c>
      <c r="G231" s="87">
        <v>1695000</v>
      </c>
      <c r="H231" s="87"/>
      <c r="I231" s="86"/>
    </row>
    <row r="232" spans="1:9" ht="56.25">
      <c r="A232" s="29"/>
      <c r="B232" s="45"/>
      <c r="C232" s="45"/>
      <c r="D232" s="32"/>
      <c r="E232" s="80" t="s">
        <v>362</v>
      </c>
      <c r="F232" s="36">
        <f>5370000-298023</f>
        <v>5071977</v>
      </c>
      <c r="G232" s="87">
        <f>5370000-298023</f>
        <v>5071977</v>
      </c>
      <c r="H232" s="87"/>
      <c r="I232" s="86"/>
    </row>
    <row r="233" spans="1:9" ht="93.75">
      <c r="A233" s="29"/>
      <c r="B233" s="45"/>
      <c r="C233" s="45"/>
      <c r="D233" s="32"/>
      <c r="E233" s="27" t="s">
        <v>363</v>
      </c>
      <c r="F233" s="36">
        <v>215500</v>
      </c>
      <c r="G233" s="87">
        <v>215500</v>
      </c>
      <c r="H233" s="87"/>
      <c r="I233" s="86"/>
    </row>
    <row r="234" spans="1:9" ht="56.25">
      <c r="A234" s="29"/>
      <c r="B234" s="45"/>
      <c r="C234" s="45"/>
      <c r="D234" s="32"/>
      <c r="E234" s="27" t="s">
        <v>364</v>
      </c>
      <c r="F234" s="36">
        <v>572898</v>
      </c>
      <c r="G234" s="87">
        <v>572898</v>
      </c>
      <c r="H234" s="87"/>
      <c r="I234" s="86"/>
    </row>
    <row r="235" spans="1:9" ht="56.25">
      <c r="A235" s="18" t="s">
        <v>122</v>
      </c>
      <c r="B235" s="29" t="s">
        <v>123</v>
      </c>
      <c r="C235" s="27" t="s">
        <v>124</v>
      </c>
      <c r="D235" s="32" t="s">
        <v>125</v>
      </c>
      <c r="E235" s="32" t="s">
        <v>15</v>
      </c>
      <c r="F235" s="30">
        <f>SUM(F236:F241)</f>
        <v>9364931.959999999</v>
      </c>
      <c r="G235" s="49">
        <f t="shared" ref="G235:I235" si="23">SUM(G236:G241)</f>
        <v>9364931.959999999</v>
      </c>
      <c r="H235" s="49">
        <f t="shared" si="23"/>
        <v>0</v>
      </c>
      <c r="I235" s="49">
        <f t="shared" si="23"/>
        <v>0</v>
      </c>
    </row>
    <row r="236" spans="1:9" ht="37.5">
      <c r="A236" s="18"/>
      <c r="B236" s="18"/>
      <c r="C236" s="18"/>
      <c r="D236" s="15"/>
      <c r="E236" s="38" t="s">
        <v>126</v>
      </c>
      <c r="F236" s="30">
        <f>5730254.85+2220000</f>
        <v>7950254.8499999996</v>
      </c>
      <c r="G236" s="49">
        <f>5730254.85+2220000</f>
        <v>7950254.8499999996</v>
      </c>
      <c r="H236" s="49"/>
      <c r="I236" s="49"/>
    </row>
    <row r="237" spans="1:9" ht="37.5">
      <c r="A237" s="18"/>
      <c r="B237" s="18"/>
      <c r="C237" s="18"/>
      <c r="D237" s="15"/>
      <c r="E237" s="38" t="s">
        <v>127</v>
      </c>
      <c r="F237" s="30">
        <v>37107</v>
      </c>
      <c r="G237" s="49">
        <v>37107</v>
      </c>
      <c r="H237" s="49"/>
      <c r="I237" s="49"/>
    </row>
    <row r="238" spans="1:9" ht="56.25">
      <c r="A238" s="18"/>
      <c r="B238" s="18"/>
      <c r="C238" s="18"/>
      <c r="D238" s="15"/>
      <c r="E238" s="32" t="s">
        <v>121</v>
      </c>
      <c r="F238" s="30">
        <f>350000+325000</f>
        <v>675000</v>
      </c>
      <c r="G238" s="49">
        <f>350000+325000</f>
        <v>675000</v>
      </c>
      <c r="H238" s="49"/>
      <c r="I238" s="49"/>
    </row>
    <row r="239" spans="1:9" ht="56.25">
      <c r="A239" s="18"/>
      <c r="B239" s="18"/>
      <c r="C239" s="18"/>
      <c r="D239" s="15"/>
      <c r="E239" s="38" t="s">
        <v>128</v>
      </c>
      <c r="F239" s="30">
        <v>300000</v>
      </c>
      <c r="G239" s="49">
        <v>300000</v>
      </c>
      <c r="H239" s="49"/>
      <c r="I239" s="49"/>
    </row>
    <row r="240" spans="1:9" ht="93.75">
      <c r="A240" s="18"/>
      <c r="B240" s="18"/>
      <c r="C240" s="18"/>
      <c r="D240" s="15"/>
      <c r="E240" s="43" t="s">
        <v>171</v>
      </c>
      <c r="F240" s="30">
        <v>245600</v>
      </c>
      <c r="G240" s="49">
        <v>245600</v>
      </c>
      <c r="H240" s="49"/>
      <c r="I240" s="49"/>
    </row>
    <row r="241" spans="1:10" ht="56.25">
      <c r="A241" s="18"/>
      <c r="B241" s="18"/>
      <c r="C241" s="18"/>
      <c r="D241" s="15"/>
      <c r="E241" s="38" t="s">
        <v>365</v>
      </c>
      <c r="F241" s="30">
        <v>156970.10999999999</v>
      </c>
      <c r="G241" s="49">
        <v>156970.10999999999</v>
      </c>
      <c r="H241" s="49"/>
      <c r="I241" s="49"/>
      <c r="J241" s="81"/>
    </row>
    <row r="242" spans="1:10">
      <c r="A242" s="18" t="s">
        <v>129</v>
      </c>
      <c r="B242" s="29" t="s">
        <v>130</v>
      </c>
      <c r="C242" s="27" t="s">
        <v>88</v>
      </c>
      <c r="D242" s="32" t="s">
        <v>89</v>
      </c>
      <c r="E242" s="32" t="s">
        <v>15</v>
      </c>
      <c r="F242" s="30">
        <f>SUM(F243:F261)</f>
        <v>17855043.949999999</v>
      </c>
      <c r="G242" s="49">
        <f t="shared" ref="G242:I242" si="24">SUM(G243:G261)</f>
        <v>17855043.949999999</v>
      </c>
      <c r="H242" s="49">
        <f t="shared" si="24"/>
        <v>0</v>
      </c>
      <c r="I242" s="49">
        <f t="shared" si="24"/>
        <v>0</v>
      </c>
    </row>
    <row r="243" spans="1:10" ht="56.25">
      <c r="A243" s="18"/>
      <c r="B243" s="29"/>
      <c r="C243" s="27"/>
      <c r="D243" s="32"/>
      <c r="E243" s="63" t="s">
        <v>282</v>
      </c>
      <c r="F243" s="30">
        <f>100000-9851.29</f>
        <v>90148.709999999992</v>
      </c>
      <c r="G243" s="49">
        <f>100000-9851.29</f>
        <v>90148.709999999992</v>
      </c>
      <c r="H243" s="49"/>
      <c r="I243" s="49"/>
    </row>
    <row r="244" spans="1:10" ht="37.5">
      <c r="A244" s="18"/>
      <c r="B244" s="29"/>
      <c r="C244" s="27"/>
      <c r="D244" s="32"/>
      <c r="E244" s="27" t="s">
        <v>283</v>
      </c>
      <c r="F244" s="30">
        <f>150000-28029.02</f>
        <v>121970.98</v>
      </c>
      <c r="G244" s="49">
        <f>150000-28029.02</f>
        <v>121970.98</v>
      </c>
      <c r="H244" s="49"/>
      <c r="I244" s="49"/>
    </row>
    <row r="245" spans="1:10" ht="37.5">
      <c r="A245" s="18"/>
      <c r="B245" s="29"/>
      <c r="C245" s="27"/>
      <c r="D245" s="32"/>
      <c r="E245" s="27" t="s">
        <v>314</v>
      </c>
      <c r="F245" s="30">
        <f>150000-36400.08</f>
        <v>113599.92</v>
      </c>
      <c r="G245" s="49">
        <f>150000-36400.08</f>
        <v>113599.92</v>
      </c>
      <c r="H245" s="49"/>
      <c r="I245" s="49"/>
    </row>
    <row r="246" spans="1:10" ht="37.5">
      <c r="A246" s="18"/>
      <c r="B246" s="29"/>
      <c r="C246" s="27"/>
      <c r="D246" s="32"/>
      <c r="E246" s="27" t="s">
        <v>315</v>
      </c>
      <c r="F246" s="30">
        <v>120321.73</v>
      </c>
      <c r="G246" s="49">
        <v>120321.73</v>
      </c>
      <c r="H246" s="49"/>
      <c r="I246" s="49"/>
    </row>
    <row r="247" spans="1:10" ht="37.5">
      <c r="A247" s="18"/>
      <c r="B247" s="29"/>
      <c r="C247" s="27"/>
      <c r="D247" s="32"/>
      <c r="E247" s="27" t="s">
        <v>316</v>
      </c>
      <c r="F247" s="30">
        <v>120321.71</v>
      </c>
      <c r="G247" s="49">
        <v>120321.71</v>
      </c>
      <c r="H247" s="49"/>
      <c r="I247" s="49"/>
    </row>
    <row r="248" spans="1:10" ht="37.5">
      <c r="A248" s="18"/>
      <c r="B248" s="29"/>
      <c r="C248" s="27"/>
      <c r="D248" s="32"/>
      <c r="E248" s="27" t="s">
        <v>317</v>
      </c>
      <c r="F248" s="30">
        <v>120321.73</v>
      </c>
      <c r="G248" s="49">
        <v>120321.73</v>
      </c>
      <c r="H248" s="49"/>
      <c r="I248" s="49"/>
    </row>
    <row r="249" spans="1:10" ht="37.5">
      <c r="A249" s="18"/>
      <c r="B249" s="29"/>
      <c r="C249" s="27"/>
      <c r="D249" s="32"/>
      <c r="E249" s="27" t="s">
        <v>318</v>
      </c>
      <c r="F249" s="30">
        <v>120321.73</v>
      </c>
      <c r="G249" s="49">
        <v>120321.73</v>
      </c>
      <c r="H249" s="49"/>
      <c r="I249" s="49"/>
    </row>
    <row r="250" spans="1:10" s="22" customFormat="1" ht="56.25">
      <c r="A250" s="25"/>
      <c r="B250" s="25"/>
      <c r="C250" s="25"/>
      <c r="D250" s="26"/>
      <c r="E250" s="38" t="s">
        <v>135</v>
      </c>
      <c r="F250" s="40">
        <f>477515.88+992484.12-74158.68</f>
        <v>1395841.32</v>
      </c>
      <c r="G250" s="53">
        <f>477515.88+992484.12-74158.68</f>
        <v>1395841.32</v>
      </c>
      <c r="H250" s="50"/>
      <c r="I250" s="50"/>
    </row>
    <row r="251" spans="1:10" s="22" customFormat="1" ht="56.25">
      <c r="A251" s="25"/>
      <c r="B251" s="25"/>
      <c r="C251" s="25"/>
      <c r="D251" s="26"/>
      <c r="E251" s="38" t="s">
        <v>242</v>
      </c>
      <c r="F251" s="40">
        <v>179000</v>
      </c>
      <c r="G251" s="53">
        <v>179000</v>
      </c>
      <c r="H251" s="50"/>
      <c r="I251" s="50"/>
    </row>
    <row r="252" spans="1:10" s="22" customFormat="1" ht="56.25">
      <c r="A252" s="25"/>
      <c r="B252" s="25"/>
      <c r="C252" s="25"/>
      <c r="D252" s="26"/>
      <c r="E252" s="38" t="s">
        <v>136</v>
      </c>
      <c r="F252" s="40">
        <f>356325-22851.35-33468.88</f>
        <v>300004.77</v>
      </c>
      <c r="G252" s="53">
        <f>356325-22851.35-33468.88</f>
        <v>300004.77</v>
      </c>
      <c r="H252" s="50"/>
      <c r="I252" s="50"/>
    </row>
    <row r="253" spans="1:10" s="22" customFormat="1" ht="56.25">
      <c r="A253" s="25"/>
      <c r="B253" s="25"/>
      <c r="C253" s="25"/>
      <c r="D253" s="26"/>
      <c r="E253" s="38" t="s">
        <v>243</v>
      </c>
      <c r="F253" s="40">
        <v>322851.34999999998</v>
      </c>
      <c r="G253" s="53">
        <v>322851.34999999998</v>
      </c>
      <c r="H253" s="50"/>
      <c r="I253" s="50"/>
    </row>
    <row r="254" spans="1:10" s="22" customFormat="1" ht="37.5">
      <c r="A254" s="25"/>
      <c r="B254" s="25"/>
      <c r="C254" s="25"/>
      <c r="D254" s="26"/>
      <c r="E254" s="38" t="s">
        <v>137</v>
      </c>
      <c r="F254" s="40">
        <f>675427-39038.02-100000-124673.42</f>
        <v>411715.56</v>
      </c>
      <c r="G254" s="53">
        <f>675427-39038.02-100000-124673.42</f>
        <v>411715.56</v>
      </c>
      <c r="H254" s="50"/>
      <c r="I254" s="50"/>
    </row>
    <row r="255" spans="1:10" s="22" customFormat="1" ht="56.25">
      <c r="A255" s="25"/>
      <c r="B255" s="25"/>
      <c r="C255" s="25"/>
      <c r="D255" s="26"/>
      <c r="E255" s="38" t="s">
        <v>248</v>
      </c>
      <c r="F255" s="40">
        <f>156000-24062.54</f>
        <v>131937.46</v>
      </c>
      <c r="G255" s="53">
        <f>156000-24062.54</f>
        <v>131937.46</v>
      </c>
      <c r="H255" s="50"/>
      <c r="I255" s="50"/>
    </row>
    <row r="256" spans="1:10" s="22" customFormat="1" ht="37.5">
      <c r="A256" s="25"/>
      <c r="B256" s="25"/>
      <c r="C256" s="25"/>
      <c r="D256" s="26"/>
      <c r="E256" s="38" t="s">
        <v>138</v>
      </c>
      <c r="F256" s="40">
        <f>99306.77+59200</f>
        <v>158506.77000000002</v>
      </c>
      <c r="G256" s="53">
        <f>99306.77+59200</f>
        <v>158506.77000000002</v>
      </c>
      <c r="H256" s="50"/>
      <c r="I256" s="50"/>
    </row>
    <row r="257" spans="1:10" s="22" customFormat="1" ht="37.5">
      <c r="A257" s="25"/>
      <c r="B257" s="25"/>
      <c r="C257" s="25"/>
      <c r="D257" s="26"/>
      <c r="E257" s="38" t="s">
        <v>139</v>
      </c>
      <c r="F257" s="40">
        <f>284410.21+64400</f>
        <v>348810.21</v>
      </c>
      <c r="G257" s="53">
        <f>284410.21+64400</f>
        <v>348810.21</v>
      </c>
      <c r="H257" s="50"/>
      <c r="I257" s="50"/>
    </row>
    <row r="258" spans="1:10" s="22" customFormat="1" ht="37.5">
      <c r="A258" s="25"/>
      <c r="B258" s="25"/>
      <c r="C258" s="25"/>
      <c r="D258" s="26"/>
      <c r="E258" s="27" t="s">
        <v>284</v>
      </c>
      <c r="F258" s="40">
        <v>999570</v>
      </c>
      <c r="G258" s="53">
        <v>999570</v>
      </c>
      <c r="H258" s="50"/>
      <c r="I258" s="50"/>
    </row>
    <row r="259" spans="1:10" s="22" customFormat="1" ht="75">
      <c r="A259" s="25"/>
      <c r="B259" s="25"/>
      <c r="C259" s="25"/>
      <c r="D259" s="26"/>
      <c r="E259" s="28" t="s">
        <v>174</v>
      </c>
      <c r="F259" s="40">
        <f>100000+5411800</f>
        <v>5511800</v>
      </c>
      <c r="G259" s="53">
        <f>100000+5411800</f>
        <v>5511800</v>
      </c>
      <c r="H259" s="50"/>
      <c r="I259" s="50"/>
    </row>
    <row r="260" spans="1:10" s="22" customFormat="1" ht="75">
      <c r="A260" s="25"/>
      <c r="B260" s="25"/>
      <c r="C260" s="25"/>
      <c r="D260" s="26"/>
      <c r="E260" s="28" t="s">
        <v>175</v>
      </c>
      <c r="F260" s="40">
        <f>100000+3201000</f>
        <v>3301000</v>
      </c>
      <c r="G260" s="53">
        <f>100000+3201000</f>
        <v>3301000</v>
      </c>
      <c r="H260" s="50"/>
      <c r="I260" s="50"/>
    </row>
    <row r="261" spans="1:10" s="22" customFormat="1" ht="37.5">
      <c r="A261" s="25"/>
      <c r="B261" s="25"/>
      <c r="C261" s="25"/>
      <c r="D261" s="26"/>
      <c r="E261" s="28" t="s">
        <v>176</v>
      </c>
      <c r="F261" s="40">
        <f>3782400+204600</f>
        <v>3987000</v>
      </c>
      <c r="G261" s="53">
        <f>3782400+204600</f>
        <v>3987000</v>
      </c>
      <c r="H261" s="50"/>
      <c r="I261" s="50"/>
    </row>
    <row r="262" spans="1:10" ht="75">
      <c r="A262" s="18" t="s">
        <v>131</v>
      </c>
      <c r="B262" s="29" t="s">
        <v>132</v>
      </c>
      <c r="C262" s="27" t="s">
        <v>91</v>
      </c>
      <c r="D262" s="32" t="s">
        <v>92</v>
      </c>
      <c r="E262" s="32" t="s">
        <v>15</v>
      </c>
      <c r="F262" s="30">
        <f>SUM(F263:F270)</f>
        <v>29954391.739999998</v>
      </c>
      <c r="G262" s="49">
        <f t="shared" ref="G262:I262" si="25">SUM(G263:G270)</f>
        <v>25943598.739999998</v>
      </c>
      <c r="H262" s="49">
        <f t="shared" si="25"/>
        <v>4010793</v>
      </c>
      <c r="I262" s="49">
        <f t="shared" si="25"/>
        <v>0</v>
      </c>
    </row>
    <row r="263" spans="1:10" s="22" customFormat="1" ht="79.900000000000006" customHeight="1">
      <c r="A263" s="25"/>
      <c r="B263" s="25"/>
      <c r="C263" s="25"/>
      <c r="D263" s="26"/>
      <c r="E263" s="38" t="s">
        <v>140</v>
      </c>
      <c r="F263" s="39">
        <f>3265655.66+200000+490000-145000</f>
        <v>3810655.66</v>
      </c>
      <c r="G263" s="49">
        <f>3265655.66+200000+490000-145000</f>
        <v>3810655.66</v>
      </c>
      <c r="H263" s="49"/>
      <c r="I263" s="49"/>
    </row>
    <row r="264" spans="1:10" ht="168.75">
      <c r="A264" s="29"/>
      <c r="B264" s="29"/>
      <c r="C264" s="45"/>
      <c r="D264" s="27"/>
      <c r="E264" s="27" t="s">
        <v>366</v>
      </c>
      <c r="F264" s="39">
        <f>4276488+683000-239521.3</f>
        <v>4719966.7</v>
      </c>
      <c r="G264" s="49">
        <f>4276488+683000-239521.3</f>
        <v>4719966.7</v>
      </c>
      <c r="H264" s="92"/>
      <c r="I264" s="93"/>
      <c r="J264" s="82" t="s">
        <v>367</v>
      </c>
    </row>
    <row r="265" spans="1:10" s="22" customFormat="1" ht="56.25">
      <c r="A265" s="25"/>
      <c r="B265" s="25"/>
      <c r="C265" s="25"/>
      <c r="D265" s="26"/>
      <c r="E265" s="27" t="s">
        <v>141</v>
      </c>
      <c r="F265" s="39">
        <v>1004292.24</v>
      </c>
      <c r="G265" s="49">
        <v>1004292.24</v>
      </c>
      <c r="H265" s="49"/>
      <c r="I265" s="49"/>
    </row>
    <row r="266" spans="1:10" s="22" customFormat="1" ht="131.25">
      <c r="A266" s="25"/>
      <c r="B266" s="25"/>
      <c r="C266" s="25"/>
      <c r="D266" s="26"/>
      <c r="E266" s="27" t="s">
        <v>142</v>
      </c>
      <c r="F266" s="39">
        <f>10141431-6130638</f>
        <v>4010793</v>
      </c>
      <c r="G266" s="49"/>
      <c r="H266" s="49">
        <f>10141431-6130638</f>
        <v>4010793</v>
      </c>
      <c r="I266" s="49"/>
    </row>
    <row r="267" spans="1:10" s="22" customFormat="1" ht="93.75">
      <c r="A267" s="25"/>
      <c r="B267" s="25"/>
      <c r="C267" s="25"/>
      <c r="D267" s="44"/>
      <c r="E267" s="28" t="s">
        <v>177</v>
      </c>
      <c r="F267" s="39">
        <f>200000+3000000+2092484.14</f>
        <v>5292484.1399999997</v>
      </c>
      <c r="G267" s="49">
        <f>200000+3000000+2092484.14</f>
        <v>5292484.1399999997</v>
      </c>
      <c r="H267" s="49"/>
      <c r="I267" s="49"/>
    </row>
    <row r="268" spans="1:10" s="22" customFormat="1" ht="93.75">
      <c r="A268" s="25"/>
      <c r="B268" s="25"/>
      <c r="C268" s="25"/>
      <c r="D268" s="44"/>
      <c r="E268" s="28" t="s">
        <v>178</v>
      </c>
      <c r="F268" s="39">
        <f>100000+907900</f>
        <v>1007900</v>
      </c>
      <c r="G268" s="49">
        <f>100000+907900</f>
        <v>1007900</v>
      </c>
      <c r="H268" s="49"/>
      <c r="I268" s="49"/>
    </row>
    <row r="269" spans="1:10" s="22" customFormat="1" ht="93.75">
      <c r="A269" s="25"/>
      <c r="B269" s="25"/>
      <c r="C269" s="25"/>
      <c r="D269" s="44"/>
      <c r="E269" s="28" t="s">
        <v>172</v>
      </c>
      <c r="F269" s="39">
        <f>245400+1917200</f>
        <v>2162600</v>
      </c>
      <c r="G269" s="49">
        <f>245400+1917200</f>
        <v>2162600</v>
      </c>
      <c r="H269" s="49"/>
      <c r="I269" s="49"/>
    </row>
    <row r="270" spans="1:10" s="22" customFormat="1" ht="93.75">
      <c r="A270" s="25"/>
      <c r="B270" s="25"/>
      <c r="C270" s="25"/>
      <c r="D270" s="44"/>
      <c r="E270" s="27" t="s">
        <v>285</v>
      </c>
      <c r="F270" s="39">
        <v>7945700</v>
      </c>
      <c r="G270" s="49">
        <v>7945700</v>
      </c>
      <c r="H270" s="49"/>
      <c r="I270" s="49"/>
    </row>
    <row r="271" spans="1:10" ht="99.75" customHeight="1">
      <c r="A271" s="18" t="s">
        <v>205</v>
      </c>
      <c r="B271" s="29">
        <v>8742</v>
      </c>
      <c r="C271" s="59" t="s">
        <v>77</v>
      </c>
      <c r="D271" s="27" t="s">
        <v>206</v>
      </c>
      <c r="E271" s="32" t="s">
        <v>207</v>
      </c>
      <c r="F271" s="30">
        <f>4575000-414048.53</f>
        <v>4160951.4699999997</v>
      </c>
      <c r="G271" s="49">
        <f>4575000-414048.53</f>
        <v>4160951.4699999997</v>
      </c>
      <c r="H271" s="49"/>
      <c r="I271" s="49"/>
      <c r="J271" s="1"/>
    </row>
    <row r="272" spans="1:10" ht="37.9" customHeight="1">
      <c r="A272" s="17" t="s">
        <v>143</v>
      </c>
      <c r="B272" s="16" t="s">
        <v>19</v>
      </c>
      <c r="C272" s="16" t="s">
        <v>19</v>
      </c>
      <c r="D272" s="104" t="s">
        <v>144</v>
      </c>
      <c r="E272" s="105"/>
      <c r="F272" s="20">
        <f>F273</f>
        <v>2125300</v>
      </c>
      <c r="G272" s="48">
        <f>G273</f>
        <v>2125300</v>
      </c>
      <c r="H272" s="48"/>
      <c r="I272" s="48"/>
      <c r="J272" s="1"/>
    </row>
    <row r="273" spans="1:10" ht="42" customHeight="1">
      <c r="A273" s="17" t="s">
        <v>145</v>
      </c>
      <c r="B273" s="16" t="s">
        <v>19</v>
      </c>
      <c r="C273" s="16" t="s">
        <v>19</v>
      </c>
      <c r="D273" s="104" t="s">
        <v>144</v>
      </c>
      <c r="E273" s="105"/>
      <c r="F273" s="20">
        <f>F274+F275</f>
        <v>2125300</v>
      </c>
      <c r="G273" s="48">
        <f>G274+G275</f>
        <v>2125300</v>
      </c>
      <c r="H273" s="48"/>
      <c r="I273" s="48"/>
    </row>
    <row r="274" spans="1:10" ht="75">
      <c r="A274" s="18" t="s">
        <v>146</v>
      </c>
      <c r="B274" s="29" t="s">
        <v>35</v>
      </c>
      <c r="C274" s="27" t="s">
        <v>13</v>
      </c>
      <c r="D274" s="32" t="s">
        <v>36</v>
      </c>
      <c r="E274" s="32" t="s">
        <v>45</v>
      </c>
      <c r="F274" s="30">
        <v>30000</v>
      </c>
      <c r="G274" s="49">
        <v>30000</v>
      </c>
      <c r="H274" s="49"/>
      <c r="I274" s="49"/>
    </row>
    <row r="275" spans="1:10" ht="37.9" customHeight="1">
      <c r="A275" s="18" t="s">
        <v>147</v>
      </c>
      <c r="B275" s="29" t="s">
        <v>148</v>
      </c>
      <c r="C275" s="27" t="s">
        <v>124</v>
      </c>
      <c r="D275" s="32" t="s">
        <v>149</v>
      </c>
      <c r="E275" s="32" t="s">
        <v>45</v>
      </c>
      <c r="F275" s="30">
        <f>550000+260000+1200000+85300</f>
        <v>2095300</v>
      </c>
      <c r="G275" s="49">
        <f>550000+260000+1200000+85300</f>
        <v>2095300</v>
      </c>
      <c r="H275" s="49"/>
      <c r="I275" s="49"/>
      <c r="J275" s="1"/>
    </row>
    <row r="276" spans="1:10" ht="27" customHeight="1">
      <c r="A276" s="62" t="s">
        <v>150</v>
      </c>
      <c r="B276" s="18" t="s">
        <v>19</v>
      </c>
      <c r="C276" s="18" t="s">
        <v>19</v>
      </c>
      <c r="D276" s="106" t="s">
        <v>151</v>
      </c>
      <c r="E276" s="107"/>
      <c r="F276" s="20">
        <f>F277</f>
        <v>27570420</v>
      </c>
      <c r="G276" s="48">
        <f>G277</f>
        <v>26779381</v>
      </c>
      <c r="H276" s="48">
        <f>H277</f>
        <v>791039</v>
      </c>
      <c r="I276" s="48"/>
      <c r="J276" s="1"/>
    </row>
    <row r="277" spans="1:10" ht="25.15" customHeight="1">
      <c r="A277" s="62" t="s">
        <v>152</v>
      </c>
      <c r="B277" s="18" t="s">
        <v>19</v>
      </c>
      <c r="C277" s="18" t="s">
        <v>19</v>
      </c>
      <c r="D277" s="106" t="s">
        <v>151</v>
      </c>
      <c r="E277" s="107"/>
      <c r="F277" s="20">
        <f>F278+F279+F280</f>
        <v>27570420</v>
      </c>
      <c r="G277" s="48">
        <f>G278+G279+G280</f>
        <v>26779381</v>
      </c>
      <c r="H277" s="48">
        <f>H278+H279+H280</f>
        <v>791039</v>
      </c>
      <c r="I277" s="48"/>
    </row>
    <row r="278" spans="1:10" ht="89.65" customHeight="1">
      <c r="A278" s="18" t="s">
        <v>289</v>
      </c>
      <c r="B278" s="18" t="s">
        <v>35</v>
      </c>
      <c r="C278" s="18" t="s">
        <v>13</v>
      </c>
      <c r="D278" s="32" t="s">
        <v>36</v>
      </c>
      <c r="E278" s="32" t="s">
        <v>45</v>
      </c>
      <c r="F278" s="30">
        <f>20000+25500+55000</f>
        <v>100500</v>
      </c>
      <c r="G278" s="49">
        <f>20000+25500+55000</f>
        <v>100500</v>
      </c>
      <c r="H278" s="48"/>
      <c r="I278" s="48"/>
    </row>
    <row r="279" spans="1:10" ht="89.65" customHeight="1">
      <c r="A279" s="18" t="s">
        <v>319</v>
      </c>
      <c r="B279" s="18" t="s">
        <v>320</v>
      </c>
      <c r="C279" s="18" t="s">
        <v>155</v>
      </c>
      <c r="D279" s="32" t="s">
        <v>321</v>
      </c>
      <c r="E279" s="32" t="s">
        <v>322</v>
      </c>
      <c r="F279" s="30">
        <v>1000000</v>
      </c>
      <c r="G279" s="49">
        <v>1000000</v>
      </c>
      <c r="H279" s="48"/>
      <c r="I279" s="48"/>
    </row>
    <row r="280" spans="1:10" s="22" customFormat="1" ht="83.25" customHeight="1">
      <c r="A280" s="18" t="s">
        <v>153</v>
      </c>
      <c r="B280" s="29" t="s">
        <v>154</v>
      </c>
      <c r="C280" s="67" t="s">
        <v>155</v>
      </c>
      <c r="D280" s="32" t="s">
        <v>156</v>
      </c>
      <c r="E280" s="32" t="s">
        <v>15</v>
      </c>
      <c r="F280" s="30">
        <f>F281+F282+F283+F284+F285+F286+F287+F288</f>
        <v>26469920</v>
      </c>
      <c r="G280" s="49">
        <f>G281+G282+G283+G284+G285+G286+G287+G288</f>
        <v>25678881</v>
      </c>
      <c r="H280" s="49">
        <f>H281+H282+H283+H284+H285+H286+H287+H288</f>
        <v>791039</v>
      </c>
      <c r="I280" s="49"/>
    </row>
    <row r="281" spans="1:10" s="22" customFormat="1" ht="56.25">
      <c r="A281" s="25"/>
      <c r="B281" s="25"/>
      <c r="C281" s="25"/>
      <c r="D281" s="26"/>
      <c r="E281" s="32" t="s">
        <v>157</v>
      </c>
      <c r="F281" s="30">
        <v>365250</v>
      </c>
      <c r="G281" s="49">
        <v>365250</v>
      </c>
      <c r="H281" s="50"/>
      <c r="I281" s="50"/>
    </row>
    <row r="282" spans="1:10" s="22" customFormat="1" ht="56.25">
      <c r="A282" s="25"/>
      <c r="B282" s="25"/>
      <c r="C282" s="25"/>
      <c r="D282" s="26"/>
      <c r="E282" s="32" t="s">
        <v>329</v>
      </c>
      <c r="F282" s="30">
        <f>409500+161200+1806370+560000+3500000+8182240</f>
        <v>14619310</v>
      </c>
      <c r="G282" s="49">
        <f>409500+161200+1806370+560000+3500000+8182240</f>
        <v>14619310</v>
      </c>
      <c r="H282" s="50"/>
      <c r="I282" s="50"/>
    </row>
    <row r="283" spans="1:10" s="22" customFormat="1" ht="56.25">
      <c r="A283" s="25"/>
      <c r="B283" s="25"/>
      <c r="C283" s="25"/>
      <c r="D283" s="26"/>
      <c r="E283" s="32" t="s">
        <v>162</v>
      </c>
      <c r="F283" s="30">
        <f>425000+850000+850000</f>
        <v>2125000</v>
      </c>
      <c r="G283" s="49">
        <f>425000+850000+850000</f>
        <v>2125000</v>
      </c>
      <c r="H283" s="50"/>
      <c r="I283" s="50"/>
    </row>
    <row r="284" spans="1:10" ht="93.75">
      <c r="A284" s="25"/>
      <c r="B284" s="25"/>
      <c r="C284" s="25"/>
      <c r="D284" s="26"/>
      <c r="E284" s="32" t="s">
        <v>197</v>
      </c>
      <c r="F284" s="30">
        <v>1500000</v>
      </c>
      <c r="G284" s="49">
        <v>1500000</v>
      </c>
      <c r="H284" s="50"/>
      <c r="I284" s="50"/>
    </row>
    <row r="285" spans="1:10" ht="56.25">
      <c r="A285" s="25"/>
      <c r="B285" s="25"/>
      <c r="C285" s="25"/>
      <c r="D285" s="26"/>
      <c r="E285" s="32" t="s">
        <v>217</v>
      </c>
      <c r="F285" s="30">
        <v>380860</v>
      </c>
      <c r="G285" s="49">
        <v>380860</v>
      </c>
      <c r="H285" s="50"/>
      <c r="I285" s="50"/>
    </row>
    <row r="286" spans="1:10" ht="37.5">
      <c r="A286" s="25"/>
      <c r="B286" s="25"/>
      <c r="C286" s="25"/>
      <c r="D286" s="26"/>
      <c r="E286" s="32" t="s">
        <v>221</v>
      </c>
      <c r="F286" s="30">
        <f>400000+629500</f>
        <v>1029500</v>
      </c>
      <c r="G286" s="49">
        <f>400000+629500</f>
        <v>1029500</v>
      </c>
      <c r="H286" s="50"/>
      <c r="I286" s="50"/>
    </row>
    <row r="287" spans="1:10" ht="56.25">
      <c r="A287" s="25"/>
      <c r="B287" s="25"/>
      <c r="C287" s="25"/>
      <c r="D287" s="26"/>
      <c r="E287" s="32" t="s">
        <v>286</v>
      </c>
      <c r="F287" s="30">
        <f>3000000+2000000</f>
        <v>5000000</v>
      </c>
      <c r="G287" s="49">
        <f>3000000+2000000-791039</f>
        <v>4208961</v>
      </c>
      <c r="H287" s="49">
        <v>791039</v>
      </c>
      <c r="I287" s="50"/>
    </row>
    <row r="288" spans="1:10" ht="75">
      <c r="A288" s="25"/>
      <c r="B288" s="25"/>
      <c r="C288" s="25"/>
      <c r="D288" s="26"/>
      <c r="E288" s="32" t="s">
        <v>287</v>
      </c>
      <c r="F288" s="30">
        <v>1450000</v>
      </c>
      <c r="G288" s="49">
        <v>1450000</v>
      </c>
      <c r="H288" s="50"/>
      <c r="I288" s="50"/>
    </row>
    <row r="289" spans="1:9">
      <c r="A289" s="23"/>
      <c r="B289" s="16"/>
      <c r="C289" s="16"/>
      <c r="D289" s="2"/>
      <c r="E289" s="11" t="s">
        <v>0</v>
      </c>
      <c r="F289" s="42">
        <f>F15+F34+F45+F53+F57+F61+F64+F133+F272+F276</f>
        <v>286295555.13</v>
      </c>
      <c r="G289" s="55">
        <f>G15+G34+G45+G53+G57+G61+G64+G133+G272+G276</f>
        <v>269067528.13</v>
      </c>
      <c r="H289" s="55">
        <f>H15+H34+H45+H53+H57+H61+H64+H133+H272+H276</f>
        <v>11628027</v>
      </c>
      <c r="I289" s="55">
        <f>I15+I34+I45+I53+I57+I61+I64+I133+I272+I276</f>
        <v>5600000</v>
      </c>
    </row>
    <row r="290" spans="1:9" s="19" customFormat="1">
      <c r="A290" s="5"/>
      <c r="B290" s="4"/>
      <c r="C290" s="4"/>
      <c r="D290" s="5"/>
      <c r="E290" s="12"/>
      <c r="F290" s="13"/>
      <c r="G290" s="56"/>
      <c r="H290" s="56"/>
      <c r="I290" s="56"/>
    </row>
    <row r="291" spans="1:9">
      <c r="A291" s="21"/>
      <c r="B291" s="10"/>
      <c r="C291" s="19"/>
      <c r="D291" s="19" t="s">
        <v>372</v>
      </c>
      <c r="E291" s="19"/>
      <c r="F291" s="19"/>
    </row>
    <row r="292" spans="1:9" ht="21.6" customHeight="1">
      <c r="F292" s="1"/>
      <c r="G292" s="57"/>
      <c r="H292" s="57"/>
      <c r="I292" s="57"/>
    </row>
    <row r="293" spans="1:9" ht="21.6" hidden="1" customHeight="1">
      <c r="F293" s="61">
        <v>277662736.14999998</v>
      </c>
      <c r="G293" s="94">
        <v>260434709.14999998</v>
      </c>
      <c r="H293" s="94">
        <v>11628027</v>
      </c>
      <c r="I293" s="94">
        <v>5600000</v>
      </c>
    </row>
    <row r="294" spans="1:9" ht="21.6" hidden="1" customHeight="1">
      <c r="F294" s="1">
        <f>G294+H294+I294</f>
        <v>8632818.9800000191</v>
      </c>
      <c r="G294" s="57">
        <f>G289-G293</f>
        <v>8632818.9800000191</v>
      </c>
      <c r="H294" s="57">
        <f>H289-H293</f>
        <v>0</v>
      </c>
      <c r="I294" s="57">
        <f>I289-I293</f>
        <v>0</v>
      </c>
    </row>
    <row r="295" spans="1:9" ht="21.6" hidden="1" customHeight="1">
      <c r="F295" s="1"/>
      <c r="G295" s="57"/>
      <c r="H295" s="57"/>
      <c r="I295" s="57"/>
    </row>
    <row r="296" spans="1:9" ht="21.6" hidden="1" customHeight="1">
      <c r="F296" s="24"/>
      <c r="G296" s="58"/>
      <c r="H296" s="58"/>
      <c r="I296" s="58"/>
    </row>
    <row r="297" spans="1:9" ht="21.6" hidden="1" customHeight="1">
      <c r="F297" s="68">
        <v>30556209.91</v>
      </c>
      <c r="G297" s="95">
        <v>22522836.909999996</v>
      </c>
      <c r="H297" s="95">
        <v>371973</v>
      </c>
      <c r="I297" s="96">
        <v>7661400</v>
      </c>
    </row>
    <row r="298" spans="1:9" ht="21.6" hidden="1" customHeight="1">
      <c r="F298" s="68">
        <v>30556209.91</v>
      </c>
      <c r="G298" s="95">
        <v>22522836.909999996</v>
      </c>
      <c r="H298" s="95">
        <v>371973</v>
      </c>
      <c r="I298" s="96">
        <v>7661400</v>
      </c>
    </row>
    <row r="299" spans="1:9" ht="21.6" hidden="1" customHeight="1">
      <c r="F299" s="1">
        <f>F289+F297</f>
        <v>316851765.04000002</v>
      </c>
      <c r="G299" s="71">
        <f>G289+G297</f>
        <v>291590365.03999996</v>
      </c>
      <c r="H299" s="57">
        <f>H289+H297</f>
        <v>12000000</v>
      </c>
      <c r="I299" s="57">
        <f>I289+I297</f>
        <v>13261400</v>
      </c>
    </row>
    <row r="300" spans="1:9" ht="21.6" hidden="1" customHeight="1">
      <c r="F300" s="1">
        <f>F293+F298</f>
        <v>308218946.06</v>
      </c>
      <c r="G300" s="57">
        <f>G293+G298</f>
        <v>282957546.05999994</v>
      </c>
      <c r="H300" s="57">
        <f>H293+H298</f>
        <v>12000000</v>
      </c>
      <c r="I300" s="57">
        <f>I293+I298</f>
        <v>13261400</v>
      </c>
    </row>
    <row r="301" spans="1:9" ht="21.6" hidden="1" customHeight="1">
      <c r="F301" s="1">
        <f>F299-F300</f>
        <v>8632818.9800000191</v>
      </c>
      <c r="G301" s="57">
        <f>G299-G300</f>
        <v>8632818.9800000191</v>
      </c>
      <c r="H301" s="57">
        <f t="shared" ref="H301:I301" si="26">H299-H300</f>
        <v>0</v>
      </c>
      <c r="I301" s="57">
        <f t="shared" si="26"/>
        <v>0</v>
      </c>
    </row>
    <row r="302" spans="1:9" ht="21.6" hidden="1" customHeight="1">
      <c r="F302" s="1">
        <v>8439178.9800000004</v>
      </c>
    </row>
    <row r="303" spans="1:9" ht="21.6" hidden="1" customHeight="1">
      <c r="F303" s="1">
        <f>F301-F302</f>
        <v>193640.00000001863</v>
      </c>
      <c r="G303" s="57"/>
    </row>
    <row r="304" spans="1:9" ht="21.6" hidden="1" customHeight="1">
      <c r="F304" s="1"/>
    </row>
    <row r="305" spans="6:6" ht="21.6" hidden="1" customHeight="1">
      <c r="F305" s="1"/>
    </row>
    <row r="306" spans="6:6" ht="21.6" hidden="1" customHeight="1"/>
    <row r="307" spans="6:6" ht="21.6" hidden="1" customHeight="1">
      <c r="F307" s="1">
        <f>[1]Лист1!$K$225</f>
        <v>316851765.03999996</v>
      </c>
    </row>
    <row r="308" spans="6:6" ht="21.6" hidden="1" customHeight="1">
      <c r="F308" s="1">
        <f>F299-F307</f>
        <v>0</v>
      </c>
    </row>
    <row r="309" spans="6:6" ht="21.6" hidden="1" customHeight="1"/>
    <row r="310" spans="6:6" ht="21.6" hidden="1" customHeight="1"/>
    <row r="311" spans="6:6" ht="21.6" hidden="1" customHeight="1"/>
    <row r="312" spans="6:6" ht="21.6" customHeight="1"/>
  </sheetData>
  <mergeCells count="40">
    <mergeCell ref="E5:F5"/>
    <mergeCell ref="E6:F6"/>
    <mergeCell ref="E7:F7"/>
    <mergeCell ref="E8:F8"/>
    <mergeCell ref="E1:F1"/>
    <mergeCell ref="E2:F2"/>
    <mergeCell ref="E3:F3"/>
    <mergeCell ref="D277:E277"/>
    <mergeCell ref="D50:E50"/>
    <mergeCell ref="D52:E52"/>
    <mergeCell ref="D272:E272"/>
    <mergeCell ref="D276:E276"/>
    <mergeCell ref="D64:E64"/>
    <mergeCell ref="D65:E65"/>
    <mergeCell ref="D133:E133"/>
    <mergeCell ref="D134:E134"/>
    <mergeCell ref="D273:E273"/>
    <mergeCell ref="D51:E51"/>
    <mergeCell ref="D15:E15"/>
    <mergeCell ref="D16:E16"/>
    <mergeCell ref="D62:E62"/>
    <mergeCell ref="D34:E34"/>
    <mergeCell ref="D35:E35"/>
    <mergeCell ref="D45:E45"/>
    <mergeCell ref="D46:E46"/>
    <mergeCell ref="D57:E57"/>
    <mergeCell ref="D58:E58"/>
    <mergeCell ref="D61:E61"/>
    <mergeCell ref="D53:E53"/>
    <mergeCell ref="D54:E54"/>
    <mergeCell ref="A9:B9"/>
    <mergeCell ref="A10:B10"/>
    <mergeCell ref="A11:I11"/>
    <mergeCell ref="A12:A13"/>
    <mergeCell ref="B12:B13"/>
    <mergeCell ref="C12:C13"/>
    <mergeCell ref="D12:D13"/>
    <mergeCell ref="E12:E13"/>
    <mergeCell ref="F12:F13"/>
    <mergeCell ref="G12:I12"/>
  </mergeCells>
  <pageMargins left="0.19685039370078741" right="0.19685039370078741" top="0.59055118110236227" bottom="0.59055118110236227" header="0" footer="0"/>
  <pageSetup paperSize="9" scale="55" fitToHeight="0"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2</vt:i4>
      </vt:variant>
    </vt:vector>
  </HeadingPairs>
  <TitlesOfParts>
    <vt:vector size="4" baseType="lpstr">
      <vt:lpstr>Лист1</vt:lpstr>
      <vt:lpstr>2023</vt:lpstr>
      <vt:lpstr>'2023'!Заголовки_для_друку</vt:lpstr>
      <vt:lpstr>'2023'!Область_друку</vt:lpstr>
    </vt:vector>
  </TitlesOfParts>
  <Company>УКХиЭ</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77</dc:creator>
  <cp:lastModifiedBy>Natasha-findep</cp:lastModifiedBy>
  <cp:lastPrinted>2023-12-19T08:36:44Z</cp:lastPrinted>
  <dcterms:created xsi:type="dcterms:W3CDTF">2005-08-15T04:40:30Z</dcterms:created>
  <dcterms:modified xsi:type="dcterms:W3CDTF">2023-12-19T08:38:47Z</dcterms:modified>
</cp:coreProperties>
</file>