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2023" sheetId="11" r:id="rId1"/>
  </sheets>
  <definedNames>
    <definedName name="_xlnm.Print_Titles" localSheetId="0">'2023'!$16:$18</definedName>
    <definedName name="_xlnm.Print_Area" localSheetId="0">'2023'!$A$1:$J$195</definedName>
  </definedNames>
  <calcPr calcId="152511"/>
</workbook>
</file>

<file path=xl/calcChain.xml><?xml version="1.0" encoding="utf-8"?>
<calcChain xmlns="http://schemas.openxmlformats.org/spreadsheetml/2006/main">
  <c r="I112" i="11" l="1"/>
  <c r="J32" i="11" l="1"/>
  <c r="H32" i="11"/>
  <c r="J152" i="11" l="1"/>
  <c r="H152" i="11"/>
  <c r="J115" i="11"/>
  <c r="J103" i="11"/>
  <c r="H23" i="11"/>
  <c r="H21" i="11"/>
  <c r="H163" i="11" l="1"/>
  <c r="J163" i="11"/>
  <c r="J110" i="11"/>
  <c r="I110" i="11"/>
  <c r="G111" i="11"/>
  <c r="J127" i="11" l="1"/>
  <c r="H114" i="11"/>
  <c r="J96" i="11"/>
  <c r="I96" i="11"/>
  <c r="J40" i="11"/>
  <c r="J39" i="11"/>
  <c r="I39" i="11"/>
  <c r="J158" i="11" l="1"/>
  <c r="H143" i="11"/>
  <c r="H180" i="11" s="1"/>
  <c r="J130" i="11"/>
  <c r="J124" i="11"/>
  <c r="I115" i="11"/>
  <c r="H96" i="11"/>
  <c r="J93" i="11"/>
  <c r="H93" i="11"/>
  <c r="J168" i="11"/>
  <c r="J43" i="11"/>
  <c r="I43" i="11"/>
  <c r="I40" i="11"/>
  <c r="I32" i="11" l="1"/>
  <c r="J154" i="11" l="1"/>
  <c r="H154" i="11"/>
  <c r="J136" i="11"/>
  <c r="J135" i="11"/>
  <c r="J128" i="11"/>
  <c r="J126" i="11"/>
  <c r="J125" i="11"/>
  <c r="J123" i="11"/>
  <c r="H115" i="11"/>
  <c r="G110" i="11"/>
  <c r="H106" i="11"/>
  <c r="J100" i="11" l="1"/>
  <c r="H100" i="11"/>
  <c r="J92" i="11"/>
  <c r="H186" i="11"/>
  <c r="J186" i="11"/>
  <c r="H70" i="11"/>
  <c r="J70" i="11"/>
  <c r="I72" i="11"/>
  <c r="G72" i="11" s="1"/>
  <c r="G186" i="11" s="1"/>
  <c r="H66" i="11"/>
  <c r="H62" i="11"/>
  <c r="I100" i="11" l="1"/>
  <c r="I70" i="11"/>
  <c r="I186" i="11"/>
  <c r="G51" i="11" l="1"/>
  <c r="H46" i="11"/>
  <c r="H168" i="11" s="1"/>
  <c r="G34" i="11"/>
  <c r="H22" i="11"/>
  <c r="J21" i="11"/>
  <c r="I21" i="11"/>
  <c r="J143" i="11" l="1"/>
  <c r="J180" i="11" s="1"/>
  <c r="H172" i="11"/>
  <c r="J139" i="11"/>
  <c r="I139" i="11" s="1"/>
  <c r="G139" i="11" s="1"/>
  <c r="I152" i="11" l="1"/>
  <c r="I179" i="11" s="1"/>
  <c r="J179" i="11"/>
  <c r="H128" i="11"/>
  <c r="G122" i="11" l="1"/>
  <c r="G99" i="11"/>
  <c r="H61" i="11"/>
  <c r="G46" i="11"/>
  <c r="H164" i="11" l="1"/>
  <c r="H52" i="11" l="1"/>
  <c r="G28" i="11" l="1"/>
  <c r="I29" i="11" l="1"/>
  <c r="G29" i="11" s="1"/>
  <c r="J137" i="11" l="1"/>
  <c r="J133" i="11"/>
  <c r="J131" i="11"/>
  <c r="H131" i="11"/>
  <c r="H120" i="11" s="1"/>
  <c r="J121" i="11"/>
  <c r="H113" i="11"/>
  <c r="G107" i="11"/>
  <c r="G106" i="11"/>
  <c r="J102" i="11"/>
  <c r="I93" i="11"/>
  <c r="H193" i="11" l="1"/>
  <c r="J193" i="11"/>
  <c r="H192" i="11"/>
  <c r="J192" i="11"/>
  <c r="I159" i="11"/>
  <c r="G159" i="11" s="1"/>
  <c r="G193" i="11" s="1"/>
  <c r="I158" i="11"/>
  <c r="I192" i="11" s="1"/>
  <c r="I154" i="11"/>
  <c r="I151" i="11"/>
  <c r="H151" i="11"/>
  <c r="H150" i="11"/>
  <c r="G43" i="11"/>
  <c r="I45" i="11"/>
  <c r="G45" i="11" s="1"/>
  <c r="I44" i="11"/>
  <c r="G44" i="11" l="1"/>
  <c r="I168" i="11"/>
  <c r="I193" i="11"/>
  <c r="G152" i="11"/>
  <c r="G158" i="11"/>
  <c r="G192" i="11" s="1"/>
  <c r="J52" i="11"/>
  <c r="J169" i="11" s="1"/>
  <c r="I52" i="11" l="1"/>
  <c r="H33" i="11" l="1"/>
  <c r="H30" i="11"/>
  <c r="H26" i="11"/>
  <c r="H89" i="11" l="1"/>
  <c r="H87" i="11"/>
  <c r="H86" i="11"/>
  <c r="H67" i="11"/>
  <c r="G27" i="11" l="1"/>
  <c r="H80" i="11" l="1"/>
  <c r="I166" i="11" l="1"/>
  <c r="J166" i="11"/>
  <c r="G150" i="11"/>
  <c r="J104" i="11"/>
  <c r="I104" i="11"/>
  <c r="H81" i="11"/>
  <c r="H79" i="11"/>
  <c r="H95" i="11" l="1"/>
  <c r="H91" i="11" l="1"/>
  <c r="G39" i="11" l="1"/>
  <c r="I191" i="11" l="1"/>
  <c r="J191" i="11"/>
  <c r="H191" i="11"/>
  <c r="I23" i="11" l="1"/>
  <c r="J134" i="11" l="1"/>
  <c r="J155" i="11" l="1"/>
  <c r="I155" i="11"/>
  <c r="H148" i="11"/>
  <c r="H50" i="11" l="1"/>
  <c r="H145" i="11"/>
  <c r="H179" i="11" s="1"/>
  <c r="H144" i="11"/>
  <c r="H169" i="11" s="1"/>
  <c r="H69" i="11"/>
  <c r="I69" i="11"/>
  <c r="J69" i="11"/>
  <c r="G71" i="11"/>
  <c r="G70" i="11" l="1"/>
  <c r="G69" i="11" s="1"/>
  <c r="H141" i="11"/>
  <c r="H25" i="11"/>
  <c r="H24" i="11"/>
  <c r="H167" i="11" l="1"/>
  <c r="H78" i="11"/>
  <c r="H188" i="11" l="1"/>
  <c r="I188" i="11"/>
  <c r="J188" i="11"/>
  <c r="G155" i="11"/>
  <c r="J156" i="11" l="1"/>
  <c r="I156" i="11"/>
  <c r="H156" i="11"/>
  <c r="H147" i="11" s="1"/>
  <c r="G112" i="11"/>
  <c r="J109" i="11"/>
  <c r="I109" i="11" s="1"/>
  <c r="G109" i="11" s="1"/>
  <c r="I102" i="11"/>
  <c r="G102" i="11" s="1"/>
  <c r="J97" i="11"/>
  <c r="I92" i="11"/>
  <c r="G191" i="11"/>
  <c r="I189" i="11"/>
  <c r="G189" i="11" s="1"/>
  <c r="J187" i="11"/>
  <c r="I187" i="11"/>
  <c r="H187" i="11"/>
  <c r="J185" i="11"/>
  <c r="H185" i="11"/>
  <c r="H184" i="11"/>
  <c r="J183" i="11"/>
  <c r="I183" i="11"/>
  <c r="H183" i="11"/>
  <c r="H182" i="11"/>
  <c r="J181" i="11"/>
  <c r="I181" i="11"/>
  <c r="J178" i="11"/>
  <c r="I178" i="11"/>
  <c r="H178" i="11"/>
  <c r="J177" i="11"/>
  <c r="I177" i="11"/>
  <c r="H177" i="11"/>
  <c r="J175" i="11"/>
  <c r="H174" i="11"/>
  <c r="G174" i="11" s="1"/>
  <c r="H173" i="11"/>
  <c r="H171" i="11"/>
  <c r="J162" i="11"/>
  <c r="I162" i="11"/>
  <c r="H162" i="11"/>
  <c r="H161" i="11"/>
  <c r="G157" i="11"/>
  <c r="G188" i="11"/>
  <c r="G154" i="11"/>
  <c r="G183" i="11" s="1"/>
  <c r="G153" i="11"/>
  <c r="G151" i="11"/>
  <c r="G149" i="11"/>
  <c r="G148" i="11"/>
  <c r="G187" i="11" s="1"/>
  <c r="G145" i="11"/>
  <c r="G144" i="11"/>
  <c r="I143" i="11"/>
  <c r="I180" i="11" s="1"/>
  <c r="I142" i="11"/>
  <c r="G142" i="11" s="1"/>
  <c r="J141" i="11"/>
  <c r="J140" i="11" s="1"/>
  <c r="I138" i="11"/>
  <c r="G138" i="11" s="1"/>
  <c r="I137" i="11"/>
  <c r="G137" i="11" s="1"/>
  <c r="I136" i="11"/>
  <c r="I169" i="11" s="1"/>
  <c r="I135" i="11"/>
  <c r="G135" i="11" s="1"/>
  <c r="J170" i="11"/>
  <c r="I133" i="11"/>
  <c r="G133" i="11" s="1"/>
  <c r="I132" i="11"/>
  <c r="G132" i="11" s="1"/>
  <c r="J171" i="11"/>
  <c r="I131" i="11"/>
  <c r="I171" i="11" s="1"/>
  <c r="I130" i="11"/>
  <c r="G130" i="11" s="1"/>
  <c r="J129" i="11"/>
  <c r="J172" i="11" s="1"/>
  <c r="I128" i="11"/>
  <c r="G128" i="11" s="1"/>
  <c r="I127" i="11"/>
  <c r="I125" i="11"/>
  <c r="G125" i="11" s="1"/>
  <c r="I124" i="11"/>
  <c r="G124" i="11" s="1"/>
  <c r="I123" i="11"/>
  <c r="I121" i="11"/>
  <c r="H119" i="11"/>
  <c r="I118" i="11"/>
  <c r="G117" i="11"/>
  <c r="J116" i="11"/>
  <c r="I116" i="11" s="1"/>
  <c r="G114" i="11"/>
  <c r="G113" i="11"/>
  <c r="G108" i="11"/>
  <c r="G105" i="11"/>
  <c r="G104" i="11"/>
  <c r="I103" i="11"/>
  <c r="G101" i="11"/>
  <c r="G162" i="11" s="1"/>
  <c r="G98" i="11"/>
  <c r="G96" i="11"/>
  <c r="G95" i="11"/>
  <c r="I94" i="11"/>
  <c r="G94" i="11" s="1"/>
  <c r="G93" i="11"/>
  <c r="G89" i="11"/>
  <c r="G88" i="11"/>
  <c r="G87" i="11"/>
  <c r="G86" i="11"/>
  <c r="G85" i="11"/>
  <c r="G84" i="11"/>
  <c r="G81" i="11"/>
  <c r="I80" i="11"/>
  <c r="G79" i="11"/>
  <c r="I78" i="11"/>
  <c r="G78" i="11" s="1"/>
  <c r="G77" i="11"/>
  <c r="G76" i="11"/>
  <c r="G75" i="11"/>
  <c r="J74" i="11"/>
  <c r="J73" i="11" s="1"/>
  <c r="G68" i="11"/>
  <c r="G67" i="11"/>
  <c r="G66" i="11"/>
  <c r="G65" i="11"/>
  <c r="G64" i="11"/>
  <c r="G63" i="11"/>
  <c r="G61" i="11"/>
  <c r="G60" i="11"/>
  <c r="G59" i="11"/>
  <c r="G58" i="11"/>
  <c r="H57" i="11"/>
  <c r="G57" i="11" s="1"/>
  <c r="G56" i="11"/>
  <c r="J55" i="11"/>
  <c r="J54" i="11" s="1"/>
  <c r="G53" i="11"/>
  <c r="G52" i="11"/>
  <c r="G49" i="11"/>
  <c r="G48" i="11"/>
  <c r="G161" i="11" s="1"/>
  <c r="G47" i="11"/>
  <c r="G42" i="11"/>
  <c r="G178" i="11" s="1"/>
  <c r="G41" i="11"/>
  <c r="G173" i="11" s="1"/>
  <c r="G38" i="11"/>
  <c r="J37" i="11"/>
  <c r="J36" i="11" s="1"/>
  <c r="G35" i="11"/>
  <c r="H181" i="11"/>
  <c r="H31" i="11"/>
  <c r="H20" i="11" s="1"/>
  <c r="G26" i="11"/>
  <c r="G25" i="11"/>
  <c r="G24" i="11"/>
  <c r="G23" i="11"/>
  <c r="J22" i="11"/>
  <c r="G103" i="11" l="1"/>
  <c r="I163" i="11"/>
  <c r="G127" i="11"/>
  <c r="G123" i="11"/>
  <c r="G118" i="11"/>
  <c r="J167" i="11"/>
  <c r="J20" i="11"/>
  <c r="J19" i="11" s="1"/>
  <c r="I97" i="11"/>
  <c r="G97" i="11" s="1"/>
  <c r="J91" i="11"/>
  <c r="J90" i="11" s="1"/>
  <c r="J164" i="11"/>
  <c r="J120" i="11"/>
  <c r="J119" i="11" s="1"/>
  <c r="G31" i="11"/>
  <c r="H19" i="11"/>
  <c r="I147" i="11"/>
  <c r="I146" i="11" s="1"/>
  <c r="G62" i="11"/>
  <c r="H166" i="11"/>
  <c r="I22" i="11"/>
  <c r="J147" i="11"/>
  <c r="J146" i="11" s="1"/>
  <c r="G136" i="11"/>
  <c r="G143" i="11"/>
  <c r="G141" i="11" s="1"/>
  <c r="G140" i="11" s="1"/>
  <c r="G33" i="11"/>
  <c r="G179" i="11" s="1"/>
  <c r="I55" i="11"/>
  <c r="I54" i="11" s="1"/>
  <c r="G80" i="11"/>
  <c r="G74" i="11" s="1"/>
  <c r="G73" i="11" s="1"/>
  <c r="H90" i="11"/>
  <c r="J190" i="11"/>
  <c r="G40" i="11"/>
  <c r="G168" i="11" s="1"/>
  <c r="G50" i="11"/>
  <c r="G185" i="11"/>
  <c r="I129" i="11"/>
  <c r="G129" i="11" s="1"/>
  <c r="I74" i="11"/>
  <c r="I73" i="11" s="1"/>
  <c r="I134" i="11"/>
  <c r="I170" i="11" s="1"/>
  <c r="G121" i="11"/>
  <c r="G83" i="11"/>
  <c r="G82" i="11" s="1"/>
  <c r="I126" i="11"/>
  <c r="I164" i="11" s="1"/>
  <c r="I185" i="11"/>
  <c r="G176" i="11"/>
  <c r="G177" i="11"/>
  <c r="J182" i="11"/>
  <c r="G156" i="11"/>
  <c r="G147" i="11" s="1"/>
  <c r="I175" i="11"/>
  <c r="I37" i="11"/>
  <c r="I36" i="11" s="1"/>
  <c r="G32" i="11"/>
  <c r="G181" i="11" s="1"/>
  <c r="G115" i="11"/>
  <c r="G131" i="11"/>
  <c r="G171" i="11" s="1"/>
  <c r="I141" i="11"/>
  <c r="I140" i="11" s="1"/>
  <c r="H190" i="11"/>
  <c r="I190" i="11"/>
  <c r="J184" i="11"/>
  <c r="I182" i="11"/>
  <c r="G116" i="11"/>
  <c r="G182" i="11" s="1"/>
  <c r="H55" i="11"/>
  <c r="H54" i="11" s="1"/>
  <c r="G165" i="11"/>
  <c r="H146" i="11"/>
  <c r="H165" i="11"/>
  <c r="H170" i="11"/>
  <c r="H175" i="11"/>
  <c r="G30" i="11"/>
  <c r="H37" i="11"/>
  <c r="H36" i="11" s="1"/>
  <c r="H140" i="11"/>
  <c r="H74" i="11"/>
  <c r="H73" i="11" s="1"/>
  <c r="G21" i="11"/>
  <c r="H83" i="11"/>
  <c r="H82" i="11" s="1"/>
  <c r="G92" i="11"/>
  <c r="H176" i="11"/>
  <c r="G163" i="11" l="1"/>
  <c r="G91" i="11"/>
  <c r="G180" i="11"/>
  <c r="G37" i="11"/>
  <c r="G36" i="11" s="1"/>
  <c r="G169" i="11"/>
  <c r="G172" i="11"/>
  <c r="I167" i="11"/>
  <c r="I20" i="11"/>
  <c r="I19" i="11" s="1"/>
  <c r="G22" i="11"/>
  <c r="G167" i="11" s="1"/>
  <c r="I172" i="11"/>
  <c r="I184" i="11"/>
  <c r="I120" i="11"/>
  <c r="I119" i="11" s="1"/>
  <c r="G166" i="11"/>
  <c r="G100" i="11"/>
  <c r="I91" i="11"/>
  <c r="I90" i="11" s="1"/>
  <c r="H196" i="11"/>
  <c r="J196" i="11"/>
  <c r="G175" i="11"/>
  <c r="H160" i="11"/>
  <c r="G146" i="11"/>
  <c r="J160" i="11"/>
  <c r="G55" i="11"/>
  <c r="G54" i="11" s="1"/>
  <c r="G134" i="11"/>
  <c r="G170" i="11" s="1"/>
  <c r="G190" i="11"/>
  <c r="G126" i="11"/>
  <c r="G164" i="11" s="1"/>
  <c r="G184" i="11"/>
  <c r="G20" i="11" l="1"/>
  <c r="G19" i="11" s="1"/>
  <c r="G90" i="11"/>
  <c r="G120" i="11"/>
  <c r="G119" i="11" s="1"/>
  <c r="J197" i="11"/>
  <c r="I196" i="11"/>
  <c r="G196" i="11"/>
  <c r="I160" i="11"/>
  <c r="H197" i="11"/>
  <c r="G160" i="11" l="1"/>
  <c r="G197" i="11" s="1"/>
  <c r="I197" i="11"/>
</calcChain>
</file>

<file path=xl/sharedStrings.xml><?xml version="1.0" encoding="utf-8"?>
<sst xmlns="http://schemas.openxmlformats.org/spreadsheetml/2006/main" count="775" uniqueCount="352">
  <si>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</si>
  <si>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</si>
  <si>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</si>
  <si>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</si>
  <si>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</si>
  <si>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</si>
  <si>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</si>
  <si>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</si>
  <si>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</si>
  <si>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</si>
  <si>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</si>
  <si>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</si>
  <si>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</si>
  <si>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</si>
  <si>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</si>
  <si>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</si>
  <si>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</si>
  <si>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</si>
  <si>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</si>
  <si>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</si>
  <si>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</si>
  <si>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</si>
  <si>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</si>
  <si>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</si>
  <si>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</si>
  <si>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</si>
  <si>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</si>
  <si>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</si>
  <si>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</si>
  <si>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</si>
  <si>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</si>
  <si>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Програма розвитку у сфері житлово-комунального господарства в межах території Чорноморської міської ради Одеської області на 2019-2023 роки</t>
  </si>
  <si>
    <t>1216017</t>
  </si>
  <si>
    <t>0456</t>
  </si>
  <si>
    <t>1217461</t>
  </si>
  <si>
    <t>Утримання та розвиток автомобільних доріг та дорожньої інфраструктури за рахунок коштів місцевого бюджету</t>
  </si>
  <si>
    <t>Міська програма регулювання чисельності безпритульних тварин у м. Чорноморську Одеської області на 2018-2023 роки</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</si>
  <si>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</si>
  <si>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</si>
  <si>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</si>
  <si>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</si>
  <si>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</si>
  <si>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</si>
  <si>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</si>
  <si>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</si>
  <si>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</si>
  <si>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</si>
  <si>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</si>
  <si>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</si>
  <si>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</si>
  <si>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УСЬОГО, в тому числі: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</si>
  <si>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</si>
  <si>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</si>
  <si>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</si>
  <si>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</si>
  <si>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</si>
  <si>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16.02.2018 р.  
№ 303-VII</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</si>
  <si>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</si>
  <si>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</si>
  <si>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</si>
  <si>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</si>
  <si>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</si>
  <si>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</si>
  <si>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</si>
  <si>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</si>
  <si>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Одеського району Одеської області</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</si>
  <si>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</si>
  <si>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</si>
  <si>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</si>
  <si>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</si>
  <si>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</si>
  <si>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</si>
  <si>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</si>
  <si>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</si>
  <si>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</si>
  <si>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</si>
  <si>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</si>
  <si>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</si>
  <si>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</si>
  <si>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</si>
  <si>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0212152</t>
  </si>
  <si>
    <t>2152</t>
  </si>
  <si>
    <t>0763</t>
  </si>
  <si>
    <t>Інші програми та заходи у сфері охорони здоров’я</t>
  </si>
  <si>
    <t>0213112</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</si>
  <si>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</si>
  <si>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</si>
  <si>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</si>
  <si>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</si>
  <si>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</si>
  <si>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</si>
  <si>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</si>
  <si>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</si>
  <si>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</si>
  <si>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</si>
  <si>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</si>
  <si>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</si>
  <si>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</si>
  <si>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</si>
  <si>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</si>
  <si>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</si>
  <si>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</si>
  <si>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</si>
  <si>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</si>
  <si>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</si>
  <si>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</si>
  <si>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</si>
  <si>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</si>
  <si>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</si>
  <si>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</si>
  <si>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</si>
  <si>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</si>
  <si>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</si>
  <si>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</si>
  <si>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</si>
  <si>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</si>
  <si>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</si>
  <si>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</si>
  <si>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</si>
  <si>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</si>
  <si>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</si>
  <si>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</si>
  <si>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</si>
  <si>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</si>
  <si>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</si>
  <si>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</si>
  <si>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</si>
  <si>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</si>
  <si>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</si>
  <si>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</si>
  <si>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1216012</t>
  </si>
  <si>
    <t>6012</t>
  </si>
  <si>
    <t>Забезпечення діяльності з виробництва, транспортування, постачання теплової енергії</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</si>
  <si>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</si>
  <si>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</si>
  <si>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</si>
  <si>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</si>
  <si>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</si>
  <si>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</si>
  <si>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</si>
  <si>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</si>
  <si>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</si>
  <si>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</si>
  <si>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0960</t>
  </si>
  <si>
    <t>1000000</t>
  </si>
  <si>
    <t>1010000</t>
  </si>
  <si>
    <t>1010180</t>
  </si>
  <si>
    <t>0180</t>
  </si>
  <si>
    <t>0133</t>
  </si>
  <si>
    <t>Інша діяльність у сфері державного управління</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</si>
  <si>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</si>
  <si>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</si>
  <si>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</si>
  <si>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</si>
  <si>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</si>
  <si>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</si>
  <si>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</si>
  <si>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</si>
  <si>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</si>
  <si>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</si>
  <si>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</si>
  <si>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</si>
  <si>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</si>
  <si>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</si>
  <si>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</si>
  <si>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</si>
  <si>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</si>
  <si>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</si>
  <si>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</si>
  <si>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</si>
  <si>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</si>
  <si>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</si>
  <si>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</si>
  <si>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</si>
  <si>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</si>
  <si>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</si>
  <si>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</si>
  <si>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</si>
  <si>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</si>
  <si>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</si>
  <si>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</si>
  <si>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</si>
  <si>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</si>
  <si>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</si>
  <si>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</si>
  <si>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</si>
  <si>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0218110</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</si>
  <si>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</si>
  <si>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</si>
  <si>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</si>
  <si>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</si>
  <si>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</si>
  <si>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</si>
  <si>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</si>
  <si>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</si>
  <si>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</si>
  <si>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</si>
  <si>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</si>
  <si>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</si>
  <si>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</si>
  <si>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</si>
  <si>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</si>
  <si>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</si>
  <si>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</si>
  <si>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</si>
  <si>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</si>
  <si>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</si>
  <si>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Розподіл витрат бюджету Чорноморської міської територіальної громади  на реалізацію міських програм у 2023 році</t>
  </si>
  <si>
    <t>0613140</t>
  </si>
  <si>
    <t>Міська комплексна програма відпочинку та оздоровлення дітей на 2022-2025 роки</t>
  </si>
  <si>
    <t>Міська цільова програма фінансової підтримки комунальних підприємств Чорноморської міської ради Одеського району Одеської області на 2023 рік.</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</si>
  <si>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</si>
  <si>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</si>
  <si>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</si>
  <si>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</si>
  <si>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</si>
  <si>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</si>
  <si>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3118240</t>
  </si>
  <si>
    <t>Фінансове управління Чорноморської міської ради Одеського району Одеської області</t>
  </si>
  <si>
    <t>3710000</t>
  </si>
  <si>
    <t>3700000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</si>
  <si>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</si>
  <si>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t>
  </si>
  <si>
    <t>Субвенція з місцевого бюджету державному бюджету на виконання програм соціально-економічного розвитку регіонів</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</si>
  <si>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t>
  </si>
  <si>
    <t>Міська програма протидії злочинності та посилення громадської безпеки на території Чорноморської міської ради Одеської області на2023 рік</t>
  </si>
  <si>
    <t>0610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</si>
  <si>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</si>
  <si>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t>
  </si>
  <si>
    <t>Міська цільова соціальна програма розвитку цивільного захисту Чорноморської міської територіальної громади на 2021 - 2025 роки</t>
  </si>
  <si>
    <t>1500000</t>
  </si>
  <si>
    <t>Управління капітального будівництва Чорноморської міської ради  Одеського району Одеської області</t>
  </si>
  <si>
    <t>1510000</t>
  </si>
  <si>
    <t>Експлуатація та технічне обслуговування житлового фонду</t>
  </si>
  <si>
    <t>19.12.2018р. 
№ 371-VII</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</si>
  <si>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2023 рік</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</si>
  <si>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</si>
  <si>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1217310</t>
  </si>
  <si>
    <t>7310</t>
  </si>
  <si>
    <t>0443</t>
  </si>
  <si>
    <t>Будівництво об'єктів житлово-комунального господарства</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</si>
  <si>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</si>
  <si>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0470</t>
  </si>
  <si>
    <t>Заходи з енергозбереження</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</si>
  <si>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</si>
  <si>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1512010</t>
  </si>
  <si>
    <t>19.12.2018р. 
№ 371- VII
(зі змінами)</t>
  </si>
  <si>
    <t>Забезпечення діяльності водопровідно-каналізаційного господарства</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</si>
  <si>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роки</t>
  </si>
  <si>
    <t>20.12.2022р. 
№ 280-VIII</t>
  </si>
  <si>
    <t>Організація благоустрою населених пунктів</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</si>
  <si>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</si>
  <si>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</si>
  <si>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12.04.2021 
№ 55-VІII 
(зі змінами)</t>
  </si>
  <si>
    <t>0511</t>
  </si>
  <si>
    <t>1518340</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</si>
  <si>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</si>
  <si>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"Додаток 8</t>
  </si>
  <si>
    <t>від  20.12.2022 № 284 - VIII"</t>
  </si>
  <si>
    <t>1110180</t>
  </si>
  <si>
    <t>1517310</t>
  </si>
  <si>
    <t>0618110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</si>
  <si>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</si>
  <si>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</si>
  <si>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</si>
  <si>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</si>
  <si>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 xml:space="preserve">Міська цільова програма фінансової підтримки Іллічівського міського суду Одеської області на 2023 рік </t>
  </si>
  <si>
    <t>0818110</t>
  </si>
  <si>
    <t>0618240</t>
  </si>
  <si>
    <t>Охорона  та  раціональне використання  природних ресурсыв</t>
  </si>
  <si>
    <t>04.02.2022р. 
№ 180-VIIІ
(зі змінами)</t>
  </si>
  <si>
    <t>04.02.2022р. 
№ 181-VIII
(зі змінами)</t>
  </si>
  <si>
    <t>20.12.2022р. 
№ 277-VIII 
(зі змінами)</t>
  </si>
  <si>
    <t>20.12.2022р. 
№ 279-VIII 
(зі змінами)</t>
  </si>
  <si>
    <t>31.01.2023р. 
№ 300-VIII 
(зі змінами)</t>
  </si>
  <si>
    <t xml:space="preserve">31.01.2023р. 
№ 309-VIII 
(зі змінами)
</t>
  </si>
  <si>
    <t>Управління освіти Чорноморської міської ради  Одеського району Одеської області</t>
  </si>
  <si>
    <t>12.09.2019р. 
№ 485-VII
(зі змінами)</t>
  </si>
  <si>
    <t>3117350</t>
  </si>
  <si>
    <t>7350</t>
  </si>
  <si>
    <t>Розроблення схем планування та забудови територій (містобудівної документації)</t>
  </si>
  <si>
    <t>Інша субвенція районному бюджету Одеського району</t>
  </si>
  <si>
    <t xml:space="preserve">Міська цільова програма підтримки Регіонального сервісного центру ГСЦ МВС в Одеській області в сфері надання адміністративних послуг на 2023 рік </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</si>
  <si>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</si>
  <si>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 xml:space="preserve">Міська цільова програма розвитку фізичної культури і спорту на території Чорноморської міської територіальної громади на 2022-2025 роки 
</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</si>
  <si>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</si>
  <si>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Програма модернізації ліфтового господарства Чорноморської міської ради Одеського району Одеської області на 2019 - 2025 роки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</si>
  <si>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</si>
  <si>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Міська програма протидії злочинності та посилення громадської безпеки на території Чорноморської міської ради Одеської області на 2023 рік</t>
  </si>
  <si>
    <t>1217370</t>
  </si>
  <si>
    <t>7370</t>
  </si>
  <si>
    <t>20.12.2022р. 
№ 278-VIII
(зі змінами)</t>
  </si>
  <si>
    <t>1013140</t>
  </si>
  <si>
    <t>від 19.05.2023р.
№ 368-VIII</t>
  </si>
  <si>
    <t>від 19.05.2023р.
№ 367-VIII</t>
  </si>
  <si>
    <t>04.02.2022р. 
№ 175-VIII 
(зі змінами)</t>
  </si>
  <si>
    <t>0900000</t>
  </si>
  <si>
    <t/>
  </si>
  <si>
    <t>Служба у справах дітей Чорноморської мiської ради Одеського району Одеської областi</t>
  </si>
  <si>
    <t>0910000</t>
  </si>
  <si>
    <t>0913112</t>
  </si>
  <si>
    <t>0990</t>
  </si>
  <si>
    <t>Інша субвенція обласному бюджету Одеської області</t>
  </si>
  <si>
    <t>відхилення</t>
  </si>
  <si>
    <t>перевірка</t>
  </si>
  <si>
    <t>0216030</t>
  </si>
  <si>
    <t>0611070</t>
  </si>
  <si>
    <t>Надання позашкільної освіти закладами позашкільної освіти, заходи із позашкільної роботи з дітьми</t>
  </si>
  <si>
    <t>0611151</t>
  </si>
  <si>
    <t>1151</t>
  </si>
  <si>
    <t>Забезпечення діяльності інклюзивно-ресурсних центрів за рахунок коштів місцевого бюджету</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</si>
  <si>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</si>
  <si>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</si>
  <si>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t>1217375</t>
  </si>
  <si>
    <t>7375</t>
  </si>
  <si>
    <t>Реалізація проектів (заходів) з відновлення об'єктів житлового фонду, пошкоджених / знищених внаслідок збройної агресії, за рахунок коштів місцевих бюджетів</t>
  </si>
  <si>
    <t>1217376</t>
  </si>
  <si>
    <t>7376</t>
  </si>
  <si>
    <t>Реалізація проектів (заходів) з відновлення об'єктів житлово-комунального господарства, пошкоджених / знищених внаслідок збройної агресії, за рахунок коштів місцевих бюджетів</t>
  </si>
  <si>
    <t>0217640</t>
  </si>
  <si>
    <t>7640</t>
  </si>
  <si>
    <t>0217373</t>
  </si>
  <si>
    <t>7373</t>
  </si>
  <si>
    <t>'Реалізація проектів (заходів) з відновлення медичних установ та закладів, пошкоджених / знищених внаслідок збройної агресії, за рахунок коштів місцевих бюджетів</t>
  </si>
  <si>
    <t>від 05.10.2023р. 
№ 449-VIII</t>
  </si>
  <si>
    <t>від 05.10.2023р. 
№ 450-VIII</t>
  </si>
  <si>
    <t>від                    2023р. №               - VIII</t>
  </si>
  <si>
    <t>0611271</t>
  </si>
  <si>
    <t>1271</t>
  </si>
  <si>
    <t>Співфінансування заходів, що реалізуються за рахунок освітньої субвенції з державного бюджету місцевим бюджетам (за спеціальним фондом державного бюджету)</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</si>
  <si>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</si>
  <si>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</si>
  <si>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</si>
  <si>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1512111</t>
  </si>
  <si>
    <t>2111</t>
  </si>
  <si>
    <t>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</si>
  <si>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</si>
  <si>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0218240</t>
  </si>
  <si>
    <t>0617372</t>
  </si>
  <si>
    <t>Реалізація проектів (заходів) з відновлення освітніх установ та закладів, пошкоджених / знищених внаслідок збройної агресії, за рахунок коштів місцевих бюджетів</t>
  </si>
  <si>
    <t>0916083</t>
  </si>
  <si>
    <t>1518742</t>
  </si>
  <si>
    <t>Внески до статутного капіталу суб'єктів господарювання</t>
  </si>
  <si>
    <t>від 19.05.2023р.
№ 372-VIII
(зі змінами)</t>
  </si>
  <si>
    <t>10.03.2023р.
№ 331-VIII
(зі змінами)</t>
  </si>
  <si>
    <t>31.01.2023р. 
№ 296-VIII 
(зі змінами)</t>
  </si>
  <si>
    <t>31.01.2023р. 
№ 295-VIII 
(зі змінами)</t>
  </si>
  <si>
    <t>18.06.2021р. 
№ 88-VIII
(зі змінами)</t>
  </si>
  <si>
    <t xml:space="preserve">31.01.2023р. 
№ 301-VIII 
(зі змінами)
</t>
  </si>
  <si>
    <t>Начальник фінансового управління</t>
  </si>
  <si>
    <t>Ольга ЯКОВЕНКО</t>
  </si>
  <si>
    <t>Додаток 6</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</si>
</sst>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124">
    <xf numFmtId="0" fontId="0" fillId="0" borderId="0" xfId="0"/>
    <xf numFmtId="0" fontId="0" fillId="2" borderId="0" xfId="0" applyFill="1" applyAlignment="1">
      <alignment horizontal="center" vertical="center"/>
    </xf>
    <xf numFmtId="0" fontId="0" fillId="2" borderId="0" xfId="0" applyFill="1"/>
    <xf numFmtId="0" fontId="8" fillId="2" borderId="0" xfId="4" applyNumberFormat="1" applyFont="1" applyFill="1" applyAlignment="1" applyProtection="1">
      <alignment horizontal="center" vertical="center"/>
    </xf>
    <xf numFmtId="0" fontId="8" fillId="2" borderId="0" xfId="4" applyNumberFormat="1" applyFont="1" applyFill="1" applyAlignment="1" applyProtection="1">
      <alignment horizontal="left" vertical="center"/>
    </xf>
    <xf numFmtId="3" fontId="8" fillId="2" borderId="0" xfId="4" applyNumberFormat="1" applyFont="1" applyFill="1" applyAlignment="1" applyProtection="1">
      <alignment horizontal="center" vertical="center"/>
    </xf>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0" fillId="2" borderId="0" xfId="0" applyFill="1" applyAlignment="1">
      <alignment horizontal="center"/>
    </xf>
    <xf numFmtId="0" fontId="0" fillId="2" borderId="0" xfId="0" applyFill="1" applyAlignment="1">
      <alignment horizontal="left"/>
    </xf>
    <xf numFmtId="3" fontId="8" fillId="2" borderId="0" xfId="4" applyNumberFormat="1" applyFont="1" applyFill="1" applyAlignment="1" applyProtection="1">
      <alignment horizontal="center"/>
    </xf>
    <xf numFmtId="3" fontId="0" fillId="2" borderId="0" xfId="0" applyNumberFormat="1" applyFill="1" applyAlignment="1">
      <alignment horizontal="center" vertical="center"/>
    </xf>
    <xf numFmtId="0" fontId="2" fillId="2" borderId="0" xfId="0" applyFont="1" applyFill="1" applyBorder="1" applyAlignment="1">
      <alignment vertical="center" wrapText="1"/>
    </xf>
    <xf numFmtId="0" fontId="0" fillId="2" borderId="0" xfId="0" applyFill="1" applyBorder="1" applyAlignment="1">
      <alignment horizontal="left"/>
    </xf>
    <xf numFmtId="0" fontId="2" fillId="2" borderId="0" xfId="0" applyFont="1" applyFill="1" applyAlignment="1">
      <alignment horizontal="left" vertical="center"/>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3" fontId="2" fillId="2" borderId="0" xfId="0" applyNumberFormat="1" applyFont="1" applyFill="1"/>
    <xf numFmtId="0" fontId="2" fillId="2" borderId="0" xfId="0" applyFont="1" applyFill="1" applyAlignment="1">
      <alignment horizontal="center"/>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49" fontId="3" fillId="2" borderId="1" xfId="5"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4" fillId="2" borderId="1" xfId="0" quotePrefix="1" applyFont="1" applyFill="1" applyBorder="1" applyAlignment="1">
      <alignment horizontal="left" vertical="center" wrapText="1"/>
    </xf>
    <xf numFmtId="0" fontId="2" fillId="2" borderId="0" xfId="0" applyFont="1" applyFill="1" applyBorder="1"/>
    <xf numFmtId="0" fontId="2" fillId="2" borderId="0" xfId="0" applyFont="1" applyFill="1" applyAlignment="1">
      <alignment horizontal="center" vertical="center"/>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wrapText="1"/>
    </xf>
    <xf numFmtId="0" fontId="4" fillId="2" borderId="1" xfId="4" applyFont="1" applyFill="1" applyBorder="1" applyAlignment="1">
      <alignment vertical="center" wrapText="1"/>
    </xf>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0" xfId="0" quotePrefix="1" applyFont="1" applyFill="1" applyBorder="1" applyAlignment="1">
      <alignment vertical="center" wrapText="1"/>
    </xf>
    <xf numFmtId="0" fontId="2" fillId="2" borderId="0" xfId="0" applyFont="1" applyFill="1" applyBorder="1" applyAlignment="1">
      <alignment horizontal="center" vertical="center" wrapText="1"/>
    </xf>
    <xf numFmtId="4" fontId="2" fillId="2" borderId="0" xfId="0" applyNumberFormat="1" applyFont="1" applyFill="1" applyBorder="1" applyAlignment="1">
      <alignment horizontal="center" vertical="center"/>
    </xf>
    <xf numFmtId="0" fontId="2" fillId="3" borderId="0" xfId="0" applyFont="1" applyFill="1"/>
    <xf numFmtId="0" fontId="2" fillId="2" borderId="0" xfId="0" applyFont="1" applyFill="1" applyAlignment="1">
      <alignment horizontal="justify" vertical="center"/>
    </xf>
    <xf numFmtId="0" fontId="3" fillId="3" borderId="0" xfId="0" applyFont="1" applyFill="1"/>
    <xf numFmtId="3" fontId="2" fillId="3" borderId="0" xfId="0" applyNumberFormat="1" applyFont="1" applyFill="1"/>
    <xf numFmtId="3" fontId="2" fillId="3" borderId="0" xfId="0" applyNumberFormat="1" applyFont="1" applyFill="1" applyAlignment="1">
      <alignment horizontal="center"/>
    </xf>
    <xf numFmtId="0" fontId="2" fillId="3" borderId="0" xfId="0" applyFont="1" applyFill="1" applyAlignment="1">
      <alignment horizontal="center"/>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left" vertical="center"/>
    </xf>
    <xf numFmtId="0" fontId="2" fillId="2" borderId="1" xfId="0" quotePrefix="1"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2" fillId="2" borderId="2" xfId="0" applyFont="1" applyFill="1" applyBorder="1" applyAlignment="1">
      <alignment horizontal="left" vertical="center" wrapText="1"/>
    </xf>
    <xf numFmtId="0" fontId="13" fillId="2" borderId="1" xfId="0" applyFont="1" applyFill="1" applyBorder="1" applyAlignment="1">
      <alignment vertical="center" wrapText="1"/>
    </xf>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49" fontId="5" fillId="0" borderId="1"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4" fontId="3"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1" xfId="0" quotePrefix="1" applyFont="1" applyFill="1" applyBorder="1" applyAlignment="1">
      <alignment horizontal="left" vertical="center" wrapText="1"/>
    </xf>
    <xf numFmtId="0" fontId="2" fillId="0" borderId="1" xfId="0" quotePrefix="1" applyFont="1" applyFill="1" applyBorder="1" applyAlignment="1">
      <alignment vertical="center" wrapText="1"/>
    </xf>
    <xf numFmtId="0" fontId="2" fillId="0" borderId="3"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center" vertical="center"/>
    </xf>
    <xf numFmtId="4" fontId="2" fillId="2" borderId="1" xfId="0" applyNumberFormat="1" applyFont="1" applyFill="1" applyBorder="1" applyAlignment="1">
      <alignment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3" fillId="2" borderId="4" xfId="5" applyNumberFormat="1" applyFont="1" applyFill="1" applyBorder="1" applyAlignment="1" applyProtection="1">
      <alignment horizontal="center" vertical="center" wrapText="1"/>
    </xf>
    <xf numFmtId="0" fontId="3" fillId="2" borderId="5" xfId="5" applyNumberFormat="1" applyFont="1" applyFill="1" applyBorder="1" applyAlignment="1" applyProtection="1">
      <alignment horizontal="center" vertical="center" wrapText="1"/>
    </xf>
    <xf numFmtId="0" fontId="3" fillId="2" borderId="0" xfId="4" applyNumberFormat="1" applyFont="1" applyFill="1" applyBorder="1" applyAlignment="1" applyProtection="1">
      <alignment horizontal="center" vertical="center" wrapText="1"/>
    </xf>
    <xf numFmtId="0" fontId="2" fillId="2" borderId="0" xfId="4" applyFont="1" applyFill="1" applyAlignment="1">
      <alignment horizontal="right" vertical="center"/>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6" fillId="2" borderId="1" xfId="4" applyFont="1" applyFill="1" applyBorder="1" applyAlignment="1">
      <alignment horizontal="center" wrapText="1"/>
    </xf>
    <xf numFmtId="0" fontId="6" fillId="2" borderId="1" xfId="4" applyFont="1" applyFill="1" applyBorder="1" applyAlignment="1">
      <alignment horizontal="center"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3" fontId="6" fillId="2" borderId="1" xfId="4" applyNumberFormat="1" applyFont="1" applyFill="1" applyBorder="1" applyAlignment="1">
      <alignment horizontal="center" vertical="center" wrapText="1"/>
    </xf>
    <xf numFmtId="0" fontId="3" fillId="2" borderId="4" xfId="0" quotePrefix="1" applyFont="1" applyFill="1" applyBorder="1" applyAlignment="1">
      <alignment horizontal="center" vertical="center" wrapText="1"/>
    </xf>
    <xf numFmtId="0" fontId="3" fillId="2" borderId="5" xfId="0" quotePrefix="1" applyFont="1" applyFill="1" applyBorder="1" applyAlignment="1">
      <alignment horizontal="center" vertical="center" wrapText="1"/>
    </xf>
  </cellXfs>
  <cellStyles count="8">
    <cellStyle name="Гиперссылка" xfId="7" builtinId="8"/>
    <cellStyle name="Обычный" xfId="0" builtinId="0"/>
    <cellStyle name="Обычный 11 2" xfId="5"/>
    <cellStyle name="Обычный 17 5 6" xfId="3"/>
    <cellStyle name="Обычный 2" xfId="6"/>
    <cellStyle name="Обычный 3" xfId="2"/>
    <cellStyle name="Обычный 3 2" xfId="4"/>
    <cellStyle name="Обычный_дод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4"/>
  <sheetViews>
    <sheetView showZeros="0" tabSelected="1" view="pageBreakPreview" topLeftCell="A112" zoomScale="78" zoomScaleNormal="60" zoomScaleSheetLayoutView="78" workbookViewId="0">
      <selection activeCell="I113" sqref="I113"/>
    </sheetView>
  </sheetViews>
  <sheetFormatPr defaultColWidth="9.109375" defaultRowHeight="14.4" x14ac:dyDescent="0.3"/>
  <cols>
    <col min="1" max="1" width="13.33203125" style="20" customWidth="1"/>
    <col min="2" max="2" width="12.33203125" style="1" customWidth="1"/>
    <col min="3" max="3" width="14.33203125" style="20" customWidth="1"/>
    <col min="4" max="4" width="61.88671875" style="2" customWidth="1"/>
    <col min="5" max="5" width="58.88671875" style="21" customWidth="1"/>
    <col min="6" max="6" width="25" style="1" customWidth="1"/>
    <col min="7" max="7" width="17.109375" style="1" customWidth="1"/>
    <col min="8" max="8" width="19.33203125" style="1" customWidth="1"/>
    <col min="9" max="9" width="16.33203125" style="1" customWidth="1"/>
    <col min="10" max="10" width="22.6640625" style="1" customWidth="1"/>
    <col min="11" max="11" width="11.33203125" style="2" bestFit="1" customWidth="1"/>
    <col min="12" max="12" width="9.109375" style="2"/>
    <col min="13" max="13" width="12.33203125" style="2" bestFit="1" customWidth="1"/>
    <col min="14" max="16384" width="9.109375" style="2"/>
  </cols>
  <sheetData>
    <row r="1" spans="1:10" ht="15.6" x14ac:dyDescent="0.3">
      <c r="H1" s="119" t="s">
        <v>351</v>
      </c>
      <c r="I1" s="119"/>
      <c r="J1" s="119"/>
    </row>
    <row r="2" spans="1:10" ht="15.6" x14ac:dyDescent="0.3">
      <c r="H2" s="119" t="s">
        <v>63</v>
      </c>
      <c r="I2" s="119"/>
      <c r="J2" s="119"/>
    </row>
    <row r="3" spans="1:10" ht="15.6" x14ac:dyDescent="0.3">
      <c r="H3" s="119" t="s">
        <v>64</v>
      </c>
      <c r="I3" s="119"/>
      <c r="J3" s="119"/>
    </row>
    <row r="4" spans="1:10" ht="15.6" x14ac:dyDescent="0.3">
      <c r="H4" s="120" t="s">
        <v>326</v>
      </c>
      <c r="I4" s="120"/>
      <c r="J4" s="120"/>
    </row>
    <row r="6" spans="1:10" ht="15.6" x14ac:dyDescent="0.3">
      <c r="H6" s="119" t="s">
        <v>257</v>
      </c>
      <c r="I6" s="119"/>
      <c r="J6" s="119"/>
    </row>
    <row r="7" spans="1:10" ht="15.6" x14ac:dyDescent="0.3">
      <c r="H7" s="119" t="s">
        <v>63</v>
      </c>
      <c r="I7" s="119"/>
      <c r="J7" s="119"/>
    </row>
    <row r="8" spans="1:10" ht="15.6" x14ac:dyDescent="0.3">
      <c r="H8" s="119" t="s">
        <v>64</v>
      </c>
      <c r="I8" s="119"/>
      <c r="J8" s="119"/>
    </row>
    <row r="9" spans="1:10" ht="15.6" x14ac:dyDescent="0.3">
      <c r="H9" s="26" t="s">
        <v>65</v>
      </c>
      <c r="I9" s="26"/>
      <c r="J9" s="26"/>
    </row>
    <row r="10" spans="1:10" ht="15.6" x14ac:dyDescent="0.3">
      <c r="H10" s="120" t="s">
        <v>258</v>
      </c>
      <c r="I10" s="120"/>
      <c r="J10" s="120"/>
    </row>
    <row r="11" spans="1:10" ht="15.6" x14ac:dyDescent="0.3">
      <c r="A11" s="22"/>
      <c r="B11" s="5"/>
      <c r="C11" s="22"/>
      <c r="D11" s="22"/>
      <c r="E11" s="4"/>
      <c r="F11" s="3"/>
      <c r="G11" s="5"/>
      <c r="H11" s="113"/>
      <c r="I11" s="113"/>
      <c r="J11" s="113"/>
    </row>
    <row r="12" spans="1:10" ht="15.6" x14ac:dyDescent="0.3">
      <c r="A12" s="112" t="s">
        <v>207</v>
      </c>
      <c r="B12" s="112"/>
      <c r="C12" s="112"/>
      <c r="D12" s="112"/>
      <c r="E12" s="112"/>
      <c r="F12" s="112"/>
      <c r="G12" s="112"/>
      <c r="H12" s="112"/>
      <c r="I12" s="112"/>
      <c r="J12" s="112"/>
    </row>
    <row r="13" spans="1:10" ht="18" x14ac:dyDescent="0.35">
      <c r="A13" s="116">
        <v>1558900000</v>
      </c>
      <c r="B13" s="116"/>
      <c r="C13" s="17"/>
      <c r="D13" s="6"/>
      <c r="E13" s="7"/>
      <c r="F13" s="16"/>
      <c r="G13" s="16"/>
      <c r="H13" s="16"/>
      <c r="I13" s="16"/>
      <c r="J13" s="16"/>
    </row>
    <row r="14" spans="1:10" x14ac:dyDescent="0.3">
      <c r="A14" s="18" t="s">
        <v>48</v>
      </c>
      <c r="B14" s="8"/>
      <c r="C14" s="18"/>
      <c r="D14" s="9"/>
      <c r="E14" s="10"/>
      <c r="F14" s="8"/>
      <c r="G14" s="8"/>
      <c r="H14" s="8"/>
      <c r="I14" s="8"/>
      <c r="J14" s="8"/>
    </row>
    <row r="15" spans="1:10" x14ac:dyDescent="0.3">
      <c r="A15" s="19"/>
      <c r="B15" s="11"/>
      <c r="C15" s="15"/>
      <c r="D15" s="11"/>
      <c r="E15" s="12"/>
      <c r="F15" s="11"/>
      <c r="G15" s="13"/>
      <c r="H15" s="13"/>
      <c r="I15" s="13"/>
      <c r="J15" s="14" t="s">
        <v>49</v>
      </c>
    </row>
    <row r="16" spans="1:10" x14ac:dyDescent="0.3">
      <c r="A16" s="117" t="s">
        <v>51</v>
      </c>
      <c r="B16" s="118" t="s">
        <v>52</v>
      </c>
      <c r="C16" s="117" t="s">
        <v>9</v>
      </c>
      <c r="D16" s="118" t="s">
        <v>54</v>
      </c>
      <c r="E16" s="114" t="s">
        <v>53</v>
      </c>
      <c r="F16" s="118" t="s">
        <v>55</v>
      </c>
      <c r="G16" s="121" t="s">
        <v>0</v>
      </c>
      <c r="H16" s="121" t="s">
        <v>1</v>
      </c>
      <c r="I16" s="121" t="s">
        <v>2</v>
      </c>
      <c r="J16" s="121"/>
    </row>
    <row r="17" spans="1:11" ht="85.65" customHeight="1" x14ac:dyDescent="0.3">
      <c r="A17" s="117"/>
      <c r="B17" s="118"/>
      <c r="C17" s="117"/>
      <c r="D17" s="118"/>
      <c r="E17" s="115"/>
      <c r="F17" s="118"/>
      <c r="G17" s="121"/>
      <c r="H17" s="121"/>
      <c r="I17" s="61" t="s">
        <v>3</v>
      </c>
      <c r="J17" s="61" t="s">
        <v>4</v>
      </c>
    </row>
    <row r="18" spans="1:11" s="1" customFormat="1" x14ac:dyDescent="0.25">
      <c r="A18" s="62">
        <v>1</v>
      </c>
      <c r="B18" s="60">
        <v>2</v>
      </c>
      <c r="C18" s="62">
        <v>3</v>
      </c>
      <c r="D18" s="60">
        <v>4</v>
      </c>
      <c r="E18" s="60">
        <v>5</v>
      </c>
      <c r="F18" s="60">
        <v>6</v>
      </c>
      <c r="G18" s="61">
        <v>7</v>
      </c>
      <c r="H18" s="61">
        <v>8</v>
      </c>
      <c r="I18" s="61">
        <v>9</v>
      </c>
      <c r="J18" s="61">
        <v>10</v>
      </c>
    </row>
    <row r="19" spans="1:11" s="42" customFormat="1" ht="15.6" x14ac:dyDescent="0.3">
      <c r="A19" s="46" t="s">
        <v>10</v>
      </c>
      <c r="B19" s="47"/>
      <c r="C19" s="47"/>
      <c r="D19" s="110" t="s">
        <v>168</v>
      </c>
      <c r="E19" s="111"/>
      <c r="F19" s="41"/>
      <c r="G19" s="56">
        <f>G20</f>
        <v>71309860</v>
      </c>
      <c r="H19" s="56">
        <f>H20</f>
        <v>62083987.999999993</v>
      </c>
      <c r="I19" s="56">
        <f>I20</f>
        <v>9225872</v>
      </c>
      <c r="J19" s="56">
        <f>J20</f>
        <v>9029872</v>
      </c>
    </row>
    <row r="20" spans="1:11" s="42" customFormat="1" ht="15.6" x14ac:dyDescent="0.3">
      <c r="A20" s="48" t="s">
        <v>11</v>
      </c>
      <c r="B20" s="48"/>
      <c r="C20" s="48"/>
      <c r="D20" s="110" t="s">
        <v>168</v>
      </c>
      <c r="E20" s="111"/>
      <c r="F20" s="41"/>
      <c r="G20" s="56">
        <f>SUM(G21:G35)</f>
        <v>71309860</v>
      </c>
      <c r="H20" s="56">
        <f t="shared" ref="H20:J20" si="0">SUM(H21:H35)</f>
        <v>62083987.999999993</v>
      </c>
      <c r="I20" s="56">
        <f t="shared" si="0"/>
        <v>9225872</v>
      </c>
      <c r="J20" s="56">
        <f t="shared" si="0"/>
        <v>9029872</v>
      </c>
    </row>
    <row r="21" spans="1:11" s="31" customFormat="1" ht="46.8" x14ac:dyDescent="0.3">
      <c r="A21" s="27" t="s">
        <v>71</v>
      </c>
      <c r="B21" s="27" t="s">
        <v>72</v>
      </c>
      <c r="C21" s="27" t="s">
        <v>73</v>
      </c>
      <c r="D21" s="28" t="s">
        <v>74</v>
      </c>
      <c r="E21" s="29" t="s">
        <v>75</v>
      </c>
      <c r="F21" s="30" t="s">
        <v>195</v>
      </c>
      <c r="G21" s="57">
        <f>H21+I21</f>
        <v>38916100</v>
      </c>
      <c r="H21" s="57">
        <f>21770300+2000000+2395000+199310+9305000-1530000+196490-800000+120000-40000</f>
        <v>33616100</v>
      </c>
      <c r="I21" s="57">
        <f>800000+4500000</f>
        <v>5300000</v>
      </c>
      <c r="J21" s="57">
        <f>800000+4500000</f>
        <v>5300000</v>
      </c>
    </row>
    <row r="22" spans="1:11" s="31" customFormat="1" ht="46.8" x14ac:dyDescent="0.3">
      <c r="A22" s="27" t="s">
        <v>76</v>
      </c>
      <c r="B22" s="27" t="s">
        <v>77</v>
      </c>
      <c r="C22" s="27" t="s">
        <v>78</v>
      </c>
      <c r="D22" s="28" t="s">
        <v>79</v>
      </c>
      <c r="E22" s="29" t="s">
        <v>75</v>
      </c>
      <c r="F22" s="30" t="s">
        <v>195</v>
      </c>
      <c r="G22" s="57">
        <f t="shared" ref="G22:G31" si="1">H22+I22</f>
        <v>7237758.7699999996</v>
      </c>
      <c r="H22" s="57">
        <f>6680000+95700+72700+212058.77+150000</f>
        <v>7210458.7699999996</v>
      </c>
      <c r="I22" s="57">
        <f>J22</f>
        <v>27300</v>
      </c>
      <c r="J22" s="57">
        <f>27300</f>
        <v>27300</v>
      </c>
    </row>
    <row r="23" spans="1:11" s="31" customFormat="1" ht="46.8" x14ac:dyDescent="0.3">
      <c r="A23" s="30" t="s">
        <v>174</v>
      </c>
      <c r="B23" s="30">
        <v>2111</v>
      </c>
      <c r="C23" s="30" t="s">
        <v>175</v>
      </c>
      <c r="D23" s="32" t="s">
        <v>176</v>
      </c>
      <c r="E23" s="29" t="s">
        <v>75</v>
      </c>
      <c r="F23" s="30" t="s">
        <v>195</v>
      </c>
      <c r="G23" s="57">
        <f t="shared" si="1"/>
        <v>2964600</v>
      </c>
      <c r="H23" s="57">
        <f>174800+3160100+1650000-2445700+1500000-2600-1482000+300000+40000</f>
        <v>2894600</v>
      </c>
      <c r="I23" s="57">
        <f>J23</f>
        <v>70000</v>
      </c>
      <c r="J23" s="57">
        <v>70000</v>
      </c>
    </row>
    <row r="24" spans="1:11" s="31" customFormat="1" ht="46.8" x14ac:dyDescent="0.3">
      <c r="A24" s="27" t="s">
        <v>80</v>
      </c>
      <c r="B24" s="27" t="s">
        <v>81</v>
      </c>
      <c r="C24" s="27" t="s">
        <v>82</v>
      </c>
      <c r="D24" s="63" t="s">
        <v>83</v>
      </c>
      <c r="E24" s="29" t="s">
        <v>75</v>
      </c>
      <c r="F24" s="30" t="s">
        <v>195</v>
      </c>
      <c r="G24" s="57">
        <f t="shared" si="1"/>
        <v>1826841.23</v>
      </c>
      <c r="H24" s="57">
        <f>1794900+244000-212058.77</f>
        <v>1826841.23</v>
      </c>
      <c r="I24" s="57"/>
      <c r="J24" s="57"/>
    </row>
    <row r="25" spans="1:11" s="31" customFormat="1" ht="46.8" x14ac:dyDescent="0.3">
      <c r="A25" s="33" t="s">
        <v>84</v>
      </c>
      <c r="B25" s="27" t="s">
        <v>85</v>
      </c>
      <c r="C25" s="27" t="s">
        <v>27</v>
      </c>
      <c r="D25" s="28" t="s">
        <v>86</v>
      </c>
      <c r="E25" s="29" t="s">
        <v>87</v>
      </c>
      <c r="F25" s="34" t="s">
        <v>196</v>
      </c>
      <c r="G25" s="57">
        <f t="shared" si="1"/>
        <v>36000</v>
      </c>
      <c r="H25" s="57">
        <f>137900-101900</f>
        <v>36000</v>
      </c>
      <c r="I25" s="57"/>
      <c r="J25" s="57"/>
    </row>
    <row r="26" spans="1:11" s="31" customFormat="1" ht="46.8" x14ac:dyDescent="0.3">
      <c r="A26" s="33" t="s">
        <v>88</v>
      </c>
      <c r="B26" s="27" t="s">
        <v>89</v>
      </c>
      <c r="C26" s="27" t="s">
        <v>90</v>
      </c>
      <c r="D26" s="35" t="s">
        <v>91</v>
      </c>
      <c r="E26" s="36" t="s">
        <v>87</v>
      </c>
      <c r="F26" s="30" t="s">
        <v>197</v>
      </c>
      <c r="G26" s="58">
        <f t="shared" si="1"/>
        <v>5000000</v>
      </c>
      <c r="H26" s="57">
        <f>4000000+1000000</f>
        <v>5000000</v>
      </c>
      <c r="I26" s="57"/>
      <c r="J26" s="57"/>
    </row>
    <row r="27" spans="1:11" s="31" customFormat="1" ht="46.8" x14ac:dyDescent="0.3">
      <c r="A27" s="33" t="s">
        <v>305</v>
      </c>
      <c r="B27" s="27" t="s">
        <v>59</v>
      </c>
      <c r="C27" s="89" t="s">
        <v>20</v>
      </c>
      <c r="D27" s="100" t="s">
        <v>30</v>
      </c>
      <c r="E27" s="29" t="s">
        <v>75</v>
      </c>
      <c r="F27" s="30" t="s">
        <v>195</v>
      </c>
      <c r="G27" s="58">
        <f t="shared" si="1"/>
        <v>1530000</v>
      </c>
      <c r="H27" s="57">
        <v>1530000</v>
      </c>
      <c r="I27" s="57"/>
      <c r="J27" s="57"/>
    </row>
    <row r="28" spans="1:11" s="31" customFormat="1" ht="46.8" x14ac:dyDescent="0.3">
      <c r="A28" s="33" t="s">
        <v>321</v>
      </c>
      <c r="B28" s="27" t="s">
        <v>322</v>
      </c>
      <c r="C28" s="89" t="s">
        <v>21</v>
      </c>
      <c r="D28" s="100" t="s">
        <v>323</v>
      </c>
      <c r="E28" s="29" t="s">
        <v>177</v>
      </c>
      <c r="F28" s="30" t="s">
        <v>198</v>
      </c>
      <c r="G28" s="58">
        <f t="shared" si="1"/>
        <v>179860</v>
      </c>
      <c r="H28" s="57">
        <v>179860</v>
      </c>
      <c r="I28" s="57"/>
      <c r="J28" s="57"/>
    </row>
    <row r="29" spans="1:11" s="31" customFormat="1" ht="46.8" x14ac:dyDescent="0.3">
      <c r="A29" s="33" t="s">
        <v>319</v>
      </c>
      <c r="B29" s="27" t="s">
        <v>320</v>
      </c>
      <c r="C29" s="94" t="s">
        <v>242</v>
      </c>
      <c r="D29" s="95" t="s">
        <v>243</v>
      </c>
      <c r="E29" s="29" t="s">
        <v>75</v>
      </c>
      <c r="F29" s="30" t="s">
        <v>195</v>
      </c>
      <c r="G29" s="58">
        <f t="shared" si="1"/>
        <v>1750000</v>
      </c>
      <c r="H29" s="57"/>
      <c r="I29" s="57">
        <f>J29</f>
        <v>1750000</v>
      </c>
      <c r="J29" s="57">
        <v>1750000</v>
      </c>
    </row>
    <row r="30" spans="1:11" s="31" customFormat="1" ht="46.8" x14ac:dyDescent="0.3">
      <c r="A30" s="37" t="s">
        <v>186</v>
      </c>
      <c r="B30" s="30">
        <v>8110</v>
      </c>
      <c r="C30" s="37" t="s">
        <v>187</v>
      </c>
      <c r="D30" s="32" t="s">
        <v>188</v>
      </c>
      <c r="E30" s="29" t="s">
        <v>177</v>
      </c>
      <c r="F30" s="30" t="s">
        <v>198</v>
      </c>
      <c r="G30" s="57">
        <f t="shared" si="1"/>
        <v>1311200</v>
      </c>
      <c r="H30" s="57">
        <f>1000000+124000+199000+179860-179860-11800</f>
        <v>1311200</v>
      </c>
      <c r="I30" s="57"/>
      <c r="J30" s="57"/>
      <c r="K30" s="70"/>
    </row>
    <row r="31" spans="1:11" s="31" customFormat="1" ht="124.8" x14ac:dyDescent="0.3">
      <c r="A31" s="37" t="s">
        <v>262</v>
      </c>
      <c r="B31" s="30">
        <v>8220</v>
      </c>
      <c r="C31" s="37" t="s">
        <v>94</v>
      </c>
      <c r="D31" s="32" t="s">
        <v>263</v>
      </c>
      <c r="E31" s="38" t="s">
        <v>264</v>
      </c>
      <c r="F31" s="30" t="s">
        <v>265</v>
      </c>
      <c r="G31" s="57">
        <f t="shared" si="1"/>
        <v>1385000</v>
      </c>
      <c r="H31" s="57">
        <f>1225000+160000</f>
        <v>1385000</v>
      </c>
      <c r="I31" s="57"/>
      <c r="J31" s="57"/>
    </row>
    <row r="32" spans="1:11" s="31" customFormat="1" ht="62.4" x14ac:dyDescent="0.3">
      <c r="A32" s="27" t="s">
        <v>92</v>
      </c>
      <c r="B32" s="27" t="s">
        <v>93</v>
      </c>
      <c r="C32" s="27" t="s">
        <v>94</v>
      </c>
      <c r="D32" s="35" t="s">
        <v>95</v>
      </c>
      <c r="E32" s="38" t="s">
        <v>215</v>
      </c>
      <c r="F32" s="30" t="s">
        <v>273</v>
      </c>
      <c r="G32" s="57">
        <f>H32+I32</f>
        <v>2304000</v>
      </c>
      <c r="H32" s="57">
        <f>1774000+6000+39068+195000-193640</f>
        <v>1820428</v>
      </c>
      <c r="I32" s="57">
        <f>J32</f>
        <v>483572</v>
      </c>
      <c r="J32" s="57">
        <f>101232+188700+193640</f>
        <v>483572</v>
      </c>
    </row>
    <row r="33" spans="1:10" s="31" customFormat="1" ht="62.4" x14ac:dyDescent="0.3">
      <c r="A33" s="27" t="s">
        <v>92</v>
      </c>
      <c r="B33" s="27" t="s">
        <v>93</v>
      </c>
      <c r="C33" s="27" t="s">
        <v>94</v>
      </c>
      <c r="D33" s="35" t="s">
        <v>95</v>
      </c>
      <c r="E33" s="38" t="s">
        <v>216</v>
      </c>
      <c r="F33" s="30" t="s">
        <v>272</v>
      </c>
      <c r="G33" s="57">
        <f>H33+I33</f>
        <v>5075500</v>
      </c>
      <c r="H33" s="57">
        <f>649300+766300+444100+525200+640600+1350000+280000+420000</f>
        <v>5075500</v>
      </c>
      <c r="I33" s="57"/>
      <c r="J33" s="57"/>
    </row>
    <row r="34" spans="1:10" s="52" customFormat="1" ht="62.4" x14ac:dyDescent="0.3">
      <c r="A34" s="27" t="s">
        <v>337</v>
      </c>
      <c r="B34" s="27" t="s">
        <v>179</v>
      </c>
      <c r="C34" s="27" t="s">
        <v>94</v>
      </c>
      <c r="D34" s="35" t="s">
        <v>180</v>
      </c>
      <c r="E34" s="38" t="s">
        <v>216</v>
      </c>
      <c r="F34" s="30" t="s">
        <v>272</v>
      </c>
      <c r="G34" s="57">
        <f>H34+I34</f>
        <v>1597000</v>
      </c>
      <c r="H34" s="57">
        <v>198000</v>
      </c>
      <c r="I34" s="57">
        <v>1399000</v>
      </c>
      <c r="J34" s="57">
        <v>1399000</v>
      </c>
    </row>
    <row r="35" spans="1:10" s="31" customFormat="1" ht="78" x14ac:dyDescent="0.3">
      <c r="A35" s="27" t="s">
        <v>96</v>
      </c>
      <c r="B35" s="27" t="s">
        <v>97</v>
      </c>
      <c r="C35" s="27" t="s">
        <v>98</v>
      </c>
      <c r="D35" s="35" t="s">
        <v>99</v>
      </c>
      <c r="E35" s="38" t="s">
        <v>100</v>
      </c>
      <c r="F35" s="39" t="s">
        <v>347</v>
      </c>
      <c r="G35" s="57">
        <f>H35+I35</f>
        <v>196000</v>
      </c>
      <c r="H35" s="57"/>
      <c r="I35" s="57">
        <v>196000</v>
      </c>
      <c r="J35" s="57"/>
    </row>
    <row r="36" spans="1:10" s="42" customFormat="1" ht="16.5" customHeight="1" x14ac:dyDescent="0.3">
      <c r="A36" s="40" t="s">
        <v>5</v>
      </c>
      <c r="B36" s="40"/>
      <c r="C36" s="40"/>
      <c r="D36" s="106" t="s">
        <v>276</v>
      </c>
      <c r="E36" s="107"/>
      <c r="F36" s="41"/>
      <c r="G36" s="56">
        <f>G37</f>
        <v>30639574.140000001</v>
      </c>
      <c r="H36" s="56">
        <f>H37</f>
        <v>18730039.140000001</v>
      </c>
      <c r="I36" s="56">
        <f>I37</f>
        <v>11909535</v>
      </c>
      <c r="J36" s="56">
        <f>J37</f>
        <v>11909535</v>
      </c>
    </row>
    <row r="37" spans="1:10" s="42" customFormat="1" ht="15.6" x14ac:dyDescent="0.3">
      <c r="A37" s="40" t="s">
        <v>6</v>
      </c>
      <c r="B37" s="40"/>
      <c r="C37" s="40"/>
      <c r="D37" s="106" t="s">
        <v>276</v>
      </c>
      <c r="E37" s="107"/>
      <c r="F37" s="41"/>
      <c r="G37" s="56">
        <f>SUM(G38:G53)</f>
        <v>30639574.140000001</v>
      </c>
      <c r="H37" s="56">
        <f>SUM(H38:H53)</f>
        <v>18730039.140000001</v>
      </c>
      <c r="I37" s="56">
        <f>SUM(I38:I53)</f>
        <v>11909535</v>
      </c>
      <c r="J37" s="56">
        <f>SUM(J38:J53)</f>
        <v>11909535</v>
      </c>
    </row>
    <row r="38" spans="1:10" s="31" customFormat="1" ht="62.4" x14ac:dyDescent="0.3">
      <c r="A38" s="27" t="s">
        <v>7</v>
      </c>
      <c r="B38" s="27" t="s">
        <v>29</v>
      </c>
      <c r="C38" s="27" t="s">
        <v>15</v>
      </c>
      <c r="D38" s="28" t="s">
        <v>8</v>
      </c>
      <c r="E38" s="29" t="s">
        <v>105</v>
      </c>
      <c r="F38" s="34" t="s">
        <v>205</v>
      </c>
      <c r="G38" s="57">
        <f t="shared" ref="G38:G47" si="2">H38+I38</f>
        <v>455000</v>
      </c>
      <c r="H38" s="57">
        <v>455000</v>
      </c>
      <c r="I38" s="57"/>
      <c r="J38" s="57"/>
    </row>
    <row r="39" spans="1:10" s="31" customFormat="1" ht="46.8" x14ac:dyDescent="0.3">
      <c r="A39" s="27" t="s">
        <v>7</v>
      </c>
      <c r="B39" s="27" t="s">
        <v>29</v>
      </c>
      <c r="C39" s="27" t="s">
        <v>15</v>
      </c>
      <c r="D39" s="28" t="s">
        <v>8</v>
      </c>
      <c r="E39" s="29" t="s">
        <v>137</v>
      </c>
      <c r="F39" s="30" t="s">
        <v>199</v>
      </c>
      <c r="G39" s="57">
        <f t="shared" si="2"/>
        <v>1570000</v>
      </c>
      <c r="H39" s="57"/>
      <c r="I39" s="57">
        <f>7670000-2900000-3200000</f>
        <v>1570000</v>
      </c>
      <c r="J39" s="57">
        <f>7670000-2900000-3200000</f>
        <v>1570000</v>
      </c>
    </row>
    <row r="40" spans="1:10" s="31" customFormat="1" ht="46.8" x14ac:dyDescent="0.3">
      <c r="A40" s="27" t="s">
        <v>67</v>
      </c>
      <c r="B40" s="27" t="s">
        <v>68</v>
      </c>
      <c r="C40" s="27" t="s">
        <v>47</v>
      </c>
      <c r="D40" s="35" t="s">
        <v>66</v>
      </c>
      <c r="E40" s="29" t="s">
        <v>137</v>
      </c>
      <c r="F40" s="30" t="s">
        <v>199</v>
      </c>
      <c r="G40" s="57">
        <f>H40+I40</f>
        <v>6441885</v>
      </c>
      <c r="H40" s="57">
        <v>1000000</v>
      </c>
      <c r="I40" s="57">
        <f>J40</f>
        <v>5441885</v>
      </c>
      <c r="J40" s="57">
        <f>1486596+9527000+1700000+3300000-4500000-6071711</f>
        <v>5441885</v>
      </c>
    </row>
    <row r="41" spans="1:10" s="31" customFormat="1" ht="46.8" x14ac:dyDescent="0.3">
      <c r="A41" s="27" t="s">
        <v>67</v>
      </c>
      <c r="B41" s="27" t="s">
        <v>68</v>
      </c>
      <c r="C41" s="27" t="s">
        <v>47</v>
      </c>
      <c r="D41" s="35" t="s">
        <v>66</v>
      </c>
      <c r="E41" s="29" t="s">
        <v>181</v>
      </c>
      <c r="F41" s="30" t="s">
        <v>182</v>
      </c>
      <c r="G41" s="57">
        <f t="shared" si="2"/>
        <v>203000</v>
      </c>
      <c r="H41" s="57">
        <v>203000</v>
      </c>
      <c r="I41" s="57"/>
      <c r="J41" s="57"/>
    </row>
    <row r="42" spans="1:10" s="31" customFormat="1" ht="62.4" x14ac:dyDescent="0.3">
      <c r="A42" s="27" t="s">
        <v>67</v>
      </c>
      <c r="B42" s="27" t="s">
        <v>68</v>
      </c>
      <c r="C42" s="27" t="s">
        <v>47</v>
      </c>
      <c r="D42" s="35" t="s">
        <v>66</v>
      </c>
      <c r="E42" s="29" t="s">
        <v>212</v>
      </c>
      <c r="F42" s="30" t="s">
        <v>211</v>
      </c>
      <c r="G42" s="57">
        <f t="shared" si="2"/>
        <v>15000</v>
      </c>
      <c r="H42" s="57">
        <v>15000</v>
      </c>
      <c r="I42" s="57"/>
      <c r="J42" s="57"/>
    </row>
    <row r="43" spans="1:10" s="31" customFormat="1" ht="46.8" x14ac:dyDescent="0.3">
      <c r="A43" s="27" t="s">
        <v>138</v>
      </c>
      <c r="B43" s="27" t="s">
        <v>139</v>
      </c>
      <c r="C43" s="27" t="s">
        <v>140</v>
      </c>
      <c r="D43" s="35" t="s">
        <v>141</v>
      </c>
      <c r="E43" s="29" t="s">
        <v>137</v>
      </c>
      <c r="F43" s="30" t="s">
        <v>199</v>
      </c>
      <c r="G43" s="57">
        <f>H43+I43</f>
        <v>650000</v>
      </c>
      <c r="H43" s="57">
        <v>650000</v>
      </c>
      <c r="I43" s="57">
        <f>2915000-2915000</f>
        <v>0</v>
      </c>
      <c r="J43" s="57">
        <f>2915000-2915000</f>
        <v>0</v>
      </c>
    </row>
    <row r="44" spans="1:10" s="31" customFormat="1" ht="58.95" customHeight="1" x14ac:dyDescent="0.3">
      <c r="A44" s="27" t="s">
        <v>306</v>
      </c>
      <c r="B44" s="27" t="s">
        <v>142</v>
      </c>
      <c r="C44" s="30" t="s">
        <v>143</v>
      </c>
      <c r="D44" s="32" t="s">
        <v>307</v>
      </c>
      <c r="E44" s="29" t="s">
        <v>137</v>
      </c>
      <c r="F44" s="30" t="s">
        <v>199</v>
      </c>
      <c r="G44" s="57">
        <f t="shared" ref="G44:G45" si="3">H44+I44</f>
        <v>73500</v>
      </c>
      <c r="H44" s="57"/>
      <c r="I44" s="57">
        <f>J44</f>
        <v>73500</v>
      </c>
      <c r="J44" s="57">
        <v>73500</v>
      </c>
    </row>
    <row r="45" spans="1:10" s="31" customFormat="1" ht="58.95" customHeight="1" x14ac:dyDescent="0.3">
      <c r="A45" s="27" t="s">
        <v>308</v>
      </c>
      <c r="B45" s="27" t="s">
        <v>309</v>
      </c>
      <c r="C45" s="30" t="s">
        <v>301</v>
      </c>
      <c r="D45" s="32" t="s">
        <v>310</v>
      </c>
      <c r="E45" s="29" t="s">
        <v>137</v>
      </c>
      <c r="F45" s="30" t="s">
        <v>199</v>
      </c>
      <c r="G45" s="57">
        <f t="shared" si="3"/>
        <v>40500</v>
      </c>
      <c r="H45" s="57"/>
      <c r="I45" s="57">
        <f>J45</f>
        <v>40500</v>
      </c>
      <c r="J45" s="57">
        <v>40500</v>
      </c>
    </row>
    <row r="46" spans="1:10" s="31" customFormat="1" ht="46.8" x14ac:dyDescent="0.3">
      <c r="A46" s="27" t="s">
        <v>327</v>
      </c>
      <c r="B46" s="27" t="s">
        <v>328</v>
      </c>
      <c r="C46" s="37" t="s">
        <v>301</v>
      </c>
      <c r="D46" s="43" t="s">
        <v>329</v>
      </c>
      <c r="E46" s="29" t="s">
        <v>137</v>
      </c>
      <c r="F46" s="30" t="s">
        <v>199</v>
      </c>
      <c r="G46" s="57">
        <f t="shared" si="2"/>
        <v>166829.13999999998</v>
      </c>
      <c r="H46" s="57">
        <f>164707.71+2121.43</f>
        <v>166829.13999999998</v>
      </c>
      <c r="I46" s="57"/>
      <c r="J46" s="57"/>
    </row>
    <row r="47" spans="1:10" s="31" customFormat="1" ht="62.4" x14ac:dyDescent="0.3">
      <c r="A47" s="27" t="s">
        <v>208</v>
      </c>
      <c r="B47" s="27" t="s">
        <v>26</v>
      </c>
      <c r="C47" s="27" t="s">
        <v>27</v>
      </c>
      <c r="D47" s="51" t="s">
        <v>16</v>
      </c>
      <c r="E47" s="29" t="s">
        <v>209</v>
      </c>
      <c r="F47" s="30" t="s">
        <v>295</v>
      </c>
      <c r="G47" s="57">
        <f t="shared" si="2"/>
        <v>2283800</v>
      </c>
      <c r="H47" s="57">
        <v>2283800</v>
      </c>
      <c r="I47" s="57"/>
      <c r="J47" s="57"/>
    </row>
    <row r="48" spans="1:10" s="52" customFormat="1" ht="46.8" x14ac:dyDescent="0.3">
      <c r="A48" s="37" t="s">
        <v>24</v>
      </c>
      <c r="B48" s="30">
        <v>3242</v>
      </c>
      <c r="C48" s="30">
        <v>1090</v>
      </c>
      <c r="D48" s="29" t="s">
        <v>14</v>
      </c>
      <c r="E48" s="29" t="s">
        <v>28</v>
      </c>
      <c r="F48" s="30" t="s">
        <v>201</v>
      </c>
      <c r="G48" s="57">
        <f t="shared" ref="G48:G53" si="4">H48+I48</f>
        <v>353000</v>
      </c>
      <c r="H48" s="57">
        <v>353000</v>
      </c>
      <c r="I48" s="57"/>
      <c r="J48" s="57"/>
    </row>
    <row r="49" spans="1:12" s="52" customFormat="1" ht="46.8" x14ac:dyDescent="0.3">
      <c r="A49" s="37" t="s">
        <v>24</v>
      </c>
      <c r="B49" s="30">
        <v>3242</v>
      </c>
      <c r="C49" s="30">
        <v>1090</v>
      </c>
      <c r="D49" s="29" t="s">
        <v>14</v>
      </c>
      <c r="E49" s="29" t="s">
        <v>137</v>
      </c>
      <c r="F49" s="30" t="s">
        <v>199</v>
      </c>
      <c r="G49" s="57">
        <f t="shared" si="4"/>
        <v>1400000</v>
      </c>
      <c r="H49" s="57">
        <v>1400000</v>
      </c>
      <c r="I49" s="57"/>
      <c r="J49" s="57"/>
    </row>
    <row r="50" spans="1:12" s="52" customFormat="1" ht="46.8" x14ac:dyDescent="0.3">
      <c r="A50" s="37" t="s">
        <v>24</v>
      </c>
      <c r="B50" s="30">
        <v>3242</v>
      </c>
      <c r="C50" s="30">
        <v>1090</v>
      </c>
      <c r="D50" s="29" t="s">
        <v>14</v>
      </c>
      <c r="E50" s="29" t="s">
        <v>87</v>
      </c>
      <c r="F50" s="30" t="s">
        <v>197</v>
      </c>
      <c r="G50" s="57">
        <f t="shared" si="4"/>
        <v>7777200</v>
      </c>
      <c r="H50" s="57">
        <f>1747000+200+5770000+30000+230000</f>
        <v>7777200</v>
      </c>
      <c r="I50" s="57"/>
      <c r="J50" s="57"/>
    </row>
    <row r="51" spans="1:12" s="52" customFormat="1" ht="46.8" x14ac:dyDescent="0.3">
      <c r="A51" s="37" t="s">
        <v>338</v>
      </c>
      <c r="B51" s="30">
        <v>7372</v>
      </c>
      <c r="C51" s="37" t="s">
        <v>21</v>
      </c>
      <c r="D51" s="53" t="s">
        <v>339</v>
      </c>
      <c r="E51" s="29" t="s">
        <v>229</v>
      </c>
      <c r="F51" s="30" t="s">
        <v>198</v>
      </c>
      <c r="G51" s="57">
        <f t="shared" si="4"/>
        <v>343650</v>
      </c>
      <c r="H51" s="57">
        <v>60000</v>
      </c>
      <c r="I51" s="57">
        <v>283650</v>
      </c>
      <c r="J51" s="57">
        <v>283650</v>
      </c>
    </row>
    <row r="52" spans="1:12" s="52" customFormat="1" ht="46.8" x14ac:dyDescent="0.3">
      <c r="A52" s="37" t="s">
        <v>261</v>
      </c>
      <c r="B52" s="30">
        <v>8110</v>
      </c>
      <c r="C52" s="37" t="s">
        <v>187</v>
      </c>
      <c r="D52" s="53" t="s">
        <v>188</v>
      </c>
      <c r="E52" s="29" t="s">
        <v>229</v>
      </c>
      <c r="F52" s="30" t="s">
        <v>198</v>
      </c>
      <c r="G52" s="57">
        <f t="shared" si="4"/>
        <v>8769210</v>
      </c>
      <c r="H52" s="57">
        <f>3767310-300000+61900+740000</f>
        <v>4269210</v>
      </c>
      <c r="I52" s="57">
        <f>J52</f>
        <v>4500000</v>
      </c>
      <c r="J52" s="57">
        <f>1000000+3500000</f>
        <v>4500000</v>
      </c>
    </row>
    <row r="53" spans="1:12" s="52" customFormat="1" ht="62.4" x14ac:dyDescent="0.3">
      <c r="A53" s="27" t="s">
        <v>268</v>
      </c>
      <c r="B53" s="27" t="s">
        <v>179</v>
      </c>
      <c r="C53" s="27" t="s">
        <v>94</v>
      </c>
      <c r="D53" s="35" t="s">
        <v>180</v>
      </c>
      <c r="E53" s="38" t="s">
        <v>216</v>
      </c>
      <c r="F53" s="30" t="s">
        <v>272</v>
      </c>
      <c r="G53" s="57">
        <f t="shared" si="4"/>
        <v>97000</v>
      </c>
      <c r="H53" s="57">
        <v>97000</v>
      </c>
      <c r="I53" s="57"/>
      <c r="J53" s="57"/>
    </row>
    <row r="54" spans="1:12" s="71" customFormat="1" ht="15.6" x14ac:dyDescent="0.3">
      <c r="A54" s="40" t="s">
        <v>17</v>
      </c>
      <c r="B54" s="40"/>
      <c r="C54" s="40"/>
      <c r="D54" s="106" t="s">
        <v>169</v>
      </c>
      <c r="E54" s="107"/>
      <c r="F54" s="41"/>
      <c r="G54" s="56">
        <f>G55</f>
        <v>47307030</v>
      </c>
      <c r="H54" s="56">
        <f>H55</f>
        <v>47307030</v>
      </c>
      <c r="I54" s="56">
        <f t="shared" ref="I54:J54" si="5">I55</f>
        <v>0</v>
      </c>
      <c r="J54" s="56">
        <f t="shared" si="5"/>
        <v>0</v>
      </c>
    </row>
    <row r="55" spans="1:12" s="71" customFormat="1" ht="15.6" x14ac:dyDescent="0.3">
      <c r="A55" s="40" t="s">
        <v>18</v>
      </c>
      <c r="B55" s="40"/>
      <c r="C55" s="40"/>
      <c r="D55" s="106" t="s">
        <v>169</v>
      </c>
      <c r="E55" s="107"/>
      <c r="F55" s="41"/>
      <c r="G55" s="56">
        <f>SUM(G56:G68)</f>
        <v>47307030</v>
      </c>
      <c r="H55" s="56">
        <f>SUM(H56:H68)</f>
        <v>47307030</v>
      </c>
      <c r="I55" s="56">
        <f>SUM(I56:I68)</f>
        <v>0</v>
      </c>
      <c r="J55" s="56">
        <f>SUM(J56:J68)</f>
        <v>0</v>
      </c>
    </row>
    <row r="56" spans="1:12" s="69" customFormat="1" ht="46.8" x14ac:dyDescent="0.3">
      <c r="A56" s="27" t="s">
        <v>101</v>
      </c>
      <c r="B56" s="27" t="s">
        <v>102</v>
      </c>
      <c r="C56" s="27" t="s">
        <v>103</v>
      </c>
      <c r="D56" s="83" t="s">
        <v>104</v>
      </c>
      <c r="E56" s="29" t="s">
        <v>87</v>
      </c>
      <c r="F56" s="30" t="s">
        <v>197</v>
      </c>
      <c r="G56" s="57">
        <f>H56+I56</f>
        <v>161000</v>
      </c>
      <c r="H56" s="57">
        <v>161000</v>
      </c>
      <c r="I56" s="57"/>
      <c r="J56" s="57"/>
    </row>
    <row r="57" spans="1:12" s="69" customFormat="1" ht="62.4" x14ac:dyDescent="0.3">
      <c r="A57" s="27" t="s">
        <v>101</v>
      </c>
      <c r="B57" s="27" t="s">
        <v>102</v>
      </c>
      <c r="C57" s="27" t="s">
        <v>103</v>
      </c>
      <c r="D57" s="83" t="s">
        <v>104</v>
      </c>
      <c r="E57" s="29" t="s">
        <v>105</v>
      </c>
      <c r="F57" s="30" t="s">
        <v>106</v>
      </c>
      <c r="G57" s="57">
        <f t="shared" ref="G57:G67" si="6">H57+I57</f>
        <v>425000</v>
      </c>
      <c r="H57" s="57">
        <f>225000+200000</f>
        <v>425000</v>
      </c>
      <c r="I57" s="57"/>
      <c r="J57" s="57"/>
    </row>
    <row r="58" spans="1:12" s="69" customFormat="1" ht="46.8" x14ac:dyDescent="0.3">
      <c r="A58" s="27" t="s">
        <v>107</v>
      </c>
      <c r="B58" s="27" t="s">
        <v>108</v>
      </c>
      <c r="C58" s="27" t="s">
        <v>103</v>
      </c>
      <c r="D58" s="83" t="s">
        <v>109</v>
      </c>
      <c r="E58" s="29" t="s">
        <v>87</v>
      </c>
      <c r="F58" s="30" t="s">
        <v>197</v>
      </c>
      <c r="G58" s="57">
        <f t="shared" si="6"/>
        <v>20000</v>
      </c>
      <c r="H58" s="57">
        <v>20000</v>
      </c>
      <c r="I58" s="57"/>
      <c r="J58" s="57"/>
    </row>
    <row r="59" spans="1:12" s="69" customFormat="1" ht="46.8" x14ac:dyDescent="0.3">
      <c r="A59" s="27" t="s">
        <v>25</v>
      </c>
      <c r="B59" s="27" t="s">
        <v>58</v>
      </c>
      <c r="C59" s="27" t="s">
        <v>27</v>
      </c>
      <c r="D59" s="28" t="s">
        <v>69</v>
      </c>
      <c r="E59" s="29" t="s">
        <v>192</v>
      </c>
      <c r="F59" s="30" t="s">
        <v>271</v>
      </c>
      <c r="G59" s="57">
        <f t="shared" si="6"/>
        <v>200300</v>
      </c>
      <c r="H59" s="57">
        <v>200300</v>
      </c>
      <c r="I59" s="57"/>
      <c r="J59" s="57"/>
      <c r="L59" s="72"/>
    </row>
    <row r="60" spans="1:12" s="69" customFormat="1" ht="46.8" x14ac:dyDescent="0.3">
      <c r="A60" s="27" t="s">
        <v>25</v>
      </c>
      <c r="B60" s="27" t="s">
        <v>58</v>
      </c>
      <c r="C60" s="27" t="s">
        <v>27</v>
      </c>
      <c r="D60" s="28" t="s">
        <v>69</v>
      </c>
      <c r="E60" s="29" t="s">
        <v>87</v>
      </c>
      <c r="F60" s="30" t="s">
        <v>200</v>
      </c>
      <c r="G60" s="57">
        <f t="shared" si="6"/>
        <v>227500</v>
      </c>
      <c r="H60" s="57">
        <v>227500</v>
      </c>
      <c r="I60" s="57"/>
      <c r="J60" s="57"/>
      <c r="L60" s="72"/>
    </row>
    <row r="61" spans="1:12" s="69" customFormat="1" ht="46.8" x14ac:dyDescent="0.3">
      <c r="A61" s="27" t="s">
        <v>121</v>
      </c>
      <c r="B61" s="27" t="s">
        <v>122</v>
      </c>
      <c r="C61" s="27" t="s">
        <v>27</v>
      </c>
      <c r="D61" s="43" t="s">
        <v>123</v>
      </c>
      <c r="E61" s="29" t="s">
        <v>87</v>
      </c>
      <c r="F61" s="30" t="s">
        <v>202</v>
      </c>
      <c r="G61" s="57">
        <f>H61+I61</f>
        <v>572200</v>
      </c>
      <c r="H61" s="57">
        <f>700000-127800</f>
        <v>572200</v>
      </c>
      <c r="I61" s="57"/>
      <c r="J61" s="57"/>
      <c r="L61" s="72"/>
    </row>
    <row r="62" spans="1:12" s="69" customFormat="1" ht="62.4" x14ac:dyDescent="0.3">
      <c r="A62" s="27" t="s">
        <v>110</v>
      </c>
      <c r="B62" s="27" t="s">
        <v>111</v>
      </c>
      <c r="C62" s="27" t="s">
        <v>29</v>
      </c>
      <c r="D62" s="28" t="s">
        <v>112</v>
      </c>
      <c r="E62" s="29" t="s">
        <v>87</v>
      </c>
      <c r="F62" s="30" t="s">
        <v>197</v>
      </c>
      <c r="G62" s="57">
        <f t="shared" si="6"/>
        <v>2350000</v>
      </c>
      <c r="H62" s="57">
        <f>1400000+800000+150000</f>
        <v>2350000</v>
      </c>
      <c r="I62" s="57"/>
      <c r="J62" s="57"/>
      <c r="L62" s="72"/>
    </row>
    <row r="63" spans="1:12" s="69" customFormat="1" ht="62.4" x14ac:dyDescent="0.3">
      <c r="A63" s="27" t="s">
        <v>113</v>
      </c>
      <c r="B63" s="27" t="s">
        <v>114</v>
      </c>
      <c r="C63" s="27" t="s">
        <v>115</v>
      </c>
      <c r="D63" s="28" t="s">
        <v>116</v>
      </c>
      <c r="E63" s="29" t="s">
        <v>87</v>
      </c>
      <c r="F63" s="30" t="s">
        <v>197</v>
      </c>
      <c r="G63" s="57">
        <f t="shared" si="6"/>
        <v>1500000</v>
      </c>
      <c r="H63" s="57">
        <v>1500000</v>
      </c>
      <c r="I63" s="57"/>
      <c r="J63" s="57"/>
      <c r="L63" s="72"/>
    </row>
    <row r="64" spans="1:12" s="69" customFormat="1" ht="46.8" x14ac:dyDescent="0.3">
      <c r="A64" s="27" t="s">
        <v>117</v>
      </c>
      <c r="B64" s="27" t="s">
        <v>118</v>
      </c>
      <c r="C64" s="27" t="s">
        <v>103</v>
      </c>
      <c r="D64" s="28" t="s">
        <v>119</v>
      </c>
      <c r="E64" s="29" t="s">
        <v>87</v>
      </c>
      <c r="F64" s="30" t="s">
        <v>197</v>
      </c>
      <c r="G64" s="57">
        <f t="shared" si="6"/>
        <v>100000</v>
      </c>
      <c r="H64" s="57">
        <v>100000</v>
      </c>
      <c r="I64" s="57"/>
      <c r="J64" s="57"/>
      <c r="L64" s="72"/>
    </row>
    <row r="65" spans="1:12" s="69" customFormat="1" ht="46.8" x14ac:dyDescent="0.3">
      <c r="A65" s="27" t="s">
        <v>189</v>
      </c>
      <c r="B65" s="27" t="s">
        <v>190</v>
      </c>
      <c r="C65" s="27" t="s">
        <v>142</v>
      </c>
      <c r="D65" s="84" t="s">
        <v>191</v>
      </c>
      <c r="E65" s="29" t="s">
        <v>87</v>
      </c>
      <c r="F65" s="30" t="s">
        <v>197</v>
      </c>
      <c r="G65" s="57">
        <f t="shared" si="6"/>
        <v>662800</v>
      </c>
      <c r="H65" s="57">
        <v>662800</v>
      </c>
      <c r="I65" s="57"/>
      <c r="J65" s="57"/>
      <c r="L65" s="72"/>
    </row>
    <row r="66" spans="1:12" s="69" customFormat="1" ht="46.8" x14ac:dyDescent="0.3">
      <c r="A66" s="27" t="s">
        <v>120</v>
      </c>
      <c r="B66" s="27" t="s">
        <v>89</v>
      </c>
      <c r="C66" s="27" t="s">
        <v>90</v>
      </c>
      <c r="D66" s="85" t="s">
        <v>91</v>
      </c>
      <c r="E66" s="29" t="s">
        <v>87</v>
      </c>
      <c r="F66" s="30" t="s">
        <v>197</v>
      </c>
      <c r="G66" s="57">
        <f t="shared" si="6"/>
        <v>32937219</v>
      </c>
      <c r="H66" s="57">
        <f>25569500+2100000+96000+843020-48000+280000-200000-601+3000000-300000+91000+127800+1378500</f>
        <v>32937219</v>
      </c>
      <c r="I66" s="57"/>
      <c r="J66" s="57"/>
      <c r="L66" s="72"/>
    </row>
    <row r="67" spans="1:12" s="69" customFormat="1" ht="62.4" x14ac:dyDescent="0.3">
      <c r="A67" s="27" t="s">
        <v>120</v>
      </c>
      <c r="B67" s="27" t="s">
        <v>89</v>
      </c>
      <c r="C67" s="27" t="s">
        <v>90</v>
      </c>
      <c r="D67" s="28" t="s">
        <v>91</v>
      </c>
      <c r="E67" s="29" t="s">
        <v>105</v>
      </c>
      <c r="F67" s="30" t="s">
        <v>203</v>
      </c>
      <c r="G67" s="57">
        <f t="shared" si="6"/>
        <v>8031011</v>
      </c>
      <c r="H67" s="57">
        <f>5290300+210000+330000+204000+500000+48000+99000+696500+200000+601+300000+152610</f>
        <v>8031011</v>
      </c>
      <c r="I67" s="57"/>
      <c r="J67" s="57"/>
      <c r="L67" s="72"/>
    </row>
    <row r="68" spans="1:12" s="69" customFormat="1" ht="46.8" x14ac:dyDescent="0.3">
      <c r="A68" s="37" t="s">
        <v>267</v>
      </c>
      <c r="B68" s="30">
        <v>8110</v>
      </c>
      <c r="C68" s="37" t="s">
        <v>187</v>
      </c>
      <c r="D68" s="53" t="s">
        <v>188</v>
      </c>
      <c r="E68" s="29" t="s">
        <v>229</v>
      </c>
      <c r="F68" s="30" t="s">
        <v>198</v>
      </c>
      <c r="G68" s="57">
        <f>H68+I68</f>
        <v>120000</v>
      </c>
      <c r="H68" s="57">
        <v>120000</v>
      </c>
      <c r="I68" s="57"/>
      <c r="J68" s="57"/>
      <c r="K68" s="72"/>
      <c r="L68" s="72"/>
    </row>
    <row r="69" spans="1:12" s="69" customFormat="1" ht="15.75" customHeight="1" x14ac:dyDescent="0.3">
      <c r="A69" s="75" t="s">
        <v>296</v>
      </c>
      <c r="B69" s="76" t="s">
        <v>297</v>
      </c>
      <c r="C69" s="76" t="s">
        <v>297</v>
      </c>
      <c r="D69" s="122" t="s">
        <v>298</v>
      </c>
      <c r="E69" s="123"/>
      <c r="F69" s="30"/>
      <c r="G69" s="56">
        <f>G70</f>
        <v>1101900</v>
      </c>
      <c r="H69" s="56">
        <f t="shared" ref="H69:J69" si="7">H70</f>
        <v>101900</v>
      </c>
      <c r="I69" s="56">
        <f t="shared" si="7"/>
        <v>1000000</v>
      </c>
      <c r="J69" s="56">
        <f t="shared" si="7"/>
        <v>1000000</v>
      </c>
      <c r="K69" s="72"/>
      <c r="L69" s="72"/>
    </row>
    <row r="70" spans="1:12" s="69" customFormat="1" ht="18" customHeight="1" x14ac:dyDescent="0.3">
      <c r="A70" s="75" t="s">
        <v>299</v>
      </c>
      <c r="B70" s="76" t="s">
        <v>297</v>
      </c>
      <c r="C70" s="76" t="s">
        <v>297</v>
      </c>
      <c r="D70" s="122" t="s">
        <v>298</v>
      </c>
      <c r="E70" s="123"/>
      <c r="F70" s="30"/>
      <c r="G70" s="56">
        <f>G71+G72</f>
        <v>1101900</v>
      </c>
      <c r="H70" s="56">
        <f t="shared" ref="H70:J70" si="8">H71+H72</f>
        <v>101900</v>
      </c>
      <c r="I70" s="56">
        <f t="shared" si="8"/>
        <v>1000000</v>
      </c>
      <c r="J70" s="56">
        <f t="shared" si="8"/>
        <v>1000000</v>
      </c>
      <c r="K70" s="72"/>
      <c r="L70" s="72"/>
    </row>
    <row r="71" spans="1:12" s="69" customFormat="1" ht="46.8" x14ac:dyDescent="0.3">
      <c r="A71" s="37" t="s">
        <v>300</v>
      </c>
      <c r="B71" s="30" t="s">
        <v>85</v>
      </c>
      <c r="C71" s="30" t="s">
        <v>27</v>
      </c>
      <c r="D71" s="32" t="s">
        <v>86</v>
      </c>
      <c r="E71" s="29" t="s">
        <v>87</v>
      </c>
      <c r="F71" s="34" t="s">
        <v>196</v>
      </c>
      <c r="G71" s="57">
        <f>H71+I71</f>
        <v>101900</v>
      </c>
      <c r="H71" s="57">
        <v>101900</v>
      </c>
      <c r="I71" s="57"/>
      <c r="J71" s="57"/>
      <c r="K71" s="72"/>
      <c r="L71" s="72"/>
    </row>
    <row r="72" spans="1:12" s="74" customFormat="1" ht="78" x14ac:dyDescent="0.3">
      <c r="A72" s="37" t="s">
        <v>340</v>
      </c>
      <c r="B72" s="37">
        <v>6083</v>
      </c>
      <c r="C72" s="37" t="s">
        <v>226</v>
      </c>
      <c r="D72" s="32" t="s">
        <v>227</v>
      </c>
      <c r="E72" s="82" t="s">
        <v>228</v>
      </c>
      <c r="F72" s="30" t="s">
        <v>348</v>
      </c>
      <c r="G72" s="57">
        <f>H72+I72</f>
        <v>1000000</v>
      </c>
      <c r="H72" s="57"/>
      <c r="I72" s="57">
        <f>J72</f>
        <v>1000000</v>
      </c>
      <c r="J72" s="57">
        <v>1000000</v>
      </c>
      <c r="K72" s="73"/>
    </row>
    <row r="73" spans="1:12" s="31" customFormat="1" ht="15.6" x14ac:dyDescent="0.3">
      <c r="A73" s="40" t="s">
        <v>144</v>
      </c>
      <c r="B73" s="40"/>
      <c r="C73" s="40"/>
      <c r="D73" s="106" t="s">
        <v>170</v>
      </c>
      <c r="E73" s="107"/>
      <c r="F73" s="41"/>
      <c r="G73" s="56">
        <f>G74</f>
        <v>1975500</v>
      </c>
      <c r="H73" s="56">
        <f>H74</f>
        <v>1504500</v>
      </c>
      <c r="I73" s="56">
        <f>I74</f>
        <v>471000</v>
      </c>
      <c r="J73" s="56">
        <f>J74</f>
        <v>94000</v>
      </c>
      <c r="K73" s="44"/>
      <c r="L73" s="44"/>
    </row>
    <row r="74" spans="1:12" s="31" customFormat="1" ht="15.6" x14ac:dyDescent="0.3">
      <c r="A74" s="40" t="s">
        <v>145</v>
      </c>
      <c r="B74" s="40"/>
      <c r="C74" s="40"/>
      <c r="D74" s="106" t="s">
        <v>170</v>
      </c>
      <c r="E74" s="107"/>
      <c r="F74" s="41"/>
      <c r="G74" s="56">
        <f>SUM(G75:G81)</f>
        <v>1975500</v>
      </c>
      <c r="H74" s="56">
        <f t="shared" ref="H74:J74" si="9">SUM(H75:H81)</f>
        <v>1504500</v>
      </c>
      <c r="I74" s="56">
        <f t="shared" si="9"/>
        <v>471000</v>
      </c>
      <c r="J74" s="56">
        <f t="shared" si="9"/>
        <v>94000</v>
      </c>
      <c r="K74" s="44"/>
      <c r="L74" s="44"/>
    </row>
    <row r="75" spans="1:12" s="42" customFormat="1" ht="46.8" x14ac:dyDescent="0.3">
      <c r="A75" s="27" t="s">
        <v>146</v>
      </c>
      <c r="B75" s="27" t="s">
        <v>147</v>
      </c>
      <c r="C75" s="27" t="s">
        <v>148</v>
      </c>
      <c r="D75" s="28" t="s">
        <v>149</v>
      </c>
      <c r="E75" s="49" t="s">
        <v>171</v>
      </c>
      <c r="F75" s="34" t="s">
        <v>270</v>
      </c>
      <c r="G75" s="57">
        <f t="shared" ref="G75:G81" si="10">H75+I75</f>
        <v>350000</v>
      </c>
      <c r="H75" s="57">
        <v>350000</v>
      </c>
      <c r="I75" s="57"/>
      <c r="J75" s="57"/>
    </row>
    <row r="76" spans="1:12" s="42" customFormat="1" ht="46.8" x14ac:dyDescent="0.3">
      <c r="A76" s="27" t="s">
        <v>150</v>
      </c>
      <c r="B76" s="27" t="s">
        <v>151</v>
      </c>
      <c r="C76" s="27" t="s">
        <v>143</v>
      </c>
      <c r="D76" s="28" t="s">
        <v>152</v>
      </c>
      <c r="E76" s="50" t="s">
        <v>171</v>
      </c>
      <c r="F76" s="34" t="s">
        <v>270</v>
      </c>
      <c r="G76" s="57">
        <f t="shared" si="10"/>
        <v>350000</v>
      </c>
      <c r="H76" s="57"/>
      <c r="I76" s="57">
        <v>350000</v>
      </c>
      <c r="J76" s="57"/>
    </row>
    <row r="77" spans="1:12" s="31" customFormat="1" ht="62.4" x14ac:dyDescent="0.3">
      <c r="A77" s="37" t="s">
        <v>292</v>
      </c>
      <c r="B77" s="30">
        <v>3140</v>
      </c>
      <c r="C77" s="27" t="s">
        <v>27</v>
      </c>
      <c r="D77" s="28" t="s">
        <v>16</v>
      </c>
      <c r="E77" s="29" t="s">
        <v>193</v>
      </c>
      <c r="F77" s="30" t="s">
        <v>295</v>
      </c>
      <c r="G77" s="57">
        <f>H77+I77</f>
        <v>120000</v>
      </c>
      <c r="H77" s="57">
        <v>120000</v>
      </c>
      <c r="I77" s="57"/>
      <c r="J77" s="57"/>
    </row>
    <row r="78" spans="1:12" s="31" customFormat="1" ht="46.8" x14ac:dyDescent="0.3">
      <c r="A78" s="27" t="s">
        <v>153</v>
      </c>
      <c r="B78" s="27" t="s">
        <v>154</v>
      </c>
      <c r="C78" s="27" t="s">
        <v>155</v>
      </c>
      <c r="D78" s="28" t="s">
        <v>156</v>
      </c>
      <c r="E78" s="50" t="s">
        <v>171</v>
      </c>
      <c r="F78" s="34" t="s">
        <v>270</v>
      </c>
      <c r="G78" s="57">
        <f t="shared" si="10"/>
        <v>184000</v>
      </c>
      <c r="H78" s="57">
        <f>60000+50000</f>
        <v>110000</v>
      </c>
      <c r="I78" s="57">
        <f>J78</f>
        <v>74000</v>
      </c>
      <c r="J78" s="57">
        <v>74000</v>
      </c>
    </row>
    <row r="79" spans="1:12" s="31" customFormat="1" ht="46.8" x14ac:dyDescent="0.3">
      <c r="A79" s="27" t="s">
        <v>157</v>
      </c>
      <c r="B79" s="27" t="s">
        <v>158</v>
      </c>
      <c r="C79" s="27" t="s">
        <v>155</v>
      </c>
      <c r="D79" s="28" t="s">
        <v>159</v>
      </c>
      <c r="E79" s="50" t="s">
        <v>171</v>
      </c>
      <c r="F79" s="30" t="s">
        <v>270</v>
      </c>
      <c r="G79" s="57">
        <f t="shared" si="10"/>
        <v>19500</v>
      </c>
      <c r="H79" s="57">
        <f>30900-11400</f>
        <v>19500</v>
      </c>
      <c r="I79" s="57"/>
      <c r="J79" s="57"/>
    </row>
    <row r="80" spans="1:12" s="31" customFormat="1" ht="46.8" x14ac:dyDescent="0.3">
      <c r="A80" s="27" t="s">
        <v>160</v>
      </c>
      <c r="B80" s="27" t="s">
        <v>161</v>
      </c>
      <c r="C80" s="27" t="s">
        <v>162</v>
      </c>
      <c r="D80" s="28" t="s">
        <v>163</v>
      </c>
      <c r="E80" s="49" t="s">
        <v>171</v>
      </c>
      <c r="F80" s="34" t="s">
        <v>270</v>
      </c>
      <c r="G80" s="57">
        <f>H80+I80</f>
        <v>517000</v>
      </c>
      <c r="H80" s="57">
        <f>210000+250000-50000+60000</f>
        <v>470000</v>
      </c>
      <c r="I80" s="57">
        <f>27000+J80</f>
        <v>47000</v>
      </c>
      <c r="J80" s="57">
        <v>20000</v>
      </c>
    </row>
    <row r="81" spans="1:10" s="31" customFormat="1" ht="46.8" x14ac:dyDescent="0.3">
      <c r="A81" s="27" t="s">
        <v>164</v>
      </c>
      <c r="B81" s="27" t="s">
        <v>165</v>
      </c>
      <c r="C81" s="27" t="s">
        <v>166</v>
      </c>
      <c r="D81" s="28" t="s">
        <v>167</v>
      </c>
      <c r="E81" s="49" t="s">
        <v>171</v>
      </c>
      <c r="F81" s="34" t="s">
        <v>270</v>
      </c>
      <c r="G81" s="57">
        <f t="shared" si="10"/>
        <v>435000</v>
      </c>
      <c r="H81" s="57">
        <f>1000000-140000-425000</f>
        <v>435000</v>
      </c>
      <c r="I81" s="57"/>
      <c r="J81" s="57"/>
    </row>
    <row r="82" spans="1:10" s="69" customFormat="1" ht="15.6" x14ac:dyDescent="0.3">
      <c r="A82" s="40" t="s">
        <v>22</v>
      </c>
      <c r="B82" s="40"/>
      <c r="C82" s="40"/>
      <c r="D82" s="106" t="s">
        <v>178</v>
      </c>
      <c r="E82" s="107"/>
      <c r="F82" s="41"/>
      <c r="G82" s="56">
        <f>G83</f>
        <v>4001500</v>
      </c>
      <c r="H82" s="56">
        <f>H83</f>
        <v>4001500</v>
      </c>
      <c r="I82" s="56"/>
      <c r="J82" s="56"/>
    </row>
    <row r="83" spans="1:10" s="71" customFormat="1" ht="15.6" x14ac:dyDescent="0.3">
      <c r="A83" s="40" t="s">
        <v>23</v>
      </c>
      <c r="B83" s="40"/>
      <c r="C83" s="40"/>
      <c r="D83" s="106" t="s">
        <v>178</v>
      </c>
      <c r="E83" s="107"/>
      <c r="F83" s="41"/>
      <c r="G83" s="56">
        <f>SUM(G84:G89)</f>
        <v>4001500</v>
      </c>
      <c r="H83" s="56">
        <f>SUM(H84:H89)</f>
        <v>4001500</v>
      </c>
      <c r="I83" s="56"/>
      <c r="J83" s="56"/>
    </row>
    <row r="84" spans="1:10" s="71" customFormat="1" ht="46.8" x14ac:dyDescent="0.3">
      <c r="A84" s="27" t="s">
        <v>259</v>
      </c>
      <c r="B84" s="27" t="s">
        <v>147</v>
      </c>
      <c r="C84" s="27" t="s">
        <v>148</v>
      </c>
      <c r="D84" s="28" t="s">
        <v>149</v>
      </c>
      <c r="E84" s="29" t="s">
        <v>194</v>
      </c>
      <c r="F84" s="30" t="s">
        <v>271</v>
      </c>
      <c r="G84" s="57">
        <f t="shared" ref="G84:G89" si="11">H84+I84</f>
        <v>50000</v>
      </c>
      <c r="H84" s="57">
        <v>50000</v>
      </c>
      <c r="I84" s="57"/>
      <c r="J84" s="57"/>
    </row>
    <row r="85" spans="1:10" s="71" customFormat="1" ht="46.8" x14ac:dyDescent="0.3">
      <c r="A85" s="27" t="s">
        <v>259</v>
      </c>
      <c r="B85" s="27" t="s">
        <v>147</v>
      </c>
      <c r="C85" s="27" t="s">
        <v>148</v>
      </c>
      <c r="D85" s="28" t="s">
        <v>149</v>
      </c>
      <c r="E85" s="29" t="s">
        <v>184</v>
      </c>
      <c r="F85" s="30" t="s">
        <v>214</v>
      </c>
      <c r="G85" s="57">
        <f t="shared" si="11"/>
        <v>300000</v>
      </c>
      <c r="H85" s="57">
        <v>300000</v>
      </c>
      <c r="I85" s="57"/>
      <c r="J85" s="57"/>
    </row>
    <row r="86" spans="1:10" s="71" customFormat="1" ht="46.8" x14ac:dyDescent="0.3">
      <c r="A86" s="27" t="s">
        <v>44</v>
      </c>
      <c r="B86" s="27" t="s">
        <v>45</v>
      </c>
      <c r="C86" s="27" t="s">
        <v>27</v>
      </c>
      <c r="D86" s="28" t="s">
        <v>46</v>
      </c>
      <c r="E86" s="29" t="s">
        <v>194</v>
      </c>
      <c r="F86" s="30" t="s">
        <v>271</v>
      </c>
      <c r="G86" s="57">
        <f t="shared" si="11"/>
        <v>717500</v>
      </c>
      <c r="H86" s="57">
        <f>1838600-471000-650100</f>
        <v>717500</v>
      </c>
      <c r="I86" s="57"/>
      <c r="J86" s="57"/>
    </row>
    <row r="87" spans="1:10" s="69" customFormat="1" ht="46.8" x14ac:dyDescent="0.3">
      <c r="A87" s="27" t="s">
        <v>124</v>
      </c>
      <c r="B87" s="27" t="s">
        <v>125</v>
      </c>
      <c r="C87" s="27" t="s">
        <v>40</v>
      </c>
      <c r="D87" s="28" t="s">
        <v>126</v>
      </c>
      <c r="E87" s="29" t="s">
        <v>184</v>
      </c>
      <c r="F87" s="30" t="s">
        <v>214</v>
      </c>
      <c r="G87" s="57">
        <f t="shared" si="11"/>
        <v>1070000</v>
      </c>
      <c r="H87" s="57">
        <f>620000+350000+100000</f>
        <v>1070000</v>
      </c>
      <c r="I87" s="57"/>
      <c r="J87" s="57"/>
    </row>
    <row r="88" spans="1:10" s="69" customFormat="1" ht="46.8" x14ac:dyDescent="0.3">
      <c r="A88" s="27" t="s">
        <v>128</v>
      </c>
      <c r="B88" s="27" t="s">
        <v>127</v>
      </c>
      <c r="C88" s="27" t="s">
        <v>40</v>
      </c>
      <c r="D88" s="28" t="s">
        <v>129</v>
      </c>
      <c r="E88" s="29" t="s">
        <v>184</v>
      </c>
      <c r="F88" s="30" t="s">
        <v>214</v>
      </c>
      <c r="G88" s="57">
        <f t="shared" si="11"/>
        <v>300000</v>
      </c>
      <c r="H88" s="57">
        <v>300000</v>
      </c>
      <c r="I88" s="57"/>
      <c r="J88" s="57"/>
    </row>
    <row r="89" spans="1:10" s="69" customFormat="1" ht="46.8" x14ac:dyDescent="0.3">
      <c r="A89" s="27" t="s">
        <v>38</v>
      </c>
      <c r="B89" s="27" t="s">
        <v>39</v>
      </c>
      <c r="C89" s="27" t="s">
        <v>40</v>
      </c>
      <c r="D89" s="35" t="s">
        <v>70</v>
      </c>
      <c r="E89" s="29" t="s">
        <v>184</v>
      </c>
      <c r="F89" s="30" t="s">
        <v>214</v>
      </c>
      <c r="G89" s="57">
        <f t="shared" si="11"/>
        <v>1564000</v>
      </c>
      <c r="H89" s="57">
        <f>1414000+150000</f>
        <v>1564000</v>
      </c>
      <c r="I89" s="57"/>
      <c r="J89" s="57"/>
    </row>
    <row r="90" spans="1:10" s="69" customFormat="1" ht="15.6" x14ac:dyDescent="0.3">
      <c r="A90" s="86" t="s">
        <v>12</v>
      </c>
      <c r="B90" s="86"/>
      <c r="C90" s="86"/>
      <c r="D90" s="108" t="s">
        <v>172</v>
      </c>
      <c r="E90" s="109"/>
      <c r="F90" s="102"/>
      <c r="G90" s="88">
        <f>G91</f>
        <v>237605236.43000004</v>
      </c>
      <c r="H90" s="88">
        <f>H91</f>
        <v>192342240.32999998</v>
      </c>
      <c r="I90" s="88">
        <f>I91</f>
        <v>45262996.100000001</v>
      </c>
      <c r="J90" s="88">
        <f>J91</f>
        <v>43913647.32</v>
      </c>
    </row>
    <row r="91" spans="1:10" s="71" customFormat="1" ht="15.6" x14ac:dyDescent="0.3">
      <c r="A91" s="86" t="s">
        <v>13</v>
      </c>
      <c r="B91" s="86"/>
      <c r="C91" s="86"/>
      <c r="D91" s="108" t="s">
        <v>172</v>
      </c>
      <c r="E91" s="109"/>
      <c r="F91" s="102"/>
      <c r="G91" s="88">
        <f>SUM(G92:G118)</f>
        <v>237605236.43000004</v>
      </c>
      <c r="H91" s="88">
        <f>SUM(H92:H118)</f>
        <v>192342240.32999998</v>
      </c>
      <c r="I91" s="88">
        <f>SUM(I92:I118)</f>
        <v>45262996.100000001</v>
      </c>
      <c r="J91" s="88">
        <f>SUM(J92:J118)</f>
        <v>43913647.32</v>
      </c>
    </row>
    <row r="92" spans="1:10" s="71" customFormat="1" ht="78" x14ac:dyDescent="0.3">
      <c r="A92" s="92">
        <v>1216011</v>
      </c>
      <c r="B92" s="92">
        <v>6011</v>
      </c>
      <c r="C92" s="94" t="s">
        <v>226</v>
      </c>
      <c r="D92" s="95" t="s">
        <v>233</v>
      </c>
      <c r="E92" s="91" t="s">
        <v>256</v>
      </c>
      <c r="F92" s="30" t="s">
        <v>346</v>
      </c>
      <c r="G92" s="93">
        <f>H92+I92</f>
        <v>2997397.1500000004</v>
      </c>
      <c r="H92" s="93"/>
      <c r="I92" s="93">
        <f>J92</f>
        <v>2997397.1500000004</v>
      </c>
      <c r="J92" s="93">
        <f>3991510.61-1159559.54+2034646.08-1869200</f>
        <v>2997397.1500000004</v>
      </c>
    </row>
    <row r="93" spans="1:10" s="71" customFormat="1" ht="46.8" x14ac:dyDescent="0.3">
      <c r="A93" s="92">
        <v>1216011</v>
      </c>
      <c r="B93" s="92">
        <v>6011</v>
      </c>
      <c r="C93" s="94" t="s">
        <v>226</v>
      </c>
      <c r="D93" s="95" t="s">
        <v>233</v>
      </c>
      <c r="E93" s="91" t="s">
        <v>31</v>
      </c>
      <c r="F93" s="92" t="s">
        <v>234</v>
      </c>
      <c r="G93" s="93">
        <f>H93+I93</f>
        <v>11628643.01</v>
      </c>
      <c r="H93" s="93">
        <f>319069+50000+793524.01-500000</f>
        <v>662593.01</v>
      </c>
      <c r="I93" s="93">
        <f>J93</f>
        <v>10966050</v>
      </c>
      <c r="J93" s="93">
        <f>1021307+7225000-140707+210000-200000-200000+2550450+500000</f>
        <v>10966050</v>
      </c>
    </row>
    <row r="94" spans="1:10" s="71" customFormat="1" ht="109.2" x14ac:dyDescent="0.3">
      <c r="A94" s="92">
        <v>1216011</v>
      </c>
      <c r="B94" s="92">
        <v>6011</v>
      </c>
      <c r="C94" s="94" t="s">
        <v>226</v>
      </c>
      <c r="D94" s="95" t="s">
        <v>233</v>
      </c>
      <c r="E94" s="91" t="s">
        <v>235</v>
      </c>
      <c r="F94" s="92" t="s">
        <v>274</v>
      </c>
      <c r="G94" s="93">
        <f>H94+I94</f>
        <v>598000</v>
      </c>
      <c r="H94" s="93"/>
      <c r="I94" s="93">
        <f>J94</f>
        <v>598000</v>
      </c>
      <c r="J94" s="93">
        <v>598000</v>
      </c>
    </row>
    <row r="95" spans="1:10" s="71" customFormat="1" ht="46.8" x14ac:dyDescent="0.3">
      <c r="A95" s="89" t="s">
        <v>130</v>
      </c>
      <c r="B95" s="89" t="s">
        <v>131</v>
      </c>
      <c r="C95" s="89" t="s">
        <v>20</v>
      </c>
      <c r="D95" s="99" t="s">
        <v>132</v>
      </c>
      <c r="E95" s="91" t="s">
        <v>31</v>
      </c>
      <c r="F95" s="92" t="s">
        <v>206</v>
      </c>
      <c r="G95" s="93">
        <f t="shared" ref="G95:G118" si="12">H95+I95</f>
        <v>30000000</v>
      </c>
      <c r="H95" s="93">
        <f>20000000+10000000</f>
        <v>30000000</v>
      </c>
      <c r="I95" s="93"/>
      <c r="J95" s="93"/>
    </row>
    <row r="96" spans="1:10" s="69" customFormat="1" ht="46.8" x14ac:dyDescent="0.3">
      <c r="A96" s="92">
        <v>1216013</v>
      </c>
      <c r="B96" s="92">
        <v>6013</v>
      </c>
      <c r="C96" s="92" t="s">
        <v>20</v>
      </c>
      <c r="D96" s="96" t="s">
        <v>247</v>
      </c>
      <c r="E96" s="91" t="s">
        <v>31</v>
      </c>
      <c r="F96" s="92" t="s">
        <v>206</v>
      </c>
      <c r="G96" s="93">
        <f t="shared" si="12"/>
        <v>8666581.5600000005</v>
      </c>
      <c r="H96" s="93">
        <f>338110+249446.12+148335.44+3016100+4791866</f>
        <v>8543857.5600000005</v>
      </c>
      <c r="I96" s="93">
        <f>122724</f>
        <v>122724</v>
      </c>
      <c r="J96" s="93">
        <f>122724</f>
        <v>122724</v>
      </c>
    </row>
    <row r="97" spans="1:10" s="69" customFormat="1" ht="78" x14ac:dyDescent="0.3">
      <c r="A97" s="89" t="s">
        <v>133</v>
      </c>
      <c r="B97" s="89" t="s">
        <v>134</v>
      </c>
      <c r="C97" s="89" t="s">
        <v>20</v>
      </c>
      <c r="D97" s="99" t="s">
        <v>135</v>
      </c>
      <c r="E97" s="91" t="s">
        <v>256</v>
      </c>
      <c r="F97" s="30" t="s">
        <v>346</v>
      </c>
      <c r="G97" s="93">
        <f>H97+I97</f>
        <v>1391959.38</v>
      </c>
      <c r="H97" s="93"/>
      <c r="I97" s="93">
        <f>J97</f>
        <v>1391959.38</v>
      </c>
      <c r="J97" s="93">
        <f>760685.48+631273.9</f>
        <v>1391959.38</v>
      </c>
    </row>
    <row r="98" spans="1:10" s="69" customFormat="1" ht="46.8" x14ac:dyDescent="0.3">
      <c r="A98" s="89" t="s">
        <v>32</v>
      </c>
      <c r="B98" s="89" t="s">
        <v>60</v>
      </c>
      <c r="C98" s="89" t="s">
        <v>20</v>
      </c>
      <c r="D98" s="90" t="s">
        <v>61</v>
      </c>
      <c r="E98" s="101" t="s">
        <v>31</v>
      </c>
      <c r="F98" s="92" t="s">
        <v>206</v>
      </c>
      <c r="G98" s="93">
        <f t="shared" si="12"/>
        <v>1080600</v>
      </c>
      <c r="H98" s="93">
        <v>1080600</v>
      </c>
      <c r="I98" s="93"/>
      <c r="J98" s="93"/>
    </row>
    <row r="99" spans="1:10" s="69" customFormat="1" ht="46.8" x14ac:dyDescent="0.3">
      <c r="A99" s="89" t="s">
        <v>330</v>
      </c>
      <c r="B99" s="89" t="s">
        <v>331</v>
      </c>
      <c r="C99" s="30" t="s">
        <v>20</v>
      </c>
      <c r="D99" s="32" t="s">
        <v>332</v>
      </c>
      <c r="E99" s="101" t="s">
        <v>31</v>
      </c>
      <c r="F99" s="92" t="s">
        <v>206</v>
      </c>
      <c r="G99" s="93">
        <f t="shared" si="12"/>
        <v>716890</v>
      </c>
      <c r="H99" s="93">
        <v>76900</v>
      </c>
      <c r="I99" s="93">
        <v>639990</v>
      </c>
      <c r="J99" s="93">
        <v>639990</v>
      </c>
    </row>
    <row r="100" spans="1:10" s="69" customFormat="1" ht="46.8" x14ac:dyDescent="0.3">
      <c r="A100" s="89" t="s">
        <v>19</v>
      </c>
      <c r="B100" s="89" t="s">
        <v>59</v>
      </c>
      <c r="C100" s="89" t="s">
        <v>20</v>
      </c>
      <c r="D100" s="100" t="s">
        <v>30</v>
      </c>
      <c r="E100" s="101" t="s">
        <v>31</v>
      </c>
      <c r="F100" s="92" t="s">
        <v>206</v>
      </c>
      <c r="G100" s="93">
        <f t="shared" si="12"/>
        <v>71860404.480000004</v>
      </c>
      <c r="H100" s="93">
        <f>73215100+584000+91000-3850000+334976.4-250150+280000</f>
        <v>70404926.400000006</v>
      </c>
      <c r="I100" s="93">
        <f>J100</f>
        <v>1455478.08</v>
      </c>
      <c r="J100" s="93">
        <f>5976321.28-456822.2+200000+261000-4100000+100800+300000-610000-1821-214000</f>
        <v>1455478.08</v>
      </c>
    </row>
    <row r="101" spans="1:10" s="69" customFormat="1" ht="46.8" x14ac:dyDescent="0.3">
      <c r="A101" s="89" t="s">
        <v>19</v>
      </c>
      <c r="B101" s="89" t="s">
        <v>59</v>
      </c>
      <c r="C101" s="89" t="s">
        <v>20</v>
      </c>
      <c r="D101" s="100" t="s">
        <v>30</v>
      </c>
      <c r="E101" s="91" t="s">
        <v>36</v>
      </c>
      <c r="F101" s="92" t="s">
        <v>56</v>
      </c>
      <c r="G101" s="93">
        <f t="shared" si="12"/>
        <v>400000</v>
      </c>
      <c r="H101" s="93">
        <v>400000</v>
      </c>
      <c r="I101" s="93"/>
      <c r="J101" s="93"/>
    </row>
    <row r="102" spans="1:10" s="69" customFormat="1" ht="78" x14ac:dyDescent="0.3">
      <c r="A102" s="89" t="s">
        <v>19</v>
      </c>
      <c r="B102" s="89" t="s">
        <v>59</v>
      </c>
      <c r="C102" s="89" t="s">
        <v>20</v>
      </c>
      <c r="D102" s="100" t="s">
        <v>30</v>
      </c>
      <c r="E102" s="91" t="s">
        <v>256</v>
      </c>
      <c r="F102" s="30" t="s">
        <v>346</v>
      </c>
      <c r="G102" s="93">
        <f t="shared" ref="G102:G107" si="13">H102+I102</f>
        <v>442353.91999999998</v>
      </c>
      <c r="H102" s="93"/>
      <c r="I102" s="93">
        <f>J102</f>
        <v>442353.91999999998</v>
      </c>
      <c r="J102" s="93">
        <f>223724.31+228275.69-9646.08</f>
        <v>442353.91999999998</v>
      </c>
    </row>
    <row r="103" spans="1:10" s="69" customFormat="1" ht="46.8" x14ac:dyDescent="0.3">
      <c r="A103" s="94" t="s">
        <v>237</v>
      </c>
      <c r="B103" s="94" t="s">
        <v>238</v>
      </c>
      <c r="C103" s="94" t="s">
        <v>239</v>
      </c>
      <c r="D103" s="96" t="s">
        <v>240</v>
      </c>
      <c r="E103" s="101" t="s">
        <v>31</v>
      </c>
      <c r="F103" s="92" t="s">
        <v>206</v>
      </c>
      <c r="G103" s="93">
        <f t="shared" si="13"/>
        <v>2358000</v>
      </c>
      <c r="H103" s="93"/>
      <c r="I103" s="93">
        <f>J103</f>
        <v>2358000</v>
      </c>
      <c r="J103" s="93">
        <f>225000+75000+1150000+350000+962000-735000+331000</f>
        <v>2358000</v>
      </c>
    </row>
    <row r="104" spans="1:10" s="69" customFormat="1" ht="78" x14ac:dyDescent="0.3">
      <c r="A104" s="94" t="s">
        <v>237</v>
      </c>
      <c r="B104" s="94" t="s">
        <v>238</v>
      </c>
      <c r="C104" s="94" t="s">
        <v>239</v>
      </c>
      <c r="D104" s="96" t="s">
        <v>240</v>
      </c>
      <c r="E104" s="97" t="s">
        <v>241</v>
      </c>
      <c r="F104" s="39" t="s">
        <v>347</v>
      </c>
      <c r="G104" s="93">
        <f t="shared" si="13"/>
        <v>2185206.64</v>
      </c>
      <c r="H104" s="93"/>
      <c r="I104" s="93">
        <f>2100000+85206.64</f>
        <v>2185206.64</v>
      </c>
      <c r="J104" s="93">
        <f>2100000+85206.64</f>
        <v>2185206.64</v>
      </c>
    </row>
    <row r="105" spans="1:10" s="69" customFormat="1" ht="78" x14ac:dyDescent="0.3">
      <c r="A105" s="94" t="s">
        <v>289</v>
      </c>
      <c r="B105" s="94" t="s">
        <v>290</v>
      </c>
      <c r="C105" s="94" t="s">
        <v>21</v>
      </c>
      <c r="D105" s="96" t="s">
        <v>251</v>
      </c>
      <c r="E105" s="97" t="s">
        <v>241</v>
      </c>
      <c r="F105" s="39" t="s">
        <v>347</v>
      </c>
      <c r="G105" s="93">
        <f t="shared" si="13"/>
        <v>100000</v>
      </c>
      <c r="H105" s="93">
        <v>100000</v>
      </c>
      <c r="I105" s="93"/>
      <c r="J105" s="93"/>
    </row>
    <row r="106" spans="1:10" s="69" customFormat="1" ht="46.8" x14ac:dyDescent="0.3">
      <c r="A106" s="94" t="s">
        <v>313</v>
      </c>
      <c r="B106" s="94" t="s">
        <v>314</v>
      </c>
      <c r="C106" s="37" t="s">
        <v>21</v>
      </c>
      <c r="D106" s="32" t="s">
        <v>315</v>
      </c>
      <c r="E106" s="91" t="s">
        <v>177</v>
      </c>
      <c r="F106" s="92" t="s">
        <v>198</v>
      </c>
      <c r="G106" s="93">
        <f t="shared" si="13"/>
        <v>418650</v>
      </c>
      <c r="H106" s="57">
        <f>100000+118650+200000</f>
        <v>418650</v>
      </c>
      <c r="I106" s="93"/>
      <c r="J106" s="93"/>
    </row>
    <row r="107" spans="1:10" s="69" customFormat="1" ht="62.4" x14ac:dyDescent="0.3">
      <c r="A107" s="94" t="s">
        <v>316</v>
      </c>
      <c r="B107" s="94" t="s">
        <v>317</v>
      </c>
      <c r="C107" s="37" t="s">
        <v>21</v>
      </c>
      <c r="D107" s="32" t="s">
        <v>318</v>
      </c>
      <c r="E107" s="91" t="s">
        <v>177</v>
      </c>
      <c r="F107" s="92" t="s">
        <v>198</v>
      </c>
      <c r="G107" s="93">
        <f t="shared" si="13"/>
        <v>130000</v>
      </c>
      <c r="H107" s="57">
        <v>130000</v>
      </c>
      <c r="I107" s="93"/>
      <c r="J107" s="93"/>
    </row>
    <row r="108" spans="1:10" s="69" customFormat="1" ht="46.8" x14ac:dyDescent="0.3">
      <c r="A108" s="89" t="s">
        <v>34</v>
      </c>
      <c r="B108" s="89" t="s">
        <v>62</v>
      </c>
      <c r="C108" s="89" t="s">
        <v>33</v>
      </c>
      <c r="D108" s="90" t="s">
        <v>35</v>
      </c>
      <c r="E108" s="101" t="s">
        <v>31</v>
      </c>
      <c r="F108" s="92" t="s">
        <v>206</v>
      </c>
      <c r="G108" s="93">
        <f t="shared" si="12"/>
        <v>24000000</v>
      </c>
      <c r="H108" s="93">
        <v>24000000</v>
      </c>
      <c r="I108" s="93"/>
      <c r="J108" s="93"/>
    </row>
    <row r="109" spans="1:10" s="69" customFormat="1" ht="78" x14ac:dyDescent="0.3">
      <c r="A109" s="92">
        <v>1217640</v>
      </c>
      <c r="B109" s="92">
        <v>7640</v>
      </c>
      <c r="C109" s="94" t="s">
        <v>242</v>
      </c>
      <c r="D109" s="95" t="s">
        <v>243</v>
      </c>
      <c r="E109" s="91" t="s">
        <v>256</v>
      </c>
      <c r="F109" s="30" t="s">
        <v>346</v>
      </c>
      <c r="G109" s="93">
        <f>H109+I109</f>
        <v>324089.55</v>
      </c>
      <c r="H109" s="93"/>
      <c r="I109" s="93">
        <f>+J109</f>
        <v>324089.55</v>
      </c>
      <c r="J109" s="93">
        <f>24079.6+300009.95</f>
        <v>324089.55</v>
      </c>
    </row>
    <row r="110" spans="1:10" s="69" customFormat="1" ht="46.8" x14ac:dyDescent="0.3">
      <c r="A110" s="92">
        <v>1217670</v>
      </c>
      <c r="B110" s="92">
        <v>7670</v>
      </c>
      <c r="C110" s="94" t="s">
        <v>21</v>
      </c>
      <c r="D110" s="95" t="s">
        <v>342</v>
      </c>
      <c r="E110" s="91" t="s">
        <v>210</v>
      </c>
      <c r="F110" s="92" t="s">
        <v>291</v>
      </c>
      <c r="G110" s="93">
        <f>H110+I110</f>
        <v>1930000</v>
      </c>
      <c r="H110" s="93"/>
      <c r="I110" s="93">
        <f>1930000</f>
        <v>1930000</v>
      </c>
      <c r="J110" s="93">
        <f>1930000</f>
        <v>1930000</v>
      </c>
    </row>
    <row r="111" spans="1:10" s="69" customFormat="1" ht="46.8" x14ac:dyDescent="0.3">
      <c r="A111" s="92">
        <v>1217670</v>
      </c>
      <c r="B111" s="92">
        <v>7670</v>
      </c>
      <c r="C111" s="94" t="s">
        <v>21</v>
      </c>
      <c r="D111" s="95" t="s">
        <v>342</v>
      </c>
      <c r="E111" s="101" t="s">
        <v>31</v>
      </c>
      <c r="F111" s="92" t="s">
        <v>206</v>
      </c>
      <c r="G111" s="93">
        <f>H111+I111</f>
        <v>9966600</v>
      </c>
      <c r="H111" s="93"/>
      <c r="I111" s="93">
        <v>9966600</v>
      </c>
      <c r="J111" s="93">
        <v>9966600</v>
      </c>
    </row>
    <row r="112" spans="1:10" s="69" customFormat="1" ht="93.6" x14ac:dyDescent="0.3">
      <c r="A112" s="92">
        <v>1217691</v>
      </c>
      <c r="B112" s="92">
        <v>7691</v>
      </c>
      <c r="C112" s="94" t="s">
        <v>21</v>
      </c>
      <c r="D112" s="95" t="s">
        <v>244</v>
      </c>
      <c r="E112" s="91" t="s">
        <v>256</v>
      </c>
      <c r="F112" s="30" t="s">
        <v>346</v>
      </c>
      <c r="G112" s="93">
        <f>H112+I112</f>
        <v>451468.34</v>
      </c>
      <c r="H112" s="93"/>
      <c r="I112" s="93">
        <f>729312.91-165020.97+277603.84-390427.44</f>
        <v>451468.34</v>
      </c>
      <c r="J112" s="93"/>
    </row>
    <row r="113" spans="1:10" s="69" customFormat="1" ht="109.2" x14ac:dyDescent="0.3">
      <c r="A113" s="92">
        <v>1217693</v>
      </c>
      <c r="B113" s="92">
        <v>7693</v>
      </c>
      <c r="C113" s="94" t="s">
        <v>21</v>
      </c>
      <c r="D113" s="99" t="s">
        <v>57</v>
      </c>
      <c r="E113" s="91" t="s">
        <v>235</v>
      </c>
      <c r="F113" s="92" t="s">
        <v>274</v>
      </c>
      <c r="G113" s="93">
        <f>H113+I113</f>
        <v>4237300</v>
      </c>
      <c r="H113" s="93">
        <f>4637300-400000</f>
        <v>4237300</v>
      </c>
      <c r="I113" s="93"/>
      <c r="J113" s="93"/>
    </row>
    <row r="114" spans="1:10" s="69" customFormat="1" ht="46.8" x14ac:dyDescent="0.3">
      <c r="A114" s="89" t="s">
        <v>213</v>
      </c>
      <c r="B114" s="89" t="s">
        <v>37</v>
      </c>
      <c r="C114" s="89" t="s">
        <v>21</v>
      </c>
      <c r="D114" s="99" t="s">
        <v>57</v>
      </c>
      <c r="E114" s="91" t="s">
        <v>210</v>
      </c>
      <c r="F114" s="92" t="s">
        <v>291</v>
      </c>
      <c r="G114" s="93">
        <f t="shared" si="12"/>
        <v>52734310</v>
      </c>
      <c r="H114" s="93">
        <f>1667500+2891560+10385700+200000+12062900+16343100-720000+4791866</f>
        <v>47622626</v>
      </c>
      <c r="I114" s="93">
        <v>5111684</v>
      </c>
      <c r="J114" s="93">
        <v>5111684</v>
      </c>
    </row>
    <row r="115" spans="1:10" s="69" customFormat="1" ht="46.8" x14ac:dyDescent="0.3">
      <c r="A115" s="92">
        <v>1218110</v>
      </c>
      <c r="B115" s="92">
        <v>8110</v>
      </c>
      <c r="C115" s="94" t="s">
        <v>187</v>
      </c>
      <c r="D115" s="95" t="s">
        <v>188</v>
      </c>
      <c r="E115" s="91" t="s">
        <v>177</v>
      </c>
      <c r="F115" s="92" t="s">
        <v>198</v>
      </c>
      <c r="G115" s="93">
        <f>H115+I115</f>
        <v>7137401.959999999</v>
      </c>
      <c r="H115" s="93">
        <f>2232828.68+200000+103300+41300-100800+500000+1100000+270000+131500+74158.68</f>
        <v>4552287.3599999994</v>
      </c>
      <c r="I115" s="93">
        <f>3809114.6-1170000-1150000+1500000-404000</f>
        <v>2585114.6</v>
      </c>
      <c r="J115" s="93">
        <f>3809114.6-1170000-1150000+1500000-404000-331000</f>
        <v>2254114.6</v>
      </c>
    </row>
    <row r="116" spans="1:10" s="69" customFormat="1" ht="78" x14ac:dyDescent="0.3">
      <c r="A116" s="92">
        <v>1218110</v>
      </c>
      <c r="B116" s="92">
        <v>8110</v>
      </c>
      <c r="C116" s="94" t="s">
        <v>187</v>
      </c>
      <c r="D116" s="95" t="s">
        <v>188</v>
      </c>
      <c r="E116" s="97" t="s">
        <v>248</v>
      </c>
      <c r="F116" s="98" t="s">
        <v>249</v>
      </c>
      <c r="G116" s="93">
        <f>H116+I116</f>
        <v>1170000</v>
      </c>
      <c r="H116" s="93"/>
      <c r="I116" s="93">
        <f>J116</f>
        <v>1170000</v>
      </c>
      <c r="J116" s="93">
        <f>1170000</f>
        <v>1170000</v>
      </c>
    </row>
    <row r="117" spans="1:10" s="69" customFormat="1" ht="62.4" x14ac:dyDescent="0.3">
      <c r="A117" s="92">
        <v>1218240</v>
      </c>
      <c r="B117" s="92">
        <v>8240</v>
      </c>
      <c r="C117" s="94" t="s">
        <v>94</v>
      </c>
      <c r="D117" s="96" t="s">
        <v>180</v>
      </c>
      <c r="E117" s="97" t="s">
        <v>216</v>
      </c>
      <c r="F117" s="92" t="s">
        <v>272</v>
      </c>
      <c r="G117" s="93">
        <f>H117+I117</f>
        <v>112500</v>
      </c>
      <c r="H117" s="93">
        <v>112500</v>
      </c>
      <c r="I117" s="93"/>
      <c r="J117" s="93"/>
    </row>
    <row r="118" spans="1:10" s="69" customFormat="1" ht="78" x14ac:dyDescent="0.3">
      <c r="A118" s="89" t="s">
        <v>136</v>
      </c>
      <c r="B118" s="89" t="s">
        <v>97</v>
      </c>
      <c r="C118" s="89" t="s">
        <v>98</v>
      </c>
      <c r="D118" s="100" t="s">
        <v>99</v>
      </c>
      <c r="E118" s="97" t="s">
        <v>100</v>
      </c>
      <c r="F118" s="39" t="s">
        <v>347</v>
      </c>
      <c r="G118" s="93">
        <f t="shared" si="12"/>
        <v>566880.43999999994</v>
      </c>
      <c r="H118" s="93"/>
      <c r="I118" s="93">
        <f>509000+192393.7-134513.26</f>
        <v>566880.43999999994</v>
      </c>
      <c r="J118" s="93"/>
    </row>
    <row r="119" spans="1:10" s="69" customFormat="1" ht="15.6" x14ac:dyDescent="0.3">
      <c r="A119" s="86" t="s">
        <v>230</v>
      </c>
      <c r="B119" s="86"/>
      <c r="C119" s="86"/>
      <c r="D119" s="108" t="s">
        <v>231</v>
      </c>
      <c r="E119" s="109"/>
      <c r="F119" s="87"/>
      <c r="G119" s="88">
        <f>G120</f>
        <v>196049726.47999999</v>
      </c>
      <c r="H119" s="88">
        <f>H120</f>
        <v>555989.18000000005</v>
      </c>
      <c r="I119" s="88">
        <f>I120</f>
        <v>195493737.29999998</v>
      </c>
      <c r="J119" s="88">
        <f>J120</f>
        <v>194711912.29999998</v>
      </c>
    </row>
    <row r="120" spans="1:10" s="69" customFormat="1" ht="15.6" x14ac:dyDescent="0.3">
      <c r="A120" s="86" t="s">
        <v>232</v>
      </c>
      <c r="B120" s="86"/>
      <c r="C120" s="86"/>
      <c r="D120" s="108" t="s">
        <v>231</v>
      </c>
      <c r="E120" s="109"/>
      <c r="F120" s="87"/>
      <c r="G120" s="88">
        <f>SUM(G121:G139)</f>
        <v>196049726.47999999</v>
      </c>
      <c r="H120" s="88">
        <f t="shared" ref="H120:J120" si="14">SUM(H121:H139)</f>
        <v>555989.18000000005</v>
      </c>
      <c r="I120" s="88">
        <f t="shared" si="14"/>
        <v>195493737.29999998</v>
      </c>
      <c r="J120" s="88">
        <f t="shared" si="14"/>
        <v>194711912.29999998</v>
      </c>
    </row>
    <row r="121" spans="1:10" s="69" customFormat="1" ht="46.8" x14ac:dyDescent="0.3">
      <c r="A121" s="89" t="s">
        <v>245</v>
      </c>
      <c r="B121" s="89" t="s">
        <v>72</v>
      </c>
      <c r="C121" s="89" t="s">
        <v>73</v>
      </c>
      <c r="D121" s="90" t="s">
        <v>74</v>
      </c>
      <c r="E121" s="91" t="s">
        <v>75</v>
      </c>
      <c r="F121" s="92" t="s">
        <v>195</v>
      </c>
      <c r="G121" s="93">
        <f t="shared" ref="G121:G139" si="15">H121+I121</f>
        <v>12254240.16</v>
      </c>
      <c r="H121" s="93"/>
      <c r="I121" s="93">
        <f t="shared" ref="I121:I136" si="16">J121</f>
        <v>12254240.16</v>
      </c>
      <c r="J121" s="93">
        <f>11568240.16+2000000-2000000+686000</f>
        <v>12254240.16</v>
      </c>
    </row>
    <row r="122" spans="1:10" s="69" customFormat="1" ht="46.8" x14ac:dyDescent="0.3">
      <c r="A122" s="89" t="s">
        <v>333</v>
      </c>
      <c r="B122" s="89" t="s">
        <v>334</v>
      </c>
      <c r="C122" s="37" t="s">
        <v>175</v>
      </c>
      <c r="D122" s="32" t="s">
        <v>176</v>
      </c>
      <c r="E122" s="91" t="s">
        <v>75</v>
      </c>
      <c r="F122" s="92" t="s">
        <v>195</v>
      </c>
      <c r="G122" s="93">
        <f t="shared" si="15"/>
        <v>450000</v>
      </c>
      <c r="H122" s="93"/>
      <c r="I122" s="93">
        <v>450000</v>
      </c>
      <c r="J122" s="93">
        <v>450000</v>
      </c>
    </row>
    <row r="123" spans="1:10" s="69" customFormat="1" ht="46.8" x14ac:dyDescent="0.3">
      <c r="A123" s="92">
        <v>1516011</v>
      </c>
      <c r="B123" s="92">
        <v>6011</v>
      </c>
      <c r="C123" s="94" t="s">
        <v>226</v>
      </c>
      <c r="D123" s="95" t="s">
        <v>233</v>
      </c>
      <c r="E123" s="91" t="s">
        <v>31</v>
      </c>
      <c r="F123" s="92" t="s">
        <v>246</v>
      </c>
      <c r="G123" s="93">
        <f t="shared" si="15"/>
        <v>8007811.7200000007</v>
      </c>
      <c r="H123" s="93"/>
      <c r="I123" s="93">
        <f t="shared" si="16"/>
        <v>8007811.7200000007</v>
      </c>
      <c r="J123" s="93">
        <f>8450377.8-175000-238190+400000+4300000-319069-313200-156000-101706-2157086.34+100000-1782314.74</f>
        <v>8007811.7200000007</v>
      </c>
    </row>
    <row r="124" spans="1:10" s="69" customFormat="1" ht="46.8" x14ac:dyDescent="0.3">
      <c r="A124" s="92">
        <v>1516012</v>
      </c>
      <c r="B124" s="92">
        <v>6012</v>
      </c>
      <c r="C124" s="94" t="s">
        <v>20</v>
      </c>
      <c r="D124" s="95" t="s">
        <v>132</v>
      </c>
      <c r="E124" s="91" t="s">
        <v>31</v>
      </c>
      <c r="F124" s="92" t="s">
        <v>246</v>
      </c>
      <c r="G124" s="93">
        <f t="shared" si="15"/>
        <v>18305250</v>
      </c>
      <c r="H124" s="93"/>
      <c r="I124" s="93">
        <f>J124</f>
        <v>18305250</v>
      </c>
      <c r="J124" s="93">
        <f>16360000+1945250</f>
        <v>18305250</v>
      </c>
    </row>
    <row r="125" spans="1:10" s="69" customFormat="1" ht="46.8" x14ac:dyDescent="0.3">
      <c r="A125" s="92">
        <v>1516013</v>
      </c>
      <c r="B125" s="92">
        <v>6013</v>
      </c>
      <c r="C125" s="94" t="s">
        <v>20</v>
      </c>
      <c r="D125" s="95" t="s">
        <v>247</v>
      </c>
      <c r="E125" s="91" t="s">
        <v>31</v>
      </c>
      <c r="F125" s="92" t="s">
        <v>246</v>
      </c>
      <c r="G125" s="93">
        <f t="shared" si="15"/>
        <v>27170100.75</v>
      </c>
      <c r="H125" s="93"/>
      <c r="I125" s="93">
        <f t="shared" si="16"/>
        <v>27170100.75</v>
      </c>
      <c r="J125" s="93">
        <f>1700210+1001010+5427000+13402800-85206.64+5251000+5611.39+467676</f>
        <v>27170100.75</v>
      </c>
    </row>
    <row r="126" spans="1:10" s="69" customFormat="1" ht="46.8" x14ac:dyDescent="0.3">
      <c r="A126" s="92">
        <v>1516015</v>
      </c>
      <c r="B126" s="92" t="s">
        <v>134</v>
      </c>
      <c r="C126" s="92" t="s">
        <v>20</v>
      </c>
      <c r="D126" s="95" t="s">
        <v>135</v>
      </c>
      <c r="E126" s="91" t="s">
        <v>286</v>
      </c>
      <c r="F126" s="92" t="s">
        <v>277</v>
      </c>
      <c r="G126" s="93">
        <f t="shared" si="15"/>
        <v>21668438.559999999</v>
      </c>
      <c r="H126" s="93"/>
      <c r="I126" s="93">
        <f t="shared" si="16"/>
        <v>21668438.559999999</v>
      </c>
      <c r="J126" s="93">
        <f>2200038.56+25512000-6043600</f>
        <v>21668438.559999999</v>
      </c>
    </row>
    <row r="127" spans="1:10" s="69" customFormat="1" ht="46.8" x14ac:dyDescent="0.3">
      <c r="A127" s="92">
        <v>1516030</v>
      </c>
      <c r="B127" s="92">
        <v>6030</v>
      </c>
      <c r="C127" s="92" t="s">
        <v>20</v>
      </c>
      <c r="D127" s="95" t="s">
        <v>250</v>
      </c>
      <c r="E127" s="91" t="s">
        <v>31</v>
      </c>
      <c r="F127" s="92" t="s">
        <v>246</v>
      </c>
      <c r="G127" s="93">
        <f t="shared" si="15"/>
        <v>8733898.0999999996</v>
      </c>
      <c r="H127" s="93"/>
      <c r="I127" s="93">
        <f t="shared" si="16"/>
        <v>8733898.0999999996</v>
      </c>
      <c r="J127" s="93">
        <f>6061951.16+2273775.92+25000+738438.02+313200+101706-571359.52+100000+2094986.52-2403800</f>
        <v>8733898.0999999996</v>
      </c>
    </row>
    <row r="128" spans="1:10" s="69" customFormat="1" ht="46.8" x14ac:dyDescent="0.3">
      <c r="A128" s="92">
        <v>1516050</v>
      </c>
      <c r="B128" s="92">
        <v>6050</v>
      </c>
      <c r="C128" s="92" t="s">
        <v>20</v>
      </c>
      <c r="D128" s="95" t="s">
        <v>236</v>
      </c>
      <c r="E128" s="91" t="s">
        <v>31</v>
      </c>
      <c r="F128" s="92" t="s">
        <v>206</v>
      </c>
      <c r="G128" s="93">
        <f>H128+I128</f>
        <v>555989.18000000005</v>
      </c>
      <c r="H128" s="93">
        <f>681135.13-125145.95</f>
        <v>555989.18000000005</v>
      </c>
      <c r="I128" s="93">
        <f>J128</f>
        <v>0</v>
      </c>
      <c r="J128" s="93">
        <f>1188551-1188551</f>
        <v>0</v>
      </c>
    </row>
    <row r="129" spans="1:10" s="69" customFormat="1" ht="78" x14ac:dyDescent="0.3">
      <c r="A129" s="94" t="s">
        <v>260</v>
      </c>
      <c r="B129" s="94" t="s">
        <v>238</v>
      </c>
      <c r="C129" s="94" t="s">
        <v>239</v>
      </c>
      <c r="D129" s="96" t="s">
        <v>240</v>
      </c>
      <c r="E129" s="97" t="s">
        <v>241</v>
      </c>
      <c r="F129" s="39" t="s">
        <v>347</v>
      </c>
      <c r="G129" s="93">
        <f>H129+I129</f>
        <v>3450000</v>
      </c>
      <c r="H129" s="93"/>
      <c r="I129" s="93">
        <f>J129</f>
        <v>3450000</v>
      </c>
      <c r="J129" s="93">
        <f>3450000</f>
        <v>3450000</v>
      </c>
    </row>
    <row r="130" spans="1:10" s="69" customFormat="1" ht="46.8" x14ac:dyDescent="0.3">
      <c r="A130" s="94" t="s">
        <v>260</v>
      </c>
      <c r="B130" s="94" t="s">
        <v>238</v>
      </c>
      <c r="C130" s="94" t="s">
        <v>239</v>
      </c>
      <c r="D130" s="96" t="s">
        <v>240</v>
      </c>
      <c r="E130" s="91" t="s">
        <v>31</v>
      </c>
      <c r="F130" s="92" t="s">
        <v>206</v>
      </c>
      <c r="G130" s="93">
        <f>H130+I130</f>
        <v>24142693</v>
      </c>
      <c r="H130" s="93"/>
      <c r="I130" s="93">
        <f>J130</f>
        <v>24142693</v>
      </c>
      <c r="J130" s="93">
        <f>8172000+1900000+70000+19000000-1820000+8657800-309268-11810000+282161</f>
        <v>24142693</v>
      </c>
    </row>
    <row r="131" spans="1:10" s="69" customFormat="1" ht="62.4" x14ac:dyDescent="0.3">
      <c r="A131" s="92">
        <v>1517370</v>
      </c>
      <c r="B131" s="92">
        <v>7370</v>
      </c>
      <c r="C131" s="94" t="s">
        <v>21</v>
      </c>
      <c r="D131" s="95" t="s">
        <v>251</v>
      </c>
      <c r="E131" s="91" t="s">
        <v>252</v>
      </c>
      <c r="F131" s="92" t="s">
        <v>253</v>
      </c>
      <c r="G131" s="93">
        <f t="shared" si="15"/>
        <v>7950254.8499999996</v>
      </c>
      <c r="H131" s="93">
        <f>2220000-2220000</f>
        <v>0</v>
      </c>
      <c r="I131" s="93">
        <f t="shared" si="16"/>
        <v>7950254.8499999996</v>
      </c>
      <c r="J131" s="93">
        <f>5730254.85+2220000</f>
        <v>7950254.8499999996</v>
      </c>
    </row>
    <row r="132" spans="1:10" s="69" customFormat="1" ht="78" x14ac:dyDescent="0.3">
      <c r="A132" s="92">
        <v>1517370</v>
      </c>
      <c r="B132" s="92">
        <v>7370</v>
      </c>
      <c r="C132" s="94" t="s">
        <v>21</v>
      </c>
      <c r="D132" s="95" t="s">
        <v>251</v>
      </c>
      <c r="E132" s="97" t="s">
        <v>241</v>
      </c>
      <c r="F132" s="39" t="s">
        <v>347</v>
      </c>
      <c r="G132" s="93">
        <f t="shared" si="15"/>
        <v>245600</v>
      </c>
      <c r="H132" s="93"/>
      <c r="I132" s="93">
        <f>J132</f>
        <v>245600</v>
      </c>
      <c r="J132" s="93">
        <v>245600</v>
      </c>
    </row>
    <row r="133" spans="1:10" s="69" customFormat="1" ht="55.2" customHeight="1" x14ac:dyDescent="0.3">
      <c r="A133" s="92">
        <v>1517640</v>
      </c>
      <c r="B133" s="92">
        <v>7640</v>
      </c>
      <c r="C133" s="94" t="s">
        <v>242</v>
      </c>
      <c r="D133" s="95" t="s">
        <v>243</v>
      </c>
      <c r="E133" s="91" t="s">
        <v>75</v>
      </c>
      <c r="F133" s="92" t="s">
        <v>195</v>
      </c>
      <c r="G133" s="93">
        <f t="shared" si="15"/>
        <v>8812800</v>
      </c>
      <c r="H133" s="93"/>
      <c r="I133" s="93">
        <f t="shared" si="16"/>
        <v>8812800</v>
      </c>
      <c r="J133" s="93">
        <f>100000+100000+5411800+3201000</f>
        <v>8812800</v>
      </c>
    </row>
    <row r="134" spans="1:10" s="69" customFormat="1" ht="124.8" x14ac:dyDescent="0.3">
      <c r="A134" s="92">
        <v>1517640</v>
      </c>
      <c r="B134" s="92">
        <v>7640</v>
      </c>
      <c r="C134" s="94" t="s">
        <v>242</v>
      </c>
      <c r="D134" s="95" t="s">
        <v>243</v>
      </c>
      <c r="E134" s="97" t="s">
        <v>264</v>
      </c>
      <c r="F134" s="92" t="s">
        <v>265</v>
      </c>
      <c r="G134" s="93">
        <f t="shared" si="15"/>
        <v>3987000</v>
      </c>
      <c r="H134" s="93"/>
      <c r="I134" s="93">
        <f t="shared" si="16"/>
        <v>3987000</v>
      </c>
      <c r="J134" s="93">
        <f>3782400+204600</f>
        <v>3987000</v>
      </c>
    </row>
    <row r="135" spans="1:10" s="69" customFormat="1" ht="46.8" x14ac:dyDescent="0.3">
      <c r="A135" s="92">
        <v>1517640</v>
      </c>
      <c r="B135" s="92">
        <v>7640</v>
      </c>
      <c r="C135" s="94" t="s">
        <v>242</v>
      </c>
      <c r="D135" s="95" t="s">
        <v>243</v>
      </c>
      <c r="E135" s="91" t="s">
        <v>31</v>
      </c>
      <c r="F135" s="92" t="s">
        <v>206</v>
      </c>
      <c r="G135" s="93">
        <f t="shared" si="15"/>
        <v>5055243.95</v>
      </c>
      <c r="H135" s="93"/>
      <c r="I135" s="93">
        <f>J135</f>
        <v>5055243.95</v>
      </c>
      <c r="J135" s="93">
        <f>3009068.98+439961.98+156000+1475507.46-100000+74705.53</f>
        <v>5055243.95</v>
      </c>
    </row>
    <row r="136" spans="1:10" s="69" customFormat="1" ht="46.8" x14ac:dyDescent="0.3">
      <c r="A136" s="92">
        <v>1518110</v>
      </c>
      <c r="B136" s="92">
        <v>8110</v>
      </c>
      <c r="C136" s="94" t="s">
        <v>187</v>
      </c>
      <c r="D136" s="95" t="s">
        <v>188</v>
      </c>
      <c r="E136" s="91" t="s">
        <v>177</v>
      </c>
      <c r="F136" s="92" t="s">
        <v>198</v>
      </c>
      <c r="G136" s="93">
        <f t="shared" si="15"/>
        <v>40274909.739999995</v>
      </c>
      <c r="H136" s="93"/>
      <c r="I136" s="93">
        <f t="shared" si="16"/>
        <v>40274909.739999995</v>
      </c>
      <c r="J136" s="93">
        <f>15731896.9-1308750+5090000+683000+13770800-145000-639521.3+7092484.14</f>
        <v>40274909.739999995</v>
      </c>
    </row>
    <row r="137" spans="1:10" s="69" customFormat="1" ht="78" x14ac:dyDescent="0.3">
      <c r="A137" s="92">
        <v>1518311</v>
      </c>
      <c r="B137" s="92">
        <v>8311</v>
      </c>
      <c r="C137" s="94" t="s">
        <v>254</v>
      </c>
      <c r="D137" s="99" t="s">
        <v>269</v>
      </c>
      <c r="E137" s="97" t="s">
        <v>241</v>
      </c>
      <c r="F137" s="39" t="s">
        <v>347</v>
      </c>
      <c r="G137" s="93">
        <f t="shared" si="15"/>
        <v>42720</v>
      </c>
      <c r="H137" s="93"/>
      <c r="I137" s="93">
        <f>J137</f>
        <v>42720</v>
      </c>
      <c r="J137" s="93">
        <f>300000-166480-90800</f>
        <v>42720</v>
      </c>
    </row>
    <row r="138" spans="1:10" s="69" customFormat="1" ht="78" x14ac:dyDescent="0.3">
      <c r="A138" s="89" t="s">
        <v>255</v>
      </c>
      <c r="B138" s="89" t="s">
        <v>97</v>
      </c>
      <c r="C138" s="89" t="s">
        <v>98</v>
      </c>
      <c r="D138" s="99" t="s">
        <v>99</v>
      </c>
      <c r="E138" s="97" t="s">
        <v>100</v>
      </c>
      <c r="F138" s="39" t="s">
        <v>347</v>
      </c>
      <c r="G138" s="93">
        <f t="shared" si="15"/>
        <v>781825</v>
      </c>
      <c r="H138" s="93"/>
      <c r="I138" s="93">
        <f>984411.74-202586.74</f>
        <v>781825</v>
      </c>
      <c r="J138" s="93"/>
    </row>
    <row r="139" spans="1:10" s="69" customFormat="1" ht="78" x14ac:dyDescent="0.3">
      <c r="A139" s="89" t="s">
        <v>341</v>
      </c>
      <c r="B139" s="89" t="s">
        <v>335</v>
      </c>
      <c r="C139" s="37" t="s">
        <v>20</v>
      </c>
      <c r="D139" s="32" t="s">
        <v>336</v>
      </c>
      <c r="E139" s="97" t="s">
        <v>241</v>
      </c>
      <c r="F139" s="39" t="s">
        <v>347</v>
      </c>
      <c r="G139" s="93">
        <f t="shared" si="15"/>
        <v>4160951.4699999997</v>
      </c>
      <c r="H139" s="93"/>
      <c r="I139" s="93">
        <f>J139</f>
        <v>4160951.4699999997</v>
      </c>
      <c r="J139" s="93">
        <f>4575000-414048.53</f>
        <v>4160951.4699999997</v>
      </c>
    </row>
    <row r="140" spans="1:10" s="31" customFormat="1" ht="15.6" x14ac:dyDescent="0.3">
      <c r="A140" s="40" t="s">
        <v>41</v>
      </c>
      <c r="B140" s="40"/>
      <c r="C140" s="40"/>
      <c r="D140" s="106" t="s">
        <v>173</v>
      </c>
      <c r="E140" s="107"/>
      <c r="F140" s="41"/>
      <c r="G140" s="56">
        <f>G141</f>
        <v>21661750</v>
      </c>
      <c r="H140" s="56">
        <f>H141</f>
        <v>19566450</v>
      </c>
      <c r="I140" s="56">
        <f>I141</f>
        <v>2095300</v>
      </c>
      <c r="J140" s="56">
        <f>J141</f>
        <v>2095300</v>
      </c>
    </row>
    <row r="141" spans="1:10" s="42" customFormat="1" ht="15.6" x14ac:dyDescent="0.3">
      <c r="A141" s="40" t="s">
        <v>42</v>
      </c>
      <c r="B141" s="40"/>
      <c r="C141" s="40"/>
      <c r="D141" s="106" t="s">
        <v>173</v>
      </c>
      <c r="E141" s="107"/>
      <c r="F141" s="41"/>
      <c r="G141" s="56">
        <f>SUM(G142:G145)</f>
        <v>21661750</v>
      </c>
      <c r="H141" s="56">
        <f>SUM(H142:H145)</f>
        <v>19566450</v>
      </c>
      <c r="I141" s="56">
        <f t="shared" ref="I141:J141" si="17">SUM(I142:I145)</f>
        <v>2095300</v>
      </c>
      <c r="J141" s="56">
        <f t="shared" si="17"/>
        <v>2095300</v>
      </c>
    </row>
    <row r="142" spans="1:10" s="42" customFormat="1" ht="109.2" x14ac:dyDescent="0.3">
      <c r="A142" s="27" t="s">
        <v>278</v>
      </c>
      <c r="B142" s="27" t="s">
        <v>279</v>
      </c>
      <c r="C142" s="27" t="s">
        <v>239</v>
      </c>
      <c r="D142" s="32" t="s">
        <v>280</v>
      </c>
      <c r="E142" s="32" t="s">
        <v>285</v>
      </c>
      <c r="F142" s="39" t="s">
        <v>293</v>
      </c>
      <c r="G142" s="57">
        <f>H142+I142</f>
        <v>1500000</v>
      </c>
      <c r="H142" s="57">
        <v>1500000</v>
      </c>
      <c r="I142" s="57">
        <f>J142</f>
        <v>0</v>
      </c>
      <c r="J142" s="57"/>
    </row>
    <row r="143" spans="1:10" s="42" customFormat="1" ht="46.8" x14ac:dyDescent="0.3">
      <c r="A143" s="27" t="s">
        <v>43</v>
      </c>
      <c r="B143" s="27" t="s">
        <v>37</v>
      </c>
      <c r="C143" s="27" t="s">
        <v>21</v>
      </c>
      <c r="D143" s="43" t="s">
        <v>57</v>
      </c>
      <c r="E143" s="29" t="s">
        <v>210</v>
      </c>
      <c r="F143" s="30" t="s">
        <v>291</v>
      </c>
      <c r="G143" s="57">
        <f>H143+I143</f>
        <v>19993150</v>
      </c>
      <c r="H143" s="57">
        <f>786500+16850000+1439300-930000+300000+800000-260000-300000-1600000+381200+76000-85300+222600+217550</f>
        <v>17897850</v>
      </c>
      <c r="I143" s="57">
        <f>J143</f>
        <v>2095300</v>
      </c>
      <c r="J143" s="57">
        <f>550000+260000+1200000+85300</f>
        <v>2095300</v>
      </c>
    </row>
    <row r="144" spans="1:10" s="31" customFormat="1" ht="46.8" x14ac:dyDescent="0.3">
      <c r="A144" s="30">
        <v>3118110</v>
      </c>
      <c r="B144" s="30">
        <v>8110</v>
      </c>
      <c r="C144" s="37" t="s">
        <v>187</v>
      </c>
      <c r="D144" s="32" t="s">
        <v>188</v>
      </c>
      <c r="E144" s="29" t="s">
        <v>177</v>
      </c>
      <c r="F144" s="30" t="s">
        <v>198</v>
      </c>
      <c r="G144" s="57">
        <f>H144+I144</f>
        <v>38600</v>
      </c>
      <c r="H144" s="57">
        <f>20600+18000</f>
        <v>38600</v>
      </c>
      <c r="I144" s="57"/>
      <c r="J144" s="57"/>
    </row>
    <row r="145" spans="1:10" s="31" customFormat="1" ht="62.4" x14ac:dyDescent="0.3">
      <c r="A145" s="27" t="s">
        <v>217</v>
      </c>
      <c r="B145" s="27" t="s">
        <v>179</v>
      </c>
      <c r="C145" s="27" t="s">
        <v>94</v>
      </c>
      <c r="D145" s="35" t="s">
        <v>180</v>
      </c>
      <c r="E145" s="38" t="s">
        <v>216</v>
      </c>
      <c r="F145" s="30" t="s">
        <v>272</v>
      </c>
      <c r="G145" s="57">
        <f>H145+I145</f>
        <v>130000</v>
      </c>
      <c r="H145" s="57">
        <f>100000+30000</f>
        <v>130000</v>
      </c>
      <c r="I145" s="57"/>
      <c r="J145" s="57"/>
    </row>
    <row r="146" spans="1:10" s="31" customFormat="1" ht="15.6" x14ac:dyDescent="0.3">
      <c r="A146" s="40" t="s">
        <v>220</v>
      </c>
      <c r="B146" s="40"/>
      <c r="C146" s="40"/>
      <c r="D146" s="106" t="s">
        <v>218</v>
      </c>
      <c r="E146" s="107"/>
      <c r="F146" s="30"/>
      <c r="G146" s="56">
        <f>G147</f>
        <v>85885699</v>
      </c>
      <c r="H146" s="56">
        <f>H147</f>
        <v>58415779</v>
      </c>
      <c r="I146" s="56">
        <f>I147</f>
        <v>27469920</v>
      </c>
      <c r="J146" s="56">
        <f>J147</f>
        <v>27469920</v>
      </c>
    </row>
    <row r="147" spans="1:10" s="31" customFormat="1" ht="15.6" x14ac:dyDescent="0.3">
      <c r="A147" s="40" t="s">
        <v>219</v>
      </c>
      <c r="B147" s="40"/>
      <c r="C147" s="40"/>
      <c r="D147" s="106" t="s">
        <v>218</v>
      </c>
      <c r="E147" s="107"/>
      <c r="F147" s="30"/>
      <c r="G147" s="56">
        <f>SUM(G148:G159)</f>
        <v>85885699</v>
      </c>
      <c r="H147" s="56">
        <f t="shared" ref="H147:J147" si="18">SUM(H148:H159)</f>
        <v>58415779</v>
      </c>
      <c r="I147" s="56">
        <f t="shared" si="18"/>
        <v>27469920</v>
      </c>
      <c r="J147" s="56">
        <f t="shared" si="18"/>
        <v>27469920</v>
      </c>
    </row>
    <row r="148" spans="1:10" s="31" customFormat="1" ht="93.6" x14ac:dyDescent="0.3">
      <c r="A148" s="30">
        <v>3719770</v>
      </c>
      <c r="B148" s="77">
        <v>9770</v>
      </c>
      <c r="C148" s="37" t="s">
        <v>147</v>
      </c>
      <c r="D148" s="78" t="s">
        <v>221</v>
      </c>
      <c r="E148" s="29" t="s">
        <v>222</v>
      </c>
      <c r="F148" s="30" t="s">
        <v>275</v>
      </c>
      <c r="G148" s="57">
        <f>H148+I148</f>
        <v>2420000</v>
      </c>
      <c r="H148" s="57">
        <f>980000+440000</f>
        <v>1420000</v>
      </c>
      <c r="I148" s="57">
        <v>1000000</v>
      </c>
      <c r="J148" s="57">
        <v>1000000</v>
      </c>
    </row>
    <row r="149" spans="1:10" s="31" customFormat="1" ht="62.4" x14ac:dyDescent="0.3">
      <c r="A149" s="30">
        <v>3719770</v>
      </c>
      <c r="B149" s="77">
        <v>9770</v>
      </c>
      <c r="C149" s="37" t="s">
        <v>147</v>
      </c>
      <c r="D149" s="32" t="s">
        <v>281</v>
      </c>
      <c r="E149" s="32" t="s">
        <v>284</v>
      </c>
      <c r="F149" s="30" t="s">
        <v>214</v>
      </c>
      <c r="G149" s="57">
        <f>H149+I149</f>
        <v>500000</v>
      </c>
      <c r="H149" s="57">
        <v>500000</v>
      </c>
      <c r="I149" s="57"/>
      <c r="J149" s="57"/>
    </row>
    <row r="150" spans="1:10" s="31" customFormat="1" ht="62.4" x14ac:dyDescent="0.3">
      <c r="A150" s="30">
        <v>3719770</v>
      </c>
      <c r="B150" s="77">
        <v>9770</v>
      </c>
      <c r="C150" s="37" t="s">
        <v>147</v>
      </c>
      <c r="D150" s="32" t="s">
        <v>302</v>
      </c>
      <c r="E150" s="29" t="s">
        <v>224</v>
      </c>
      <c r="F150" s="30" t="s">
        <v>272</v>
      </c>
      <c r="G150" s="57">
        <f>H150+I150</f>
        <v>32800000</v>
      </c>
      <c r="H150" s="57">
        <f>18000000+14800000</f>
        <v>32800000</v>
      </c>
      <c r="I150" s="57"/>
      <c r="J150" s="57"/>
    </row>
    <row r="151" spans="1:10" s="31" customFormat="1" ht="46.8" x14ac:dyDescent="0.3">
      <c r="A151" s="30">
        <v>3719800</v>
      </c>
      <c r="B151" s="30">
        <v>9800</v>
      </c>
      <c r="C151" s="37" t="s">
        <v>147</v>
      </c>
      <c r="D151" s="79" t="s">
        <v>223</v>
      </c>
      <c r="E151" s="29" t="s">
        <v>177</v>
      </c>
      <c r="F151" s="30" t="s">
        <v>198</v>
      </c>
      <c r="G151" s="57">
        <f t="shared" ref="G151:G159" si="19">H151+I151</f>
        <v>2212000</v>
      </c>
      <c r="H151" s="57">
        <f>1446750+400000</f>
        <v>1846750</v>
      </c>
      <c r="I151" s="57">
        <f>J151</f>
        <v>365250</v>
      </c>
      <c r="J151" s="57">
        <v>365250</v>
      </c>
    </row>
    <row r="152" spans="1:10" s="31" customFormat="1" ht="62.4" x14ac:dyDescent="0.3">
      <c r="A152" s="30">
        <v>3719800</v>
      </c>
      <c r="B152" s="30">
        <v>9800</v>
      </c>
      <c r="C152" s="37" t="s">
        <v>147</v>
      </c>
      <c r="D152" s="79" t="s">
        <v>223</v>
      </c>
      <c r="E152" s="29" t="s">
        <v>224</v>
      </c>
      <c r="F152" s="30" t="s">
        <v>272</v>
      </c>
      <c r="G152" s="57">
        <f>H152+I152</f>
        <v>31629199</v>
      </c>
      <c r="H152" s="57">
        <f>3200000+300000+3300000+1000000+600000+4000000+2500000+5686500+2000000-400000+814069+1587460+180000+424100-8182240</f>
        <v>17009889</v>
      </c>
      <c r="I152" s="57">
        <f>J152</f>
        <v>14619310</v>
      </c>
      <c r="J152" s="57">
        <f>409500+161200+1806370+4060000+8182240</f>
        <v>14619310</v>
      </c>
    </row>
    <row r="153" spans="1:10" s="31" customFormat="1" ht="46.8" x14ac:dyDescent="0.3">
      <c r="A153" s="30">
        <v>3719800</v>
      </c>
      <c r="B153" s="30">
        <v>9800</v>
      </c>
      <c r="C153" s="37" t="s">
        <v>147</v>
      </c>
      <c r="D153" s="79" t="s">
        <v>223</v>
      </c>
      <c r="E153" s="29" t="s">
        <v>75</v>
      </c>
      <c r="F153" s="30" t="s">
        <v>195</v>
      </c>
      <c r="G153" s="57">
        <f t="shared" si="19"/>
        <v>255000</v>
      </c>
      <c r="H153" s="57">
        <v>255000</v>
      </c>
      <c r="I153" s="57"/>
      <c r="J153" s="57"/>
    </row>
    <row r="154" spans="1:10" s="31" customFormat="1" ht="46.8" x14ac:dyDescent="0.3">
      <c r="A154" s="30">
        <v>3719800</v>
      </c>
      <c r="B154" s="30">
        <v>9800</v>
      </c>
      <c r="C154" s="37" t="s">
        <v>147</v>
      </c>
      <c r="D154" s="79" t="s">
        <v>223</v>
      </c>
      <c r="E154" s="38" t="s">
        <v>225</v>
      </c>
      <c r="F154" s="30" t="s">
        <v>345</v>
      </c>
      <c r="G154" s="57">
        <f t="shared" si="19"/>
        <v>4090000</v>
      </c>
      <c r="H154" s="57">
        <f>1105000+1000000-400000+260000</f>
        <v>1965000</v>
      </c>
      <c r="I154" s="57">
        <f>J154</f>
        <v>2125000</v>
      </c>
      <c r="J154" s="57">
        <f>425000+400000+450000+850000</f>
        <v>2125000</v>
      </c>
    </row>
    <row r="155" spans="1:10" s="31" customFormat="1" ht="46.8" x14ac:dyDescent="0.3">
      <c r="A155" s="30">
        <v>3719800</v>
      </c>
      <c r="B155" s="30">
        <v>9800</v>
      </c>
      <c r="C155" s="37" t="s">
        <v>147</v>
      </c>
      <c r="D155" s="79" t="s">
        <v>223</v>
      </c>
      <c r="E155" s="32" t="s">
        <v>266</v>
      </c>
      <c r="F155" s="39" t="s">
        <v>344</v>
      </c>
      <c r="G155" s="57">
        <f>H155+I155</f>
        <v>1029500</v>
      </c>
      <c r="H155" s="57"/>
      <c r="I155" s="57">
        <f>400000+629500</f>
        <v>1029500</v>
      </c>
      <c r="J155" s="57">
        <f>400000+629500</f>
        <v>1029500</v>
      </c>
    </row>
    <row r="156" spans="1:10" s="31" customFormat="1" ht="46.8" x14ac:dyDescent="0.3">
      <c r="A156" s="30">
        <v>3719800</v>
      </c>
      <c r="B156" s="30">
        <v>9800</v>
      </c>
      <c r="C156" s="37" t="s">
        <v>147</v>
      </c>
      <c r="D156" s="79" t="s">
        <v>223</v>
      </c>
      <c r="E156" s="32" t="s">
        <v>282</v>
      </c>
      <c r="F156" s="39" t="s">
        <v>294</v>
      </c>
      <c r="G156" s="57">
        <f t="shared" si="19"/>
        <v>500000</v>
      </c>
      <c r="H156" s="57">
        <f>500000-380860</f>
        <v>119140</v>
      </c>
      <c r="I156" s="57">
        <f>380860</f>
        <v>380860</v>
      </c>
      <c r="J156" s="57">
        <f>380860</f>
        <v>380860</v>
      </c>
    </row>
    <row r="157" spans="1:10" s="31" customFormat="1" ht="93.6" x14ac:dyDescent="0.3">
      <c r="A157" s="30">
        <v>3719800</v>
      </c>
      <c r="B157" s="30">
        <v>9800</v>
      </c>
      <c r="C157" s="37" t="s">
        <v>147</v>
      </c>
      <c r="D157" s="79" t="s">
        <v>223</v>
      </c>
      <c r="E157" s="32" t="s">
        <v>283</v>
      </c>
      <c r="F157" s="39" t="s">
        <v>343</v>
      </c>
      <c r="G157" s="57">
        <f t="shared" si="19"/>
        <v>4000000</v>
      </c>
      <c r="H157" s="57">
        <v>2500000</v>
      </c>
      <c r="I157" s="57">
        <v>1500000</v>
      </c>
      <c r="J157" s="57">
        <v>1500000</v>
      </c>
    </row>
    <row r="158" spans="1:10" s="31" customFormat="1" ht="74.400000000000006" customHeight="1" x14ac:dyDescent="0.3">
      <c r="A158" s="30">
        <v>3719800</v>
      </c>
      <c r="B158" s="30">
        <v>9800</v>
      </c>
      <c r="C158" s="37" t="s">
        <v>147</v>
      </c>
      <c r="D158" s="79" t="s">
        <v>223</v>
      </c>
      <c r="E158" s="32" t="s">
        <v>311</v>
      </c>
      <c r="F158" s="39" t="s">
        <v>324</v>
      </c>
      <c r="G158" s="57">
        <f t="shared" si="19"/>
        <v>5000000</v>
      </c>
      <c r="H158" s="57"/>
      <c r="I158" s="57">
        <f>J158</f>
        <v>5000000</v>
      </c>
      <c r="J158" s="57">
        <f>3000000+2000000</f>
        <v>5000000</v>
      </c>
    </row>
    <row r="159" spans="1:10" s="31" customFormat="1" ht="62.4" x14ac:dyDescent="0.3">
      <c r="A159" s="30">
        <v>3719800</v>
      </c>
      <c r="B159" s="30">
        <v>9800</v>
      </c>
      <c r="C159" s="37" t="s">
        <v>147</v>
      </c>
      <c r="D159" s="79" t="s">
        <v>223</v>
      </c>
      <c r="E159" s="32" t="s">
        <v>312</v>
      </c>
      <c r="F159" s="39" t="s">
        <v>325</v>
      </c>
      <c r="G159" s="57">
        <f t="shared" si="19"/>
        <v>1450000</v>
      </c>
      <c r="H159" s="57"/>
      <c r="I159" s="57">
        <f>J159</f>
        <v>1450000</v>
      </c>
      <c r="J159" s="57">
        <v>1450000</v>
      </c>
    </row>
    <row r="160" spans="1:10" s="31" customFormat="1" ht="15.6" x14ac:dyDescent="0.3">
      <c r="A160" s="41"/>
      <c r="B160" s="41"/>
      <c r="C160" s="41"/>
      <c r="D160" s="104" t="s">
        <v>50</v>
      </c>
      <c r="E160" s="105"/>
      <c r="F160" s="41"/>
      <c r="G160" s="56">
        <f>G19+G36+G54+G69+G73+G82+G90+G119+G140+G146</f>
        <v>697537776.05000007</v>
      </c>
      <c r="H160" s="56">
        <f>H19+H36+H54+H69+H73+H82+H90+H119+H140+H146</f>
        <v>404609415.64999998</v>
      </c>
      <c r="I160" s="56">
        <f>I19+I36+I54+I69+I73+I82+I90+I119+I140+I146</f>
        <v>292928360.39999998</v>
      </c>
      <c r="J160" s="56">
        <f>J19+J36+J54+J69+J73+J82+J90+J119+J140+J146</f>
        <v>290224186.62</v>
      </c>
    </row>
    <row r="161" spans="1:11" s="42" customFormat="1" ht="46.8" x14ac:dyDescent="0.3">
      <c r="A161" s="30">
        <v>1</v>
      </c>
      <c r="B161" s="80"/>
      <c r="C161" s="80"/>
      <c r="D161" s="81"/>
      <c r="E161" s="29" t="s">
        <v>28</v>
      </c>
      <c r="F161" s="30" t="s">
        <v>204</v>
      </c>
      <c r="G161" s="57">
        <f>G48</f>
        <v>353000</v>
      </c>
      <c r="H161" s="57">
        <f>H48</f>
        <v>353000</v>
      </c>
      <c r="I161" s="57"/>
      <c r="J161" s="57"/>
    </row>
    <row r="162" spans="1:11" s="31" customFormat="1" ht="46.8" x14ac:dyDescent="0.3">
      <c r="A162" s="80">
        <v>2</v>
      </c>
      <c r="B162" s="80"/>
      <c r="C162" s="80"/>
      <c r="D162" s="81"/>
      <c r="E162" s="29" t="s">
        <v>36</v>
      </c>
      <c r="F162" s="30" t="s">
        <v>56</v>
      </c>
      <c r="G162" s="57">
        <f>G101</f>
        <v>400000</v>
      </c>
      <c r="H162" s="57">
        <f>H101</f>
        <v>400000</v>
      </c>
      <c r="I162" s="57">
        <f>I101</f>
        <v>0</v>
      </c>
      <c r="J162" s="57">
        <f>J101</f>
        <v>0</v>
      </c>
    </row>
    <row r="163" spans="1:11" s="31" customFormat="1" ht="46.8" x14ac:dyDescent="0.3">
      <c r="A163" s="30">
        <v>3</v>
      </c>
      <c r="B163" s="80"/>
      <c r="C163" s="80"/>
      <c r="D163" s="81"/>
      <c r="E163" s="29" t="s">
        <v>31</v>
      </c>
      <c r="F163" s="30" t="s">
        <v>206</v>
      </c>
      <c r="G163" s="57">
        <f>G93+G95+G96+G98+G99+G100+G103+G108+G111+G123+G124+G125+G127+G128+G130+G135</f>
        <v>252248705.75</v>
      </c>
      <c r="H163" s="57">
        <f t="shared" ref="H163:J163" si="20">H93+H95+H96+H98+H99+H100+H103+H108+H111+H123+H124+H125+H127+H128+H130+H135</f>
        <v>135324866.15000001</v>
      </c>
      <c r="I163" s="57">
        <f t="shared" si="20"/>
        <v>116923839.59999999</v>
      </c>
      <c r="J163" s="57">
        <f t="shared" si="20"/>
        <v>116923839.59999999</v>
      </c>
    </row>
    <row r="164" spans="1:11" s="31" customFormat="1" ht="46.8" x14ac:dyDescent="0.3">
      <c r="A164" s="80">
        <v>4</v>
      </c>
      <c r="B164" s="80"/>
      <c r="C164" s="80"/>
      <c r="D164" s="81"/>
      <c r="E164" s="29" t="s">
        <v>286</v>
      </c>
      <c r="F164" s="30" t="s">
        <v>277</v>
      </c>
      <c r="G164" s="57">
        <f>G126</f>
        <v>21668438.559999999</v>
      </c>
      <c r="H164" s="57">
        <f>H126</f>
        <v>0</v>
      </c>
      <c r="I164" s="57">
        <f>I126</f>
        <v>21668438.559999999</v>
      </c>
      <c r="J164" s="57">
        <f>J126</f>
        <v>21668438.559999999</v>
      </c>
    </row>
    <row r="165" spans="1:11" s="31" customFormat="1" ht="62.4" x14ac:dyDescent="0.3">
      <c r="A165" s="30">
        <v>5</v>
      </c>
      <c r="B165" s="80"/>
      <c r="C165" s="80"/>
      <c r="D165" s="81"/>
      <c r="E165" s="29" t="s">
        <v>105</v>
      </c>
      <c r="F165" s="30" t="s">
        <v>205</v>
      </c>
      <c r="G165" s="57">
        <f>G38+G57+G67</f>
        <v>8911011</v>
      </c>
      <c r="H165" s="57">
        <f>H38+H57+H67</f>
        <v>8911011</v>
      </c>
      <c r="I165" s="57"/>
      <c r="J165" s="57"/>
    </row>
    <row r="166" spans="1:11" s="31" customFormat="1" ht="46.8" x14ac:dyDescent="0.3">
      <c r="A166" s="80">
        <v>6</v>
      </c>
      <c r="B166" s="80"/>
      <c r="C166" s="80"/>
      <c r="D166" s="81"/>
      <c r="E166" s="29" t="s">
        <v>87</v>
      </c>
      <c r="F166" s="30" t="s">
        <v>197</v>
      </c>
      <c r="G166" s="57">
        <f>G25+G26+G50+G56+G58+G60+G61+G62+G63+G64+G65+G66+G71</f>
        <v>51445819</v>
      </c>
      <c r="H166" s="57">
        <f>H25+H26+H50+H56+H58+H60+H61+H62+H63+H64+H65+H66+H71</f>
        <v>51445819</v>
      </c>
      <c r="I166" s="57">
        <f>I25+I26+I50+I56+I58+I60+I61+I62+I63+I64+I65+I66+I71</f>
        <v>0</v>
      </c>
      <c r="J166" s="57">
        <f>J25+J26+J50+J56+J58+J60+J61+J62+J63+J64+J65+J66+J71</f>
        <v>0</v>
      </c>
    </row>
    <row r="167" spans="1:11" s="31" customFormat="1" ht="46.8" x14ac:dyDescent="0.3">
      <c r="A167" s="30">
        <v>7</v>
      </c>
      <c r="B167" s="80"/>
      <c r="C167" s="80"/>
      <c r="D167" s="103"/>
      <c r="E167" s="29" t="s">
        <v>75</v>
      </c>
      <c r="F167" s="30" t="s">
        <v>195</v>
      </c>
      <c r="G167" s="57">
        <f>G21+G22+G23+G24+G27+G29+G121+G122+G133+G153</f>
        <v>75997340.159999996</v>
      </c>
      <c r="H167" s="57">
        <f>H21+H22+H23+H24+H27+H29+H121+H122+H133+H153</f>
        <v>47332999.999999993</v>
      </c>
      <c r="I167" s="57">
        <f>I21+I22+I23+I24+I27+I29+I121+I122+I133+I153</f>
        <v>28664340.16</v>
      </c>
      <c r="J167" s="57">
        <f>J21+J22+J23+J24+J27+J29+J121+J122+J133+J153</f>
        <v>28664340.16</v>
      </c>
      <c r="K167" s="54"/>
    </row>
    <row r="168" spans="1:11" s="31" customFormat="1" ht="46.8" x14ac:dyDescent="0.3">
      <c r="A168" s="80">
        <v>8</v>
      </c>
      <c r="B168" s="80"/>
      <c r="C168" s="80"/>
      <c r="D168" s="103"/>
      <c r="E168" s="29" t="s">
        <v>137</v>
      </c>
      <c r="F168" s="30" t="s">
        <v>199</v>
      </c>
      <c r="G168" s="57">
        <f>G39+G40+G43+G46+G49+G44+G45</f>
        <v>10342714.140000001</v>
      </c>
      <c r="H168" s="57">
        <f>H39+H40+H43+H46+H49+H44+H45</f>
        <v>3216829.1399999997</v>
      </c>
      <c r="I168" s="57">
        <f>I39+I40+I43+I46+I49+I44+I45</f>
        <v>7125885</v>
      </c>
      <c r="J168" s="57">
        <f>J39+J40+J43+J46+J49+J44+J45</f>
        <v>7125885</v>
      </c>
      <c r="K168" s="54"/>
    </row>
    <row r="169" spans="1:11" s="31" customFormat="1" ht="46.8" x14ac:dyDescent="0.3">
      <c r="A169" s="30">
        <v>9</v>
      </c>
      <c r="B169" s="80"/>
      <c r="C169" s="80"/>
      <c r="D169" s="81"/>
      <c r="E169" s="29" t="s">
        <v>185</v>
      </c>
      <c r="F169" s="30" t="s">
        <v>198</v>
      </c>
      <c r="G169" s="57">
        <f>G28+G30+G51+G52+G68+G115+G136+G144+G151+G106+G107</f>
        <v>60935481.699999996</v>
      </c>
      <c r="H169" s="57">
        <f>H28+H30+H51+H52+H68+H115+H136+H144+H151+H106+H107</f>
        <v>12926557.359999999</v>
      </c>
      <c r="I169" s="57">
        <f>I28+I30+I51+I52+I68+I115+I136+I144+I151+I106+I107</f>
        <v>48008924.339999996</v>
      </c>
      <c r="J169" s="57">
        <f>J28+J30+J51+J52+J68+J115+J136+J144+J151+J106+J107</f>
        <v>47677924.339999996</v>
      </c>
      <c r="K169" s="54"/>
    </row>
    <row r="170" spans="1:11" s="31" customFormat="1" ht="124.8" x14ac:dyDescent="0.3">
      <c r="A170" s="80">
        <v>10</v>
      </c>
      <c r="B170" s="80"/>
      <c r="C170" s="80"/>
      <c r="D170" s="81"/>
      <c r="E170" s="38" t="s">
        <v>264</v>
      </c>
      <c r="F170" s="30" t="s">
        <v>265</v>
      </c>
      <c r="G170" s="57">
        <f>G31+G134</f>
        <v>5372000</v>
      </c>
      <c r="H170" s="57">
        <f>H31+H134</f>
        <v>1385000</v>
      </c>
      <c r="I170" s="57">
        <f>I31+I134</f>
        <v>3987000</v>
      </c>
      <c r="J170" s="57">
        <f>J31+J134</f>
        <v>3987000</v>
      </c>
      <c r="K170" s="54"/>
    </row>
    <row r="171" spans="1:11" s="31" customFormat="1" ht="62.4" x14ac:dyDescent="0.3">
      <c r="A171" s="30">
        <v>11</v>
      </c>
      <c r="B171" s="80"/>
      <c r="C171" s="80"/>
      <c r="D171" s="81"/>
      <c r="E171" s="29" t="s">
        <v>252</v>
      </c>
      <c r="F171" s="30" t="s">
        <v>253</v>
      </c>
      <c r="G171" s="57">
        <f>G131</f>
        <v>7950254.8499999996</v>
      </c>
      <c r="H171" s="57">
        <f>H131</f>
        <v>0</v>
      </c>
      <c r="I171" s="57">
        <f>I131</f>
        <v>7950254.8499999996</v>
      </c>
      <c r="J171" s="57">
        <f>J131</f>
        <v>7950254.8499999996</v>
      </c>
      <c r="K171" s="54"/>
    </row>
    <row r="172" spans="1:11" s="31" customFormat="1" ht="78" x14ac:dyDescent="0.3">
      <c r="A172" s="80">
        <v>12</v>
      </c>
      <c r="B172" s="80"/>
      <c r="C172" s="80"/>
      <c r="D172" s="81"/>
      <c r="E172" s="38" t="s">
        <v>287</v>
      </c>
      <c r="F172" s="39" t="s">
        <v>347</v>
      </c>
      <c r="G172" s="57">
        <f>G35+G104+G105+G118+G129+G132+G137+G138+G139</f>
        <v>11729183.550000001</v>
      </c>
      <c r="H172" s="57">
        <f>H35+H104+H105+H118+H129+H132+H137+H138+H139</f>
        <v>100000</v>
      </c>
      <c r="I172" s="57">
        <f>I35+I104+I105+I118+I129+I132+I137+I138+I139</f>
        <v>11629183.550000001</v>
      </c>
      <c r="J172" s="57">
        <f>J35+J104+J105+J118+J129+J132+J137+J138+J139</f>
        <v>10084478.109999999</v>
      </c>
      <c r="K172" s="54"/>
    </row>
    <row r="173" spans="1:11" s="31" customFormat="1" ht="46.8" x14ac:dyDescent="0.3">
      <c r="A173" s="30">
        <v>13</v>
      </c>
      <c r="B173" s="80"/>
      <c r="C173" s="80"/>
      <c r="D173" s="81"/>
      <c r="E173" s="38" t="s">
        <v>181</v>
      </c>
      <c r="F173" s="30" t="s">
        <v>183</v>
      </c>
      <c r="G173" s="57">
        <f>G41</f>
        <v>203000</v>
      </c>
      <c r="H173" s="57">
        <f>H41</f>
        <v>203000</v>
      </c>
      <c r="I173" s="57"/>
      <c r="J173" s="57"/>
      <c r="K173" s="54"/>
    </row>
    <row r="174" spans="1:11" s="31" customFormat="1" ht="46.8" x14ac:dyDescent="0.3">
      <c r="A174" s="80">
        <v>14</v>
      </c>
      <c r="B174" s="80"/>
      <c r="C174" s="80"/>
      <c r="D174" s="81"/>
      <c r="E174" s="50" t="s">
        <v>209</v>
      </c>
      <c r="F174" s="30" t="s">
        <v>295</v>
      </c>
      <c r="G174" s="57">
        <f>H174+I174</f>
        <v>2403800</v>
      </c>
      <c r="H174" s="57">
        <f>H47+H77</f>
        <v>2403800</v>
      </c>
      <c r="I174" s="57"/>
      <c r="J174" s="57"/>
      <c r="K174" s="54"/>
    </row>
    <row r="175" spans="1:11" s="31" customFormat="1" ht="46.8" x14ac:dyDescent="0.3">
      <c r="A175" s="30">
        <v>15</v>
      </c>
      <c r="B175" s="80"/>
      <c r="C175" s="80"/>
      <c r="D175" s="81"/>
      <c r="E175" s="50" t="s">
        <v>171</v>
      </c>
      <c r="F175" s="34" t="s">
        <v>270</v>
      </c>
      <c r="G175" s="57">
        <f>G75+G76+G78+G79+G80+G81</f>
        <v>1855500</v>
      </c>
      <c r="H175" s="57">
        <f>H75+H76+H78+H79+H80+H81</f>
        <v>1384500</v>
      </c>
      <c r="I175" s="57">
        <f>I75+I76+I78+I79+I80+I81</f>
        <v>471000</v>
      </c>
      <c r="J175" s="57">
        <f>J75+J76+J78+J79+J80+J81</f>
        <v>94000</v>
      </c>
      <c r="K175" s="54"/>
    </row>
    <row r="176" spans="1:11" s="31" customFormat="1" ht="46.8" x14ac:dyDescent="0.3">
      <c r="A176" s="80">
        <v>16</v>
      </c>
      <c r="B176" s="80"/>
      <c r="C176" s="80"/>
      <c r="D176" s="81"/>
      <c r="E176" s="29" t="s">
        <v>194</v>
      </c>
      <c r="F176" s="30" t="s">
        <v>271</v>
      </c>
      <c r="G176" s="57">
        <f>G59+G84+G86</f>
        <v>967800</v>
      </c>
      <c r="H176" s="57">
        <f>H59+H84+H86</f>
        <v>967800</v>
      </c>
      <c r="I176" s="57"/>
      <c r="J176" s="57"/>
      <c r="K176" s="54"/>
    </row>
    <row r="177" spans="1:11" s="31" customFormat="1" ht="46.8" x14ac:dyDescent="0.3">
      <c r="A177" s="30">
        <v>17</v>
      </c>
      <c r="B177" s="80"/>
      <c r="C177" s="80"/>
      <c r="D177" s="81"/>
      <c r="E177" s="29" t="s">
        <v>184</v>
      </c>
      <c r="F177" s="30" t="s">
        <v>214</v>
      </c>
      <c r="G177" s="57">
        <f>G85+G87+G88+G89+G149</f>
        <v>3734000</v>
      </c>
      <c r="H177" s="57">
        <f>H85+H87+H88+H89+H149</f>
        <v>3734000</v>
      </c>
      <c r="I177" s="57">
        <f>I85+I87+I88+I89+I149</f>
        <v>0</v>
      </c>
      <c r="J177" s="57">
        <f>J85+J87+J88+J89+J149</f>
        <v>0</v>
      </c>
    </row>
    <row r="178" spans="1:11" s="31" customFormat="1" ht="62.4" x14ac:dyDescent="0.3">
      <c r="A178" s="80">
        <v>18</v>
      </c>
      <c r="B178" s="80"/>
      <c r="C178" s="80"/>
      <c r="D178" s="81"/>
      <c r="E178" s="29" t="s">
        <v>212</v>
      </c>
      <c r="F178" s="30" t="s">
        <v>211</v>
      </c>
      <c r="G178" s="57">
        <f>G42</f>
        <v>15000</v>
      </c>
      <c r="H178" s="57">
        <f>H42</f>
        <v>15000</v>
      </c>
      <c r="I178" s="57">
        <f>I42</f>
        <v>0</v>
      </c>
      <c r="J178" s="57">
        <f>J42</f>
        <v>0</v>
      </c>
    </row>
    <row r="179" spans="1:11" s="31" customFormat="1" ht="62.4" x14ac:dyDescent="0.3">
      <c r="A179" s="30">
        <v>19</v>
      </c>
      <c r="B179" s="80"/>
      <c r="C179" s="80"/>
      <c r="D179" s="81"/>
      <c r="E179" s="38" t="s">
        <v>216</v>
      </c>
      <c r="F179" s="30" t="s">
        <v>272</v>
      </c>
      <c r="G179" s="57">
        <f>G33+G34+G53+G117+G145+G150+G152</f>
        <v>71441199</v>
      </c>
      <c r="H179" s="57">
        <f>H33+H34+H53+H117+H145+H150+H152</f>
        <v>55422889</v>
      </c>
      <c r="I179" s="57">
        <f>I33+I34+I53+I117+I145+I150+I152</f>
        <v>16018310</v>
      </c>
      <c r="J179" s="57">
        <f>J33+J34+J53+J117+J145+J150+J152</f>
        <v>16018310</v>
      </c>
      <c r="K179" s="54"/>
    </row>
    <row r="180" spans="1:11" s="31" customFormat="1" ht="46.8" x14ac:dyDescent="0.3">
      <c r="A180" s="80">
        <v>20</v>
      </c>
      <c r="B180" s="80"/>
      <c r="C180" s="80"/>
      <c r="D180" s="81"/>
      <c r="E180" s="50" t="s">
        <v>210</v>
      </c>
      <c r="F180" s="30" t="s">
        <v>291</v>
      </c>
      <c r="G180" s="57">
        <f>G110+G114+G143</f>
        <v>74657460</v>
      </c>
      <c r="H180" s="57">
        <f>H110+H114+H143</f>
        <v>65520476</v>
      </c>
      <c r="I180" s="57">
        <f>I110+I114+I143</f>
        <v>9136984</v>
      </c>
      <c r="J180" s="57">
        <f>J110+J114+J143</f>
        <v>9136984</v>
      </c>
      <c r="K180" s="54"/>
    </row>
    <row r="181" spans="1:11" s="31" customFormat="1" ht="62.4" x14ac:dyDescent="0.3">
      <c r="A181" s="30">
        <v>21</v>
      </c>
      <c r="B181" s="80"/>
      <c r="C181" s="80"/>
      <c r="D181" s="81"/>
      <c r="E181" s="38" t="s">
        <v>215</v>
      </c>
      <c r="F181" s="30" t="s">
        <v>273</v>
      </c>
      <c r="G181" s="57">
        <f>G32</f>
        <v>2304000</v>
      </c>
      <c r="H181" s="57">
        <f>H32</f>
        <v>1820428</v>
      </c>
      <c r="I181" s="57">
        <f>I32</f>
        <v>483572</v>
      </c>
      <c r="J181" s="57">
        <f>J32</f>
        <v>483572</v>
      </c>
      <c r="K181" s="54"/>
    </row>
    <row r="182" spans="1:11" s="31" customFormat="1" ht="78" x14ac:dyDescent="0.3">
      <c r="A182" s="80">
        <v>22</v>
      </c>
      <c r="B182" s="80"/>
      <c r="C182" s="80"/>
      <c r="D182" s="81"/>
      <c r="E182" s="29" t="s">
        <v>248</v>
      </c>
      <c r="F182" s="30" t="s">
        <v>249</v>
      </c>
      <c r="G182" s="57">
        <f>G116</f>
        <v>1170000</v>
      </c>
      <c r="H182" s="57">
        <f>H116</f>
        <v>0</v>
      </c>
      <c r="I182" s="57">
        <f>I116</f>
        <v>1170000</v>
      </c>
      <c r="J182" s="57">
        <f>J116</f>
        <v>1170000</v>
      </c>
      <c r="K182" s="54"/>
    </row>
    <row r="183" spans="1:11" s="31" customFormat="1" ht="46.8" x14ac:dyDescent="0.3">
      <c r="A183" s="30">
        <v>23</v>
      </c>
      <c r="B183" s="80"/>
      <c r="C183" s="80"/>
      <c r="D183" s="81"/>
      <c r="E183" s="38" t="s">
        <v>288</v>
      </c>
      <c r="F183" s="30" t="s">
        <v>345</v>
      </c>
      <c r="G183" s="57">
        <f>G154</f>
        <v>4090000</v>
      </c>
      <c r="H183" s="57">
        <f>H154</f>
        <v>1965000</v>
      </c>
      <c r="I183" s="57">
        <f>I154</f>
        <v>2125000</v>
      </c>
      <c r="J183" s="57">
        <f>J154</f>
        <v>2125000</v>
      </c>
      <c r="K183" s="54"/>
    </row>
    <row r="184" spans="1:11" s="31" customFormat="1" ht="78" x14ac:dyDescent="0.3">
      <c r="A184" s="80">
        <v>24</v>
      </c>
      <c r="B184" s="80"/>
      <c r="C184" s="80"/>
      <c r="D184" s="81"/>
      <c r="E184" s="29" t="s">
        <v>256</v>
      </c>
      <c r="F184" s="30" t="s">
        <v>346</v>
      </c>
      <c r="G184" s="57">
        <f>G92+G97+G102+G109+G112</f>
        <v>5607268.3399999999</v>
      </c>
      <c r="H184" s="57">
        <f>H92+H97+H102+H109+H112</f>
        <v>0</v>
      </c>
      <c r="I184" s="57">
        <f>I92+I97+I102+I109+I112</f>
        <v>5607268.3399999999</v>
      </c>
      <c r="J184" s="57">
        <f>J92+J97+J102+J109+J112</f>
        <v>5155800</v>
      </c>
      <c r="K184" s="54"/>
    </row>
    <row r="185" spans="1:11" s="31" customFormat="1" ht="109.2" x14ac:dyDescent="0.3">
      <c r="A185" s="30">
        <v>25</v>
      </c>
      <c r="B185" s="80"/>
      <c r="C185" s="80"/>
      <c r="D185" s="81"/>
      <c r="E185" s="29" t="s">
        <v>235</v>
      </c>
      <c r="F185" s="30" t="s">
        <v>274</v>
      </c>
      <c r="G185" s="57">
        <f>G94+G113</f>
        <v>4835300</v>
      </c>
      <c r="H185" s="57">
        <f>H94+H113</f>
        <v>4237300</v>
      </c>
      <c r="I185" s="57">
        <f>I94+I113</f>
        <v>598000</v>
      </c>
      <c r="J185" s="57">
        <f>J94+J113</f>
        <v>598000</v>
      </c>
      <c r="K185" s="54"/>
    </row>
    <row r="186" spans="1:11" s="31" customFormat="1" ht="62.4" x14ac:dyDescent="0.3">
      <c r="A186" s="80">
        <v>26</v>
      </c>
      <c r="B186" s="80"/>
      <c r="C186" s="80"/>
      <c r="D186" s="81"/>
      <c r="E186" s="82" t="s">
        <v>228</v>
      </c>
      <c r="F186" s="30" t="s">
        <v>348</v>
      </c>
      <c r="G186" s="57">
        <f>G72</f>
        <v>1000000</v>
      </c>
      <c r="H186" s="57">
        <f>H72</f>
        <v>0</v>
      </c>
      <c r="I186" s="57">
        <f>I72</f>
        <v>1000000</v>
      </c>
      <c r="J186" s="57">
        <f>J72</f>
        <v>1000000</v>
      </c>
      <c r="K186" s="54"/>
    </row>
    <row r="187" spans="1:11" s="31" customFormat="1" ht="93.6" x14ac:dyDescent="0.3">
      <c r="A187" s="30">
        <v>27</v>
      </c>
      <c r="B187" s="80"/>
      <c r="C187" s="80"/>
      <c r="D187" s="81"/>
      <c r="E187" s="29" t="s">
        <v>222</v>
      </c>
      <c r="F187" s="30" t="s">
        <v>275</v>
      </c>
      <c r="G187" s="57">
        <f>G148</f>
        <v>2420000</v>
      </c>
      <c r="H187" s="57">
        <f>H148</f>
        <v>1420000</v>
      </c>
      <c r="I187" s="57">
        <f>I148</f>
        <v>1000000</v>
      </c>
      <c r="J187" s="57">
        <f>J148</f>
        <v>1000000</v>
      </c>
      <c r="K187" s="54"/>
    </row>
    <row r="188" spans="1:11" s="31" customFormat="1" ht="46.8" x14ac:dyDescent="0.3">
      <c r="A188" s="80">
        <v>28</v>
      </c>
      <c r="B188" s="80"/>
      <c r="C188" s="80"/>
      <c r="D188" s="81"/>
      <c r="E188" s="32" t="s">
        <v>266</v>
      </c>
      <c r="F188" s="39" t="s">
        <v>344</v>
      </c>
      <c r="G188" s="57">
        <f>G155</f>
        <v>1029500</v>
      </c>
      <c r="H188" s="57">
        <f t="shared" ref="H188:J188" si="21">H155</f>
        <v>0</v>
      </c>
      <c r="I188" s="57">
        <f t="shared" si="21"/>
        <v>1029500</v>
      </c>
      <c r="J188" s="57">
        <f t="shared" si="21"/>
        <v>1029500</v>
      </c>
      <c r="K188" s="54"/>
    </row>
    <row r="189" spans="1:11" s="31" customFormat="1" ht="109.2" x14ac:dyDescent="0.3">
      <c r="A189" s="80">
        <v>29</v>
      </c>
      <c r="B189" s="80"/>
      <c r="C189" s="80"/>
      <c r="D189" s="81"/>
      <c r="E189" s="32" t="s">
        <v>285</v>
      </c>
      <c r="F189" s="39" t="s">
        <v>293</v>
      </c>
      <c r="G189" s="57">
        <f>H189+I189</f>
        <v>1500000</v>
      </c>
      <c r="H189" s="57">
        <v>1500000</v>
      </c>
      <c r="I189" s="57">
        <f>J189</f>
        <v>0</v>
      </c>
      <c r="J189" s="57"/>
      <c r="K189" s="54"/>
    </row>
    <row r="190" spans="1:11" s="31" customFormat="1" ht="46.8" x14ac:dyDescent="0.3">
      <c r="A190" s="30">
        <v>30</v>
      </c>
      <c r="B190" s="80"/>
      <c r="C190" s="80"/>
      <c r="D190" s="81"/>
      <c r="E190" s="32" t="s">
        <v>282</v>
      </c>
      <c r="F190" s="39" t="s">
        <v>294</v>
      </c>
      <c r="G190" s="57">
        <f>H190+I190</f>
        <v>500000</v>
      </c>
      <c r="H190" s="57">
        <f>H156</f>
        <v>119140</v>
      </c>
      <c r="I190" s="57">
        <f>I156</f>
        <v>380860</v>
      </c>
      <c r="J190" s="57">
        <f>J156</f>
        <v>380860</v>
      </c>
      <c r="K190" s="54"/>
    </row>
    <row r="191" spans="1:11" s="31" customFormat="1" ht="93.6" x14ac:dyDescent="0.3">
      <c r="A191" s="80">
        <v>31</v>
      </c>
      <c r="B191" s="80"/>
      <c r="C191" s="80"/>
      <c r="D191" s="81"/>
      <c r="E191" s="32" t="s">
        <v>283</v>
      </c>
      <c r="F191" s="39" t="s">
        <v>343</v>
      </c>
      <c r="G191" s="57">
        <f t="shared" ref="G191" si="22">H191+I191</f>
        <v>4000000</v>
      </c>
      <c r="H191" s="57">
        <f>H157</f>
        <v>2500000</v>
      </c>
      <c r="I191" s="57">
        <f t="shared" ref="I191:J191" si="23">I157</f>
        <v>1500000</v>
      </c>
      <c r="J191" s="57">
        <f t="shared" si="23"/>
        <v>1500000</v>
      </c>
      <c r="K191" s="54"/>
    </row>
    <row r="192" spans="1:11" s="31" customFormat="1" ht="62.4" x14ac:dyDescent="0.3">
      <c r="A192" s="80">
        <v>32</v>
      </c>
      <c r="B192" s="80"/>
      <c r="C192" s="80"/>
      <c r="D192" s="81"/>
      <c r="E192" s="32" t="s">
        <v>311</v>
      </c>
      <c r="F192" s="39" t="s">
        <v>324</v>
      </c>
      <c r="G192" s="57">
        <f>G158</f>
        <v>5000000</v>
      </c>
      <c r="H192" s="57">
        <f t="shared" ref="H192:J192" si="24">H158</f>
        <v>0</v>
      </c>
      <c r="I192" s="57">
        <f t="shared" si="24"/>
        <v>5000000</v>
      </c>
      <c r="J192" s="57">
        <f t="shared" si="24"/>
        <v>5000000</v>
      </c>
      <c r="K192" s="54"/>
    </row>
    <row r="193" spans="1:11" s="31" customFormat="1" ht="62.4" x14ac:dyDescent="0.3">
      <c r="A193" s="80">
        <v>33</v>
      </c>
      <c r="B193" s="80"/>
      <c r="C193" s="80"/>
      <c r="D193" s="81"/>
      <c r="E193" s="32" t="s">
        <v>312</v>
      </c>
      <c r="F193" s="39" t="s">
        <v>325</v>
      </c>
      <c r="G193" s="57">
        <f>G159</f>
        <v>1450000</v>
      </c>
      <c r="H193" s="57">
        <f t="shared" ref="H193:J193" si="25">H159</f>
        <v>0</v>
      </c>
      <c r="I193" s="57">
        <f t="shared" si="25"/>
        <v>1450000</v>
      </c>
      <c r="J193" s="57">
        <f t="shared" si="25"/>
        <v>1450000</v>
      </c>
      <c r="K193" s="54"/>
    </row>
    <row r="194" spans="1:11" s="31" customFormat="1" ht="15.6" x14ac:dyDescent="0.3">
      <c r="A194" s="64"/>
      <c r="B194" s="64"/>
      <c r="C194" s="64"/>
      <c r="D194" s="65"/>
      <c r="E194" s="66"/>
      <c r="F194" s="67"/>
      <c r="G194" s="68"/>
      <c r="H194" s="68"/>
      <c r="I194" s="68"/>
      <c r="J194" s="68"/>
      <c r="K194" s="54"/>
    </row>
    <row r="195" spans="1:11" s="31" customFormat="1" ht="15.6" x14ac:dyDescent="0.3">
      <c r="A195" s="45"/>
      <c r="B195" s="55"/>
      <c r="C195" s="45"/>
      <c r="D195" s="31" t="s">
        <v>349</v>
      </c>
      <c r="E195" s="24"/>
      <c r="F195" s="55" t="s">
        <v>350</v>
      </c>
      <c r="G195" s="55"/>
      <c r="H195" s="55"/>
      <c r="I195" s="55"/>
      <c r="J195" s="55"/>
      <c r="K195" s="54"/>
    </row>
    <row r="196" spans="1:11" s="31" customFormat="1" ht="15.6" x14ac:dyDescent="0.3">
      <c r="A196" s="20"/>
      <c r="B196" s="1"/>
      <c r="C196" s="20"/>
      <c r="D196" s="2"/>
      <c r="E196" s="24"/>
      <c r="F196" s="1" t="s">
        <v>304</v>
      </c>
      <c r="G196" s="59">
        <f>SUM(G161:G193)</f>
        <v>697537776.05000007</v>
      </c>
      <c r="H196" s="59">
        <f>SUM(H161:H193)</f>
        <v>404609415.64999998</v>
      </c>
      <c r="I196" s="59">
        <f>SUM(I161:I193)</f>
        <v>292928360.39999998</v>
      </c>
      <c r="J196" s="59">
        <f>SUM(J161:J193)</f>
        <v>290224186.62</v>
      </c>
    </row>
    <row r="197" spans="1:11" ht="15.6" x14ac:dyDescent="0.3">
      <c r="E197" s="24"/>
      <c r="F197" s="1" t="s">
        <v>303</v>
      </c>
      <c r="G197" s="59">
        <f>G160-G196</f>
        <v>0</v>
      </c>
      <c r="H197" s="59">
        <f>H160-H196</f>
        <v>0</v>
      </c>
      <c r="I197" s="59">
        <f>I160-I196</f>
        <v>0</v>
      </c>
      <c r="J197" s="59">
        <f>J160-J196</f>
        <v>0</v>
      </c>
    </row>
    <row r="198" spans="1:11" x14ac:dyDescent="0.3">
      <c r="B198" s="20"/>
    </row>
    <row r="199" spans="1:11" ht="15.6" x14ac:dyDescent="0.3">
      <c r="E199" s="24"/>
      <c r="G199" s="23"/>
      <c r="H199" s="23"/>
      <c r="I199" s="23"/>
      <c r="J199" s="23"/>
    </row>
    <row r="200" spans="1:11" x14ac:dyDescent="0.3">
      <c r="E200" s="25"/>
      <c r="G200" s="59"/>
      <c r="H200" s="59"/>
      <c r="I200" s="59"/>
      <c r="J200" s="59"/>
    </row>
    <row r="201" spans="1:11" x14ac:dyDescent="0.3">
      <c r="G201" s="23"/>
      <c r="H201" s="23"/>
      <c r="I201" s="23"/>
      <c r="J201" s="23"/>
    </row>
    <row r="203" spans="1:11" x14ac:dyDescent="0.3">
      <c r="G203" s="23"/>
      <c r="H203" s="23"/>
      <c r="I203" s="23"/>
      <c r="J203" s="23"/>
    </row>
    <row r="204" spans="1:11" x14ac:dyDescent="0.3">
      <c r="G204" s="23"/>
      <c r="H204" s="23"/>
      <c r="I204" s="23"/>
      <c r="J204" s="23"/>
    </row>
  </sheetData>
  <mergeCells count="41">
    <mergeCell ref="D69:E69"/>
    <mergeCell ref="D70:E70"/>
    <mergeCell ref="D73:E73"/>
    <mergeCell ref="D74:E74"/>
    <mergeCell ref="D82:E82"/>
    <mergeCell ref="D90:E90"/>
    <mergeCell ref="D119:E119"/>
    <mergeCell ref="D83:E83"/>
    <mergeCell ref="D91:E91"/>
    <mergeCell ref="H1:J1"/>
    <mergeCell ref="H2:J2"/>
    <mergeCell ref="H3:J3"/>
    <mergeCell ref="H4:J4"/>
    <mergeCell ref="F16:F17"/>
    <mergeCell ref="G16:G17"/>
    <mergeCell ref="H16:H17"/>
    <mergeCell ref="I16:J16"/>
    <mergeCell ref="H6:J6"/>
    <mergeCell ref="H7:J7"/>
    <mergeCell ref="H8:J8"/>
    <mergeCell ref="H10:J10"/>
    <mergeCell ref="A12:J12"/>
    <mergeCell ref="H11:J11"/>
    <mergeCell ref="E16:E17"/>
    <mergeCell ref="A13:B13"/>
    <mergeCell ref="D19:E19"/>
    <mergeCell ref="A16:A17"/>
    <mergeCell ref="B16:B17"/>
    <mergeCell ref="C16:C17"/>
    <mergeCell ref="D16:D17"/>
    <mergeCell ref="D20:E20"/>
    <mergeCell ref="D36:E36"/>
    <mergeCell ref="D37:E37"/>
    <mergeCell ref="D54:E54"/>
    <mergeCell ref="D55:E55"/>
    <mergeCell ref="D160:E160"/>
    <mergeCell ref="D147:E147"/>
    <mergeCell ref="D120:E120"/>
    <mergeCell ref="D141:E141"/>
    <mergeCell ref="D140:E140"/>
    <mergeCell ref="D146:E146"/>
  </mergeCells>
  <pageMargins left="0.39370078740157483" right="0.39370078740157483" top="0.59055118110236227" bottom="0.39370078740157483" header="0.51181102362204722" footer="0.51181102362204722"/>
  <pageSetup paperSize="9" scale="52" fitToHeight="11" orientation="landscape" r:id="rId1"/>
  <headerFooter differentFirst="1">
    <oddHeader>&amp;C&amp;P</oddHeader>
  </headerFooter>
  <rowBreaks count="2" manualBreakCount="2">
    <brk id="89" max="9" man="1"/>
    <brk id="118"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2023</vt:lpstr>
      <vt:lpstr>'2023'!Заголовки_для_печати</vt:lpstr>
      <vt:lpstr>'2023'!Область_печати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2023-12-19T13:52:45Z</dcterms:modified>
</cp:coreProperties>
</file>