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-120" yWindow="-120" windowWidth="29040" windowHeight="15990"/>
  </bookViews>
  <sheets>
    <sheet name="рік" sheetId="10" r:id="rId1"/>
  </sheets>
  <definedNames>
    <definedName name="_xlnm.Print_Titles" localSheetId="0">рік!$3:$8</definedName>
    <definedName name="_xlnm.Print_Area" localSheetId="0">рік!$A$1:$T$184</definedName>
  </definedNames>
  <calcPr calcId="152511"/>
</workbook>
</file>

<file path=xl/calcChain.xml><?xml version="1.0" encoding="utf-8"?>
<calcChain xmlns="http://schemas.openxmlformats.org/spreadsheetml/2006/main">
  <c r="M20" i="10" l="1"/>
  <c r="N20" i="10"/>
  <c r="M16" i="10"/>
  <c r="N16" i="10"/>
  <c r="O12" i="10"/>
  <c r="O10" i="10"/>
  <c r="P10" i="10"/>
  <c r="O9" i="10"/>
  <c r="P9" i="10"/>
  <c r="O11" i="10"/>
  <c r="M10" i="10"/>
  <c r="N10" i="10"/>
  <c r="Q10" i="10"/>
  <c r="R10" i="10"/>
  <c r="S10" i="10"/>
  <c r="T10" i="10"/>
  <c r="M11" i="10"/>
  <c r="N11" i="10"/>
  <c r="P11" i="10"/>
  <c r="Q11" i="10"/>
  <c r="R11" i="10"/>
  <c r="S11" i="10"/>
  <c r="T11" i="10"/>
  <c r="M12" i="10"/>
  <c r="N12" i="10"/>
  <c r="Q12" i="10"/>
  <c r="R12" i="10"/>
  <c r="S12" i="10"/>
  <c r="T12" i="10"/>
  <c r="M13" i="10"/>
  <c r="N13" i="10"/>
  <c r="O13" i="10"/>
  <c r="P13" i="10"/>
  <c r="Q13" i="10"/>
  <c r="R13" i="10"/>
  <c r="S13" i="10"/>
  <c r="T13" i="10"/>
  <c r="M14" i="10"/>
  <c r="N14" i="10"/>
  <c r="O14" i="10"/>
  <c r="P14" i="10"/>
  <c r="Q14" i="10"/>
  <c r="R14" i="10"/>
  <c r="S14" i="10"/>
  <c r="T14" i="10"/>
  <c r="M15" i="10"/>
  <c r="N15" i="10"/>
  <c r="O15" i="10"/>
  <c r="P15" i="10"/>
  <c r="Q15" i="10"/>
  <c r="R15" i="10"/>
  <c r="S15" i="10"/>
  <c r="T15" i="10"/>
  <c r="Q16" i="10"/>
  <c r="R16" i="10"/>
  <c r="S16" i="10"/>
  <c r="T16" i="10"/>
  <c r="M17" i="10"/>
  <c r="N17" i="10"/>
  <c r="Q17" i="10"/>
  <c r="R17" i="10"/>
  <c r="S17" i="10"/>
  <c r="T17" i="10"/>
  <c r="M18" i="10"/>
  <c r="N18" i="10"/>
  <c r="Q18" i="10"/>
  <c r="R18" i="10"/>
  <c r="S18" i="10"/>
  <c r="T18" i="10"/>
  <c r="M19" i="10"/>
  <c r="N19" i="10"/>
  <c r="O19" i="10"/>
  <c r="P19" i="10"/>
  <c r="Q19" i="10"/>
  <c r="R19" i="10"/>
  <c r="S19" i="10"/>
  <c r="T19" i="10"/>
  <c r="Q20" i="10"/>
  <c r="R20" i="10"/>
  <c r="S20" i="10"/>
  <c r="T20" i="10"/>
  <c r="M21" i="10"/>
  <c r="N21" i="10"/>
  <c r="Q21" i="10"/>
  <c r="R21" i="10"/>
  <c r="S21" i="10"/>
  <c r="T21" i="10"/>
  <c r="M22" i="10"/>
  <c r="N22" i="10"/>
  <c r="Q22" i="10"/>
  <c r="R22" i="10"/>
  <c r="S22" i="10"/>
  <c r="T22" i="10"/>
  <c r="M23" i="10"/>
  <c r="N23" i="10"/>
  <c r="Q23" i="10"/>
  <c r="R23" i="10"/>
  <c r="S23" i="10"/>
  <c r="T23" i="10"/>
  <c r="M24" i="10"/>
  <c r="N24" i="10"/>
  <c r="Q24" i="10"/>
  <c r="R24" i="10"/>
  <c r="S24" i="10"/>
  <c r="T24" i="10"/>
  <c r="M25" i="10"/>
  <c r="N25" i="10"/>
  <c r="Q25" i="10"/>
  <c r="R25" i="10"/>
  <c r="S25" i="10"/>
  <c r="T25" i="10"/>
  <c r="M26" i="10"/>
  <c r="N26" i="10"/>
  <c r="Q26" i="10"/>
  <c r="R26" i="10"/>
  <c r="S26" i="10"/>
  <c r="T26" i="10"/>
  <c r="M27" i="10"/>
  <c r="N27" i="10"/>
  <c r="Q27" i="10"/>
  <c r="R27" i="10"/>
  <c r="S27" i="10"/>
  <c r="T27" i="10"/>
  <c r="Q28" i="10"/>
  <c r="R28" i="10"/>
  <c r="S28" i="10"/>
  <c r="T28" i="10"/>
  <c r="Q29" i="10"/>
  <c r="R29" i="10"/>
  <c r="S29" i="10"/>
  <c r="T29" i="10"/>
  <c r="Q30" i="10"/>
  <c r="R30" i="10"/>
  <c r="S30" i="10"/>
  <c r="T30" i="10"/>
  <c r="Q31" i="10"/>
  <c r="R31" i="10"/>
  <c r="S31" i="10"/>
  <c r="T31" i="10"/>
  <c r="M32" i="10"/>
  <c r="N32" i="10"/>
  <c r="Q32" i="10"/>
  <c r="R32" i="10"/>
  <c r="S32" i="10"/>
  <c r="T32" i="10"/>
  <c r="M33" i="10"/>
  <c r="N33" i="10"/>
  <c r="Q33" i="10"/>
  <c r="R33" i="10"/>
  <c r="S33" i="10"/>
  <c r="T33" i="10"/>
  <c r="M34" i="10"/>
  <c r="N34" i="10"/>
  <c r="Q34" i="10"/>
  <c r="R34" i="10"/>
  <c r="S34" i="10"/>
  <c r="T34" i="10"/>
  <c r="M35" i="10"/>
  <c r="N35" i="10"/>
  <c r="Q35" i="10"/>
  <c r="R35" i="10"/>
  <c r="S35" i="10"/>
  <c r="T35" i="10"/>
  <c r="Q36" i="10"/>
  <c r="R36" i="10"/>
  <c r="S36" i="10"/>
  <c r="T36" i="10"/>
  <c r="M37" i="10"/>
  <c r="O37" i="10"/>
  <c r="P37" i="10"/>
  <c r="Q37" i="10"/>
  <c r="R37" i="10"/>
  <c r="S37" i="10"/>
  <c r="T37" i="10"/>
  <c r="M38" i="10"/>
  <c r="N38" i="10"/>
  <c r="Q38" i="10"/>
  <c r="R38" i="10"/>
  <c r="S38" i="10"/>
  <c r="T38" i="10"/>
  <c r="M41" i="10"/>
  <c r="N41" i="10"/>
  <c r="Q41" i="10"/>
  <c r="R41" i="10"/>
  <c r="S41" i="10"/>
  <c r="T41" i="10"/>
  <c r="M42" i="10"/>
  <c r="N42" i="10"/>
  <c r="Q42" i="10"/>
  <c r="R42" i="10"/>
  <c r="S42" i="10"/>
  <c r="T42" i="10"/>
  <c r="M43" i="10"/>
  <c r="N43" i="10"/>
  <c r="O43" i="10"/>
  <c r="Q43" i="10"/>
  <c r="R43" i="10"/>
  <c r="S43" i="10"/>
  <c r="T43" i="10"/>
  <c r="M44" i="10"/>
  <c r="N44" i="10"/>
  <c r="Q44" i="10"/>
  <c r="R44" i="10"/>
  <c r="S44" i="10"/>
  <c r="T44" i="10"/>
  <c r="M45" i="10"/>
  <c r="N45" i="10"/>
  <c r="O45" i="10"/>
  <c r="Q45" i="10"/>
  <c r="R45" i="10"/>
  <c r="S45" i="10"/>
  <c r="T45" i="10"/>
  <c r="M46" i="10"/>
  <c r="N46" i="10"/>
  <c r="Q46" i="10"/>
  <c r="R46" i="10"/>
  <c r="S46" i="10"/>
  <c r="T46" i="10"/>
  <c r="M47" i="10"/>
  <c r="N47" i="10"/>
  <c r="Q47" i="10"/>
  <c r="R47" i="10"/>
  <c r="S47" i="10"/>
  <c r="T47" i="10"/>
  <c r="M48" i="10"/>
  <c r="N48" i="10"/>
  <c r="Q48" i="10"/>
  <c r="R48" i="10"/>
  <c r="S48" i="10"/>
  <c r="T48" i="10"/>
  <c r="M49" i="10"/>
  <c r="N49" i="10"/>
  <c r="Q49" i="10"/>
  <c r="R49" i="10"/>
  <c r="S49" i="10"/>
  <c r="T49" i="10"/>
  <c r="Q50" i="10"/>
  <c r="R50" i="10"/>
  <c r="S50" i="10"/>
  <c r="T50" i="10"/>
  <c r="M51" i="10"/>
  <c r="N51" i="10"/>
  <c r="O51" i="10"/>
  <c r="P51" i="10"/>
  <c r="Q51" i="10"/>
  <c r="R51" i="10"/>
  <c r="S51" i="10"/>
  <c r="T51" i="10"/>
  <c r="M52" i="10"/>
  <c r="N52" i="10"/>
  <c r="Q52" i="10"/>
  <c r="R52" i="10"/>
  <c r="S52" i="10"/>
  <c r="T52" i="10"/>
  <c r="M53" i="10"/>
  <c r="N53" i="10"/>
  <c r="Q53" i="10"/>
  <c r="R53" i="10"/>
  <c r="S53" i="10"/>
  <c r="T53" i="10"/>
  <c r="M54" i="10"/>
  <c r="N54" i="10"/>
  <c r="Q54" i="10"/>
  <c r="R54" i="10"/>
  <c r="S54" i="10"/>
  <c r="T54" i="10"/>
  <c r="M55" i="10"/>
  <c r="N55" i="10"/>
  <c r="Q55" i="10"/>
  <c r="R55" i="10"/>
  <c r="S55" i="10"/>
  <c r="T55" i="10"/>
  <c r="M56" i="10"/>
  <c r="N56" i="10"/>
  <c r="Q56" i="10"/>
  <c r="R56" i="10"/>
  <c r="S56" i="10"/>
  <c r="T56" i="10"/>
  <c r="M57" i="10"/>
  <c r="N57" i="10"/>
  <c r="Q57" i="10"/>
  <c r="R57" i="10"/>
  <c r="S57" i="10"/>
  <c r="T57" i="10"/>
  <c r="M58" i="10"/>
  <c r="N58" i="10"/>
  <c r="Q58" i="10"/>
  <c r="R58" i="10"/>
  <c r="S58" i="10"/>
  <c r="T58" i="10"/>
  <c r="Q59" i="10"/>
  <c r="R59" i="10"/>
  <c r="S59" i="10"/>
  <c r="T59" i="10"/>
  <c r="Q60" i="10"/>
  <c r="R60" i="10"/>
  <c r="S60" i="10"/>
  <c r="T60" i="10"/>
  <c r="Q61" i="10"/>
  <c r="R61" i="10"/>
  <c r="S61" i="10"/>
  <c r="T61" i="10"/>
  <c r="M62" i="10"/>
  <c r="N62" i="10"/>
  <c r="Q62" i="10"/>
  <c r="R62" i="10"/>
  <c r="S62" i="10"/>
  <c r="T62" i="10"/>
  <c r="M63" i="10"/>
  <c r="N63" i="10"/>
  <c r="Q63" i="10"/>
  <c r="R63" i="10"/>
  <c r="S63" i="10"/>
  <c r="T63" i="10"/>
  <c r="R64" i="10"/>
  <c r="S64" i="10"/>
  <c r="M65" i="10"/>
  <c r="N65" i="10"/>
  <c r="O65" i="10"/>
  <c r="P65" i="10"/>
  <c r="Q65" i="10"/>
  <c r="R65" i="10"/>
  <c r="S65" i="10"/>
  <c r="T65" i="10"/>
  <c r="R66" i="10"/>
  <c r="S66" i="10"/>
  <c r="T66" i="10"/>
  <c r="M67" i="10"/>
  <c r="N67" i="10"/>
  <c r="O67" i="10"/>
  <c r="Q67" i="10"/>
  <c r="R67" i="10"/>
  <c r="S67" i="10"/>
  <c r="T67" i="10"/>
  <c r="M68" i="10"/>
  <c r="N68" i="10"/>
  <c r="O68" i="10"/>
  <c r="Q68" i="10"/>
  <c r="R68" i="10"/>
  <c r="S68" i="10"/>
  <c r="T68" i="10"/>
  <c r="M69" i="10"/>
  <c r="N69" i="10"/>
  <c r="Q69" i="10"/>
  <c r="R69" i="10"/>
  <c r="S69" i="10"/>
  <c r="T69" i="10"/>
  <c r="M70" i="10"/>
  <c r="N70" i="10"/>
  <c r="Q70" i="10"/>
  <c r="R70" i="10"/>
  <c r="S70" i="10"/>
  <c r="T70" i="10"/>
  <c r="M71" i="10"/>
  <c r="N71" i="10"/>
  <c r="Q71" i="10"/>
  <c r="R71" i="10"/>
  <c r="S71" i="10"/>
  <c r="T71" i="10"/>
  <c r="M72" i="10"/>
  <c r="N72" i="10"/>
  <c r="Q72" i="10"/>
  <c r="R72" i="10"/>
  <c r="S72" i="10"/>
  <c r="T72" i="10"/>
  <c r="M73" i="10"/>
  <c r="N73" i="10"/>
  <c r="Q73" i="10"/>
  <c r="R73" i="10"/>
  <c r="S73" i="10"/>
  <c r="T73" i="10"/>
  <c r="M74" i="10"/>
  <c r="N74" i="10"/>
  <c r="Q74" i="10"/>
  <c r="R74" i="10"/>
  <c r="S74" i="10"/>
  <c r="T74" i="10"/>
  <c r="M75" i="10"/>
  <c r="N75" i="10"/>
  <c r="Q75" i="10"/>
  <c r="R75" i="10"/>
  <c r="S75" i="10"/>
  <c r="T75" i="10"/>
  <c r="M76" i="10"/>
  <c r="N76" i="10"/>
  <c r="O76" i="10"/>
  <c r="Q76" i="10"/>
  <c r="R76" i="10"/>
  <c r="S76" i="10"/>
  <c r="T76" i="10"/>
  <c r="M77" i="10"/>
  <c r="N77" i="10"/>
  <c r="Q77" i="10"/>
  <c r="R77" i="10"/>
  <c r="S77" i="10"/>
  <c r="T77" i="10"/>
  <c r="M78" i="10"/>
  <c r="N78" i="10"/>
  <c r="Q78" i="10"/>
  <c r="R78" i="10"/>
  <c r="S78" i="10"/>
  <c r="T78" i="10"/>
  <c r="M79" i="10"/>
  <c r="N79" i="10"/>
  <c r="Q79" i="10"/>
  <c r="R79" i="10"/>
  <c r="S79" i="10"/>
  <c r="T79" i="10"/>
  <c r="M80" i="10"/>
  <c r="N80" i="10"/>
  <c r="Q80" i="10"/>
  <c r="R80" i="10"/>
  <c r="S80" i="10"/>
  <c r="T80" i="10"/>
  <c r="M81" i="10"/>
  <c r="N81" i="10"/>
  <c r="Q81" i="10"/>
  <c r="R81" i="10"/>
  <c r="S81" i="10"/>
  <c r="T81" i="10"/>
  <c r="Q82" i="10"/>
  <c r="R82" i="10"/>
  <c r="S82" i="10"/>
  <c r="T82" i="10"/>
  <c r="Q83" i="10"/>
  <c r="R83" i="10"/>
  <c r="S83" i="10"/>
  <c r="T83" i="10"/>
  <c r="Q84" i="10"/>
  <c r="R84" i="10"/>
  <c r="S84" i="10"/>
  <c r="T84" i="10"/>
  <c r="M85" i="10"/>
  <c r="N85" i="10"/>
  <c r="O85" i="10"/>
  <c r="Q85" i="10"/>
  <c r="R85" i="10"/>
  <c r="S85" i="10"/>
  <c r="T85" i="10"/>
  <c r="M86" i="10"/>
  <c r="N86" i="10"/>
  <c r="O86" i="10"/>
  <c r="Q86" i="10"/>
  <c r="R86" i="10"/>
  <c r="S86" i="10"/>
  <c r="T86" i="10"/>
  <c r="M87" i="10"/>
  <c r="N87" i="10"/>
  <c r="Q87" i="10"/>
  <c r="R87" i="10"/>
  <c r="S87" i="10"/>
  <c r="T87" i="10"/>
  <c r="Q88" i="10"/>
  <c r="R88" i="10"/>
  <c r="S88" i="10"/>
  <c r="T88" i="10"/>
  <c r="Q89" i="10"/>
  <c r="R89" i="10"/>
  <c r="S89" i="10"/>
  <c r="T89" i="10"/>
  <c r="Q90" i="10"/>
  <c r="R90" i="10"/>
  <c r="S90" i="10"/>
  <c r="T90" i="10"/>
  <c r="Q91" i="10"/>
  <c r="R91" i="10"/>
  <c r="S91" i="10"/>
  <c r="T91" i="10"/>
  <c r="Q92" i="10"/>
  <c r="R92" i="10"/>
  <c r="S92" i="10"/>
  <c r="T92" i="10"/>
  <c r="M93" i="10"/>
  <c r="N93" i="10"/>
  <c r="O93" i="10"/>
  <c r="P93" i="10"/>
  <c r="Q93" i="10"/>
  <c r="R93" i="10"/>
  <c r="S93" i="10"/>
  <c r="T93" i="10"/>
  <c r="M94" i="10"/>
  <c r="N94" i="10"/>
  <c r="O94" i="10"/>
  <c r="P94" i="10"/>
  <c r="Q94" i="10"/>
  <c r="R94" i="10"/>
  <c r="S94" i="10"/>
  <c r="T94" i="10"/>
  <c r="M95" i="10"/>
  <c r="N95" i="10"/>
  <c r="Q95" i="10"/>
  <c r="R95" i="10"/>
  <c r="S95" i="10"/>
  <c r="T95" i="10"/>
  <c r="M96" i="10"/>
  <c r="N96" i="10"/>
  <c r="Q96" i="10"/>
  <c r="R96" i="10"/>
  <c r="S96" i="10"/>
  <c r="T96" i="10"/>
  <c r="M97" i="10"/>
  <c r="N97" i="10"/>
  <c r="O97" i="10"/>
  <c r="Q97" i="10"/>
  <c r="R97" i="10"/>
  <c r="S97" i="10"/>
  <c r="T97" i="10"/>
  <c r="Q98" i="10"/>
  <c r="R98" i="10"/>
  <c r="S98" i="10"/>
  <c r="T98" i="10"/>
  <c r="M99" i="10"/>
  <c r="N99" i="10"/>
  <c r="O99" i="10"/>
  <c r="Q99" i="10"/>
  <c r="R99" i="10"/>
  <c r="S99" i="10"/>
  <c r="T99" i="10"/>
  <c r="M100" i="10"/>
  <c r="N100" i="10"/>
  <c r="O100" i="10"/>
  <c r="Q100" i="10"/>
  <c r="R100" i="10"/>
  <c r="S100" i="10"/>
  <c r="T100" i="10"/>
  <c r="M101" i="10"/>
  <c r="N101" i="10"/>
  <c r="O101" i="10"/>
  <c r="Q101" i="10"/>
  <c r="R101" i="10"/>
  <c r="S101" i="10"/>
  <c r="T101" i="10"/>
  <c r="M102" i="10"/>
  <c r="N102" i="10"/>
  <c r="Q102" i="10"/>
  <c r="R102" i="10"/>
  <c r="S102" i="10"/>
  <c r="T102" i="10"/>
  <c r="M103" i="10"/>
  <c r="N103" i="10"/>
  <c r="Q103" i="10"/>
  <c r="R103" i="10"/>
  <c r="S103" i="10"/>
  <c r="T103" i="10"/>
  <c r="M104" i="10"/>
  <c r="N104" i="10"/>
  <c r="O104" i="10"/>
  <c r="P104" i="10"/>
  <c r="Q104" i="10"/>
  <c r="R104" i="10"/>
  <c r="S104" i="10"/>
  <c r="T104" i="10"/>
  <c r="M105" i="10"/>
  <c r="N105" i="10"/>
  <c r="Q105" i="10"/>
  <c r="R105" i="10"/>
  <c r="S105" i="10"/>
  <c r="T105" i="10"/>
  <c r="M106" i="10"/>
  <c r="N106" i="10"/>
  <c r="Q106" i="10"/>
  <c r="R106" i="10"/>
  <c r="S106" i="10"/>
  <c r="T106" i="10"/>
  <c r="M107" i="10"/>
  <c r="N107" i="10"/>
  <c r="Q107" i="10"/>
  <c r="R107" i="10"/>
  <c r="S107" i="10"/>
  <c r="T107" i="10"/>
  <c r="M108" i="10"/>
  <c r="N108" i="10"/>
  <c r="Q108" i="10"/>
  <c r="R108" i="10"/>
  <c r="S108" i="10"/>
  <c r="T108" i="10"/>
  <c r="M109" i="10"/>
  <c r="N109" i="10"/>
  <c r="Q109" i="10"/>
  <c r="R109" i="10"/>
  <c r="S109" i="10"/>
  <c r="T109" i="10"/>
  <c r="M110" i="10"/>
  <c r="N110" i="10"/>
  <c r="Q110" i="10"/>
  <c r="R110" i="10"/>
  <c r="S110" i="10"/>
  <c r="T110" i="10"/>
  <c r="M111" i="10"/>
  <c r="N111" i="10"/>
  <c r="Q111" i="10"/>
  <c r="R111" i="10"/>
  <c r="S111" i="10"/>
  <c r="T111" i="10"/>
  <c r="Q112" i="10"/>
  <c r="R112" i="10"/>
  <c r="S112" i="10"/>
  <c r="T112" i="10"/>
  <c r="M113" i="10"/>
  <c r="N113" i="10"/>
  <c r="Q113" i="10"/>
  <c r="R113" i="10"/>
  <c r="S113" i="10"/>
  <c r="T113" i="10"/>
  <c r="M114" i="10"/>
  <c r="N114" i="10"/>
  <c r="P114" i="10"/>
  <c r="Q114" i="10"/>
  <c r="R114" i="10"/>
  <c r="S114" i="10"/>
  <c r="T114" i="10"/>
  <c r="M115" i="10"/>
  <c r="N115" i="10"/>
  <c r="P115" i="10"/>
  <c r="Q115" i="10"/>
  <c r="R115" i="10"/>
  <c r="S115" i="10"/>
  <c r="T115" i="10"/>
  <c r="M116" i="10"/>
  <c r="N116" i="10"/>
  <c r="Q116" i="10"/>
  <c r="R116" i="10"/>
  <c r="S116" i="10"/>
  <c r="T116" i="10"/>
  <c r="M117" i="10"/>
  <c r="N117" i="10"/>
  <c r="Q117" i="10"/>
  <c r="R117" i="10"/>
  <c r="S117" i="10"/>
  <c r="T117" i="10"/>
  <c r="M118" i="10"/>
  <c r="N118" i="10"/>
  <c r="Q118" i="10"/>
  <c r="R118" i="10"/>
  <c r="S118" i="10"/>
  <c r="T118" i="10"/>
  <c r="M119" i="10"/>
  <c r="N119" i="10"/>
  <c r="Q119" i="10"/>
  <c r="R119" i="10"/>
  <c r="S119" i="10"/>
  <c r="T119" i="10"/>
  <c r="M120" i="10"/>
  <c r="N120" i="10"/>
  <c r="Q120" i="10"/>
  <c r="R120" i="10"/>
  <c r="S120" i="10"/>
  <c r="T120" i="10"/>
  <c r="Q121" i="10"/>
  <c r="R121" i="10"/>
  <c r="S121" i="10"/>
  <c r="T121" i="10"/>
  <c r="M122" i="10"/>
  <c r="N122" i="10"/>
  <c r="Q122" i="10"/>
  <c r="R122" i="10"/>
  <c r="S122" i="10"/>
  <c r="T122" i="10"/>
  <c r="Q123" i="10"/>
  <c r="R123" i="10"/>
  <c r="S123" i="10"/>
  <c r="T123" i="10"/>
  <c r="M124" i="10"/>
  <c r="N124" i="10"/>
  <c r="O124" i="10"/>
  <c r="P124" i="10"/>
  <c r="Q124" i="10"/>
  <c r="R124" i="10"/>
  <c r="S124" i="10"/>
  <c r="T124" i="10"/>
  <c r="Q125" i="10"/>
  <c r="R125" i="10"/>
  <c r="S125" i="10"/>
  <c r="T125" i="10"/>
  <c r="Q126" i="10"/>
  <c r="R126" i="10"/>
  <c r="S126" i="10"/>
  <c r="T126" i="10"/>
  <c r="Q127" i="10"/>
  <c r="R127" i="10"/>
  <c r="S127" i="10"/>
  <c r="T127" i="10"/>
  <c r="Q128" i="10"/>
  <c r="R128" i="10"/>
  <c r="S128" i="10"/>
  <c r="T128" i="10"/>
  <c r="M129" i="10"/>
  <c r="N129" i="10"/>
  <c r="Q129" i="10"/>
  <c r="R129" i="10"/>
  <c r="S129" i="10"/>
  <c r="T129" i="10"/>
  <c r="Q130" i="10"/>
  <c r="R130" i="10"/>
  <c r="S130" i="10"/>
  <c r="T130" i="10"/>
  <c r="Q131" i="10"/>
  <c r="R131" i="10"/>
  <c r="S131" i="10"/>
  <c r="T131" i="10"/>
  <c r="Q132" i="10"/>
  <c r="R132" i="10"/>
  <c r="S132" i="10"/>
  <c r="T132" i="10"/>
  <c r="M133" i="10"/>
  <c r="N133" i="10"/>
  <c r="Q133" i="10"/>
  <c r="R133" i="10"/>
  <c r="S133" i="10"/>
  <c r="T133" i="10"/>
  <c r="Q134" i="10"/>
  <c r="R134" i="10"/>
  <c r="S134" i="10"/>
  <c r="T134" i="10"/>
  <c r="M135" i="10"/>
  <c r="N135" i="10"/>
  <c r="O135" i="10"/>
  <c r="P135" i="10"/>
  <c r="Q135" i="10"/>
  <c r="R135" i="10"/>
  <c r="S135" i="10"/>
  <c r="T135" i="10"/>
  <c r="M136" i="10"/>
  <c r="N136" i="10"/>
  <c r="Q136" i="10"/>
  <c r="R136" i="10"/>
  <c r="S136" i="10"/>
  <c r="T136" i="10"/>
  <c r="M137" i="10"/>
  <c r="N137" i="10"/>
  <c r="Q137" i="10"/>
  <c r="R137" i="10"/>
  <c r="S137" i="10"/>
  <c r="T137" i="10"/>
  <c r="Q138" i="10"/>
  <c r="R138" i="10"/>
  <c r="S138" i="10"/>
  <c r="T138" i="10"/>
  <c r="M139" i="10"/>
  <c r="N139" i="10"/>
  <c r="O139" i="10"/>
  <c r="P139" i="10"/>
  <c r="Q139" i="10"/>
  <c r="R139" i="10"/>
  <c r="S139" i="10"/>
  <c r="T139" i="10"/>
  <c r="N140" i="10"/>
  <c r="Q140" i="10"/>
  <c r="R140" i="10"/>
  <c r="S140" i="10"/>
  <c r="T140" i="10"/>
  <c r="N141" i="10"/>
  <c r="Q141" i="10"/>
  <c r="R141" i="10"/>
  <c r="S141" i="10"/>
  <c r="T141" i="10"/>
  <c r="Q142" i="10"/>
  <c r="R142" i="10"/>
  <c r="S142" i="10"/>
  <c r="T142" i="10"/>
  <c r="M143" i="10"/>
  <c r="N143" i="10"/>
  <c r="Q143" i="10"/>
  <c r="R143" i="10"/>
  <c r="S143" i="10"/>
  <c r="T143" i="10"/>
  <c r="M144" i="10"/>
  <c r="N144" i="10"/>
  <c r="Q144" i="10"/>
  <c r="R144" i="10"/>
  <c r="S144" i="10"/>
  <c r="T144" i="10"/>
  <c r="M145" i="10"/>
  <c r="O145" i="10"/>
  <c r="P145" i="10"/>
  <c r="Q145" i="10"/>
  <c r="R145" i="10"/>
  <c r="S145" i="10"/>
  <c r="T145" i="10"/>
  <c r="Q146" i="10"/>
  <c r="R146" i="10"/>
  <c r="S146" i="10"/>
  <c r="T146" i="10"/>
  <c r="Q147" i="10"/>
  <c r="R147" i="10"/>
  <c r="S147" i="10"/>
  <c r="T147" i="10"/>
  <c r="Q148" i="10"/>
  <c r="R148" i="10"/>
  <c r="S148" i="10"/>
  <c r="T148" i="10"/>
  <c r="Q149" i="10"/>
  <c r="R149" i="10"/>
  <c r="S149" i="10"/>
  <c r="T149" i="10"/>
  <c r="Q150" i="10"/>
  <c r="R150" i="10"/>
  <c r="S150" i="10"/>
  <c r="T150" i="10"/>
  <c r="Q151" i="10"/>
  <c r="R151" i="10"/>
  <c r="S151" i="10"/>
  <c r="T151" i="10"/>
  <c r="Q152" i="10"/>
  <c r="R152" i="10"/>
  <c r="S152" i="10"/>
  <c r="T152" i="10"/>
  <c r="Q153" i="10"/>
  <c r="R153" i="10"/>
  <c r="S153" i="10"/>
  <c r="T153" i="10"/>
  <c r="Q154" i="10"/>
  <c r="R154" i="10"/>
  <c r="S154" i="10"/>
  <c r="T154" i="10"/>
  <c r="Q155" i="10"/>
  <c r="R155" i="10"/>
  <c r="S155" i="10"/>
  <c r="T155" i="10"/>
  <c r="Q156" i="10"/>
  <c r="R156" i="10"/>
  <c r="S156" i="10"/>
  <c r="T156" i="10"/>
  <c r="Q157" i="10"/>
  <c r="R157" i="10"/>
  <c r="S157" i="10"/>
  <c r="T157" i="10"/>
  <c r="M158" i="10"/>
  <c r="O158" i="10"/>
  <c r="P158" i="10"/>
  <c r="Q158" i="10"/>
  <c r="R158" i="10"/>
  <c r="S158" i="10"/>
  <c r="T158" i="10"/>
  <c r="Q159" i="10"/>
  <c r="R159" i="10"/>
  <c r="S159" i="10"/>
  <c r="T159" i="10"/>
  <c r="M160" i="10"/>
  <c r="N160" i="10"/>
  <c r="O160" i="10"/>
  <c r="P160" i="10"/>
  <c r="Q160" i="10"/>
  <c r="R160" i="10"/>
  <c r="S160" i="10"/>
  <c r="T160" i="10"/>
  <c r="Q161" i="10"/>
  <c r="R161" i="10"/>
  <c r="S161" i="10"/>
  <c r="T161" i="10"/>
  <c r="Q162" i="10"/>
  <c r="R162" i="10"/>
  <c r="S162" i="10"/>
  <c r="T162" i="10"/>
  <c r="M163" i="10"/>
  <c r="N163" i="10"/>
  <c r="Q163" i="10"/>
  <c r="R163" i="10"/>
  <c r="S163" i="10"/>
  <c r="T163" i="10"/>
  <c r="M164" i="10"/>
  <c r="O164" i="10"/>
  <c r="P164" i="10"/>
  <c r="Q164" i="10"/>
  <c r="R164" i="10"/>
  <c r="S164" i="10"/>
  <c r="T164" i="10"/>
  <c r="M165" i="10"/>
  <c r="N165" i="10"/>
  <c r="Q165" i="10"/>
  <c r="R165" i="10"/>
  <c r="S165" i="10"/>
  <c r="T165" i="10"/>
  <c r="M166" i="10"/>
  <c r="N166" i="10"/>
  <c r="Q166" i="10"/>
  <c r="R166" i="10"/>
  <c r="S166" i="10"/>
  <c r="T166" i="10"/>
  <c r="M167" i="10"/>
  <c r="N167" i="10"/>
  <c r="Q167" i="10"/>
  <c r="R167" i="10"/>
  <c r="S167" i="10"/>
  <c r="T167" i="10"/>
  <c r="M168" i="10"/>
  <c r="N168" i="10"/>
  <c r="Q168" i="10"/>
  <c r="R168" i="10"/>
  <c r="S168" i="10"/>
  <c r="T168" i="10"/>
  <c r="M169" i="10"/>
  <c r="N169" i="10"/>
  <c r="Q169" i="10"/>
  <c r="R169" i="10"/>
  <c r="S169" i="10"/>
  <c r="T169" i="10"/>
  <c r="Q170" i="10"/>
  <c r="R170" i="10"/>
  <c r="S170" i="10"/>
  <c r="T170" i="10"/>
  <c r="Q171" i="10"/>
  <c r="R171" i="10"/>
  <c r="S171" i="10"/>
  <c r="T171" i="10"/>
  <c r="Q172" i="10"/>
  <c r="R172" i="10"/>
  <c r="S172" i="10"/>
  <c r="T172" i="10"/>
  <c r="M173" i="10"/>
  <c r="N173" i="10"/>
  <c r="Q173" i="10"/>
  <c r="R173" i="10"/>
  <c r="S173" i="10"/>
  <c r="T173" i="10"/>
  <c r="M174" i="10"/>
  <c r="N174" i="10"/>
  <c r="Q174" i="10"/>
  <c r="R174" i="10"/>
  <c r="S174" i="10"/>
  <c r="T174" i="10"/>
  <c r="M175" i="10"/>
  <c r="N175" i="10"/>
  <c r="O175" i="10"/>
  <c r="P175" i="10"/>
  <c r="Q175" i="10"/>
  <c r="R175" i="10"/>
  <c r="S175" i="10"/>
  <c r="T175" i="10"/>
  <c r="M176" i="10"/>
  <c r="N176" i="10"/>
  <c r="O176" i="10"/>
  <c r="P176" i="10"/>
  <c r="Q176" i="10"/>
  <c r="R176" i="10"/>
  <c r="S176" i="10"/>
  <c r="T176" i="10"/>
  <c r="M177" i="10"/>
  <c r="N177" i="10"/>
  <c r="Q177" i="10"/>
  <c r="R177" i="10"/>
  <c r="S177" i="10"/>
  <c r="T177" i="10"/>
  <c r="M178" i="10"/>
  <c r="N178" i="10"/>
  <c r="Q178" i="10"/>
  <c r="R178" i="10"/>
  <c r="S178" i="10"/>
  <c r="T178" i="10"/>
  <c r="M179" i="10"/>
  <c r="N179" i="10"/>
  <c r="Q179" i="10"/>
  <c r="R179" i="10"/>
  <c r="S179" i="10"/>
  <c r="T179" i="10"/>
  <c r="Q180" i="10"/>
  <c r="R180" i="10"/>
  <c r="S180" i="10"/>
  <c r="T180" i="10"/>
  <c r="M181" i="10"/>
  <c r="N181" i="10"/>
  <c r="O181" i="10"/>
  <c r="P181" i="10"/>
  <c r="Q181" i="10"/>
  <c r="R181" i="10"/>
  <c r="S181" i="10"/>
  <c r="T181" i="10"/>
  <c r="K115" i="10" l="1"/>
  <c r="L115" i="10"/>
  <c r="J115" i="10"/>
  <c r="G115" i="10"/>
  <c r="H115" i="10"/>
  <c r="F115" i="10"/>
  <c r="K177" i="10" l="1"/>
  <c r="L181" i="10"/>
  <c r="L178" i="10"/>
  <c r="L179" i="10"/>
  <c r="L180" i="10"/>
  <c r="L168" i="10"/>
  <c r="L169" i="10"/>
  <c r="L170" i="10"/>
  <c r="L171" i="10"/>
  <c r="K172" i="10"/>
  <c r="K166" i="10" s="1"/>
  <c r="L167" i="10"/>
  <c r="G166" i="10"/>
  <c r="H166" i="10"/>
  <c r="F166" i="10"/>
  <c r="J173" i="10"/>
  <c r="J172" i="10"/>
  <c r="J166" i="10" s="1"/>
  <c r="J171" i="10"/>
  <c r="I170" i="10"/>
  <c r="E170" i="10"/>
  <c r="J141" i="10"/>
  <c r="F141" i="10"/>
  <c r="L163" i="10"/>
  <c r="I163" i="10"/>
  <c r="L161" i="10"/>
  <c r="K160" i="10"/>
  <c r="L160" i="10" s="1"/>
  <c r="L158" i="10"/>
  <c r="L159" i="10"/>
  <c r="L157" i="10"/>
  <c r="K156" i="10"/>
  <c r="L156" i="10" s="1"/>
  <c r="L155" i="10"/>
  <c r="I155" i="10"/>
  <c r="E155" i="10"/>
  <c r="K154" i="10"/>
  <c r="L154" i="10" s="1"/>
  <c r="K153" i="10"/>
  <c r="L153" i="10" s="1"/>
  <c r="L152" i="10"/>
  <c r="K151" i="10"/>
  <c r="L151" i="10" s="1"/>
  <c r="L150" i="10"/>
  <c r="K149" i="10"/>
  <c r="L149" i="10" s="1"/>
  <c r="L148" i="10"/>
  <c r="L147" i="10"/>
  <c r="L146" i="10"/>
  <c r="I146" i="10"/>
  <c r="E146" i="10"/>
  <c r="K145" i="10"/>
  <c r="L142" i="10"/>
  <c r="K116" i="10"/>
  <c r="K131" i="10"/>
  <c r="L131" i="10" s="1"/>
  <c r="K118" i="10"/>
  <c r="K136" i="10"/>
  <c r="K135" i="10"/>
  <c r="L135" i="10"/>
  <c r="K134" i="10"/>
  <c r="K133" i="10"/>
  <c r="L133" i="10" s="1"/>
  <c r="I131" i="10"/>
  <c r="E131" i="10"/>
  <c r="K130" i="10"/>
  <c r="L130" i="10" s="1"/>
  <c r="K125" i="10"/>
  <c r="K124" i="10"/>
  <c r="L124" i="10" s="1"/>
  <c r="L122" i="10"/>
  <c r="L123" i="10"/>
  <c r="L121" i="10"/>
  <c r="L120" i="10"/>
  <c r="J133" i="10"/>
  <c r="I123" i="10"/>
  <c r="E123" i="10"/>
  <c r="I137" i="10"/>
  <c r="I138" i="10"/>
  <c r="I139" i="10"/>
  <c r="J135" i="10"/>
  <c r="I128" i="10"/>
  <c r="E128" i="10"/>
  <c r="I127" i="10"/>
  <c r="E127" i="10"/>
  <c r="I126" i="10"/>
  <c r="E126" i="10"/>
  <c r="J124" i="10"/>
  <c r="J109" i="10"/>
  <c r="L107" i="10"/>
  <c r="K101" i="10"/>
  <c r="K99" i="10"/>
  <c r="K100" i="10"/>
  <c r="K97" i="10"/>
  <c r="L90" i="10"/>
  <c r="L89" i="10" s="1"/>
  <c r="H89" i="10"/>
  <c r="G89" i="10"/>
  <c r="F89" i="10"/>
  <c r="K89" i="10"/>
  <c r="J89" i="10"/>
  <c r="I92" i="10"/>
  <c r="I91" i="10"/>
  <c r="I90" i="10"/>
  <c r="G68" i="10"/>
  <c r="H68" i="10"/>
  <c r="F68" i="10"/>
  <c r="L84" i="10"/>
  <c r="L83" i="10"/>
  <c r="L82" i="10"/>
  <c r="I82" i="10"/>
  <c r="E82" i="10"/>
  <c r="K76" i="10"/>
  <c r="L69" i="10"/>
  <c r="K85" i="10"/>
  <c r="J86" i="10"/>
  <c r="J85" i="10"/>
  <c r="L40" i="10"/>
  <c r="J40" i="10"/>
  <c r="G40" i="10"/>
  <c r="H40" i="10"/>
  <c r="F40" i="10"/>
  <c r="L64" i="10"/>
  <c r="T64" i="10" s="1"/>
  <c r="I64" i="10"/>
  <c r="E64" i="10"/>
  <c r="I60" i="10"/>
  <c r="E60" i="10"/>
  <c r="K44" i="10"/>
  <c r="K43" i="10"/>
  <c r="K51" i="10"/>
  <c r="K49" i="10"/>
  <c r="K45" i="10"/>
  <c r="K53" i="10"/>
  <c r="I66" i="10"/>
  <c r="E66" i="10"/>
  <c r="I59" i="10"/>
  <c r="E59" i="10"/>
  <c r="L37" i="10"/>
  <c r="L36" i="10"/>
  <c r="K34" i="10"/>
  <c r="L34" i="10" s="1"/>
  <c r="L31" i="10"/>
  <c r="I31" i="10"/>
  <c r="E31" i="10"/>
  <c r="L26" i="10"/>
  <c r="L27" i="10"/>
  <c r="L20" i="10"/>
  <c r="L19" i="10"/>
  <c r="L18" i="10"/>
  <c r="K15" i="10"/>
  <c r="K13" i="10"/>
  <c r="K12" i="10"/>
  <c r="J33" i="10"/>
  <c r="I29" i="10"/>
  <c r="E29" i="10"/>
  <c r="I28" i="10"/>
  <c r="E28" i="10"/>
  <c r="Q64" i="10" l="1"/>
  <c r="R40" i="10"/>
  <c r="N40" i="10"/>
  <c r="T40" i="10"/>
  <c r="P40" i="10"/>
  <c r="Q66" i="10"/>
  <c r="L125" i="10"/>
  <c r="L172" i="10"/>
  <c r="J68" i="10"/>
  <c r="K68" i="10"/>
  <c r="L166" i="10"/>
  <c r="K40" i="10"/>
  <c r="I136" i="10"/>
  <c r="K141" i="10"/>
  <c r="L76" i="10"/>
  <c r="L68" i="10" s="1"/>
  <c r="L118" i="10"/>
  <c r="J21" i="10"/>
  <c r="S40" i="10" l="1"/>
  <c r="O40" i="10"/>
  <c r="H164" i="10"/>
  <c r="H160" i="10"/>
  <c r="H158" i="10"/>
  <c r="G145" i="10"/>
  <c r="G141" i="10" s="1"/>
  <c r="H145" i="10" l="1"/>
  <c r="H141" i="10" s="1"/>
  <c r="L145" i="10"/>
  <c r="L141" i="10" s="1"/>
  <c r="E163" i="10"/>
  <c r="E142" i="10"/>
  <c r="E144" i="10"/>
  <c r="E145" i="10"/>
  <c r="E143" i="10"/>
  <c r="E164" i="10"/>
  <c r="E158" i="10" l="1"/>
  <c r="H139" i="10"/>
  <c r="H135" i="10"/>
  <c r="H124" i="10"/>
  <c r="E139" i="10"/>
  <c r="E136" i="10" l="1"/>
  <c r="E137" i="10"/>
  <c r="E55" i="10" l="1"/>
  <c r="E38" i="10" l="1"/>
  <c r="H24" i="10" l="1"/>
  <c r="G24" i="10"/>
  <c r="F24" i="10"/>
  <c r="E56" i="10" l="1"/>
  <c r="E168" i="10" l="1"/>
  <c r="I162" i="10" l="1"/>
  <c r="E162" i="10"/>
  <c r="I161" i="10"/>
  <c r="E161" i="10"/>
  <c r="I150" i="10"/>
  <c r="E150" i="10"/>
  <c r="I149" i="10"/>
  <c r="E149" i="10"/>
  <c r="I145" i="10"/>
  <c r="I134" i="10"/>
  <c r="E134" i="10"/>
  <c r="I132" i="10"/>
  <c r="E132" i="10"/>
  <c r="I130" i="10"/>
  <c r="E130" i="10"/>
  <c r="I125" i="10"/>
  <c r="E125" i="10"/>
  <c r="I121" i="10"/>
  <c r="E121" i="10"/>
  <c r="I84" i="10"/>
  <c r="E84" i="10"/>
  <c r="I83" i="10"/>
  <c r="E83" i="10"/>
  <c r="I153" i="10" l="1"/>
  <c r="E173" i="10" l="1"/>
  <c r="I173" i="10" l="1"/>
  <c r="K106" i="10"/>
  <c r="L106" i="10"/>
  <c r="G106" i="10"/>
  <c r="H106" i="10"/>
  <c r="F106" i="10"/>
  <c r="I112" i="10"/>
  <c r="E112" i="10"/>
  <c r="J106" i="10"/>
  <c r="K88" i="10"/>
  <c r="J88" i="10"/>
  <c r="G88" i="10"/>
  <c r="H88" i="10"/>
  <c r="I50" i="10"/>
  <c r="E50" i="10"/>
  <c r="K11" i="10"/>
  <c r="L11" i="10"/>
  <c r="I35" i="10"/>
  <c r="E35" i="10"/>
  <c r="I30" i="10"/>
  <c r="E30" i="10"/>
  <c r="I16" i="10"/>
  <c r="E89" i="10" l="1"/>
  <c r="E88" i="10" s="1"/>
  <c r="I89" i="10"/>
  <c r="L88" i="10"/>
  <c r="K94" i="10"/>
  <c r="L94" i="10"/>
  <c r="J94" i="10"/>
  <c r="G94" i="10"/>
  <c r="H94" i="10"/>
  <c r="F94" i="10"/>
  <c r="I104" i="10"/>
  <c r="E104" i="10"/>
  <c r="I88" i="10" l="1"/>
  <c r="E17" i="10" l="1"/>
  <c r="I15" i="10" l="1"/>
  <c r="I159" i="10"/>
  <c r="E159" i="10"/>
  <c r="I156" i="10"/>
  <c r="E152" i="10"/>
  <c r="E154" i="10"/>
  <c r="E156" i="10"/>
  <c r="I154" i="10"/>
  <c r="I148" i="10"/>
  <c r="E148" i="10"/>
  <c r="I142" i="10"/>
  <c r="E174" i="10"/>
  <c r="I174" i="10"/>
  <c r="I171" i="10"/>
  <c r="E171" i="10"/>
  <c r="I168" i="10"/>
  <c r="I144" i="10"/>
  <c r="E138" i="10" l="1"/>
  <c r="I98" i="10" l="1"/>
  <c r="E98" i="10"/>
  <c r="I87" i="10"/>
  <c r="E87" i="10"/>
  <c r="I86" i="10" l="1"/>
  <c r="I61" i="10"/>
  <c r="E61" i="10"/>
  <c r="J11" i="10"/>
  <c r="J24" i="10"/>
  <c r="I32" i="10"/>
  <c r="E32" i="10"/>
  <c r="I14" i="10"/>
  <c r="I13" i="10"/>
  <c r="I12" i="10"/>
  <c r="I17" i="10"/>
  <c r="J10" i="10" l="1"/>
  <c r="I11" i="10"/>
  <c r="J114" i="10"/>
  <c r="I118" i="10"/>
  <c r="E118" i="10"/>
  <c r="I108" i="10"/>
  <c r="E108" i="10"/>
  <c r="I96" i="10"/>
  <c r="E96" i="10"/>
  <c r="I77" i="10"/>
  <c r="E77" i="10"/>
  <c r="E33" i="10" l="1"/>
  <c r="G11" i="10" l="1"/>
  <c r="G10" i="10" s="1"/>
  <c r="H11" i="10"/>
  <c r="H10" i="10" s="1"/>
  <c r="F11" i="10"/>
  <c r="F10" i="10" s="1"/>
  <c r="G39" i="10" l="1"/>
  <c r="G165" i="10" l="1"/>
  <c r="H165" i="10"/>
  <c r="I41" i="10" l="1"/>
  <c r="I147" i="10" l="1"/>
  <c r="E147" i="10"/>
  <c r="K176" i="10" l="1"/>
  <c r="L176" i="10"/>
  <c r="J176" i="10"/>
  <c r="G176" i="10"/>
  <c r="H176" i="10"/>
  <c r="F176" i="10"/>
  <c r="I152" i="10"/>
  <c r="I113" i="10"/>
  <c r="I110" i="10"/>
  <c r="I111" i="10"/>
  <c r="I107" i="10"/>
  <c r="I56" i="10"/>
  <c r="I109" i="10" l="1"/>
  <c r="I40" i="10"/>
  <c r="K39" i="10"/>
  <c r="S39" i="10" l="1"/>
  <c r="O39" i="10"/>
  <c r="I39" i="10"/>
  <c r="J39" i="10"/>
  <c r="L24" i="10" l="1"/>
  <c r="L10" i="10" s="1"/>
  <c r="K24" i="10"/>
  <c r="K10" i="10" s="1"/>
  <c r="I24" i="10" l="1"/>
  <c r="I37" i="10" l="1"/>
  <c r="E37" i="10"/>
  <c r="I169" i="10"/>
  <c r="E169" i="10"/>
  <c r="E160" i="10"/>
  <c r="I160" i="10" l="1"/>
  <c r="E135" i="10"/>
  <c r="E133" i="10"/>
  <c r="E85" i="10"/>
  <c r="I65" i="10"/>
  <c r="E65" i="10"/>
  <c r="I20" i="10"/>
  <c r="E20" i="10"/>
  <c r="E21" i="10"/>
  <c r="I85" i="10" l="1"/>
  <c r="I135" i="10"/>
  <c r="I33" i="10"/>
  <c r="I133" i="10"/>
  <c r="I21" i="10"/>
  <c r="I166" i="10"/>
  <c r="I68" i="10" l="1"/>
  <c r="E57" i="10" l="1"/>
  <c r="I157" i="10" l="1"/>
  <c r="E157" i="10"/>
  <c r="H140" i="10" l="1"/>
  <c r="G140" i="10" l="1"/>
  <c r="I36" i="10" l="1"/>
  <c r="E36" i="10"/>
  <c r="I151" i="10" l="1"/>
  <c r="E151" i="10"/>
  <c r="I117" i="10"/>
  <c r="E117" i="10"/>
  <c r="L114" i="10" l="1"/>
  <c r="E167" i="10"/>
  <c r="E172" i="10" l="1"/>
  <c r="I119" i="10" l="1"/>
  <c r="I120" i="10"/>
  <c r="E120" i="10"/>
  <c r="E119" i="10"/>
  <c r="E122" i="10" l="1"/>
  <c r="I42" i="10" l="1"/>
  <c r="E42" i="10"/>
  <c r="I58" i="10" l="1"/>
  <c r="E58" i="10"/>
  <c r="I48" i="10"/>
  <c r="E48" i="10"/>
  <c r="L93" i="10" l="1"/>
  <c r="I180" i="10"/>
  <c r="E180" i="10"/>
  <c r="E45" i="10" l="1"/>
  <c r="I57" i="10" l="1"/>
  <c r="E19" i="10" l="1"/>
  <c r="E18" i="10"/>
  <c r="E16" i="10"/>
  <c r="I19" i="10"/>
  <c r="I18" i="10"/>
  <c r="I54" i="10" l="1"/>
  <c r="I53" i="10"/>
  <c r="I47" i="10"/>
  <c r="I46" i="10"/>
  <c r="E181" i="10"/>
  <c r="E47" i="10"/>
  <c r="E46" i="10"/>
  <c r="E54" i="10"/>
  <c r="E53" i="10"/>
  <c r="I45" i="10"/>
  <c r="I44" i="10"/>
  <c r="I181" i="10"/>
  <c r="I176" i="10" l="1"/>
  <c r="I115" i="10"/>
  <c r="I141" i="10"/>
  <c r="E44" i="10"/>
  <c r="I34" i="10" l="1"/>
  <c r="E34" i="10"/>
  <c r="E179" i="10"/>
  <c r="E178" i="10"/>
  <c r="E177" i="10"/>
  <c r="H175" i="10"/>
  <c r="G175" i="10"/>
  <c r="F175" i="10"/>
  <c r="E129" i="10"/>
  <c r="E116" i="10"/>
  <c r="E113" i="10"/>
  <c r="E111" i="10"/>
  <c r="E110" i="10"/>
  <c r="E109" i="10"/>
  <c r="E107" i="10"/>
  <c r="H105" i="10"/>
  <c r="G105" i="10"/>
  <c r="F105" i="10"/>
  <c r="E103" i="10"/>
  <c r="E102" i="10"/>
  <c r="E101" i="10"/>
  <c r="E100" i="10"/>
  <c r="E99" i="10"/>
  <c r="E95" i="10"/>
  <c r="H93" i="10"/>
  <c r="E81" i="10"/>
  <c r="E80" i="10"/>
  <c r="E79" i="10"/>
  <c r="E78" i="10"/>
  <c r="E76" i="10"/>
  <c r="E75" i="10"/>
  <c r="E74" i="10"/>
  <c r="E73" i="10"/>
  <c r="E72" i="10"/>
  <c r="E71" i="10"/>
  <c r="E70" i="10"/>
  <c r="E69" i="10"/>
  <c r="H67" i="10"/>
  <c r="G67" i="10"/>
  <c r="E63" i="10"/>
  <c r="E62" i="10"/>
  <c r="E52" i="10"/>
  <c r="E51" i="10"/>
  <c r="E49" i="10"/>
  <c r="E41" i="10"/>
  <c r="H39" i="10"/>
  <c r="F39" i="10"/>
  <c r="E27" i="10"/>
  <c r="E26" i="10"/>
  <c r="E25" i="10"/>
  <c r="E23" i="10"/>
  <c r="E22" i="10"/>
  <c r="E15" i="10"/>
  <c r="E14" i="10"/>
  <c r="E13" i="10"/>
  <c r="R39" i="10" l="1"/>
  <c r="N39" i="10"/>
  <c r="H9" i="10"/>
  <c r="G9" i="10"/>
  <c r="H114" i="10"/>
  <c r="G114" i="10"/>
  <c r="F114" i="10"/>
  <c r="E97" i="10"/>
  <c r="G93" i="10"/>
  <c r="E86" i="10"/>
  <c r="E68" i="10"/>
  <c r="E43" i="10"/>
  <c r="E124" i="10"/>
  <c r="E24" i="10"/>
  <c r="E12" i="10"/>
  <c r="E11" i="10"/>
  <c r="E106" i="10"/>
  <c r="E105" i="10" s="1"/>
  <c r="F140" i="10"/>
  <c r="F93" i="10"/>
  <c r="F165" i="10"/>
  <c r="E176" i="10"/>
  <c r="H182" i="10" l="1"/>
  <c r="G182" i="10"/>
  <c r="E67" i="10"/>
  <c r="E175" i="10"/>
  <c r="E141" i="10"/>
  <c r="E94" i="10"/>
  <c r="E93" i="10" s="1"/>
  <c r="E40" i="10"/>
  <c r="F67" i="10"/>
  <c r="E115" i="10"/>
  <c r="E166" i="10"/>
  <c r="E10" i="10"/>
  <c r="E9" i="10" s="1"/>
  <c r="F9" i="10"/>
  <c r="Q40" i="10" l="1"/>
  <c r="M40" i="10"/>
  <c r="F182" i="10"/>
  <c r="E182" i="10" s="1"/>
  <c r="E165" i="10"/>
  <c r="E39" i="10"/>
  <c r="E140" i="10"/>
  <c r="E114" i="10"/>
  <c r="Q39" i="10" l="1"/>
  <c r="M39" i="10"/>
  <c r="I22" i="10"/>
  <c r="I23" i="10"/>
  <c r="I25" i="10"/>
  <c r="I26" i="10"/>
  <c r="I27" i="10"/>
  <c r="I43" i="10"/>
  <c r="I49" i="10"/>
  <c r="I51" i="10"/>
  <c r="I52" i="10"/>
  <c r="I62" i="10"/>
  <c r="I63" i="10"/>
  <c r="I69" i="10"/>
  <c r="I70" i="10"/>
  <c r="I71" i="10"/>
  <c r="I72" i="10"/>
  <c r="I73" i="10"/>
  <c r="I74" i="10"/>
  <c r="I75" i="10"/>
  <c r="I76" i="10"/>
  <c r="I78" i="10"/>
  <c r="I79" i="10"/>
  <c r="I80" i="10"/>
  <c r="I81" i="10"/>
  <c r="I95" i="10"/>
  <c r="I97" i="10"/>
  <c r="I99" i="10"/>
  <c r="I100" i="10"/>
  <c r="I101" i="10"/>
  <c r="I102" i="10"/>
  <c r="I103" i="10"/>
  <c r="I116" i="10"/>
  <c r="I122" i="10"/>
  <c r="I124" i="10"/>
  <c r="I129" i="10"/>
  <c r="I143" i="10"/>
  <c r="I167" i="10"/>
  <c r="I172" i="10"/>
  <c r="I177" i="10"/>
  <c r="I178" i="10"/>
  <c r="I179" i="10"/>
  <c r="I10" i="10" l="1"/>
  <c r="K9" i="10"/>
  <c r="J140" i="10"/>
  <c r="K105" i="10"/>
  <c r="L105" i="10"/>
  <c r="J105" i="10"/>
  <c r="J175" i="10"/>
  <c r="K175" i="10"/>
  <c r="L175" i="10"/>
  <c r="K165" i="10"/>
  <c r="L165" i="10"/>
  <c r="L140" i="10"/>
  <c r="K114" i="10"/>
  <c r="L67" i="10"/>
  <c r="L39" i="10"/>
  <c r="K67" i="10"/>
  <c r="K93" i="10"/>
  <c r="J165" i="10"/>
  <c r="J93" i="10"/>
  <c r="K140" i="10"/>
  <c r="I106" i="10"/>
  <c r="I94" i="10"/>
  <c r="J67" i="10"/>
  <c r="T39" i="10" l="1"/>
  <c r="P39" i="10"/>
  <c r="K182" i="10"/>
  <c r="I175" i="10"/>
  <c r="I165" i="10"/>
  <c r="I105" i="10"/>
  <c r="I140" i="10"/>
  <c r="I114" i="10"/>
  <c r="L9" i="10"/>
  <c r="L182" i="10" s="1"/>
  <c r="I93" i="10"/>
  <c r="I67" i="10"/>
  <c r="J9" i="10"/>
  <c r="J182" i="10" s="1"/>
  <c r="N182" i="10" l="1"/>
  <c r="R182" i="10"/>
  <c r="S182" i="10"/>
  <c r="O182" i="10"/>
  <c r="T182" i="10"/>
  <c r="I9" i="10"/>
  <c r="T9" i="10"/>
  <c r="S9" i="10"/>
  <c r="Q9" i="10"/>
  <c r="N9" i="10"/>
  <c r="R9" i="10"/>
  <c r="M9" i="10" l="1"/>
  <c r="I182" i="10"/>
  <c r="M182" i="10" l="1"/>
  <c r="Q182" i="10"/>
</calcChain>
</file>

<file path=xl/sharedStrings.xml><?xml version="1.0" encoding="utf-8"?>
<sst xmlns="http://schemas.openxmlformats.org/spreadsheetml/2006/main" count="643" uniqueCount="408">
  <si>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</si>
  <si>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</si>
  <si>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</si>
  <si>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</si>
  <si>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</si>
  <si>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</si>
  <si>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</si>
  <si>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</si>
  <si>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</si>
  <si>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</si>
  <si>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</si>
  <si>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</si>
  <si>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</si>
  <si>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</si>
  <si>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</si>
  <si>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</si>
  <si>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</si>
  <si>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</si>
  <si>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</si>
  <si>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</si>
  <si>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</si>
  <si>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</si>
  <si>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</si>
  <si>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</si>
  <si>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</si>
  <si>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</si>
  <si>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</si>
  <si>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</si>
  <si>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</si>
  <si>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</si>
  <si>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</si>
  <si>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</si>
  <si>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</si>
  <si>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Надання пільг окремим категоріям громадян з оплати послуг зв'язку</t>
  </si>
  <si>
    <t>3112</t>
  </si>
  <si>
    <t>4060</t>
  </si>
  <si>
    <t>0824</t>
  </si>
  <si>
    <t>0828</t>
  </si>
  <si>
    <t>0829</t>
  </si>
  <si>
    <t>0610</t>
  </si>
  <si>
    <t>6030</t>
  </si>
  <si>
    <t>0456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</si>
  <si>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</si>
  <si>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</si>
  <si>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</si>
  <si>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</si>
  <si>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</si>
  <si>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</si>
  <si>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</si>
  <si>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</si>
  <si>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</si>
  <si>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</si>
  <si>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</si>
  <si>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</si>
  <si>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</si>
  <si>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Організація благоустрою  населених пунктів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</si>
  <si>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</si>
  <si>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</si>
  <si>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</si>
  <si>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</si>
  <si>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</si>
  <si>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</si>
  <si>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</si>
  <si>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</si>
  <si>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</si>
  <si>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</si>
  <si>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</si>
  <si>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</si>
  <si>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</si>
  <si>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</si>
  <si>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</si>
  <si>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</si>
  <si>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</si>
  <si>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</si>
  <si>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</si>
  <si>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</si>
  <si>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</si>
  <si>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</si>
  <si>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</si>
  <si>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</si>
  <si>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</si>
  <si>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</si>
  <si>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</si>
  <si>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</si>
  <si>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</si>
  <si>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</si>
  <si>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</si>
  <si>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1110160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</si>
  <si>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</si>
  <si>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</si>
  <si>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</si>
  <si>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</si>
  <si>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</si>
  <si>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</si>
  <si>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</si>
  <si>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</si>
  <si>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</si>
  <si>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</si>
  <si>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</si>
  <si>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</si>
  <si>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</si>
  <si>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</si>
  <si>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</si>
  <si>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</si>
  <si>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</si>
  <si>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</si>
  <si>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</si>
  <si>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</si>
  <si>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</si>
  <si>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</si>
  <si>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</si>
  <si>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</si>
  <si>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</si>
  <si>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</si>
  <si>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</si>
  <si>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</si>
  <si>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</si>
  <si>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</si>
  <si>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</si>
  <si>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</si>
  <si>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</si>
  <si>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</si>
  <si>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 xml:space="preserve">Інша діяльність у сфері державного управління </t>
  </si>
  <si>
    <t>3104</t>
  </si>
  <si>
    <t>0813104</t>
  </si>
  <si>
    <t>1217461</t>
  </si>
  <si>
    <t>6012</t>
  </si>
  <si>
    <t>1216012</t>
  </si>
  <si>
    <t>Забезпечення діяльності з виробництва, транспортування, постачання теплової енергії</t>
  </si>
  <si>
    <t>0763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</si>
  <si>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</si>
  <si>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</si>
  <si>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</si>
  <si>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</si>
  <si>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</si>
  <si>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</si>
  <si>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</si>
  <si>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</si>
  <si>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</si>
  <si>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</si>
  <si>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</si>
  <si>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</si>
  <si>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</si>
  <si>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</si>
  <si>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</si>
  <si>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</si>
  <si>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</si>
  <si>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</si>
  <si>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</si>
  <si>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</si>
  <si>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</si>
  <si>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</si>
  <si>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</si>
  <si>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</si>
  <si>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</si>
  <si>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Інші програми та заходи у сфері освіти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</si>
  <si>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</si>
  <si>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</si>
  <si>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</si>
  <si>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</si>
  <si>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</si>
  <si>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3719800</t>
  </si>
  <si>
    <t>Багатопрофільна стаціонарна медична допомога населенню</t>
  </si>
  <si>
    <t>9770</t>
  </si>
  <si>
    <t>Інші субвенції з місцевого бюджету</t>
  </si>
  <si>
    <t>3719770</t>
  </si>
  <si>
    <t>0810180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</si>
  <si>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</si>
  <si>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</si>
  <si>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</si>
  <si>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</si>
  <si>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</si>
  <si>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</si>
  <si>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</si>
  <si>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</si>
  <si>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</si>
  <si>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</si>
  <si>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</si>
  <si>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</si>
  <si>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</si>
  <si>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</si>
  <si>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</si>
  <si>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спеціальний фонд</t>
  </si>
  <si>
    <t>загальний  фонд</t>
  </si>
  <si>
    <t>всього</t>
  </si>
  <si>
    <t xml:space="preserve">з них </t>
  </si>
  <si>
    <t>в тому числ:</t>
  </si>
  <si>
    <t>Темп росту, %</t>
  </si>
  <si>
    <t>Начальник фінансового управління</t>
  </si>
  <si>
    <t>0218210</t>
  </si>
  <si>
    <t>8210</t>
  </si>
  <si>
    <t>Муніципальні формування з охорони громадського порядку</t>
  </si>
  <si>
    <t>2152</t>
  </si>
  <si>
    <t>0611021</t>
  </si>
  <si>
    <t>0611022</t>
  </si>
  <si>
    <t>1021</t>
  </si>
  <si>
    <t>1022</t>
  </si>
  <si>
    <t>Надання спеціальної освіти мистецькими школами</t>
  </si>
  <si>
    <t>1011080</t>
  </si>
  <si>
    <t>1080</t>
  </si>
  <si>
    <t>0611031</t>
  </si>
  <si>
    <t>1031</t>
  </si>
  <si>
    <t>0611032</t>
  </si>
  <si>
    <t>1032</t>
  </si>
  <si>
    <t>0611141</t>
  </si>
  <si>
    <t>1141</t>
  </si>
  <si>
    <t>0611142</t>
  </si>
  <si>
    <t>1142</t>
  </si>
  <si>
    <t>0611151</t>
  </si>
  <si>
    <t>1151</t>
  </si>
  <si>
    <t xml:space="preserve">Забезпечення діяльності інклюзивно - ресурсних центрів  за  рахунок  коштів  місцевого бюджету </t>
  </si>
  <si>
    <t>0611152</t>
  </si>
  <si>
    <t>1152</t>
  </si>
  <si>
    <t>Забезпечення діяльності інклюзивно - ресурсних центрів  за  рахунок  освітньої  субвенції</t>
  </si>
  <si>
    <t>Виконавчий комітет Чорноморської міської ради Одеського району  Одеської області</t>
  </si>
  <si>
    <t>Виконавчий комітет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</si>
  <si>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</si>
  <si>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Відділ  культури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</si>
  <si>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</si>
  <si>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Управління комунальної  власності  та земельних відносин Чорноморської 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</si>
  <si>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</si>
  <si>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Фінансове управління Чорноморської міської ради Одеського району 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</si>
  <si>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</si>
  <si>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</si>
  <si>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</si>
  <si>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Ольга ЯКОВЕНКО</t>
  </si>
  <si>
    <t>Відділ комунального господарства та благоустрою Чорноморської  міської ради Одеського району Одеської області</t>
  </si>
  <si>
    <t>0380</t>
  </si>
  <si>
    <t>Стоматологічна допомога населенню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</si>
  <si>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</si>
  <si>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</si>
  <si>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</si>
  <si>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</si>
  <si>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</si>
  <si>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</si>
  <si>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0611061</t>
  </si>
  <si>
    <t>1061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</si>
  <si>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</si>
  <si>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 освіти, заходи із позашкільної роботи з дітьми</t>
  </si>
  <si>
    <t>0610180</t>
  </si>
  <si>
    <t>1210180</t>
  </si>
  <si>
    <t>1516030</t>
  </si>
  <si>
    <t>0218230</t>
  </si>
  <si>
    <t>8230</t>
  </si>
  <si>
    <t>Інші заходи громадського порядку та безпеки</t>
  </si>
  <si>
    <t>7390</t>
  </si>
  <si>
    <t>Розвиток мережі центрів надання адміністративних послуг</t>
  </si>
  <si>
    <t>Керівництво і управління у відповідній сфері у містах (місті Києві), селищах, селах, територіальних громадах</t>
  </si>
  <si>
    <t>1517390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</si>
  <si>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</si>
  <si>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</si>
  <si>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</si>
  <si>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</si>
  <si>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</si>
  <si>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0618110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</si>
  <si>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</si>
  <si>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</si>
  <si>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Інші заходи, пов`язані з економічною діяльністю</t>
  </si>
  <si>
    <t>Заходи та роботи з територіальної оборони</t>
  </si>
  <si>
    <t>1518110</t>
  </si>
  <si>
    <t>3116017</t>
  </si>
  <si>
    <t>Інша діяльність, пов`язана з експлуатацією об`єктів житлово-комунального господарства</t>
  </si>
  <si>
    <t>8240</t>
  </si>
  <si>
    <t>0218240</t>
  </si>
  <si>
    <t>Відхилення, грн</t>
  </si>
  <si>
    <t>Забезпечення діяльності центрів професійного розвитку педагогічних працівників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</si>
  <si>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</si>
  <si>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</si>
  <si>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1516011</t>
  </si>
  <si>
    <t>Надання  загальної  середньої  освіти  закладами  загальної  середньої  освіти за  рахунок коштів  місцевого  бюджету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</si>
  <si>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розвитку, за  рахунок  місцевого бюджету</t>
  </si>
  <si>
    <t>Надання  загальної  середньої  освіти  закладами  загальної  середньої  освіти за  рахунок  освітньої  субвенції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</si>
  <si>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 за рахунок  освітньої  субвенції</t>
  </si>
  <si>
    <t>Управління освіти Чорноморської  міської ради Одеського району Одеської області</t>
  </si>
  <si>
    <t>Управління освіти Чорноморської  міської ради  Одеського району Одеської області</t>
  </si>
  <si>
    <t>Відділ молоді та спорту Чорноморської  міської ради  Одеського району Одеської області</t>
  </si>
  <si>
    <t>Відділ молоді та спорту Чорноморської  міської ради Одеського району Одеської області</t>
  </si>
  <si>
    <t>0813123</t>
  </si>
  <si>
    <t>3123</t>
  </si>
  <si>
    <t>Заходи державної політики з питань сім'ї</t>
  </si>
  <si>
    <t>1010180</t>
  </si>
  <si>
    <t>1110180</t>
  </si>
  <si>
    <t>0217680</t>
  </si>
  <si>
    <t>7680</t>
  </si>
  <si>
    <t>Членські внески до асоціацій органів місцевого самоврядування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</si>
  <si>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</si>
  <si>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</si>
  <si>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</si>
  <si>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0818110</t>
  </si>
  <si>
    <t>8110</t>
  </si>
  <si>
    <t>Заходи із запобігання поширенню інфекційних захворювань за рахунок коштів резервного фонду місцевого бюджету</t>
  </si>
  <si>
    <t>1510180</t>
  </si>
  <si>
    <t>3110180</t>
  </si>
  <si>
    <t>0443</t>
  </si>
  <si>
    <t>Розроблення схем планування та забудови територій (містобудівної документації)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</si>
  <si>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</si>
  <si>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1516012</t>
  </si>
  <si>
    <t>1517321</t>
  </si>
  <si>
    <t>7321</t>
  </si>
  <si>
    <t>Будівництво освітніх установ та закладів</t>
  </si>
  <si>
    <t>1517370</t>
  </si>
  <si>
    <t>7370</t>
  </si>
  <si>
    <t>Реалізація інших заходів щодо соціально-економічного розвитку територій</t>
  </si>
  <si>
    <t>1517640</t>
  </si>
  <si>
    <t>7640</t>
  </si>
  <si>
    <t>0470</t>
  </si>
  <si>
    <t>Заходи з енергозбереження</t>
  </si>
  <si>
    <t>1018110</t>
  </si>
  <si>
    <t>0217390</t>
  </si>
  <si>
    <t>0218220</t>
  </si>
  <si>
    <t>Заходи та роботи з мобілізаційної підготовки місцевого значення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</si>
  <si>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</si>
  <si>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</si>
  <si>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</si>
  <si>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</si>
  <si>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0900000</t>
  </si>
  <si>
    <t/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</si>
  <si>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</si>
  <si>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</si>
  <si>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</si>
  <si>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</si>
  <si>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</si>
  <si>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</si>
  <si>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</si>
  <si>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</si>
  <si>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</si>
  <si>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</si>
  <si>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</si>
  <si>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</si>
  <si>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</si>
  <si>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1216015</t>
  </si>
  <si>
    <t>6015</t>
  </si>
  <si>
    <t>Забезпечення надійної та безперебійної експлуатації ліфтів</t>
  </si>
  <si>
    <t>1217310</t>
  </si>
  <si>
    <t>7310</t>
  </si>
  <si>
    <t>Будівництво об'єктів житлово-комунального господарства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</si>
  <si>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</si>
  <si>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</si>
  <si>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8340</t>
  </si>
  <si>
    <t>0540</t>
  </si>
  <si>
    <t>Природоохоронні заходи за рахунок цільових фондів</t>
  </si>
  <si>
    <t>1516013</t>
  </si>
  <si>
    <t>1516015</t>
  </si>
  <si>
    <t>1517310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</si>
  <si>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</si>
  <si>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</si>
  <si>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</si>
  <si>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</si>
  <si>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</si>
  <si>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у 16 разів</t>
  </si>
  <si>
    <t>0611130,                   0611160</t>
  </si>
  <si>
    <t>Виконано за  2022 рік, грн</t>
  </si>
  <si>
    <t>Виконано за  2023 рік, грн</t>
  </si>
  <si>
    <t>0218340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</si>
  <si>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</si>
  <si>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</si>
  <si>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</t>
  </si>
  <si>
    <t>0640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</si>
  <si>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</si>
  <si>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t>Інші заходи за рахунок коштів резервного фонду місцевого бюджету</t>
  </si>
  <si>
    <t>1517461</t>
  </si>
  <si>
    <t>1518742</t>
  </si>
  <si>
    <t>8742</t>
  </si>
  <si>
    <t>Заходи із запобігання та ліквідації наслідків надзвичайної ситуації в каналізаційній системі</t>
  </si>
  <si>
    <t>0217351</t>
  </si>
  <si>
    <t>Розроблення комплексних планів просторового розвитку територій територіальних громад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</si>
  <si>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</si>
  <si>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</si>
  <si>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</si>
  <si>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</si>
  <si>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</si>
  <si>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</si>
  <si>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</si>
  <si>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0618240</t>
  </si>
  <si>
    <t>0611272</t>
  </si>
  <si>
    <t>1272</t>
  </si>
  <si>
    <t>Реалізація заходів за рахунок освітньої субвенції з державного бюджетуи місцевим бюджетам (за спеціальним фондом державного бюджету)</t>
  </si>
  <si>
    <t>0617372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</si>
  <si>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</si>
  <si>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</si>
  <si>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</si>
  <si>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</si>
  <si>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0910180</t>
  </si>
  <si>
    <t>1217370</t>
  </si>
  <si>
    <t>1217375</t>
  </si>
  <si>
    <t>7375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</si>
  <si>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</si>
  <si>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1217376</t>
  </si>
  <si>
    <t>7376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</si>
  <si>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</si>
  <si>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</si>
  <si>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Внески до статутного капіталу суб'єктів господарювання</t>
  </si>
  <si>
    <t>1512111</t>
  </si>
  <si>
    <t>2111</t>
  </si>
  <si>
    <t>1517368</t>
  </si>
  <si>
    <t>7368</t>
  </si>
  <si>
    <t>Виконання інвестиційних проектів за рахунок субвенцій з інших бюджетів</t>
  </si>
  <si>
    <t>3117130</t>
  </si>
  <si>
    <t>7130</t>
  </si>
  <si>
    <t>0421</t>
  </si>
  <si>
    <t>Здійснення заходів із землеустрою</t>
  </si>
  <si>
    <t>у 10 разів</t>
  </si>
  <si>
    <t>у 83 рази</t>
  </si>
  <si>
    <t>у 18 разів</t>
  </si>
  <si>
    <t>у 12 разів</t>
  </si>
  <si>
    <t>у 11 разів</t>
  </si>
  <si>
    <t>у 21 разів</t>
  </si>
  <si>
    <t>Показники  бюджету Чорноморської міської територіальної громади за видатками  2023 року  порівняно з аналогічними показниками за 2022 рік із зазначенням динаміки їх зміни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</si>
</sst>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9" fillId="0" borderId="0"/>
    <xf numFmtId="0" fontId="8" fillId="0" borderId="0"/>
  </cellStyleXfs>
  <cellXfs count="77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164" fontId="3" fillId="2" borderId="0" xfId="2" applyNumberFormat="1" applyFont="1" applyFill="1"/>
    <xf numFmtId="0" fontId="3" fillId="2" borderId="0" xfId="2" applyFont="1" applyFill="1"/>
    <xf numFmtId="4" fontId="3" fillId="2" borderId="0" xfId="0" applyNumberFormat="1" applyFont="1" applyFill="1"/>
    <xf numFmtId="2" fontId="3" fillId="2" borderId="0" xfId="0" applyNumberFormat="1" applyFont="1" applyFill="1"/>
    <xf numFmtId="3" fontId="3" fillId="2" borderId="0" xfId="2" applyNumberFormat="1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4" fillId="2" borderId="1" xfId="2" applyFont="1" applyFill="1" applyBorder="1" applyAlignment="1">
      <alignment horizontal="left" vertical="center" wrapText="1"/>
    </xf>
    <xf numFmtId="4" fontId="4" fillId="2" borderId="1" xfId="2" applyNumberFormat="1" applyFont="1" applyFill="1" applyBorder="1" applyAlignment="1">
      <alignment horizontal="left" vertical="center" wrapText="1"/>
    </xf>
    <xf numFmtId="166" fontId="4" fillId="2" borderId="1" xfId="2" applyNumberFormat="1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left" vertical="center"/>
    </xf>
    <xf numFmtId="0" fontId="5" fillId="2" borderId="1" xfId="2" applyFont="1" applyFill="1" applyBorder="1" applyAlignment="1">
      <alignment horizontal="left" vertical="center" wrapText="1"/>
    </xf>
    <xf numFmtId="4" fontId="5" fillId="2" borderId="1" xfId="2" applyNumberFormat="1" applyFont="1" applyFill="1" applyBorder="1" applyAlignment="1">
      <alignment horizontal="left" vertical="center"/>
    </xf>
    <xf numFmtId="166" fontId="5" fillId="2" borderId="1" xfId="2" applyNumberFormat="1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0" fontId="3" fillId="2" borderId="1" xfId="3" applyFont="1" applyFill="1" applyBorder="1" applyAlignment="1">
      <alignment horizontal="left" vertical="center" wrapText="1"/>
    </xf>
    <xf numFmtId="49" fontId="3" fillId="2" borderId="1" xfId="2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4" fillId="2" borderId="1" xfId="2" applyFont="1" applyFill="1" applyBorder="1" applyAlignment="1">
      <alignment horizontal="left" vertical="center"/>
    </xf>
    <xf numFmtId="49" fontId="6" fillId="2" borderId="1" xfId="4" applyNumberFormat="1" applyFont="1" applyFill="1" applyBorder="1" applyAlignment="1">
      <alignment horizontal="left" vertical="center" wrapText="1"/>
    </xf>
    <xf numFmtId="0" fontId="6" fillId="2" borderId="1" xfId="4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>
      <alignment horizontal="left" vertical="center"/>
    </xf>
    <xf numFmtId="0" fontId="7" fillId="2" borderId="1" xfId="4" applyFont="1" applyFill="1" applyBorder="1" applyAlignment="1">
      <alignment horizontal="left" vertical="center" wrapText="1"/>
    </xf>
    <xf numFmtId="0" fontId="10" fillId="2" borderId="1" xfId="4" applyFont="1" applyFill="1" applyBorder="1" applyAlignment="1">
      <alignment horizontal="left" vertical="center" wrapText="1"/>
    </xf>
    <xf numFmtId="0" fontId="10" fillId="2" borderId="1" xfId="4" quotePrefix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6" fillId="2" borderId="5" xfId="4" quotePrefix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1" xfId="4" applyFont="1" applyFill="1" applyBorder="1" applyAlignment="1">
      <alignment horizontal="center" vertical="center" wrapText="1"/>
    </xf>
    <xf numFmtId="49" fontId="6" fillId="2" borderId="1" xfId="4" applyNumberFormat="1" applyFont="1" applyFill="1" applyBorder="1" applyAlignment="1">
      <alignment horizontal="center" vertical="center" wrapText="1"/>
    </xf>
    <xf numFmtId="0" fontId="6" fillId="2" borderId="1" xfId="4" quotePrefix="1" applyFont="1" applyFill="1" applyBorder="1" applyAlignment="1">
      <alignment horizontal="left" vertical="center" wrapText="1"/>
    </xf>
    <xf numFmtId="166" fontId="3" fillId="2" borderId="1" xfId="2" applyNumberFormat="1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left" vertical="center" wrapText="1"/>
    </xf>
    <xf numFmtId="4" fontId="3" fillId="2" borderId="1" xfId="2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3" fillId="2" borderId="1" xfId="4" applyNumberFormat="1" applyFont="1" applyFill="1" applyBorder="1" applyAlignment="1">
      <alignment horizontal="center" vertical="center"/>
    </xf>
    <xf numFmtId="49" fontId="10" fillId="2" borderId="1" xfId="4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2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49" fontId="6" fillId="2" borderId="1" xfId="4" applyNumberFormat="1" applyFont="1" applyFill="1" applyBorder="1" applyAlignment="1">
      <alignment vertical="center" wrapText="1"/>
    </xf>
    <xf numFmtId="0" fontId="6" fillId="2" borderId="1" xfId="4" quotePrefix="1" applyFont="1" applyFill="1" applyBorder="1" applyAlignment="1">
      <alignment vertical="center" wrapText="1"/>
    </xf>
    <xf numFmtId="0" fontId="6" fillId="2" borderId="1" xfId="4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wrapText="1"/>
    </xf>
    <xf numFmtId="0" fontId="7" fillId="2" borderId="1" xfId="4" applyFont="1" applyFill="1" applyBorder="1" applyAlignment="1">
      <alignment vertical="center" wrapText="1"/>
    </xf>
    <xf numFmtId="165" fontId="3" fillId="2" borderId="0" xfId="0" applyNumberFormat="1" applyFont="1" applyFill="1"/>
    <xf numFmtId="3" fontId="3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3" xfId="1" applyNumberFormat="1" applyFont="1" applyFill="1" applyBorder="1" applyAlignment="1" applyProtection="1">
      <alignment horizontal="center" vertical="center" wrapText="1"/>
    </xf>
    <xf numFmtId="49" fontId="3" fillId="2" borderId="4" xfId="1" applyNumberFormat="1" applyFont="1" applyFill="1" applyBorder="1" applyAlignment="1" applyProtection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</cellXfs>
  <cellStyles count="6">
    <cellStyle name="Звичайний" xfId="0" builtinId="0"/>
    <cellStyle name="Звичайний 2" xfId="4"/>
    <cellStyle name="Обычный 2" xfId="5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1"/>
  <sheetViews>
    <sheetView showZeros="0" tabSelected="1" view="pageBreakPreview" zoomScale="42" zoomScaleNormal="75" zoomScaleSheetLayoutView="42" workbookViewId="0">
      <pane xSplit="4" ySplit="8" topLeftCell="E83" activePane="bottomRight" state="frozen"/>
      <selection pane="topRight" activeCell="E1" sqref="E1"/>
      <selection pane="bottomLeft" activeCell="A13" sqref="A13"/>
      <selection pane="bottomRight" activeCell="A2" sqref="A2:T2"/>
    </sheetView>
  </sheetViews>
  <sheetFormatPr defaultColWidth="8.85546875" defaultRowHeight="18.75" x14ac:dyDescent="0.3"/>
  <cols>
    <col min="1" max="1" width="15.28515625" style="51" customWidth="1"/>
    <col min="2" max="2" width="11.42578125" style="2" customWidth="1"/>
    <col min="3" max="3" width="14.28515625" style="2" customWidth="1"/>
    <col min="4" max="4" width="53.28515625" style="1" customWidth="1"/>
    <col min="5" max="5" width="20.85546875" style="1" customWidth="1"/>
    <col min="6" max="6" width="22.5703125" style="1" customWidth="1"/>
    <col min="7" max="7" width="19.28515625" style="1" customWidth="1"/>
    <col min="8" max="8" width="19.7109375" style="1" customWidth="1"/>
    <col min="9" max="9" width="22.42578125" style="1" customWidth="1"/>
    <col min="10" max="10" width="19.7109375" style="1" customWidth="1"/>
    <col min="11" max="11" width="19.140625" style="1" customWidth="1"/>
    <col min="12" max="12" width="21.5703125" style="1" customWidth="1"/>
    <col min="13" max="13" width="14.140625" style="1" customWidth="1"/>
    <col min="14" max="14" width="14.5703125" style="1" customWidth="1"/>
    <col min="15" max="15" width="14.42578125" style="1" customWidth="1"/>
    <col min="16" max="16" width="15.7109375" style="1" customWidth="1"/>
    <col min="17" max="17" width="21.140625" style="1" customWidth="1"/>
    <col min="18" max="18" width="20.140625" style="1" customWidth="1"/>
    <col min="19" max="19" width="19.140625" style="1" customWidth="1"/>
    <col min="20" max="20" width="20" style="1" customWidth="1"/>
    <col min="21" max="21" width="14.28515625" style="1" bestFit="1" customWidth="1"/>
    <col min="22" max="16384" width="8.85546875" style="1"/>
  </cols>
  <sheetData>
    <row r="1" spans="1:21" x14ac:dyDescent="0.3">
      <c r="A1" s="53"/>
      <c r="E1" s="52"/>
      <c r="F1" s="52"/>
      <c r="G1" s="52"/>
      <c r="H1" s="52"/>
      <c r="I1" s="52"/>
      <c r="J1" s="52"/>
      <c r="K1" s="54"/>
      <c r="L1" s="52"/>
      <c r="M1" s="52"/>
      <c r="N1" s="54"/>
    </row>
    <row r="2" spans="1:21" ht="59.25" customHeight="1" x14ac:dyDescent="0.3">
      <c r="A2" s="71" t="s">
        <v>407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1" ht="20.45" customHeight="1" x14ac:dyDescent="0.3">
      <c r="A3" s="72" t="s">
        <v>168</v>
      </c>
      <c r="B3" s="72" t="s">
        <v>169</v>
      </c>
      <c r="C3" s="75" t="s">
        <v>170</v>
      </c>
      <c r="D3" s="76" t="s">
        <v>171</v>
      </c>
      <c r="E3" s="68" t="s">
        <v>351</v>
      </c>
      <c r="F3" s="69"/>
      <c r="G3" s="69"/>
      <c r="H3" s="70"/>
      <c r="I3" s="68" t="s">
        <v>352</v>
      </c>
      <c r="J3" s="69"/>
      <c r="K3" s="69"/>
      <c r="L3" s="70"/>
      <c r="M3" s="68" t="s">
        <v>187</v>
      </c>
      <c r="N3" s="69"/>
      <c r="O3" s="69"/>
      <c r="P3" s="70"/>
      <c r="Q3" s="68" t="s">
        <v>264</v>
      </c>
      <c r="R3" s="69"/>
      <c r="S3" s="69"/>
      <c r="T3" s="70"/>
    </row>
    <row r="4" spans="1:21" ht="25.5" customHeight="1" x14ac:dyDescent="0.3">
      <c r="A4" s="73"/>
      <c r="B4" s="73"/>
      <c r="C4" s="75"/>
      <c r="D4" s="76"/>
      <c r="E4" s="66" t="s">
        <v>184</v>
      </c>
      <c r="F4" s="66" t="s">
        <v>186</v>
      </c>
      <c r="G4" s="66"/>
      <c r="H4" s="66"/>
      <c r="I4" s="66" t="s">
        <v>184</v>
      </c>
      <c r="J4" s="66" t="s">
        <v>186</v>
      </c>
      <c r="K4" s="66"/>
      <c r="L4" s="66"/>
      <c r="M4" s="66" t="s">
        <v>184</v>
      </c>
      <c r="N4" s="66" t="s">
        <v>186</v>
      </c>
      <c r="O4" s="66"/>
      <c r="P4" s="66"/>
      <c r="Q4" s="66" t="s">
        <v>184</v>
      </c>
      <c r="R4" s="66" t="s">
        <v>186</v>
      </c>
      <c r="S4" s="66"/>
      <c r="T4" s="66"/>
    </row>
    <row r="5" spans="1:21" ht="15" customHeight="1" x14ac:dyDescent="0.3">
      <c r="A5" s="73"/>
      <c r="B5" s="73"/>
      <c r="C5" s="75"/>
      <c r="D5" s="76"/>
      <c r="E5" s="66"/>
      <c r="F5" s="66" t="s">
        <v>183</v>
      </c>
      <c r="G5" s="66" t="s">
        <v>182</v>
      </c>
      <c r="H5" s="66"/>
      <c r="I5" s="66"/>
      <c r="J5" s="66" t="s">
        <v>183</v>
      </c>
      <c r="K5" s="66" t="s">
        <v>182</v>
      </c>
      <c r="L5" s="66"/>
      <c r="M5" s="66"/>
      <c r="N5" s="66" t="s">
        <v>183</v>
      </c>
      <c r="O5" s="66" t="s">
        <v>182</v>
      </c>
      <c r="P5" s="66"/>
      <c r="Q5" s="66"/>
      <c r="R5" s="66" t="s">
        <v>183</v>
      </c>
      <c r="S5" s="66" t="s">
        <v>182</v>
      </c>
      <c r="T5" s="66"/>
    </row>
    <row r="6" spans="1:21" ht="24" customHeight="1" x14ac:dyDescent="0.3">
      <c r="A6" s="73"/>
      <c r="B6" s="73"/>
      <c r="C6" s="75"/>
      <c r="D6" s="76"/>
      <c r="E6" s="66"/>
      <c r="F6" s="67"/>
      <c r="G6" s="66" t="s">
        <v>184</v>
      </c>
      <c r="H6" s="46" t="s">
        <v>185</v>
      </c>
      <c r="I6" s="66"/>
      <c r="J6" s="67"/>
      <c r="K6" s="66" t="s">
        <v>184</v>
      </c>
      <c r="L6" s="46" t="s">
        <v>185</v>
      </c>
      <c r="M6" s="66"/>
      <c r="N6" s="67"/>
      <c r="O6" s="66" t="s">
        <v>184</v>
      </c>
      <c r="P6" s="46" t="s">
        <v>185</v>
      </c>
      <c r="Q6" s="66"/>
      <c r="R6" s="67"/>
      <c r="S6" s="66" t="s">
        <v>184</v>
      </c>
      <c r="T6" s="46" t="s">
        <v>185</v>
      </c>
    </row>
    <row r="7" spans="1:21" ht="168.75" customHeight="1" x14ac:dyDescent="0.3">
      <c r="A7" s="74"/>
      <c r="B7" s="74"/>
      <c r="C7" s="75"/>
      <c r="D7" s="76"/>
      <c r="E7" s="66"/>
      <c r="F7" s="67"/>
      <c r="G7" s="66"/>
      <c r="H7" s="46" t="s">
        <v>0</v>
      </c>
      <c r="I7" s="66"/>
      <c r="J7" s="67"/>
      <c r="K7" s="66"/>
      <c r="L7" s="46" t="s">
        <v>0</v>
      </c>
      <c r="M7" s="66"/>
      <c r="N7" s="67"/>
      <c r="O7" s="66"/>
      <c r="P7" s="46" t="s">
        <v>0</v>
      </c>
      <c r="Q7" s="66"/>
      <c r="R7" s="67"/>
      <c r="S7" s="66"/>
      <c r="T7" s="46" t="s">
        <v>0</v>
      </c>
    </row>
    <row r="8" spans="1:21" x14ac:dyDescent="0.3">
      <c r="A8" s="42">
        <v>1</v>
      </c>
      <c r="B8" s="42">
        <v>2</v>
      </c>
      <c r="C8" s="42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9">
        <v>17</v>
      </c>
      <c r="R8" s="9">
        <v>18</v>
      </c>
      <c r="S8" s="9">
        <v>19</v>
      </c>
      <c r="T8" s="9">
        <v>20</v>
      </c>
    </row>
    <row r="9" spans="1:21" s="55" customFormat="1" ht="75" x14ac:dyDescent="0.25">
      <c r="A9" s="47" t="s">
        <v>63</v>
      </c>
      <c r="B9" s="26"/>
      <c r="C9" s="26"/>
      <c r="D9" s="10" t="s">
        <v>214</v>
      </c>
      <c r="E9" s="11">
        <f t="shared" ref="E9:L9" si="0">E10</f>
        <v>132999893.88000003</v>
      </c>
      <c r="F9" s="11">
        <f t="shared" si="0"/>
        <v>131935727.53000003</v>
      </c>
      <c r="G9" s="11">
        <f t="shared" si="0"/>
        <v>1064166.3500000001</v>
      </c>
      <c r="H9" s="11">
        <f t="shared" si="0"/>
        <v>703731</v>
      </c>
      <c r="I9" s="11">
        <f t="shared" si="0"/>
        <v>148913126.71000001</v>
      </c>
      <c r="J9" s="11">
        <f t="shared" si="0"/>
        <v>145808492.41999999</v>
      </c>
      <c r="K9" s="11">
        <f t="shared" si="0"/>
        <v>3104634.29</v>
      </c>
      <c r="L9" s="11">
        <f t="shared" si="0"/>
        <v>2731075.96</v>
      </c>
      <c r="M9" s="12">
        <f>I9/E9</f>
        <v>1.1196484626097356</v>
      </c>
      <c r="N9" s="12">
        <f t="shared" ref="N9" si="1">J9/F9</f>
        <v>1.1051479015556687</v>
      </c>
      <c r="O9" s="12">
        <f t="shared" ref="O9:O10" si="2">K9/G9</f>
        <v>2.9174332471610285</v>
      </c>
      <c r="P9" s="12">
        <f t="shared" ref="P9:P10" si="3">L9/H9</f>
        <v>3.8808521437878962</v>
      </c>
      <c r="Q9" s="13">
        <f>I9-E9</f>
        <v>15913232.829999983</v>
      </c>
      <c r="R9" s="13">
        <f>J9-F9</f>
        <v>13872764.889999956</v>
      </c>
      <c r="S9" s="13">
        <f t="shared" ref="S9:T9" si="4">K9-G9</f>
        <v>2040467.94</v>
      </c>
      <c r="T9" s="13">
        <f t="shared" si="4"/>
        <v>2027344.96</v>
      </c>
    </row>
    <row r="10" spans="1:21" s="55" customFormat="1" ht="56.25" x14ac:dyDescent="0.25">
      <c r="A10" s="47" t="s">
        <v>64</v>
      </c>
      <c r="B10" s="26"/>
      <c r="C10" s="26"/>
      <c r="D10" s="10" t="s">
        <v>215</v>
      </c>
      <c r="E10" s="43">
        <f>F10+G10</f>
        <v>132999893.88000003</v>
      </c>
      <c r="F10" s="43">
        <f>F11+F16+F17+F18+F19+F20+F21+F22+F23+F24+F33+F36+F34+F37+F30+F32+F35+F38+F28+F29</f>
        <v>131935727.53000003</v>
      </c>
      <c r="G10" s="43">
        <f t="shared" ref="G10:L10" si="5">G11+G16+G17+G18+G19+G20+G21+G22+G23+G24+G33+G36+G34+G37+G32+G30+G35+G38+G28+G29+G31</f>
        <v>1064166.3500000001</v>
      </c>
      <c r="H10" s="43">
        <f t="shared" si="5"/>
        <v>703731</v>
      </c>
      <c r="I10" s="43">
        <f t="shared" si="5"/>
        <v>148913126.71000001</v>
      </c>
      <c r="J10" s="43">
        <f t="shared" si="5"/>
        <v>145808492.41999999</v>
      </c>
      <c r="K10" s="43">
        <f t="shared" si="5"/>
        <v>3104634.29</v>
      </c>
      <c r="L10" s="43">
        <f t="shared" si="5"/>
        <v>2731075.96</v>
      </c>
      <c r="M10" s="12">
        <f t="shared" ref="M10:M73" si="6">I10/E10</f>
        <v>1.1196484626097356</v>
      </c>
      <c r="N10" s="12">
        <f t="shared" ref="N10:O73" si="7">J10/F10</f>
        <v>1.1051479015556687</v>
      </c>
      <c r="O10" s="12">
        <f t="shared" si="2"/>
        <v>2.9174332471610285</v>
      </c>
      <c r="P10" s="12">
        <f t="shared" si="3"/>
        <v>3.8808521437878962</v>
      </c>
      <c r="Q10" s="13">
        <f t="shared" ref="Q10:Q73" si="8">I10-E10</f>
        <v>15913232.829999983</v>
      </c>
      <c r="R10" s="13">
        <f t="shared" ref="R10:R73" si="9">J10-F10</f>
        <v>13872764.889999956</v>
      </c>
      <c r="S10" s="13">
        <f t="shared" ref="S10:S73" si="10">K10-G10</f>
        <v>2040467.94</v>
      </c>
      <c r="T10" s="13">
        <f t="shared" ref="T10:T73" si="11">L10-H10</f>
        <v>2027344.96</v>
      </c>
    </row>
    <row r="11" spans="1:21" s="57" customFormat="1" ht="128.25" customHeight="1" x14ac:dyDescent="0.25">
      <c r="A11" s="42" t="s">
        <v>65</v>
      </c>
      <c r="B11" s="27" t="s">
        <v>52</v>
      </c>
      <c r="C11" s="27" t="s">
        <v>3</v>
      </c>
      <c r="D11" s="44" t="s">
        <v>53</v>
      </c>
      <c r="E11" s="45">
        <f>F11+G11</f>
        <v>54515095.290000007</v>
      </c>
      <c r="F11" s="45">
        <f>F12+F13+F14+F15</f>
        <v>53914318.940000005</v>
      </c>
      <c r="G11" s="45">
        <f t="shared" ref="G11:H11" si="12">G12+G13+G14+G15</f>
        <v>600776.35</v>
      </c>
      <c r="H11" s="45">
        <f t="shared" si="12"/>
        <v>316131</v>
      </c>
      <c r="I11" s="45">
        <f>J11+K11</f>
        <v>62149267.850000001</v>
      </c>
      <c r="J11" s="45">
        <f>J12+J13+J14+J15</f>
        <v>60842977.640000001</v>
      </c>
      <c r="K11" s="45">
        <f t="shared" ref="K11:L11" si="13">K12+K13+K14+K15</f>
        <v>1306290.21</v>
      </c>
      <c r="L11" s="45">
        <f t="shared" si="13"/>
        <v>932731.88</v>
      </c>
      <c r="M11" s="40">
        <f t="shared" si="6"/>
        <v>1.1400377733798142</v>
      </c>
      <c r="N11" s="40">
        <f t="shared" si="7"/>
        <v>1.1285124033136862</v>
      </c>
      <c r="O11" s="40">
        <f t="shared" si="7"/>
        <v>2.1743369391954261</v>
      </c>
      <c r="P11" s="40">
        <f t="shared" ref="P11:P65" si="14">L11/H11</f>
        <v>2.9504600308100124</v>
      </c>
      <c r="Q11" s="41">
        <f t="shared" si="8"/>
        <v>7634172.5599999949</v>
      </c>
      <c r="R11" s="41">
        <f t="shared" si="9"/>
        <v>6928658.6999999955</v>
      </c>
      <c r="S11" s="41">
        <f t="shared" si="10"/>
        <v>705513.86</v>
      </c>
      <c r="T11" s="41">
        <f t="shared" si="11"/>
        <v>616600.88</v>
      </c>
      <c r="U11" s="56"/>
    </row>
    <row r="12" spans="1:21" s="58" customFormat="1" ht="56.25" x14ac:dyDescent="0.25">
      <c r="A12" s="48"/>
      <c r="B12" s="28"/>
      <c r="C12" s="28"/>
      <c r="D12" s="14" t="s">
        <v>215</v>
      </c>
      <c r="E12" s="15">
        <f>F12+G12</f>
        <v>48076510.280000001</v>
      </c>
      <c r="F12" s="15">
        <v>47811581.600000001</v>
      </c>
      <c r="G12" s="15">
        <v>264928.68</v>
      </c>
      <c r="H12" s="15">
        <v>35550</v>
      </c>
      <c r="I12" s="15">
        <f>J12+K12</f>
        <v>55733146.840000004</v>
      </c>
      <c r="J12" s="15">
        <v>54608177.170000002</v>
      </c>
      <c r="K12" s="15">
        <f>160912.26+204174.53+759882.88</f>
        <v>1124969.67</v>
      </c>
      <c r="L12" s="15">
        <v>759882.88</v>
      </c>
      <c r="M12" s="16">
        <f t="shared" si="6"/>
        <v>1.1592594078773057</v>
      </c>
      <c r="N12" s="16">
        <f t="shared" si="7"/>
        <v>1.1421537489987572</v>
      </c>
      <c r="O12" s="16">
        <f t="shared" si="7"/>
        <v>4.2463113846337812</v>
      </c>
      <c r="P12" s="16" t="s">
        <v>406</v>
      </c>
      <c r="Q12" s="17">
        <f t="shared" si="8"/>
        <v>7656636.5600000024</v>
      </c>
      <c r="R12" s="17">
        <f t="shared" si="9"/>
        <v>6796595.5700000003</v>
      </c>
      <c r="S12" s="17">
        <f t="shared" si="10"/>
        <v>860040.99</v>
      </c>
      <c r="T12" s="17">
        <f t="shared" si="11"/>
        <v>724332.88</v>
      </c>
    </row>
    <row r="13" spans="1:21" s="58" customFormat="1" ht="75" x14ac:dyDescent="0.25">
      <c r="A13" s="48"/>
      <c r="B13" s="28"/>
      <c r="C13" s="28"/>
      <c r="D13" s="14" t="s">
        <v>222</v>
      </c>
      <c r="E13" s="15">
        <f t="shared" ref="E13:E33" si="15">F13+G13</f>
        <v>2584437.37</v>
      </c>
      <c r="F13" s="15">
        <v>2403981.38</v>
      </c>
      <c r="G13" s="15">
        <v>180455.99</v>
      </c>
      <c r="H13" s="15">
        <v>172787</v>
      </c>
      <c r="I13" s="15">
        <f t="shared" ref="I13:I14" si="16">J13+K13</f>
        <v>2474256.9500000002</v>
      </c>
      <c r="J13" s="15">
        <v>2422407.41</v>
      </c>
      <c r="K13" s="15">
        <f>1950.54+49899</f>
        <v>51849.54</v>
      </c>
      <c r="L13" s="15">
        <v>49899</v>
      </c>
      <c r="M13" s="16">
        <f t="shared" si="6"/>
        <v>0.95736773454873858</v>
      </c>
      <c r="N13" s="16">
        <f t="shared" si="7"/>
        <v>1.0076647973038795</v>
      </c>
      <c r="O13" s="16">
        <f t="shared" ref="O13:O68" si="17">K13/G13</f>
        <v>0.28732512564420831</v>
      </c>
      <c r="P13" s="16">
        <f t="shared" si="14"/>
        <v>0.28878908714197249</v>
      </c>
      <c r="Q13" s="17">
        <f t="shared" si="8"/>
        <v>-110180.41999999993</v>
      </c>
      <c r="R13" s="17">
        <f t="shared" si="9"/>
        <v>18426.030000000261</v>
      </c>
      <c r="S13" s="17">
        <f t="shared" si="10"/>
        <v>-128606.44999999998</v>
      </c>
      <c r="T13" s="17">
        <f t="shared" si="11"/>
        <v>-122888</v>
      </c>
    </row>
    <row r="14" spans="1:21" s="58" customFormat="1" ht="75" x14ac:dyDescent="0.25">
      <c r="A14" s="48"/>
      <c r="B14" s="28"/>
      <c r="C14" s="28"/>
      <c r="D14" s="14" t="s">
        <v>223</v>
      </c>
      <c r="E14" s="15">
        <f t="shared" si="15"/>
        <v>1768629.42</v>
      </c>
      <c r="F14" s="15">
        <v>1673673.2</v>
      </c>
      <c r="G14" s="15">
        <v>94956.22</v>
      </c>
      <c r="H14" s="15">
        <v>53897</v>
      </c>
      <c r="I14" s="15">
        <f t="shared" si="16"/>
        <v>1754878.86</v>
      </c>
      <c r="J14" s="15">
        <v>1672288.86</v>
      </c>
      <c r="K14" s="15">
        <v>82590</v>
      </c>
      <c r="L14" s="15">
        <v>82590</v>
      </c>
      <c r="M14" s="16">
        <f t="shared" si="6"/>
        <v>0.99222530178198676</v>
      </c>
      <c r="N14" s="16">
        <f t="shared" si="7"/>
        <v>0.99917287317500225</v>
      </c>
      <c r="O14" s="16">
        <f t="shared" si="17"/>
        <v>0.86976924734367056</v>
      </c>
      <c r="P14" s="16">
        <f t="shared" si="14"/>
        <v>1.5323672931703063</v>
      </c>
      <c r="Q14" s="17">
        <f t="shared" si="8"/>
        <v>-13750.559999999823</v>
      </c>
      <c r="R14" s="17">
        <f t="shared" si="9"/>
        <v>-1384.339999999851</v>
      </c>
      <c r="S14" s="17">
        <f t="shared" si="10"/>
        <v>-12366.220000000001</v>
      </c>
      <c r="T14" s="17">
        <f t="shared" si="11"/>
        <v>28693</v>
      </c>
    </row>
    <row r="15" spans="1:21" s="58" customFormat="1" ht="75" x14ac:dyDescent="0.25">
      <c r="A15" s="48"/>
      <c r="B15" s="28"/>
      <c r="C15" s="28"/>
      <c r="D15" s="14" t="s">
        <v>224</v>
      </c>
      <c r="E15" s="15">
        <f t="shared" si="15"/>
        <v>2085518.22</v>
      </c>
      <c r="F15" s="15">
        <v>2025082.76</v>
      </c>
      <c r="G15" s="15">
        <v>60435.46</v>
      </c>
      <c r="H15" s="15">
        <v>53897</v>
      </c>
      <c r="I15" s="45">
        <f t="shared" ref="I15:I72" si="18">J15+K15</f>
        <v>2186985.2000000002</v>
      </c>
      <c r="J15" s="15">
        <v>2140104.2000000002</v>
      </c>
      <c r="K15" s="15">
        <f>6521+40360</f>
        <v>46881</v>
      </c>
      <c r="L15" s="15">
        <v>40360</v>
      </c>
      <c r="M15" s="16">
        <f t="shared" si="6"/>
        <v>1.0486531256485498</v>
      </c>
      <c r="N15" s="16">
        <f t="shared" si="7"/>
        <v>1.0567983898100046</v>
      </c>
      <c r="O15" s="16">
        <f t="shared" si="17"/>
        <v>0.77572008221663247</v>
      </c>
      <c r="P15" s="16">
        <f t="shared" si="14"/>
        <v>0.74883574224910476</v>
      </c>
      <c r="Q15" s="17">
        <f t="shared" si="8"/>
        <v>101466.98000000021</v>
      </c>
      <c r="R15" s="17">
        <f t="shared" si="9"/>
        <v>115021.44000000018</v>
      </c>
      <c r="S15" s="17">
        <f t="shared" si="10"/>
        <v>-13554.46</v>
      </c>
      <c r="T15" s="17">
        <f t="shared" si="11"/>
        <v>-13537</v>
      </c>
    </row>
    <row r="16" spans="1:21" s="57" customFormat="1" ht="56.25" x14ac:dyDescent="0.25">
      <c r="A16" s="42" t="s">
        <v>117</v>
      </c>
      <c r="B16" s="27" t="s">
        <v>118</v>
      </c>
      <c r="C16" s="27" t="s">
        <v>119</v>
      </c>
      <c r="D16" s="44" t="s">
        <v>120</v>
      </c>
      <c r="E16" s="45">
        <f>F16</f>
        <v>920</v>
      </c>
      <c r="F16" s="45">
        <v>920</v>
      </c>
      <c r="G16" s="45"/>
      <c r="H16" s="45"/>
      <c r="I16" s="45">
        <f t="shared" si="18"/>
        <v>8840</v>
      </c>
      <c r="J16" s="45">
        <v>8840</v>
      </c>
      <c r="K16" s="45"/>
      <c r="L16" s="45"/>
      <c r="M16" s="40">
        <f t="shared" ref="M16" si="19">I16/E16</f>
        <v>9.6086956521739122</v>
      </c>
      <c r="N16" s="40">
        <f t="shared" ref="N16" si="20">J16/F16</f>
        <v>9.6086956521739122</v>
      </c>
      <c r="O16" s="40"/>
      <c r="P16" s="40"/>
      <c r="Q16" s="41">
        <f t="shared" si="8"/>
        <v>7920</v>
      </c>
      <c r="R16" s="41">
        <f t="shared" si="9"/>
        <v>7920</v>
      </c>
      <c r="S16" s="41">
        <f t="shared" si="10"/>
        <v>0</v>
      </c>
      <c r="T16" s="41">
        <f t="shared" si="11"/>
        <v>0</v>
      </c>
    </row>
    <row r="17" spans="1:21" s="57" customFormat="1" ht="37.5" x14ac:dyDescent="0.25">
      <c r="A17" s="42" t="s">
        <v>121</v>
      </c>
      <c r="B17" s="27" t="s">
        <v>8</v>
      </c>
      <c r="C17" s="27" t="s">
        <v>6</v>
      </c>
      <c r="D17" s="44" t="s">
        <v>122</v>
      </c>
      <c r="E17" s="45">
        <f t="shared" si="15"/>
        <v>1413277.1</v>
      </c>
      <c r="F17" s="45">
        <v>1413277.1</v>
      </c>
      <c r="G17" s="45"/>
      <c r="H17" s="45"/>
      <c r="I17" s="45">
        <f t="shared" si="18"/>
        <v>1002095.1</v>
      </c>
      <c r="J17" s="45">
        <v>1002095.1</v>
      </c>
      <c r="K17" s="45"/>
      <c r="L17" s="45"/>
      <c r="M17" s="40">
        <f t="shared" si="6"/>
        <v>0.70905776368979578</v>
      </c>
      <c r="N17" s="40">
        <f t="shared" si="7"/>
        <v>0.70905776368979578</v>
      </c>
      <c r="O17" s="40"/>
      <c r="P17" s="40"/>
      <c r="Q17" s="41">
        <f t="shared" si="8"/>
        <v>-411182.00000000012</v>
      </c>
      <c r="R17" s="41">
        <f t="shared" si="9"/>
        <v>-411182.00000000012</v>
      </c>
      <c r="S17" s="41">
        <f t="shared" si="10"/>
        <v>0</v>
      </c>
      <c r="T17" s="41">
        <f t="shared" si="11"/>
        <v>0</v>
      </c>
    </row>
    <row r="18" spans="1:21" s="57" customFormat="1" ht="37.5" x14ac:dyDescent="0.25">
      <c r="A18" s="42" t="s">
        <v>66</v>
      </c>
      <c r="B18" s="27" t="s">
        <v>28</v>
      </c>
      <c r="C18" s="27" t="s">
        <v>29</v>
      </c>
      <c r="D18" s="36" t="s">
        <v>162</v>
      </c>
      <c r="E18" s="45">
        <f t="shared" si="15"/>
        <v>24866848.190000001</v>
      </c>
      <c r="F18" s="45">
        <v>24866848.190000001</v>
      </c>
      <c r="G18" s="45"/>
      <c r="H18" s="45"/>
      <c r="I18" s="45">
        <f t="shared" si="18"/>
        <v>31307006.539999999</v>
      </c>
      <c r="J18" s="45">
        <v>31207015.039999999</v>
      </c>
      <c r="K18" s="45">
        <v>99991.5</v>
      </c>
      <c r="L18" s="45">
        <f>K18</f>
        <v>99991.5</v>
      </c>
      <c r="M18" s="40">
        <f t="shared" si="6"/>
        <v>1.2589857106454632</v>
      </c>
      <c r="N18" s="40">
        <f t="shared" si="7"/>
        <v>1.2549646341006595</v>
      </c>
      <c r="O18" s="40"/>
      <c r="P18" s="40"/>
      <c r="Q18" s="41">
        <f t="shared" si="8"/>
        <v>6440158.3499999978</v>
      </c>
      <c r="R18" s="41">
        <f t="shared" si="9"/>
        <v>6340166.8499999978</v>
      </c>
      <c r="S18" s="41">
        <f t="shared" si="10"/>
        <v>99991.5</v>
      </c>
      <c r="T18" s="41">
        <f t="shared" si="11"/>
        <v>99991.5</v>
      </c>
      <c r="U18" s="56"/>
    </row>
    <row r="19" spans="1:21" s="57" customFormat="1" x14ac:dyDescent="0.25">
      <c r="A19" s="42" t="s">
        <v>67</v>
      </c>
      <c r="B19" s="27" t="s">
        <v>54</v>
      </c>
      <c r="C19" s="27" t="s">
        <v>30</v>
      </c>
      <c r="D19" s="36" t="s">
        <v>228</v>
      </c>
      <c r="E19" s="45">
        <f t="shared" si="15"/>
        <v>6181991.54</v>
      </c>
      <c r="F19" s="45">
        <v>5962191.54</v>
      </c>
      <c r="G19" s="45">
        <v>219800</v>
      </c>
      <c r="H19" s="45">
        <v>219800</v>
      </c>
      <c r="I19" s="45">
        <f t="shared" si="18"/>
        <v>6999942.8300000001</v>
      </c>
      <c r="J19" s="45">
        <v>6972642.8300000001</v>
      </c>
      <c r="K19" s="45">
        <v>27300</v>
      </c>
      <c r="L19" s="45">
        <f>K19</f>
        <v>27300</v>
      </c>
      <c r="M19" s="40">
        <f t="shared" si="6"/>
        <v>1.1323119393980925</v>
      </c>
      <c r="N19" s="40">
        <f t="shared" si="7"/>
        <v>1.1694764891769982</v>
      </c>
      <c r="O19" s="40">
        <f t="shared" si="17"/>
        <v>0.12420382165605096</v>
      </c>
      <c r="P19" s="40">
        <f t="shared" si="14"/>
        <v>0.12420382165605096</v>
      </c>
      <c r="Q19" s="41">
        <f t="shared" si="8"/>
        <v>817951.29</v>
      </c>
      <c r="R19" s="41">
        <f t="shared" si="9"/>
        <v>1010451.29</v>
      </c>
      <c r="S19" s="41">
        <f t="shared" si="10"/>
        <v>-192500</v>
      </c>
      <c r="T19" s="41">
        <f t="shared" si="11"/>
        <v>-192500</v>
      </c>
    </row>
    <row r="20" spans="1:21" s="57" customFormat="1" ht="75" x14ac:dyDescent="0.25">
      <c r="A20" s="37" t="s">
        <v>249</v>
      </c>
      <c r="B20" s="25">
        <v>2111</v>
      </c>
      <c r="C20" s="25" t="s">
        <v>250</v>
      </c>
      <c r="D20" s="39" t="s">
        <v>251</v>
      </c>
      <c r="E20" s="45">
        <f t="shared" si="15"/>
        <v>520795.56</v>
      </c>
      <c r="F20" s="45">
        <v>520795.56</v>
      </c>
      <c r="G20" s="45"/>
      <c r="H20" s="45"/>
      <c r="I20" s="45">
        <f t="shared" si="18"/>
        <v>2954330.28</v>
      </c>
      <c r="J20" s="45">
        <v>2885430.28</v>
      </c>
      <c r="K20" s="45">
        <v>68900</v>
      </c>
      <c r="L20" s="45">
        <f>K20</f>
        <v>68900</v>
      </c>
      <c r="M20" s="40">
        <f t="shared" ref="M20" si="21">I20/E20</f>
        <v>5.6727255508860326</v>
      </c>
      <c r="N20" s="40">
        <f t="shared" ref="N20" si="22">J20/F20</f>
        <v>5.5404279560294247</v>
      </c>
      <c r="O20" s="40"/>
      <c r="P20" s="40"/>
      <c r="Q20" s="41">
        <f t="shared" si="8"/>
        <v>2433534.7199999997</v>
      </c>
      <c r="R20" s="41">
        <f t="shared" si="9"/>
        <v>2364634.7199999997</v>
      </c>
      <c r="S20" s="41">
        <f t="shared" si="10"/>
        <v>68900</v>
      </c>
      <c r="T20" s="41">
        <f t="shared" si="11"/>
        <v>68900</v>
      </c>
    </row>
    <row r="21" spans="1:21" s="57" customFormat="1" ht="37.5" x14ac:dyDescent="0.25">
      <c r="A21" s="37" t="s">
        <v>252</v>
      </c>
      <c r="B21" s="25" t="s">
        <v>192</v>
      </c>
      <c r="C21" s="25" t="s">
        <v>129</v>
      </c>
      <c r="D21" s="39" t="s">
        <v>253</v>
      </c>
      <c r="E21" s="45">
        <f t="shared" si="15"/>
        <v>2027890.4</v>
      </c>
      <c r="F21" s="45">
        <v>2027890.4</v>
      </c>
      <c r="G21" s="45"/>
      <c r="H21" s="45"/>
      <c r="I21" s="45">
        <f t="shared" si="18"/>
        <v>1402479.88</v>
      </c>
      <c r="J21" s="45">
        <f>523369.15+879110.73</f>
        <v>1402479.88</v>
      </c>
      <c r="K21" s="45"/>
      <c r="L21" s="45"/>
      <c r="M21" s="40">
        <f t="shared" si="6"/>
        <v>0.69159550239993239</v>
      </c>
      <c r="N21" s="40">
        <f t="shared" si="7"/>
        <v>0.69159550239993239</v>
      </c>
      <c r="O21" s="40"/>
      <c r="P21" s="40"/>
      <c r="Q21" s="41">
        <f t="shared" si="8"/>
        <v>-625410.52</v>
      </c>
      <c r="R21" s="41">
        <f t="shared" si="9"/>
        <v>-625410.52</v>
      </c>
      <c r="S21" s="41">
        <f t="shared" si="10"/>
        <v>0</v>
      </c>
      <c r="T21" s="41">
        <f t="shared" si="11"/>
        <v>0</v>
      </c>
    </row>
    <row r="22" spans="1:21" s="57" customFormat="1" ht="37.5" x14ac:dyDescent="0.25">
      <c r="A22" s="42" t="s">
        <v>167</v>
      </c>
      <c r="B22" s="27" t="s">
        <v>34</v>
      </c>
      <c r="C22" s="27" t="s">
        <v>17</v>
      </c>
      <c r="D22" s="36" t="s">
        <v>43</v>
      </c>
      <c r="E22" s="45">
        <f t="shared" si="15"/>
        <v>89998.7</v>
      </c>
      <c r="F22" s="45">
        <v>89998.7</v>
      </c>
      <c r="G22" s="45"/>
      <c r="H22" s="45"/>
      <c r="I22" s="45">
        <f t="shared" si="18"/>
        <v>36000</v>
      </c>
      <c r="J22" s="45">
        <v>36000</v>
      </c>
      <c r="K22" s="45"/>
      <c r="L22" s="45"/>
      <c r="M22" s="40">
        <f t="shared" si="6"/>
        <v>0.40000577786123581</v>
      </c>
      <c r="N22" s="40">
        <f t="shared" si="7"/>
        <v>0.40000577786123581</v>
      </c>
      <c r="O22" s="40"/>
      <c r="P22" s="40"/>
      <c r="Q22" s="41">
        <f t="shared" si="8"/>
        <v>-53998.7</v>
      </c>
      <c r="R22" s="41">
        <f t="shared" si="9"/>
        <v>-53998.7</v>
      </c>
      <c r="S22" s="41">
        <f t="shared" si="10"/>
        <v>0</v>
      </c>
      <c r="T22" s="41">
        <f t="shared" si="11"/>
        <v>0</v>
      </c>
    </row>
    <row r="23" spans="1:21" s="57" customFormat="1" ht="37.5" x14ac:dyDescent="0.25">
      <c r="A23" s="42" t="s">
        <v>150</v>
      </c>
      <c r="B23" s="27" t="s">
        <v>148</v>
      </c>
      <c r="C23" s="27" t="s">
        <v>4</v>
      </c>
      <c r="D23" s="44" t="s">
        <v>149</v>
      </c>
      <c r="E23" s="45">
        <f t="shared" si="15"/>
        <v>4275100</v>
      </c>
      <c r="F23" s="45">
        <v>4275100</v>
      </c>
      <c r="G23" s="45"/>
      <c r="H23" s="45"/>
      <c r="I23" s="45">
        <f t="shared" si="18"/>
        <v>3758000</v>
      </c>
      <c r="J23" s="45">
        <v>3758000</v>
      </c>
      <c r="K23" s="45"/>
      <c r="L23" s="45"/>
      <c r="M23" s="40">
        <f t="shared" si="6"/>
        <v>0.87904376505812731</v>
      </c>
      <c r="N23" s="40">
        <f t="shared" si="7"/>
        <v>0.87904376505812731</v>
      </c>
      <c r="O23" s="40"/>
      <c r="P23" s="40"/>
      <c r="Q23" s="41">
        <f t="shared" si="8"/>
        <v>-517100</v>
      </c>
      <c r="R23" s="41">
        <f t="shared" si="9"/>
        <v>-517100</v>
      </c>
      <c r="S23" s="41">
        <f t="shared" si="10"/>
        <v>0</v>
      </c>
      <c r="T23" s="41">
        <f t="shared" si="11"/>
        <v>0</v>
      </c>
    </row>
    <row r="24" spans="1:21" s="57" customFormat="1" ht="37.5" x14ac:dyDescent="0.25">
      <c r="A24" s="42" t="s">
        <v>68</v>
      </c>
      <c r="B24" s="27" t="s">
        <v>40</v>
      </c>
      <c r="C24" s="27" t="s">
        <v>7</v>
      </c>
      <c r="D24" s="44" t="s">
        <v>55</v>
      </c>
      <c r="E24" s="45">
        <f t="shared" si="15"/>
        <v>5067177.84</v>
      </c>
      <c r="F24" s="45">
        <f>F25+F26+F27</f>
        <v>5067177.84</v>
      </c>
      <c r="G24" s="45">
        <f t="shared" ref="G24:L24" si="23">G25+G26+G27</f>
        <v>0</v>
      </c>
      <c r="H24" s="45">
        <f t="shared" si="23"/>
        <v>0</v>
      </c>
      <c r="I24" s="45">
        <f t="shared" si="18"/>
        <v>7510447.9800000004</v>
      </c>
      <c r="J24" s="45">
        <f>J25+J26+J27</f>
        <v>7401936.4000000004</v>
      </c>
      <c r="K24" s="45">
        <f t="shared" si="23"/>
        <v>108511.58</v>
      </c>
      <c r="L24" s="45">
        <f t="shared" si="23"/>
        <v>108511.58</v>
      </c>
      <c r="M24" s="40">
        <f t="shared" si="6"/>
        <v>1.4821757232818971</v>
      </c>
      <c r="N24" s="40">
        <f t="shared" si="7"/>
        <v>1.4607611245789629</v>
      </c>
      <c r="O24" s="40"/>
      <c r="P24" s="40"/>
      <c r="Q24" s="41">
        <f t="shared" si="8"/>
        <v>2443270.1400000006</v>
      </c>
      <c r="R24" s="41">
        <f t="shared" si="9"/>
        <v>2334758.5600000005</v>
      </c>
      <c r="S24" s="41">
        <f t="shared" si="10"/>
        <v>108511.58</v>
      </c>
      <c r="T24" s="41">
        <f t="shared" si="11"/>
        <v>108511.58</v>
      </c>
    </row>
    <row r="25" spans="1:21" s="58" customFormat="1" ht="75" x14ac:dyDescent="0.25">
      <c r="A25" s="48"/>
      <c r="B25" s="28"/>
      <c r="C25" s="28"/>
      <c r="D25" s="14" t="s">
        <v>222</v>
      </c>
      <c r="E25" s="15">
        <f t="shared" si="15"/>
        <v>2854387.21</v>
      </c>
      <c r="F25" s="15">
        <v>2854387.21</v>
      </c>
      <c r="G25" s="15"/>
      <c r="H25" s="15"/>
      <c r="I25" s="15">
        <f t="shared" si="18"/>
        <v>4166922.22</v>
      </c>
      <c r="J25" s="15">
        <v>4166922.22</v>
      </c>
      <c r="K25" s="15"/>
      <c r="L25" s="15"/>
      <c r="M25" s="40">
        <f t="shared" si="6"/>
        <v>1.4598307494518237</v>
      </c>
      <c r="N25" s="40">
        <f t="shared" si="7"/>
        <v>1.4598307494518237</v>
      </c>
      <c r="O25" s="40"/>
      <c r="P25" s="40"/>
      <c r="Q25" s="41">
        <f t="shared" si="8"/>
        <v>1312535.0100000002</v>
      </c>
      <c r="R25" s="41">
        <f t="shared" si="9"/>
        <v>1312535.0100000002</v>
      </c>
      <c r="S25" s="41">
        <f t="shared" si="10"/>
        <v>0</v>
      </c>
      <c r="T25" s="41">
        <f t="shared" si="11"/>
        <v>0</v>
      </c>
    </row>
    <row r="26" spans="1:21" s="58" customFormat="1" ht="75" x14ac:dyDescent="0.25">
      <c r="A26" s="48"/>
      <c r="B26" s="28"/>
      <c r="C26" s="28"/>
      <c r="D26" s="14" t="s">
        <v>223</v>
      </c>
      <c r="E26" s="15">
        <f t="shared" si="15"/>
        <v>923304.19</v>
      </c>
      <c r="F26" s="15">
        <v>923304.19</v>
      </c>
      <c r="G26" s="15"/>
      <c r="H26" s="15"/>
      <c r="I26" s="15">
        <f t="shared" si="18"/>
        <v>1289575.24</v>
      </c>
      <c r="J26" s="15">
        <v>1230732.82</v>
      </c>
      <c r="K26" s="15">
        <v>58842.42</v>
      </c>
      <c r="L26" s="15">
        <f>K26</f>
        <v>58842.42</v>
      </c>
      <c r="M26" s="40">
        <f t="shared" si="6"/>
        <v>1.3966959686384615</v>
      </c>
      <c r="N26" s="40">
        <f t="shared" si="7"/>
        <v>1.3329657044012766</v>
      </c>
      <c r="O26" s="40"/>
      <c r="P26" s="40"/>
      <c r="Q26" s="41">
        <f t="shared" si="8"/>
        <v>366271.05000000005</v>
      </c>
      <c r="R26" s="41">
        <f t="shared" si="9"/>
        <v>307428.63000000012</v>
      </c>
      <c r="S26" s="41">
        <f t="shared" si="10"/>
        <v>58842.42</v>
      </c>
      <c r="T26" s="41">
        <f t="shared" si="11"/>
        <v>58842.42</v>
      </c>
    </row>
    <row r="27" spans="1:21" s="58" customFormat="1" ht="75" x14ac:dyDescent="0.25">
      <c r="A27" s="48"/>
      <c r="B27" s="28"/>
      <c r="C27" s="28"/>
      <c r="D27" s="14" t="s">
        <v>224</v>
      </c>
      <c r="E27" s="15">
        <f t="shared" si="15"/>
        <v>1289486.44</v>
      </c>
      <c r="F27" s="15">
        <v>1289486.44</v>
      </c>
      <c r="G27" s="15"/>
      <c r="H27" s="15"/>
      <c r="I27" s="15">
        <f t="shared" si="18"/>
        <v>2053950.52</v>
      </c>
      <c r="J27" s="15">
        <v>2004281.36</v>
      </c>
      <c r="K27" s="15">
        <v>49669.16</v>
      </c>
      <c r="L27" s="15">
        <f>K27</f>
        <v>49669.16</v>
      </c>
      <c r="M27" s="40">
        <f t="shared" si="6"/>
        <v>1.5928438301375236</v>
      </c>
      <c r="N27" s="40">
        <f t="shared" si="7"/>
        <v>1.5543252707643829</v>
      </c>
      <c r="O27" s="40"/>
      <c r="P27" s="40"/>
      <c r="Q27" s="41">
        <f t="shared" si="8"/>
        <v>764464.08000000007</v>
      </c>
      <c r="R27" s="41">
        <f t="shared" si="9"/>
        <v>714794.92000000016</v>
      </c>
      <c r="S27" s="41">
        <f t="shared" si="10"/>
        <v>49669.16</v>
      </c>
      <c r="T27" s="41">
        <f t="shared" si="11"/>
        <v>49669.16</v>
      </c>
    </row>
    <row r="28" spans="1:21" s="58" customFormat="1" ht="56.25" x14ac:dyDescent="0.25">
      <c r="A28" s="38" t="s">
        <v>364</v>
      </c>
      <c r="B28" s="59">
        <v>7351</v>
      </c>
      <c r="C28" s="59" t="s">
        <v>293</v>
      </c>
      <c r="D28" s="60" t="s">
        <v>365</v>
      </c>
      <c r="E28" s="15">
        <f t="shared" si="15"/>
        <v>0</v>
      </c>
      <c r="F28" s="15"/>
      <c r="G28" s="15"/>
      <c r="H28" s="15"/>
      <c r="I28" s="15">
        <f t="shared" si="18"/>
        <v>1740000</v>
      </c>
      <c r="J28" s="15">
        <v>1740000</v>
      </c>
      <c r="K28" s="15"/>
      <c r="L28" s="15"/>
      <c r="M28" s="40"/>
      <c r="N28" s="40"/>
      <c r="O28" s="40"/>
      <c r="P28" s="40"/>
      <c r="Q28" s="41">
        <f t="shared" si="8"/>
        <v>1740000</v>
      </c>
      <c r="R28" s="41">
        <f t="shared" si="9"/>
        <v>1740000</v>
      </c>
      <c r="S28" s="41">
        <f t="shared" si="10"/>
        <v>0</v>
      </c>
      <c r="T28" s="41">
        <f t="shared" si="11"/>
        <v>0</v>
      </c>
    </row>
    <row r="29" spans="1:21" s="58" customFormat="1" ht="93.75" x14ac:dyDescent="0.25">
      <c r="A29" s="38" t="s">
        <v>366</v>
      </c>
      <c r="B29" s="59" t="s">
        <v>367</v>
      </c>
      <c r="C29" s="59" t="s">
        <v>20</v>
      </c>
      <c r="D29" s="60" t="s">
        <v>368</v>
      </c>
      <c r="E29" s="15">
        <f t="shared" si="15"/>
        <v>0</v>
      </c>
      <c r="F29" s="15"/>
      <c r="G29" s="15"/>
      <c r="H29" s="15"/>
      <c r="I29" s="15">
        <f t="shared" si="18"/>
        <v>143718</v>
      </c>
      <c r="J29" s="15">
        <v>143718</v>
      </c>
      <c r="K29" s="15"/>
      <c r="L29" s="15"/>
      <c r="M29" s="40"/>
      <c r="N29" s="40"/>
      <c r="O29" s="40"/>
      <c r="P29" s="40"/>
      <c r="Q29" s="41">
        <f t="shared" si="8"/>
        <v>143718</v>
      </c>
      <c r="R29" s="41">
        <f t="shared" si="9"/>
        <v>143718</v>
      </c>
      <c r="S29" s="41">
        <f t="shared" si="10"/>
        <v>0</v>
      </c>
      <c r="T29" s="41">
        <f t="shared" si="11"/>
        <v>0</v>
      </c>
    </row>
    <row r="30" spans="1:21" s="58" customFormat="1" ht="37.5" x14ac:dyDescent="0.25">
      <c r="A30" s="38" t="s">
        <v>308</v>
      </c>
      <c r="B30" s="24" t="s">
        <v>245</v>
      </c>
      <c r="C30" s="24" t="s">
        <v>20</v>
      </c>
      <c r="D30" s="39" t="s">
        <v>246</v>
      </c>
      <c r="E30" s="15">
        <f t="shared" si="15"/>
        <v>0</v>
      </c>
      <c r="F30" s="15"/>
      <c r="G30" s="15"/>
      <c r="H30" s="15"/>
      <c r="I30" s="15">
        <f t="shared" si="18"/>
        <v>38865</v>
      </c>
      <c r="J30" s="15">
        <v>38865</v>
      </c>
      <c r="K30" s="15"/>
      <c r="L30" s="15"/>
      <c r="M30" s="40"/>
      <c r="N30" s="40"/>
      <c r="O30" s="40"/>
      <c r="P30" s="40"/>
      <c r="Q30" s="41">
        <f t="shared" si="8"/>
        <v>38865</v>
      </c>
      <c r="R30" s="41">
        <f t="shared" si="9"/>
        <v>38865</v>
      </c>
      <c r="S30" s="41">
        <f t="shared" si="10"/>
        <v>0</v>
      </c>
      <c r="T30" s="41">
        <f t="shared" si="11"/>
        <v>0</v>
      </c>
    </row>
    <row r="31" spans="1:21" s="58" customFormat="1" x14ac:dyDescent="0.25">
      <c r="A31" s="38" t="s">
        <v>369</v>
      </c>
      <c r="B31" s="59" t="s">
        <v>304</v>
      </c>
      <c r="C31" s="59" t="s">
        <v>305</v>
      </c>
      <c r="D31" s="60" t="s">
        <v>306</v>
      </c>
      <c r="E31" s="15">
        <f t="shared" si="15"/>
        <v>0</v>
      </c>
      <c r="F31" s="15"/>
      <c r="G31" s="15"/>
      <c r="H31" s="15"/>
      <c r="I31" s="15">
        <f t="shared" si="18"/>
        <v>70000</v>
      </c>
      <c r="J31" s="15"/>
      <c r="K31" s="15">
        <v>70000</v>
      </c>
      <c r="L31" s="15">
        <f>K31</f>
        <v>70000</v>
      </c>
      <c r="M31" s="40"/>
      <c r="N31" s="40"/>
      <c r="O31" s="40"/>
      <c r="P31" s="40"/>
      <c r="Q31" s="41">
        <f t="shared" si="8"/>
        <v>70000</v>
      </c>
      <c r="R31" s="41">
        <f t="shared" si="9"/>
        <v>0</v>
      </c>
      <c r="S31" s="41">
        <f t="shared" si="10"/>
        <v>70000</v>
      </c>
      <c r="T31" s="41">
        <f t="shared" si="11"/>
        <v>70000</v>
      </c>
    </row>
    <row r="32" spans="1:21" s="58" customFormat="1" ht="48" customHeight="1" x14ac:dyDescent="0.25">
      <c r="A32" s="37" t="s">
        <v>282</v>
      </c>
      <c r="B32" s="25" t="s">
        <v>283</v>
      </c>
      <c r="C32" s="25" t="s">
        <v>20</v>
      </c>
      <c r="D32" s="39" t="s">
        <v>284</v>
      </c>
      <c r="E32" s="15">
        <f t="shared" si="15"/>
        <v>71308</v>
      </c>
      <c r="F32" s="15">
        <v>71308</v>
      </c>
      <c r="G32" s="15"/>
      <c r="H32" s="15"/>
      <c r="I32" s="15">
        <f t="shared" si="18"/>
        <v>70700</v>
      </c>
      <c r="J32" s="15">
        <v>70700</v>
      </c>
      <c r="K32" s="15"/>
      <c r="L32" s="15"/>
      <c r="M32" s="40">
        <f t="shared" si="6"/>
        <v>0.99147360744937452</v>
      </c>
      <c r="N32" s="40">
        <f t="shared" si="7"/>
        <v>0.99147360744937452</v>
      </c>
      <c r="O32" s="40"/>
      <c r="P32" s="40"/>
      <c r="Q32" s="41">
        <f t="shared" si="8"/>
        <v>-608</v>
      </c>
      <c r="R32" s="41">
        <f t="shared" si="9"/>
        <v>-608</v>
      </c>
      <c r="S32" s="41">
        <f t="shared" si="10"/>
        <v>0</v>
      </c>
      <c r="T32" s="41">
        <f t="shared" si="11"/>
        <v>0</v>
      </c>
    </row>
    <row r="33" spans="1:20" s="57" customFormat="1" ht="56.25" x14ac:dyDescent="0.25">
      <c r="A33" s="38" t="s">
        <v>101</v>
      </c>
      <c r="B33" s="25">
        <v>8110</v>
      </c>
      <c r="C33" s="24" t="s">
        <v>5</v>
      </c>
      <c r="D33" s="39" t="s">
        <v>137</v>
      </c>
      <c r="E33" s="45">
        <f t="shared" si="15"/>
        <v>7194608.7000000002</v>
      </c>
      <c r="F33" s="45">
        <v>7194608.7000000002</v>
      </c>
      <c r="G33" s="45"/>
      <c r="H33" s="45"/>
      <c r="I33" s="45">
        <f t="shared" si="18"/>
        <v>346764.2</v>
      </c>
      <c r="J33" s="45">
        <f>199000+114150.8+16806.7+16806.7</f>
        <v>346764.2</v>
      </c>
      <c r="K33" s="45"/>
      <c r="L33" s="45"/>
      <c r="M33" s="40">
        <f t="shared" si="6"/>
        <v>4.8197784543862685E-2</v>
      </c>
      <c r="N33" s="40">
        <f t="shared" si="7"/>
        <v>4.8197784543862685E-2</v>
      </c>
      <c r="O33" s="40"/>
      <c r="P33" s="40"/>
      <c r="Q33" s="41">
        <f t="shared" si="8"/>
        <v>-6847844.5</v>
      </c>
      <c r="R33" s="41">
        <f t="shared" si="9"/>
        <v>-6847844.5</v>
      </c>
      <c r="S33" s="41">
        <f t="shared" si="10"/>
        <v>0</v>
      </c>
      <c r="T33" s="41">
        <f t="shared" si="11"/>
        <v>0</v>
      </c>
    </row>
    <row r="34" spans="1:20" s="57" customFormat="1" ht="37.5" x14ac:dyDescent="0.25">
      <c r="A34" s="42" t="s">
        <v>189</v>
      </c>
      <c r="B34" s="27" t="s">
        <v>190</v>
      </c>
      <c r="C34" s="27" t="s">
        <v>5</v>
      </c>
      <c r="D34" s="36" t="s">
        <v>191</v>
      </c>
      <c r="E34" s="45">
        <f t="shared" ref="E34:E38" si="24">F34+G34</f>
        <v>17484361.48</v>
      </c>
      <c r="F34" s="45">
        <v>17408571.48</v>
      </c>
      <c r="G34" s="45">
        <v>75790</v>
      </c>
      <c r="H34" s="45"/>
      <c r="I34" s="45">
        <f t="shared" ref="I34:I37" si="25">J34+K34</f>
        <v>21374237.010000002</v>
      </c>
      <c r="J34" s="45">
        <v>20504117.010000002</v>
      </c>
      <c r="K34" s="45">
        <f>870120</f>
        <v>870120</v>
      </c>
      <c r="L34" s="45">
        <f>K34</f>
        <v>870120</v>
      </c>
      <c r="M34" s="40">
        <f t="shared" si="6"/>
        <v>1.2224774141423207</v>
      </c>
      <c r="N34" s="40">
        <f t="shared" si="7"/>
        <v>1.1778173202526323</v>
      </c>
      <c r="O34" s="40" t="s">
        <v>405</v>
      </c>
      <c r="P34" s="40"/>
      <c r="Q34" s="41">
        <f t="shared" si="8"/>
        <v>3889875.5300000012</v>
      </c>
      <c r="R34" s="41">
        <f t="shared" si="9"/>
        <v>3095545.5300000012</v>
      </c>
      <c r="S34" s="41">
        <f t="shared" si="10"/>
        <v>794330</v>
      </c>
      <c r="T34" s="41">
        <f t="shared" si="11"/>
        <v>870120</v>
      </c>
    </row>
    <row r="35" spans="1:20" s="57" customFormat="1" ht="37.5" x14ac:dyDescent="0.25">
      <c r="A35" s="38" t="s">
        <v>309</v>
      </c>
      <c r="B35" s="25">
        <v>8220</v>
      </c>
      <c r="C35" s="25" t="s">
        <v>227</v>
      </c>
      <c r="D35" s="39" t="s">
        <v>310</v>
      </c>
      <c r="E35" s="45">
        <f t="shared" si="24"/>
        <v>6445500.7999999998</v>
      </c>
      <c r="F35" s="45">
        <v>6445500.7999999998</v>
      </c>
      <c r="G35" s="45"/>
      <c r="H35" s="45"/>
      <c r="I35" s="45">
        <f t="shared" si="25"/>
        <v>374160.04</v>
      </c>
      <c r="J35" s="45">
        <v>374160.04</v>
      </c>
      <c r="K35" s="45"/>
      <c r="L35" s="45"/>
      <c r="M35" s="40">
        <f t="shared" si="6"/>
        <v>5.8049801188450711E-2</v>
      </c>
      <c r="N35" s="40">
        <f t="shared" si="7"/>
        <v>5.8049801188450711E-2</v>
      </c>
      <c r="O35" s="40"/>
      <c r="P35" s="40"/>
      <c r="Q35" s="41">
        <f t="shared" si="8"/>
        <v>-6071340.7599999998</v>
      </c>
      <c r="R35" s="41">
        <f t="shared" si="9"/>
        <v>-6071340.7599999998</v>
      </c>
      <c r="S35" s="41">
        <f t="shared" si="10"/>
        <v>0</v>
      </c>
      <c r="T35" s="41">
        <f t="shared" si="11"/>
        <v>0</v>
      </c>
    </row>
    <row r="36" spans="1:20" s="57" customFormat="1" ht="37.5" x14ac:dyDescent="0.25">
      <c r="A36" s="42" t="s">
        <v>242</v>
      </c>
      <c r="B36" s="27" t="s">
        <v>243</v>
      </c>
      <c r="C36" s="27" t="s">
        <v>227</v>
      </c>
      <c r="D36" s="44" t="s">
        <v>244</v>
      </c>
      <c r="E36" s="45">
        <f t="shared" si="24"/>
        <v>0</v>
      </c>
      <c r="F36" s="45"/>
      <c r="G36" s="45"/>
      <c r="H36" s="45"/>
      <c r="I36" s="45">
        <f t="shared" si="25"/>
        <v>7367272</v>
      </c>
      <c r="J36" s="45">
        <v>6883751</v>
      </c>
      <c r="K36" s="45">
        <v>483521</v>
      </c>
      <c r="L36" s="45">
        <f>K36</f>
        <v>483521</v>
      </c>
      <c r="M36" s="40"/>
      <c r="N36" s="40"/>
      <c r="O36" s="40"/>
      <c r="P36" s="40"/>
      <c r="Q36" s="41">
        <f t="shared" si="8"/>
        <v>7367272</v>
      </c>
      <c r="R36" s="41">
        <f t="shared" si="9"/>
        <v>6883751</v>
      </c>
      <c r="S36" s="41">
        <f t="shared" si="10"/>
        <v>483521</v>
      </c>
      <c r="T36" s="41">
        <f t="shared" si="11"/>
        <v>483521</v>
      </c>
    </row>
    <row r="37" spans="1:20" s="57" customFormat="1" ht="41.25" customHeight="1" x14ac:dyDescent="0.25">
      <c r="A37" s="38" t="s">
        <v>263</v>
      </c>
      <c r="B37" s="24" t="s">
        <v>262</v>
      </c>
      <c r="C37" s="24" t="s">
        <v>227</v>
      </c>
      <c r="D37" s="35" t="s">
        <v>258</v>
      </c>
      <c r="E37" s="45">
        <f t="shared" si="24"/>
        <v>167800</v>
      </c>
      <c r="F37" s="45"/>
      <c r="G37" s="45">
        <v>167800</v>
      </c>
      <c r="H37" s="45">
        <v>167800</v>
      </c>
      <c r="I37" s="45">
        <f t="shared" si="25"/>
        <v>259000</v>
      </c>
      <c r="J37" s="45">
        <v>189000</v>
      </c>
      <c r="K37" s="45">
        <v>70000</v>
      </c>
      <c r="L37" s="45">
        <f>K37</f>
        <v>70000</v>
      </c>
      <c r="M37" s="40">
        <f t="shared" si="6"/>
        <v>1.5435041716328963</v>
      </c>
      <c r="N37" s="40"/>
      <c r="O37" s="40">
        <f t="shared" si="17"/>
        <v>0.41716328963051252</v>
      </c>
      <c r="P37" s="40">
        <f t="shared" si="14"/>
        <v>0.41716328963051252</v>
      </c>
      <c r="Q37" s="41">
        <f t="shared" si="8"/>
        <v>91200</v>
      </c>
      <c r="R37" s="41">
        <f t="shared" si="9"/>
        <v>189000</v>
      </c>
      <c r="S37" s="41">
        <f t="shared" si="10"/>
        <v>-97800</v>
      </c>
      <c r="T37" s="41">
        <f t="shared" si="11"/>
        <v>-97800</v>
      </c>
    </row>
    <row r="38" spans="1:20" s="57" customFormat="1" ht="37.5" x14ac:dyDescent="0.25">
      <c r="A38" s="37" t="s">
        <v>353</v>
      </c>
      <c r="B38" s="61" t="s">
        <v>338</v>
      </c>
      <c r="C38" s="61" t="s">
        <v>339</v>
      </c>
      <c r="D38" s="60" t="s">
        <v>340</v>
      </c>
      <c r="E38" s="45">
        <f t="shared" si="24"/>
        <v>2677220.2799999998</v>
      </c>
      <c r="F38" s="45">
        <v>2677220.2799999998</v>
      </c>
      <c r="G38" s="45"/>
      <c r="H38" s="45"/>
      <c r="I38" s="45"/>
      <c r="J38" s="45"/>
      <c r="K38" s="45"/>
      <c r="L38" s="45"/>
      <c r="M38" s="40">
        <f t="shared" si="6"/>
        <v>0</v>
      </c>
      <c r="N38" s="40">
        <f t="shared" si="7"/>
        <v>0</v>
      </c>
      <c r="O38" s="40"/>
      <c r="P38" s="40"/>
      <c r="Q38" s="41">
        <f t="shared" si="8"/>
        <v>-2677220.2799999998</v>
      </c>
      <c r="R38" s="41">
        <f t="shared" si="9"/>
        <v>-2677220.2799999998</v>
      </c>
      <c r="S38" s="41">
        <f t="shared" si="10"/>
        <v>0</v>
      </c>
      <c r="T38" s="41">
        <f t="shared" si="11"/>
        <v>0</v>
      </c>
    </row>
    <row r="39" spans="1:20" s="55" customFormat="1" ht="56.25" x14ac:dyDescent="0.25">
      <c r="A39" s="47" t="s">
        <v>56</v>
      </c>
      <c r="B39" s="26"/>
      <c r="C39" s="26"/>
      <c r="D39" s="10" t="s">
        <v>273</v>
      </c>
      <c r="E39" s="43">
        <f t="shared" ref="E39:L39" si="26">E40</f>
        <v>360423366.88999993</v>
      </c>
      <c r="F39" s="43">
        <f t="shared" si="26"/>
        <v>356864992.24999994</v>
      </c>
      <c r="G39" s="43">
        <f t="shared" si="26"/>
        <v>3558374.6400000006</v>
      </c>
      <c r="H39" s="43">
        <f t="shared" si="26"/>
        <v>1619601</v>
      </c>
      <c r="I39" s="43">
        <f t="shared" si="26"/>
        <v>363963572.21000004</v>
      </c>
      <c r="J39" s="43">
        <f t="shared" si="26"/>
        <v>352531668.30000001</v>
      </c>
      <c r="K39" s="43">
        <f t="shared" si="26"/>
        <v>11431903.91</v>
      </c>
      <c r="L39" s="43">
        <f t="shared" si="26"/>
        <v>3490749.3000000003</v>
      </c>
      <c r="M39" s="12">
        <f t="shared" si="6"/>
        <v>1.0098223523922647</v>
      </c>
      <c r="N39" s="12">
        <f t="shared" si="7"/>
        <v>0.98785724561358979</v>
      </c>
      <c r="O39" s="12">
        <f t="shared" si="17"/>
        <v>3.2126757484984769</v>
      </c>
      <c r="P39" s="12">
        <f t="shared" si="14"/>
        <v>2.1553143644638402</v>
      </c>
      <c r="Q39" s="13">
        <f t="shared" si="8"/>
        <v>3540205.3200001121</v>
      </c>
      <c r="R39" s="13">
        <f t="shared" si="9"/>
        <v>-4333323.9499999285</v>
      </c>
      <c r="S39" s="13">
        <f t="shared" si="10"/>
        <v>7873529.2699999996</v>
      </c>
      <c r="T39" s="13">
        <f t="shared" si="11"/>
        <v>1871148.3000000003</v>
      </c>
    </row>
    <row r="40" spans="1:20" s="55" customFormat="1" ht="56.25" x14ac:dyDescent="0.25">
      <c r="A40" s="47" t="s">
        <v>57</v>
      </c>
      <c r="B40" s="26"/>
      <c r="C40" s="26"/>
      <c r="D40" s="10" t="s">
        <v>274</v>
      </c>
      <c r="E40" s="43">
        <f t="shared" ref="E40:E45" si="27">F40+G40</f>
        <v>360423366.88999993</v>
      </c>
      <c r="F40" s="43">
        <f>F41+F42+F43+F44+F45+F46+F47+F48+F49+F51+F52+F53+F54+F57+F58+F62+F63+F65+F56+F50+F61+F55+F59+F66+F60+F64</f>
        <v>356864992.24999994</v>
      </c>
      <c r="G40" s="43">
        <f t="shared" ref="G40:H40" si="28">G41+G42+G43+G44+G45+G46+G47+G48+G49+G51+G52+G53+G54+G57+G58+G62+G63+G65+G56+G50+G61+G55+G59+G66+G60+G64</f>
        <v>3558374.6400000006</v>
      </c>
      <c r="H40" s="43">
        <f t="shared" si="28"/>
        <v>1619601</v>
      </c>
      <c r="I40" s="43">
        <f t="shared" si="18"/>
        <v>363963572.21000004</v>
      </c>
      <c r="J40" s="43">
        <f>J41+J42+J43+J44+J45+J46+J47+J48+J49+J51+J52+J53+J54+J57+J58+J62+J63+J65+J56+J50+J61+J55+J59+J66+J60+J64</f>
        <v>352531668.30000001</v>
      </c>
      <c r="K40" s="43">
        <f t="shared" ref="K40:L40" si="29">K41+K42+K43+K44+K45+K46+K47+K48+K49+K51+K52+K53+K54+K57+K58+K62+K63+K65+K56+K50+K61+K55+K59+K66+K60+K64</f>
        <v>11431903.91</v>
      </c>
      <c r="L40" s="43">
        <f t="shared" si="29"/>
        <v>3490749.3000000003</v>
      </c>
      <c r="M40" s="12">
        <f t="shared" si="6"/>
        <v>1.0098223523922647</v>
      </c>
      <c r="N40" s="12">
        <f t="shared" si="7"/>
        <v>0.98785724561358979</v>
      </c>
      <c r="O40" s="12">
        <f t="shared" si="17"/>
        <v>3.2126757484984769</v>
      </c>
      <c r="P40" s="12">
        <f t="shared" si="14"/>
        <v>2.1553143644638402</v>
      </c>
      <c r="Q40" s="13">
        <f t="shared" si="8"/>
        <v>3540205.3200001121</v>
      </c>
      <c r="R40" s="13">
        <f t="shared" si="9"/>
        <v>-4333323.9499999285</v>
      </c>
      <c r="S40" s="13">
        <f t="shared" si="10"/>
        <v>7873529.2699999996</v>
      </c>
      <c r="T40" s="13">
        <f t="shared" si="11"/>
        <v>1871148.3000000003</v>
      </c>
    </row>
    <row r="41" spans="1:20" s="57" customFormat="1" ht="56.25" x14ac:dyDescent="0.25">
      <c r="A41" s="42" t="s">
        <v>59</v>
      </c>
      <c r="B41" s="27" t="s">
        <v>58</v>
      </c>
      <c r="C41" s="27" t="s">
        <v>3</v>
      </c>
      <c r="D41" s="34" t="s">
        <v>247</v>
      </c>
      <c r="E41" s="45">
        <f t="shared" si="27"/>
        <v>3251741.04</v>
      </c>
      <c r="F41" s="45">
        <v>3251741.04</v>
      </c>
      <c r="G41" s="45"/>
      <c r="H41" s="45"/>
      <c r="I41" s="45">
        <f>J41+K41</f>
        <v>3393140.38</v>
      </c>
      <c r="J41" s="45">
        <v>3393140.38</v>
      </c>
      <c r="K41" s="45"/>
      <c r="L41" s="45"/>
      <c r="M41" s="40">
        <f t="shared" si="6"/>
        <v>1.0434841945470541</v>
      </c>
      <c r="N41" s="40">
        <f t="shared" si="7"/>
        <v>1.0434841945470541</v>
      </c>
      <c r="O41" s="40"/>
      <c r="P41" s="40"/>
      <c r="Q41" s="41">
        <f t="shared" si="8"/>
        <v>141399.33999999985</v>
      </c>
      <c r="R41" s="41">
        <f t="shared" si="9"/>
        <v>141399.33999999985</v>
      </c>
      <c r="S41" s="41">
        <f t="shared" si="10"/>
        <v>0</v>
      </c>
      <c r="T41" s="41">
        <f t="shared" si="11"/>
        <v>0</v>
      </c>
    </row>
    <row r="42" spans="1:20" s="57" customFormat="1" ht="37.5" x14ac:dyDescent="0.25">
      <c r="A42" s="42" t="s">
        <v>239</v>
      </c>
      <c r="B42" s="27" t="s">
        <v>8</v>
      </c>
      <c r="C42" s="27" t="s">
        <v>6</v>
      </c>
      <c r="D42" s="34" t="s">
        <v>122</v>
      </c>
      <c r="E42" s="45">
        <f t="shared" si="27"/>
        <v>149976.4</v>
      </c>
      <c r="F42" s="45">
        <v>149976.4</v>
      </c>
      <c r="G42" s="45"/>
      <c r="H42" s="45"/>
      <c r="I42" s="45">
        <f t="shared" si="18"/>
        <v>134476.5</v>
      </c>
      <c r="J42" s="45">
        <v>134476.5</v>
      </c>
      <c r="K42" s="45"/>
      <c r="L42" s="45"/>
      <c r="M42" s="40">
        <f t="shared" si="6"/>
        <v>0.89665107310216807</v>
      </c>
      <c r="N42" s="40">
        <f t="shared" si="7"/>
        <v>0.89665107310216807</v>
      </c>
      <c r="O42" s="40"/>
      <c r="P42" s="40"/>
      <c r="Q42" s="41">
        <f t="shared" si="8"/>
        <v>-15499.899999999994</v>
      </c>
      <c r="R42" s="41">
        <f t="shared" si="9"/>
        <v>-15499.899999999994</v>
      </c>
      <c r="S42" s="41">
        <f t="shared" si="10"/>
        <v>0</v>
      </c>
      <c r="T42" s="41">
        <f t="shared" si="11"/>
        <v>0</v>
      </c>
    </row>
    <row r="43" spans="1:20" s="57" customFormat="1" x14ac:dyDescent="0.25">
      <c r="A43" s="42" t="s">
        <v>60</v>
      </c>
      <c r="B43" s="27" t="s">
        <v>9</v>
      </c>
      <c r="C43" s="27" t="s">
        <v>10</v>
      </c>
      <c r="D43" s="36" t="s">
        <v>61</v>
      </c>
      <c r="E43" s="45">
        <f t="shared" si="27"/>
        <v>91136207.439999998</v>
      </c>
      <c r="F43" s="45">
        <v>89756223.090000004</v>
      </c>
      <c r="G43" s="41">
        <v>1379984.35</v>
      </c>
      <c r="H43" s="41"/>
      <c r="I43" s="45">
        <f t="shared" si="18"/>
        <v>83791823.599999994</v>
      </c>
      <c r="J43" s="45">
        <v>82022331.959999993</v>
      </c>
      <c r="K43" s="45">
        <f>343697.25+645284+780510.39</f>
        <v>1769491.6400000001</v>
      </c>
      <c r="L43" s="41">
        <v>780510.39</v>
      </c>
      <c r="M43" s="40">
        <f t="shared" si="6"/>
        <v>0.91941310653249186</v>
      </c>
      <c r="N43" s="40">
        <f t="shared" si="7"/>
        <v>0.91383448563510616</v>
      </c>
      <c r="O43" s="40">
        <f t="shared" si="17"/>
        <v>1.2822548603540322</v>
      </c>
      <c r="P43" s="40"/>
      <c r="Q43" s="41">
        <f t="shared" si="8"/>
        <v>-7344383.8400000036</v>
      </c>
      <c r="R43" s="41">
        <f t="shared" si="9"/>
        <v>-7733891.1300000101</v>
      </c>
      <c r="S43" s="41">
        <f t="shared" si="10"/>
        <v>389507.29000000004</v>
      </c>
      <c r="T43" s="41">
        <f t="shared" si="11"/>
        <v>780510.39</v>
      </c>
    </row>
    <row r="44" spans="1:20" s="57" customFormat="1" ht="75" x14ac:dyDescent="0.25">
      <c r="A44" s="42" t="s">
        <v>193</v>
      </c>
      <c r="B44" s="27" t="s">
        <v>195</v>
      </c>
      <c r="C44" s="27" t="s">
        <v>12</v>
      </c>
      <c r="D44" s="34" t="s">
        <v>269</v>
      </c>
      <c r="E44" s="45">
        <f t="shared" si="27"/>
        <v>54785494.789999999</v>
      </c>
      <c r="F44" s="45">
        <v>54169123.130000003</v>
      </c>
      <c r="G44" s="41">
        <v>616371.66</v>
      </c>
      <c r="H44" s="41">
        <v>229301</v>
      </c>
      <c r="I44" s="45">
        <f t="shared" si="18"/>
        <v>77909811.379999995</v>
      </c>
      <c r="J44" s="45">
        <v>71411903.709999993</v>
      </c>
      <c r="K44" s="41">
        <f>36858.89+4034459.87+2426588.91</f>
        <v>6497907.6699999999</v>
      </c>
      <c r="L44" s="41">
        <v>2426588.91</v>
      </c>
      <c r="M44" s="40">
        <f t="shared" si="6"/>
        <v>1.4220883041877881</v>
      </c>
      <c r="N44" s="40">
        <f t="shared" si="7"/>
        <v>1.3183138213003596</v>
      </c>
      <c r="O44" s="40" t="s">
        <v>401</v>
      </c>
      <c r="P44" s="40" t="s">
        <v>401</v>
      </c>
      <c r="Q44" s="41">
        <f t="shared" si="8"/>
        <v>23124316.589999996</v>
      </c>
      <c r="R44" s="41">
        <f t="shared" si="9"/>
        <v>17242780.579999991</v>
      </c>
      <c r="S44" s="41">
        <f t="shared" si="10"/>
        <v>5881536.0099999998</v>
      </c>
      <c r="T44" s="41">
        <f t="shared" si="11"/>
        <v>2197287.91</v>
      </c>
    </row>
    <row r="45" spans="1:20" s="57" customFormat="1" ht="130.5" customHeight="1" x14ac:dyDescent="0.25">
      <c r="A45" s="42" t="s">
        <v>194</v>
      </c>
      <c r="B45" s="27" t="s">
        <v>196</v>
      </c>
      <c r="C45" s="27" t="s">
        <v>14</v>
      </c>
      <c r="D45" s="34" t="s">
        <v>270</v>
      </c>
      <c r="E45" s="45">
        <f t="shared" si="27"/>
        <v>2986000.72</v>
      </c>
      <c r="F45" s="45">
        <v>2952488.72</v>
      </c>
      <c r="G45" s="41">
        <v>33512</v>
      </c>
      <c r="H45" s="41"/>
      <c r="I45" s="45">
        <f t="shared" si="18"/>
        <v>5511885.9399999995</v>
      </c>
      <c r="J45" s="45">
        <v>5260528.34</v>
      </c>
      <c r="K45" s="41">
        <f>251357.6</f>
        <v>251357.6</v>
      </c>
      <c r="L45" s="41"/>
      <c r="M45" s="40">
        <f t="shared" si="6"/>
        <v>1.8459091128417406</v>
      </c>
      <c r="N45" s="40">
        <f t="shared" si="7"/>
        <v>1.781726820619318</v>
      </c>
      <c r="O45" s="40">
        <f t="shared" si="17"/>
        <v>7.500525185008355</v>
      </c>
      <c r="P45" s="40"/>
      <c r="Q45" s="41">
        <f t="shared" si="8"/>
        <v>2525885.2199999993</v>
      </c>
      <c r="R45" s="41">
        <f t="shared" si="9"/>
        <v>2308039.6199999996</v>
      </c>
      <c r="S45" s="41">
        <f t="shared" si="10"/>
        <v>217845.6</v>
      </c>
      <c r="T45" s="41">
        <f t="shared" si="11"/>
        <v>0</v>
      </c>
    </row>
    <row r="46" spans="1:20" s="57" customFormat="1" ht="79.5" customHeight="1" x14ac:dyDescent="0.25">
      <c r="A46" s="42" t="s">
        <v>200</v>
      </c>
      <c r="B46" s="27" t="s">
        <v>201</v>
      </c>
      <c r="C46" s="27" t="s">
        <v>12</v>
      </c>
      <c r="D46" s="34" t="s">
        <v>271</v>
      </c>
      <c r="E46" s="45">
        <f t="shared" ref="E46:E47" si="30">F46+G46</f>
        <v>137424978.31999999</v>
      </c>
      <c r="F46" s="45">
        <v>137424978.31999999</v>
      </c>
      <c r="G46" s="41"/>
      <c r="H46" s="41"/>
      <c r="I46" s="45">
        <f t="shared" si="18"/>
        <v>117414500</v>
      </c>
      <c r="J46" s="45">
        <v>117414500</v>
      </c>
      <c r="K46" s="41"/>
      <c r="L46" s="41"/>
      <c r="M46" s="40">
        <f t="shared" si="6"/>
        <v>0.85438980187863134</v>
      </c>
      <c r="N46" s="40">
        <f t="shared" si="7"/>
        <v>0.85438980187863134</v>
      </c>
      <c r="O46" s="40"/>
      <c r="P46" s="40"/>
      <c r="Q46" s="41">
        <f t="shared" si="8"/>
        <v>-20010478.319999993</v>
      </c>
      <c r="R46" s="41">
        <f t="shared" si="9"/>
        <v>-20010478.319999993</v>
      </c>
      <c r="S46" s="41">
        <f t="shared" si="10"/>
        <v>0</v>
      </c>
      <c r="T46" s="41">
        <f t="shared" si="11"/>
        <v>0</v>
      </c>
    </row>
    <row r="47" spans="1:20" s="57" customFormat="1" ht="123" customHeight="1" x14ac:dyDescent="0.25">
      <c r="A47" s="42" t="s">
        <v>202</v>
      </c>
      <c r="B47" s="27" t="s">
        <v>203</v>
      </c>
      <c r="C47" s="27" t="s">
        <v>14</v>
      </c>
      <c r="D47" s="34" t="s">
        <v>272</v>
      </c>
      <c r="E47" s="45">
        <f t="shared" si="30"/>
        <v>11485521.68</v>
      </c>
      <c r="F47" s="45">
        <v>11485521.68</v>
      </c>
      <c r="G47" s="41"/>
      <c r="H47" s="41"/>
      <c r="I47" s="45">
        <f t="shared" si="18"/>
        <v>9500000</v>
      </c>
      <c r="J47" s="45">
        <v>9500000</v>
      </c>
      <c r="K47" s="41"/>
      <c r="L47" s="41"/>
      <c r="M47" s="40">
        <f t="shared" si="6"/>
        <v>0.8271282981026945</v>
      </c>
      <c r="N47" s="40">
        <f t="shared" si="7"/>
        <v>0.8271282981026945</v>
      </c>
      <c r="O47" s="40"/>
      <c r="P47" s="40"/>
      <c r="Q47" s="41">
        <f t="shared" si="8"/>
        <v>-1985521.6799999997</v>
      </c>
      <c r="R47" s="41">
        <f t="shared" si="9"/>
        <v>-1985521.6799999997</v>
      </c>
      <c r="S47" s="41">
        <f t="shared" si="10"/>
        <v>0</v>
      </c>
      <c r="T47" s="41">
        <f t="shared" si="11"/>
        <v>0</v>
      </c>
    </row>
    <row r="48" spans="1:20" s="57" customFormat="1" ht="48" customHeight="1" x14ac:dyDescent="0.25">
      <c r="A48" s="42" t="s">
        <v>235</v>
      </c>
      <c r="B48" s="27" t="s">
        <v>236</v>
      </c>
      <c r="C48" s="27" t="s">
        <v>12</v>
      </c>
      <c r="D48" s="44" t="s">
        <v>237</v>
      </c>
      <c r="E48" s="45">
        <f>F48+G48</f>
        <v>733233.25</v>
      </c>
      <c r="F48" s="45">
        <v>733233.25</v>
      </c>
      <c r="G48" s="41"/>
      <c r="H48" s="41"/>
      <c r="I48" s="45">
        <f>J48</f>
        <v>0</v>
      </c>
      <c r="J48" s="45"/>
      <c r="K48" s="41"/>
      <c r="L48" s="41"/>
      <c r="M48" s="40">
        <f t="shared" si="6"/>
        <v>0</v>
      </c>
      <c r="N48" s="40">
        <f t="shared" si="7"/>
        <v>0</v>
      </c>
      <c r="O48" s="40"/>
      <c r="P48" s="40"/>
      <c r="Q48" s="41">
        <f t="shared" si="8"/>
        <v>-733233.25</v>
      </c>
      <c r="R48" s="41">
        <f t="shared" si="9"/>
        <v>-733233.25</v>
      </c>
      <c r="S48" s="41">
        <f t="shared" si="10"/>
        <v>0</v>
      </c>
      <c r="T48" s="41">
        <f t="shared" si="11"/>
        <v>0</v>
      </c>
    </row>
    <row r="49" spans="1:20" s="57" customFormat="1" ht="75" x14ac:dyDescent="0.25">
      <c r="A49" s="42" t="s">
        <v>62</v>
      </c>
      <c r="B49" s="27" t="s">
        <v>32</v>
      </c>
      <c r="C49" s="27" t="s">
        <v>15</v>
      </c>
      <c r="D49" s="34" t="s">
        <v>238</v>
      </c>
      <c r="E49" s="45">
        <f t="shared" ref="E49:E66" si="31">F49+G49</f>
        <v>18241736.620000001</v>
      </c>
      <c r="F49" s="45">
        <v>18236907.300000001</v>
      </c>
      <c r="G49" s="41">
        <v>4829.32</v>
      </c>
      <c r="H49" s="41"/>
      <c r="I49" s="45">
        <f t="shared" si="18"/>
        <v>20201727.620000001</v>
      </c>
      <c r="J49" s="45">
        <v>19796294.620000001</v>
      </c>
      <c r="K49" s="41">
        <f>174123+231310</f>
        <v>405433</v>
      </c>
      <c r="L49" s="41"/>
      <c r="M49" s="40">
        <f t="shared" si="6"/>
        <v>1.107445417112924</v>
      </c>
      <c r="N49" s="40">
        <f t="shared" si="7"/>
        <v>1.0855072241333377</v>
      </c>
      <c r="O49" s="40" t="s">
        <v>402</v>
      </c>
      <c r="P49" s="40"/>
      <c r="Q49" s="41">
        <f t="shared" si="8"/>
        <v>1959991</v>
      </c>
      <c r="R49" s="41">
        <f t="shared" si="9"/>
        <v>1559387.3200000003</v>
      </c>
      <c r="S49" s="41">
        <f t="shared" si="10"/>
        <v>400603.68</v>
      </c>
      <c r="T49" s="41">
        <f t="shared" si="11"/>
        <v>0</v>
      </c>
    </row>
    <row r="50" spans="1:20" s="57" customFormat="1" ht="56.25" x14ac:dyDescent="0.25">
      <c r="A50" s="37" t="s">
        <v>311</v>
      </c>
      <c r="B50" s="25" t="s">
        <v>312</v>
      </c>
      <c r="C50" s="25" t="s">
        <v>313</v>
      </c>
      <c r="D50" s="39" t="s">
        <v>314</v>
      </c>
      <c r="E50" s="45">
        <f t="shared" si="31"/>
        <v>0</v>
      </c>
      <c r="F50" s="45"/>
      <c r="G50" s="41"/>
      <c r="H50" s="41"/>
      <c r="I50" s="45">
        <f t="shared" si="18"/>
        <v>3900</v>
      </c>
      <c r="J50" s="45">
        <v>3900</v>
      </c>
      <c r="K50" s="41"/>
      <c r="L50" s="41"/>
      <c r="M50" s="40"/>
      <c r="N50" s="40"/>
      <c r="O50" s="40"/>
      <c r="P50" s="40"/>
      <c r="Q50" s="41">
        <f t="shared" si="8"/>
        <v>3900</v>
      </c>
      <c r="R50" s="41">
        <f t="shared" si="9"/>
        <v>3900</v>
      </c>
      <c r="S50" s="41">
        <f t="shared" si="10"/>
        <v>0</v>
      </c>
      <c r="T50" s="41">
        <f t="shared" si="11"/>
        <v>0</v>
      </c>
    </row>
    <row r="51" spans="1:20" s="57" customFormat="1" ht="37.5" x14ac:dyDescent="0.25">
      <c r="A51" s="42" t="s">
        <v>204</v>
      </c>
      <c r="B51" s="27" t="s">
        <v>205</v>
      </c>
      <c r="C51" s="27" t="s">
        <v>16</v>
      </c>
      <c r="D51" s="34" t="s">
        <v>154</v>
      </c>
      <c r="E51" s="45">
        <f t="shared" si="31"/>
        <v>13781696.640000001</v>
      </c>
      <c r="F51" s="45">
        <v>12770197.33</v>
      </c>
      <c r="G51" s="41">
        <v>1011499.31</v>
      </c>
      <c r="H51" s="41">
        <v>880000</v>
      </c>
      <c r="I51" s="45">
        <f t="shared" si="18"/>
        <v>18222349.609999999</v>
      </c>
      <c r="J51" s="45">
        <v>16437553.609999999</v>
      </c>
      <c r="K51" s="41">
        <f>1784796</f>
        <v>1784796</v>
      </c>
      <c r="L51" s="41"/>
      <c r="M51" s="40">
        <f t="shared" si="6"/>
        <v>1.3222138090829432</v>
      </c>
      <c r="N51" s="40">
        <f t="shared" si="7"/>
        <v>1.2871808622239982</v>
      </c>
      <c r="O51" s="40">
        <f t="shared" si="17"/>
        <v>1.7645054053472364</v>
      </c>
      <c r="P51" s="40">
        <f t="shared" si="14"/>
        <v>0</v>
      </c>
      <c r="Q51" s="41">
        <f t="shared" si="8"/>
        <v>4440652.9699999988</v>
      </c>
      <c r="R51" s="41">
        <f t="shared" si="9"/>
        <v>3667356.2799999993</v>
      </c>
      <c r="S51" s="41">
        <f t="shared" si="10"/>
        <v>773296.69</v>
      </c>
      <c r="T51" s="41">
        <f t="shared" si="11"/>
        <v>-880000</v>
      </c>
    </row>
    <row r="52" spans="1:20" s="57" customFormat="1" x14ac:dyDescent="0.25">
      <c r="A52" s="42" t="s">
        <v>206</v>
      </c>
      <c r="B52" s="27" t="s">
        <v>207</v>
      </c>
      <c r="C52" s="27" t="s">
        <v>16</v>
      </c>
      <c r="D52" s="34" t="s">
        <v>155</v>
      </c>
      <c r="E52" s="45">
        <f t="shared" si="31"/>
        <v>21749.89</v>
      </c>
      <c r="F52" s="45">
        <v>21749.89</v>
      </c>
      <c r="G52" s="41"/>
      <c r="H52" s="41"/>
      <c r="I52" s="45">
        <f t="shared" si="18"/>
        <v>0</v>
      </c>
      <c r="J52" s="45"/>
      <c r="K52" s="41"/>
      <c r="L52" s="41"/>
      <c r="M52" s="40">
        <f t="shared" si="6"/>
        <v>0</v>
      </c>
      <c r="N52" s="40">
        <f t="shared" si="7"/>
        <v>0</v>
      </c>
      <c r="O52" s="40"/>
      <c r="P52" s="40"/>
      <c r="Q52" s="41">
        <f t="shared" si="8"/>
        <v>-21749.89</v>
      </c>
      <c r="R52" s="41">
        <f t="shared" si="9"/>
        <v>-21749.89</v>
      </c>
      <c r="S52" s="41">
        <f t="shared" si="10"/>
        <v>0</v>
      </c>
      <c r="T52" s="41">
        <f t="shared" si="11"/>
        <v>0</v>
      </c>
    </row>
    <row r="53" spans="1:20" s="57" customFormat="1" ht="56.25" x14ac:dyDescent="0.25">
      <c r="A53" s="42" t="s">
        <v>208</v>
      </c>
      <c r="B53" s="27" t="s">
        <v>209</v>
      </c>
      <c r="C53" s="27" t="s">
        <v>16</v>
      </c>
      <c r="D53" s="34" t="s">
        <v>210</v>
      </c>
      <c r="E53" s="45">
        <f t="shared" si="31"/>
        <v>463848.78</v>
      </c>
      <c r="F53" s="45">
        <v>463848.78</v>
      </c>
      <c r="G53" s="41"/>
      <c r="H53" s="41"/>
      <c r="I53" s="45">
        <f t="shared" si="18"/>
        <v>651213.61</v>
      </c>
      <c r="J53" s="45">
        <v>601213.61</v>
      </c>
      <c r="K53" s="41">
        <f>50000</f>
        <v>50000</v>
      </c>
      <c r="L53" s="41"/>
      <c r="M53" s="40">
        <f t="shared" si="6"/>
        <v>1.4039351574881795</v>
      </c>
      <c r="N53" s="40">
        <f t="shared" si="7"/>
        <v>1.2961414062574443</v>
      </c>
      <c r="O53" s="40"/>
      <c r="P53" s="40"/>
      <c r="Q53" s="41">
        <f t="shared" si="8"/>
        <v>187364.82999999996</v>
      </c>
      <c r="R53" s="41">
        <f t="shared" si="9"/>
        <v>137364.82999999996</v>
      </c>
      <c r="S53" s="41">
        <f t="shared" si="10"/>
        <v>50000</v>
      </c>
      <c r="T53" s="41">
        <f t="shared" si="11"/>
        <v>0</v>
      </c>
    </row>
    <row r="54" spans="1:20" s="57" customFormat="1" ht="79.5" customHeight="1" x14ac:dyDescent="0.25">
      <c r="A54" s="42" t="s">
        <v>211</v>
      </c>
      <c r="B54" s="27" t="s">
        <v>212</v>
      </c>
      <c r="C54" s="27" t="s">
        <v>16</v>
      </c>
      <c r="D54" s="34" t="s">
        <v>213</v>
      </c>
      <c r="E54" s="45">
        <f t="shared" si="31"/>
        <v>1645100</v>
      </c>
      <c r="F54" s="45">
        <v>1645100</v>
      </c>
      <c r="G54" s="41"/>
      <c r="H54" s="41"/>
      <c r="I54" s="45">
        <f t="shared" si="18"/>
        <v>2049601.01</v>
      </c>
      <c r="J54" s="45">
        <v>2049601.01</v>
      </c>
      <c r="K54" s="41"/>
      <c r="L54" s="41"/>
      <c r="M54" s="40">
        <f t="shared" si="6"/>
        <v>1.2458823232630236</v>
      </c>
      <c r="N54" s="40">
        <f t="shared" si="7"/>
        <v>1.2458823232630236</v>
      </c>
      <c r="O54" s="40"/>
      <c r="P54" s="40"/>
      <c r="Q54" s="41">
        <f t="shared" si="8"/>
        <v>404501.01</v>
      </c>
      <c r="R54" s="41">
        <f t="shared" si="9"/>
        <v>404501.01</v>
      </c>
      <c r="S54" s="41">
        <f t="shared" si="10"/>
        <v>0</v>
      </c>
      <c r="T54" s="41">
        <f t="shared" si="11"/>
        <v>0</v>
      </c>
    </row>
    <row r="55" spans="1:20" s="57" customFormat="1" ht="150.75" customHeight="1" x14ac:dyDescent="0.25">
      <c r="A55" s="42" t="s">
        <v>354</v>
      </c>
      <c r="B55" s="42" t="s">
        <v>355</v>
      </c>
      <c r="C55" s="42" t="s">
        <v>16</v>
      </c>
      <c r="D55" s="34" t="s">
        <v>356</v>
      </c>
      <c r="E55" s="45">
        <f t="shared" si="31"/>
        <v>200000</v>
      </c>
      <c r="F55" s="45">
        <v>200000</v>
      </c>
      <c r="G55" s="41"/>
      <c r="H55" s="41"/>
      <c r="I55" s="45"/>
      <c r="J55" s="45"/>
      <c r="K55" s="41"/>
      <c r="L55" s="41"/>
      <c r="M55" s="40">
        <f t="shared" si="6"/>
        <v>0</v>
      </c>
      <c r="N55" s="40">
        <f t="shared" si="7"/>
        <v>0</v>
      </c>
      <c r="O55" s="40"/>
      <c r="P55" s="40"/>
      <c r="Q55" s="41">
        <f t="shared" si="8"/>
        <v>-200000</v>
      </c>
      <c r="R55" s="41">
        <f t="shared" si="9"/>
        <v>-200000</v>
      </c>
      <c r="S55" s="41">
        <f t="shared" si="10"/>
        <v>0</v>
      </c>
      <c r="T55" s="41">
        <f t="shared" si="11"/>
        <v>0</v>
      </c>
    </row>
    <row r="56" spans="1:20" s="57" customFormat="1" ht="63.75" customHeight="1" x14ac:dyDescent="0.25">
      <c r="A56" s="38" t="s">
        <v>350</v>
      </c>
      <c r="B56" s="24">
        <v>1160</v>
      </c>
      <c r="C56" s="25" t="s">
        <v>16</v>
      </c>
      <c r="D56" s="39" t="s">
        <v>265</v>
      </c>
      <c r="E56" s="45">
        <f t="shared" ref="E56" si="32">F56+G56</f>
        <v>3234721.87</v>
      </c>
      <c r="F56" s="45">
        <v>3234143.87</v>
      </c>
      <c r="G56" s="41">
        <v>578</v>
      </c>
      <c r="H56" s="41"/>
      <c r="I56" s="45">
        <f t="shared" si="18"/>
        <v>3508954.39</v>
      </c>
      <c r="J56" s="45">
        <v>3508954.39</v>
      </c>
      <c r="K56" s="41"/>
      <c r="L56" s="41"/>
      <c r="M56" s="40">
        <f t="shared" si="6"/>
        <v>1.0847777741089066</v>
      </c>
      <c r="N56" s="40">
        <f t="shared" si="7"/>
        <v>1.0849716435156609</v>
      </c>
      <c r="O56" s="40"/>
      <c r="P56" s="40"/>
      <c r="Q56" s="41">
        <f t="shared" si="8"/>
        <v>274232.52</v>
      </c>
      <c r="R56" s="41">
        <f t="shared" si="9"/>
        <v>274810.52</v>
      </c>
      <c r="S56" s="41">
        <f t="shared" si="10"/>
        <v>-578</v>
      </c>
      <c r="T56" s="41">
        <f t="shared" si="11"/>
        <v>0</v>
      </c>
    </row>
    <row r="57" spans="1:20" s="57" customFormat="1" ht="117" customHeight="1" x14ac:dyDescent="0.25">
      <c r="A57" s="42" t="s">
        <v>229</v>
      </c>
      <c r="B57" s="27" t="s">
        <v>230</v>
      </c>
      <c r="C57" s="27" t="s">
        <v>16</v>
      </c>
      <c r="D57" s="44" t="s">
        <v>231</v>
      </c>
      <c r="E57" s="45">
        <f t="shared" si="31"/>
        <v>342825.76</v>
      </c>
      <c r="F57" s="45">
        <v>342825.76</v>
      </c>
      <c r="G57" s="45"/>
      <c r="H57" s="45"/>
      <c r="I57" s="45">
        <f t="shared" si="18"/>
        <v>351372</v>
      </c>
      <c r="J57" s="45">
        <v>351372</v>
      </c>
      <c r="K57" s="45"/>
      <c r="L57" s="45"/>
      <c r="M57" s="40">
        <f t="shared" si="6"/>
        <v>1.0249288151508802</v>
      </c>
      <c r="N57" s="40">
        <f t="shared" si="7"/>
        <v>1.0249288151508802</v>
      </c>
      <c r="O57" s="40"/>
      <c r="P57" s="40"/>
      <c r="Q57" s="41">
        <f t="shared" si="8"/>
        <v>8546.2399999999907</v>
      </c>
      <c r="R57" s="41">
        <f t="shared" si="9"/>
        <v>8546.2399999999907</v>
      </c>
      <c r="S57" s="41">
        <f t="shared" si="10"/>
        <v>0</v>
      </c>
      <c r="T57" s="41">
        <f t="shared" si="11"/>
        <v>0</v>
      </c>
    </row>
    <row r="58" spans="1:20" s="57" customFormat="1" ht="118.5" customHeight="1" x14ac:dyDescent="0.25">
      <c r="A58" s="42" t="s">
        <v>232</v>
      </c>
      <c r="B58" s="27" t="s">
        <v>233</v>
      </c>
      <c r="C58" s="27" t="s">
        <v>16</v>
      </c>
      <c r="D58" s="34" t="s">
        <v>234</v>
      </c>
      <c r="E58" s="45">
        <f>F58+G58</f>
        <v>217230</v>
      </c>
      <c r="F58" s="45">
        <v>217230</v>
      </c>
      <c r="G58" s="41"/>
      <c r="H58" s="41"/>
      <c r="I58" s="45">
        <f>J58+K58</f>
        <v>111396.79</v>
      </c>
      <c r="J58" s="45">
        <v>111396.79</v>
      </c>
      <c r="K58" s="41"/>
      <c r="L58" s="41"/>
      <c r="M58" s="40">
        <f t="shared" si="6"/>
        <v>0.51280573585600508</v>
      </c>
      <c r="N58" s="40">
        <f t="shared" si="7"/>
        <v>0.51280573585600508</v>
      </c>
      <c r="O58" s="40"/>
      <c r="P58" s="40"/>
      <c r="Q58" s="41">
        <f t="shared" si="8"/>
        <v>-105833.21</v>
      </c>
      <c r="R58" s="41">
        <f t="shared" si="9"/>
        <v>-105833.21</v>
      </c>
      <c r="S58" s="41">
        <f t="shared" si="10"/>
        <v>0</v>
      </c>
      <c r="T58" s="41">
        <f t="shared" si="11"/>
        <v>0</v>
      </c>
    </row>
    <row r="59" spans="1:20" s="57" customFormat="1" ht="117" customHeight="1" x14ac:dyDescent="0.25">
      <c r="A59" s="38" t="s">
        <v>370</v>
      </c>
      <c r="B59" s="59" t="s">
        <v>371</v>
      </c>
      <c r="C59" s="59" t="s">
        <v>16</v>
      </c>
      <c r="D59" s="44" t="s">
        <v>372</v>
      </c>
      <c r="E59" s="45">
        <f>F59+G59</f>
        <v>0</v>
      </c>
      <c r="F59" s="45"/>
      <c r="G59" s="41"/>
      <c r="H59" s="41"/>
      <c r="I59" s="45">
        <f>J59+K59</f>
        <v>166826</v>
      </c>
      <c r="J59" s="45">
        <v>166826</v>
      </c>
      <c r="K59" s="41"/>
      <c r="L59" s="41"/>
      <c r="M59" s="40"/>
      <c r="N59" s="40"/>
      <c r="O59" s="40"/>
      <c r="P59" s="40"/>
      <c r="Q59" s="41">
        <f t="shared" si="8"/>
        <v>166826</v>
      </c>
      <c r="R59" s="41">
        <f t="shared" si="9"/>
        <v>166826</v>
      </c>
      <c r="S59" s="41">
        <f t="shared" si="10"/>
        <v>0</v>
      </c>
      <c r="T59" s="41">
        <f t="shared" si="11"/>
        <v>0</v>
      </c>
    </row>
    <row r="60" spans="1:20" s="57" customFormat="1" ht="93" customHeight="1" x14ac:dyDescent="0.3">
      <c r="A60" s="38" t="s">
        <v>374</v>
      </c>
      <c r="B60" s="59" t="s">
        <v>375</v>
      </c>
      <c r="C60" s="59" t="s">
        <v>16</v>
      </c>
      <c r="D60" s="62" t="s">
        <v>376</v>
      </c>
      <c r="E60" s="45">
        <f>F60+G60</f>
        <v>0</v>
      </c>
      <c r="F60" s="45"/>
      <c r="G60" s="41"/>
      <c r="H60" s="41"/>
      <c r="I60" s="45">
        <f>J60+K60</f>
        <v>389268</v>
      </c>
      <c r="J60" s="45"/>
      <c r="K60" s="41">
        <v>389268</v>
      </c>
      <c r="L60" s="41"/>
      <c r="M60" s="40"/>
      <c r="N60" s="40"/>
      <c r="O60" s="40"/>
      <c r="P60" s="40"/>
      <c r="Q60" s="41">
        <f t="shared" si="8"/>
        <v>389268</v>
      </c>
      <c r="R60" s="41">
        <f t="shared" si="9"/>
        <v>0</v>
      </c>
      <c r="S60" s="41">
        <f t="shared" si="10"/>
        <v>389268</v>
      </c>
      <c r="T60" s="41">
        <f t="shared" si="11"/>
        <v>0</v>
      </c>
    </row>
    <row r="61" spans="1:20" s="57" customFormat="1" ht="112.5" x14ac:dyDescent="0.25">
      <c r="A61" s="37" t="s">
        <v>285</v>
      </c>
      <c r="B61" s="25" t="s">
        <v>286</v>
      </c>
      <c r="C61" s="25" t="s">
        <v>17</v>
      </c>
      <c r="D61" s="39" t="s">
        <v>287</v>
      </c>
      <c r="E61" s="45">
        <f>F61+G61</f>
        <v>0</v>
      </c>
      <c r="F61" s="45"/>
      <c r="G61" s="41"/>
      <c r="H61" s="41"/>
      <c r="I61" s="45">
        <f>J61+K61</f>
        <v>2256288.38</v>
      </c>
      <c r="J61" s="45">
        <v>2256288.38</v>
      </c>
      <c r="K61" s="41"/>
      <c r="L61" s="41"/>
      <c r="M61" s="40"/>
      <c r="N61" s="40"/>
      <c r="O61" s="40"/>
      <c r="P61" s="40"/>
      <c r="Q61" s="41">
        <f t="shared" si="8"/>
        <v>2256288.38</v>
      </c>
      <c r="R61" s="41">
        <f t="shared" si="9"/>
        <v>2256288.38</v>
      </c>
      <c r="S61" s="41">
        <f t="shared" si="10"/>
        <v>0</v>
      </c>
      <c r="T61" s="41">
        <f t="shared" si="11"/>
        <v>0</v>
      </c>
    </row>
    <row r="62" spans="1:20" s="57" customFormat="1" ht="37.5" x14ac:dyDescent="0.25">
      <c r="A62" s="42" t="s">
        <v>151</v>
      </c>
      <c r="B62" s="27" t="s">
        <v>148</v>
      </c>
      <c r="C62" s="27" t="s">
        <v>4</v>
      </c>
      <c r="D62" s="34" t="s">
        <v>149</v>
      </c>
      <c r="E62" s="45">
        <f t="shared" si="31"/>
        <v>6591562.7400000002</v>
      </c>
      <c r="F62" s="45">
        <v>6591562.7400000002</v>
      </c>
      <c r="G62" s="45"/>
      <c r="H62" s="45"/>
      <c r="I62" s="45">
        <f t="shared" si="18"/>
        <v>7730473.0899999999</v>
      </c>
      <c r="J62" s="45">
        <v>7730473.0899999999</v>
      </c>
      <c r="K62" s="45"/>
      <c r="L62" s="45"/>
      <c r="M62" s="40">
        <f t="shared" si="6"/>
        <v>1.1727830553881673</v>
      </c>
      <c r="N62" s="40">
        <f t="shared" si="7"/>
        <v>1.1727830553881673</v>
      </c>
      <c r="O62" s="40"/>
      <c r="P62" s="40"/>
      <c r="Q62" s="41">
        <f t="shared" si="8"/>
        <v>1138910.3499999996</v>
      </c>
      <c r="R62" s="41">
        <f t="shared" si="9"/>
        <v>1138910.3499999996</v>
      </c>
      <c r="S62" s="41">
        <f t="shared" si="10"/>
        <v>0</v>
      </c>
      <c r="T62" s="41">
        <f t="shared" si="11"/>
        <v>0</v>
      </c>
    </row>
    <row r="63" spans="1:20" s="57" customFormat="1" ht="56.25" x14ac:dyDescent="0.25">
      <c r="A63" s="42" t="s">
        <v>69</v>
      </c>
      <c r="B63" s="27" t="s">
        <v>47</v>
      </c>
      <c r="C63" s="27" t="s">
        <v>18</v>
      </c>
      <c r="D63" s="36" t="s">
        <v>19</v>
      </c>
      <c r="E63" s="45">
        <f t="shared" si="31"/>
        <v>7779334.9500000002</v>
      </c>
      <c r="F63" s="45">
        <v>7778034.9500000002</v>
      </c>
      <c r="G63" s="41">
        <v>1300</v>
      </c>
      <c r="H63" s="41"/>
      <c r="I63" s="45">
        <f t="shared" si="18"/>
        <v>8732432.8499999996</v>
      </c>
      <c r="J63" s="45">
        <v>8732432.8499999996</v>
      </c>
      <c r="K63" s="41"/>
      <c r="L63" s="41"/>
      <c r="M63" s="40">
        <f t="shared" si="6"/>
        <v>1.1225166297795159</v>
      </c>
      <c r="N63" s="40">
        <f t="shared" si="7"/>
        <v>1.1227042442127364</v>
      </c>
      <c r="O63" s="40"/>
      <c r="P63" s="40"/>
      <c r="Q63" s="41">
        <f t="shared" si="8"/>
        <v>953097.89999999944</v>
      </c>
      <c r="R63" s="41">
        <f t="shared" si="9"/>
        <v>954397.89999999944</v>
      </c>
      <c r="S63" s="41">
        <f t="shared" si="10"/>
        <v>-1300</v>
      </c>
      <c r="T63" s="41">
        <f t="shared" si="11"/>
        <v>0</v>
      </c>
    </row>
    <row r="64" spans="1:20" s="57" customFormat="1" ht="115.5" customHeight="1" x14ac:dyDescent="0.25">
      <c r="A64" s="38" t="s">
        <v>377</v>
      </c>
      <c r="B64" s="25">
        <v>7372</v>
      </c>
      <c r="C64" s="24" t="s">
        <v>20</v>
      </c>
      <c r="D64" s="39" t="s">
        <v>378</v>
      </c>
      <c r="E64" s="45">
        <f t="shared" si="31"/>
        <v>0</v>
      </c>
      <c r="F64" s="45"/>
      <c r="G64" s="41"/>
      <c r="H64" s="41"/>
      <c r="I64" s="45">
        <f t="shared" si="18"/>
        <v>283650</v>
      </c>
      <c r="J64" s="45"/>
      <c r="K64" s="41">
        <v>283650</v>
      </c>
      <c r="L64" s="41">
        <f>K64</f>
        <v>283650</v>
      </c>
      <c r="M64" s="40"/>
      <c r="N64" s="40"/>
      <c r="O64" s="40"/>
      <c r="P64" s="40"/>
      <c r="Q64" s="41">
        <f t="shared" si="8"/>
        <v>283650</v>
      </c>
      <c r="R64" s="41">
        <f t="shared" si="9"/>
        <v>0</v>
      </c>
      <c r="S64" s="41">
        <f t="shared" si="10"/>
        <v>283650</v>
      </c>
      <c r="T64" s="41">
        <f t="shared" si="11"/>
        <v>283650</v>
      </c>
    </row>
    <row r="65" spans="1:20" s="57" customFormat="1" ht="56.25" x14ac:dyDescent="0.25">
      <c r="A65" s="38" t="s">
        <v>254</v>
      </c>
      <c r="B65" s="25">
        <v>8110</v>
      </c>
      <c r="C65" s="24" t="s">
        <v>5</v>
      </c>
      <c r="D65" s="39" t="s">
        <v>137</v>
      </c>
      <c r="E65" s="45">
        <f t="shared" si="31"/>
        <v>5950406</v>
      </c>
      <c r="F65" s="45">
        <v>5440106</v>
      </c>
      <c r="G65" s="41">
        <v>510300</v>
      </c>
      <c r="H65" s="41">
        <v>510300</v>
      </c>
      <c r="I65" s="45">
        <f t="shared" si="18"/>
        <v>1551481.06</v>
      </c>
      <c r="J65" s="45">
        <v>1551481.06</v>
      </c>
      <c r="K65" s="41"/>
      <c r="L65" s="41"/>
      <c r="M65" s="40">
        <f t="shared" si="6"/>
        <v>0.26073532797593979</v>
      </c>
      <c r="N65" s="40">
        <f t="shared" si="7"/>
        <v>0.2851931671919628</v>
      </c>
      <c r="O65" s="40">
        <f t="shared" si="17"/>
        <v>0</v>
      </c>
      <c r="P65" s="40">
        <f t="shared" si="14"/>
        <v>0</v>
      </c>
      <c r="Q65" s="41">
        <f t="shared" si="8"/>
        <v>-4398924.9399999995</v>
      </c>
      <c r="R65" s="41">
        <f t="shared" si="9"/>
        <v>-3888624.94</v>
      </c>
      <c r="S65" s="41">
        <f t="shared" si="10"/>
        <v>-510300</v>
      </c>
      <c r="T65" s="41">
        <f t="shared" si="11"/>
        <v>-510300</v>
      </c>
    </row>
    <row r="66" spans="1:20" s="57" customFormat="1" ht="37.5" x14ac:dyDescent="0.25">
      <c r="A66" s="38" t="s">
        <v>373</v>
      </c>
      <c r="B66" s="25" t="s">
        <v>262</v>
      </c>
      <c r="C66" s="24" t="s">
        <v>227</v>
      </c>
      <c r="D66" s="39" t="s">
        <v>258</v>
      </c>
      <c r="E66" s="45">
        <f t="shared" si="31"/>
        <v>0</v>
      </c>
      <c r="F66" s="45"/>
      <c r="G66" s="41"/>
      <c r="H66" s="41"/>
      <c r="I66" s="45">
        <f t="shared" si="18"/>
        <v>97000</v>
      </c>
      <c r="J66" s="45">
        <v>97000</v>
      </c>
      <c r="K66" s="41"/>
      <c r="L66" s="41"/>
      <c r="M66" s="40"/>
      <c r="N66" s="40"/>
      <c r="O66" s="40"/>
      <c r="P66" s="40"/>
      <c r="Q66" s="41">
        <f t="shared" si="8"/>
        <v>97000</v>
      </c>
      <c r="R66" s="41">
        <f t="shared" si="9"/>
        <v>97000</v>
      </c>
      <c r="S66" s="41">
        <f t="shared" si="10"/>
        <v>0</v>
      </c>
      <c r="T66" s="41">
        <f t="shared" si="11"/>
        <v>0</v>
      </c>
    </row>
    <row r="67" spans="1:20" s="55" customFormat="1" ht="56.25" x14ac:dyDescent="0.25">
      <c r="A67" s="47" t="s">
        <v>70</v>
      </c>
      <c r="B67" s="26"/>
      <c r="C67" s="26"/>
      <c r="D67" s="10" t="s">
        <v>216</v>
      </c>
      <c r="E67" s="43">
        <f t="shared" ref="E67:L67" si="33">E68</f>
        <v>73594734.809999987</v>
      </c>
      <c r="F67" s="43">
        <f t="shared" si="33"/>
        <v>65486777.999999985</v>
      </c>
      <c r="G67" s="43">
        <f t="shared" si="33"/>
        <v>8107956.8099999996</v>
      </c>
      <c r="H67" s="43">
        <f t="shared" si="33"/>
        <v>0</v>
      </c>
      <c r="I67" s="43">
        <f t="shared" si="33"/>
        <v>98056743.249999985</v>
      </c>
      <c r="J67" s="43">
        <f t="shared" si="33"/>
        <v>81090900.699999988</v>
      </c>
      <c r="K67" s="43">
        <f t="shared" si="33"/>
        <v>16965842.549999997</v>
      </c>
      <c r="L67" s="43">
        <f t="shared" si="33"/>
        <v>12038003.360000001</v>
      </c>
      <c r="M67" s="12">
        <f t="shared" si="6"/>
        <v>1.3323880234524077</v>
      </c>
      <c r="N67" s="12">
        <f t="shared" si="7"/>
        <v>1.2382789805294743</v>
      </c>
      <c r="O67" s="12">
        <f t="shared" si="17"/>
        <v>2.0924929606278941</v>
      </c>
      <c r="P67" s="12"/>
      <c r="Q67" s="13">
        <f t="shared" si="8"/>
        <v>24462008.439999998</v>
      </c>
      <c r="R67" s="13">
        <f t="shared" si="9"/>
        <v>15604122.700000003</v>
      </c>
      <c r="S67" s="13">
        <f t="shared" si="10"/>
        <v>8857885.7399999984</v>
      </c>
      <c r="T67" s="13">
        <f t="shared" si="11"/>
        <v>12038003.360000001</v>
      </c>
    </row>
    <row r="68" spans="1:20" s="55" customFormat="1" ht="56.25" x14ac:dyDescent="0.25">
      <c r="A68" s="47" t="s">
        <v>71</v>
      </c>
      <c r="B68" s="26"/>
      <c r="C68" s="26"/>
      <c r="D68" s="10" t="s">
        <v>216</v>
      </c>
      <c r="E68" s="43">
        <f t="shared" ref="E68:E78" si="34">F68+G68</f>
        <v>73594734.809999987</v>
      </c>
      <c r="F68" s="43">
        <f>F69+F70+F71+F72+F74+F75+F76+F78+F79+F80+F81+F86+F73+F85+F77+F87+F83+F84+F82</f>
        <v>65486777.999999985</v>
      </c>
      <c r="G68" s="43">
        <f t="shared" ref="G68:H68" si="35">G69+G70+G71+G72+G74+G75+G76+G78+G79+G80+G81+G86+G73+G85+G77+G87+G83+G84+G82</f>
        <v>8107956.8099999996</v>
      </c>
      <c r="H68" s="43">
        <f t="shared" si="35"/>
        <v>0</v>
      </c>
      <c r="I68" s="43">
        <f t="shared" ref="I68" si="36">J68+K68</f>
        <v>98056743.249999985</v>
      </c>
      <c r="J68" s="43">
        <f>J69+J70+J71+J72+J74+J75+J76+J78+J79+J80+J81+J86+J73+J85+J77+J87+J83+J84+J82</f>
        <v>81090900.699999988</v>
      </c>
      <c r="K68" s="43">
        <f t="shared" ref="K68:L68" si="37">K69+K70+K71+K72+K74+K75+K76+K78+K79+K80+K81+K86+K73+K85+K77+K87+K83+K84+K82</f>
        <v>16965842.549999997</v>
      </c>
      <c r="L68" s="43">
        <f t="shared" si="37"/>
        <v>12038003.360000001</v>
      </c>
      <c r="M68" s="12">
        <f t="shared" si="6"/>
        <v>1.3323880234524077</v>
      </c>
      <c r="N68" s="12">
        <f t="shared" si="7"/>
        <v>1.2382789805294743</v>
      </c>
      <c r="O68" s="12">
        <f t="shared" si="17"/>
        <v>2.0924929606278941</v>
      </c>
      <c r="P68" s="12"/>
      <c r="Q68" s="13">
        <f t="shared" si="8"/>
        <v>24462008.439999998</v>
      </c>
      <c r="R68" s="13">
        <f t="shared" si="9"/>
        <v>15604122.700000003</v>
      </c>
      <c r="S68" s="13">
        <f t="shared" si="10"/>
        <v>8857885.7399999984</v>
      </c>
      <c r="T68" s="13">
        <f t="shared" si="11"/>
        <v>12038003.360000001</v>
      </c>
    </row>
    <row r="69" spans="1:20" s="57" customFormat="1" ht="56.25" x14ac:dyDescent="0.25">
      <c r="A69" s="42" t="s">
        <v>72</v>
      </c>
      <c r="B69" s="27" t="s">
        <v>58</v>
      </c>
      <c r="C69" s="27" t="s">
        <v>3</v>
      </c>
      <c r="D69" s="44" t="s">
        <v>247</v>
      </c>
      <c r="E69" s="45">
        <f t="shared" si="34"/>
        <v>12654624.529999999</v>
      </c>
      <c r="F69" s="45">
        <v>12654624.529999999</v>
      </c>
      <c r="G69" s="45"/>
      <c r="H69" s="45"/>
      <c r="I69" s="45">
        <f t="shared" si="18"/>
        <v>13812575.17</v>
      </c>
      <c r="J69" s="45">
        <v>13753115.17</v>
      </c>
      <c r="K69" s="45">
        <v>59460</v>
      </c>
      <c r="L69" s="45">
        <f>K69</f>
        <v>59460</v>
      </c>
      <c r="M69" s="40">
        <f t="shared" si="6"/>
        <v>1.0915041483257664</v>
      </c>
      <c r="N69" s="40">
        <f t="shared" si="7"/>
        <v>1.0868054707902108</v>
      </c>
      <c r="O69" s="40"/>
      <c r="P69" s="40"/>
      <c r="Q69" s="41">
        <f t="shared" si="8"/>
        <v>1157950.6400000006</v>
      </c>
      <c r="R69" s="41">
        <f t="shared" si="9"/>
        <v>1098490.6400000006</v>
      </c>
      <c r="S69" s="41">
        <f t="shared" si="10"/>
        <v>59460</v>
      </c>
      <c r="T69" s="41">
        <f t="shared" si="11"/>
        <v>59460</v>
      </c>
    </row>
    <row r="70" spans="1:20" s="57" customFormat="1" ht="37.5" x14ac:dyDescent="0.25">
      <c r="A70" s="42" t="s">
        <v>166</v>
      </c>
      <c r="B70" s="27" t="s">
        <v>8</v>
      </c>
      <c r="C70" s="27" t="s">
        <v>6</v>
      </c>
      <c r="D70" s="18" t="s">
        <v>109</v>
      </c>
      <c r="E70" s="45">
        <f t="shared" si="34"/>
        <v>135958.20000000001</v>
      </c>
      <c r="F70" s="45">
        <v>135958.20000000001</v>
      </c>
      <c r="G70" s="45"/>
      <c r="H70" s="45"/>
      <c r="I70" s="45">
        <f t="shared" si="18"/>
        <v>272935.40000000002</v>
      </c>
      <c r="J70" s="45">
        <v>272935.40000000002</v>
      </c>
      <c r="K70" s="45"/>
      <c r="L70" s="45"/>
      <c r="M70" s="40">
        <f t="shared" si="6"/>
        <v>2.007494950653951</v>
      </c>
      <c r="N70" s="40">
        <f t="shared" si="7"/>
        <v>2.007494950653951</v>
      </c>
      <c r="O70" s="40"/>
      <c r="P70" s="40"/>
      <c r="Q70" s="41">
        <f t="shared" si="8"/>
        <v>136977.20000000001</v>
      </c>
      <c r="R70" s="41">
        <f t="shared" si="9"/>
        <v>136977.20000000001</v>
      </c>
      <c r="S70" s="41">
        <f t="shared" si="10"/>
        <v>0</v>
      </c>
      <c r="T70" s="41">
        <f t="shared" si="11"/>
        <v>0</v>
      </c>
    </row>
    <row r="71" spans="1:20" s="57" customFormat="1" ht="56.25" x14ac:dyDescent="0.25">
      <c r="A71" s="42" t="s">
        <v>114</v>
      </c>
      <c r="B71" s="27" t="s">
        <v>31</v>
      </c>
      <c r="C71" s="27" t="s">
        <v>13</v>
      </c>
      <c r="D71" s="36" t="s">
        <v>113</v>
      </c>
      <c r="E71" s="45">
        <f t="shared" si="34"/>
        <v>82072.639999999999</v>
      </c>
      <c r="F71" s="45">
        <v>82072.639999999999</v>
      </c>
      <c r="G71" s="45"/>
      <c r="H71" s="45"/>
      <c r="I71" s="45">
        <f t="shared" si="18"/>
        <v>286279.7</v>
      </c>
      <c r="J71" s="45">
        <v>286279.7</v>
      </c>
      <c r="K71" s="45"/>
      <c r="L71" s="45"/>
      <c r="M71" s="40">
        <f t="shared" si="6"/>
        <v>3.4881258845822436</v>
      </c>
      <c r="N71" s="40">
        <f t="shared" si="7"/>
        <v>3.4881258845822436</v>
      </c>
      <c r="O71" s="40"/>
      <c r="P71" s="40"/>
      <c r="Q71" s="41">
        <f t="shared" si="8"/>
        <v>204207.06</v>
      </c>
      <c r="R71" s="41">
        <f t="shared" si="9"/>
        <v>204207.06</v>
      </c>
      <c r="S71" s="41">
        <f t="shared" si="10"/>
        <v>0</v>
      </c>
      <c r="T71" s="41">
        <f t="shared" si="11"/>
        <v>0</v>
      </c>
    </row>
    <row r="72" spans="1:20" s="57" customFormat="1" ht="37.5" x14ac:dyDescent="0.25">
      <c r="A72" s="42" t="s">
        <v>115</v>
      </c>
      <c r="B72" s="27" t="s">
        <v>116</v>
      </c>
      <c r="C72" s="27" t="s">
        <v>32</v>
      </c>
      <c r="D72" s="36" t="s">
        <v>33</v>
      </c>
      <c r="E72" s="45">
        <f t="shared" si="34"/>
        <v>25510.21</v>
      </c>
      <c r="F72" s="45">
        <v>25510.21</v>
      </c>
      <c r="G72" s="45"/>
      <c r="H72" s="45"/>
      <c r="I72" s="45">
        <f t="shared" si="18"/>
        <v>10629.45</v>
      </c>
      <c r="J72" s="45">
        <v>10629.45</v>
      </c>
      <c r="K72" s="45"/>
      <c r="L72" s="45"/>
      <c r="M72" s="40">
        <f t="shared" si="6"/>
        <v>0.4166743433315524</v>
      </c>
      <c r="N72" s="40">
        <f t="shared" si="7"/>
        <v>0.4166743433315524</v>
      </c>
      <c r="O72" s="40"/>
      <c r="P72" s="40"/>
      <c r="Q72" s="41">
        <f t="shared" si="8"/>
        <v>-14880.759999999998</v>
      </c>
      <c r="R72" s="41">
        <f t="shared" si="9"/>
        <v>-14880.759999999998</v>
      </c>
      <c r="S72" s="41">
        <f t="shared" si="10"/>
        <v>0</v>
      </c>
      <c r="T72" s="41">
        <f t="shared" si="11"/>
        <v>0</v>
      </c>
    </row>
    <row r="73" spans="1:20" s="57" customFormat="1" ht="72" customHeight="1" x14ac:dyDescent="0.25">
      <c r="A73" s="42" t="s">
        <v>174</v>
      </c>
      <c r="B73" s="27" t="s">
        <v>172</v>
      </c>
      <c r="C73" s="27" t="s">
        <v>32</v>
      </c>
      <c r="D73" s="19" t="s">
        <v>173</v>
      </c>
      <c r="E73" s="45">
        <f t="shared" si="34"/>
        <v>149106.73000000001</v>
      </c>
      <c r="F73" s="45">
        <v>149106.73000000001</v>
      </c>
      <c r="G73" s="45"/>
      <c r="H73" s="45"/>
      <c r="I73" s="45">
        <f t="shared" ref="I73:I163" si="38">J73+K73</f>
        <v>276650</v>
      </c>
      <c r="J73" s="45">
        <v>276650</v>
      </c>
      <c r="K73" s="45"/>
      <c r="L73" s="45"/>
      <c r="M73" s="40">
        <f t="shared" si="6"/>
        <v>1.8553823828072682</v>
      </c>
      <c r="N73" s="40">
        <f t="shared" si="7"/>
        <v>1.8553823828072682</v>
      </c>
      <c r="O73" s="40"/>
      <c r="P73" s="40"/>
      <c r="Q73" s="41">
        <f t="shared" si="8"/>
        <v>127543.26999999999</v>
      </c>
      <c r="R73" s="41">
        <f t="shared" si="9"/>
        <v>127543.26999999999</v>
      </c>
      <c r="S73" s="41">
        <f t="shared" si="10"/>
        <v>0</v>
      </c>
      <c r="T73" s="41">
        <f t="shared" si="11"/>
        <v>0</v>
      </c>
    </row>
    <row r="74" spans="1:20" s="57" customFormat="1" ht="56.25" x14ac:dyDescent="0.25">
      <c r="A74" s="42" t="s">
        <v>175</v>
      </c>
      <c r="B74" s="27" t="s">
        <v>176</v>
      </c>
      <c r="C74" s="27" t="s">
        <v>13</v>
      </c>
      <c r="D74" s="36" t="s">
        <v>177</v>
      </c>
      <c r="E74" s="45">
        <f t="shared" si="34"/>
        <v>169604</v>
      </c>
      <c r="F74" s="41">
        <v>169604</v>
      </c>
      <c r="G74" s="41"/>
      <c r="H74" s="41"/>
      <c r="I74" s="45">
        <f t="shared" si="38"/>
        <v>127456</v>
      </c>
      <c r="J74" s="41">
        <v>127456</v>
      </c>
      <c r="K74" s="41"/>
      <c r="L74" s="41"/>
      <c r="M74" s="40">
        <f t="shared" ref="M74:M137" si="39">I74/E74</f>
        <v>0.75149171010117688</v>
      </c>
      <c r="N74" s="40">
        <f t="shared" ref="N74:N137" si="40">J74/F74</f>
        <v>0.75149171010117688</v>
      </c>
      <c r="O74" s="40"/>
      <c r="P74" s="40"/>
      <c r="Q74" s="41">
        <f t="shared" ref="Q74:Q137" si="41">I74-E74</f>
        <v>-42148</v>
      </c>
      <c r="R74" s="41">
        <f t="shared" ref="R74:R137" si="42">J74-F74</f>
        <v>-42148</v>
      </c>
      <c r="S74" s="41">
        <f t="shared" ref="S74:S137" si="43">K74-G74</f>
        <v>0</v>
      </c>
      <c r="T74" s="41">
        <f t="shared" ref="T74:T137" si="44">L74-H74</f>
        <v>0</v>
      </c>
    </row>
    <row r="75" spans="1:20" s="57" customFormat="1" ht="93.75" x14ac:dyDescent="0.25">
      <c r="A75" s="42" t="s">
        <v>124</v>
      </c>
      <c r="B75" s="27" t="s">
        <v>123</v>
      </c>
      <c r="C75" s="27" t="s">
        <v>11</v>
      </c>
      <c r="D75" s="36" t="s">
        <v>138</v>
      </c>
      <c r="E75" s="45">
        <f t="shared" si="34"/>
        <v>14231436.33</v>
      </c>
      <c r="F75" s="45">
        <v>14231436.33</v>
      </c>
      <c r="G75" s="45"/>
      <c r="H75" s="45"/>
      <c r="I75" s="45">
        <f t="shared" si="38"/>
        <v>15994346.34</v>
      </c>
      <c r="J75" s="45">
        <v>15994346.34</v>
      </c>
      <c r="K75" s="45"/>
      <c r="L75" s="45"/>
      <c r="M75" s="40">
        <f t="shared" si="39"/>
        <v>1.1238743559765481</v>
      </c>
      <c r="N75" s="40">
        <f t="shared" si="40"/>
        <v>1.1238743559765481</v>
      </c>
      <c r="O75" s="40"/>
      <c r="P75" s="40"/>
      <c r="Q75" s="41">
        <f t="shared" si="41"/>
        <v>1762910.0099999998</v>
      </c>
      <c r="R75" s="41">
        <f t="shared" si="42"/>
        <v>1762910.0099999998</v>
      </c>
      <c r="S75" s="41">
        <f t="shared" si="43"/>
        <v>0</v>
      </c>
      <c r="T75" s="41">
        <f t="shared" si="44"/>
        <v>0</v>
      </c>
    </row>
    <row r="76" spans="1:20" s="57" customFormat="1" ht="56.25" x14ac:dyDescent="0.25">
      <c r="A76" s="42" t="s">
        <v>74</v>
      </c>
      <c r="B76" s="27" t="s">
        <v>73</v>
      </c>
      <c r="C76" s="27" t="s">
        <v>17</v>
      </c>
      <c r="D76" s="36" t="s">
        <v>75</v>
      </c>
      <c r="E76" s="45">
        <f t="shared" si="34"/>
        <v>5747141.3300000001</v>
      </c>
      <c r="F76" s="45">
        <v>5714812.8300000001</v>
      </c>
      <c r="G76" s="45">
        <v>32328.5</v>
      </c>
      <c r="H76" s="45"/>
      <c r="I76" s="45">
        <f t="shared" si="38"/>
        <v>6977070.0099999998</v>
      </c>
      <c r="J76" s="45">
        <v>6917070.0099999998</v>
      </c>
      <c r="K76" s="45">
        <f>60000</f>
        <v>60000</v>
      </c>
      <c r="L76" s="45">
        <f>K76</f>
        <v>60000</v>
      </c>
      <c r="M76" s="40">
        <f t="shared" si="39"/>
        <v>1.2140070357378874</v>
      </c>
      <c r="N76" s="40">
        <f t="shared" si="40"/>
        <v>1.2103756003501518</v>
      </c>
      <c r="O76" s="40">
        <f t="shared" ref="O76:O135" si="45">K76/G76</f>
        <v>1.8559475385495769</v>
      </c>
      <c r="P76" s="40"/>
      <c r="Q76" s="41">
        <f t="shared" si="41"/>
        <v>1229928.6799999997</v>
      </c>
      <c r="R76" s="41">
        <f t="shared" si="42"/>
        <v>1202257.1799999997</v>
      </c>
      <c r="S76" s="41">
        <f t="shared" si="43"/>
        <v>27671.5</v>
      </c>
      <c r="T76" s="41">
        <f t="shared" si="44"/>
        <v>60000</v>
      </c>
    </row>
    <row r="77" spans="1:20" s="57" customFormat="1" ht="37.5" x14ac:dyDescent="0.25">
      <c r="A77" s="37" t="s">
        <v>277</v>
      </c>
      <c r="B77" s="25" t="s">
        <v>278</v>
      </c>
      <c r="C77" s="25" t="s">
        <v>17</v>
      </c>
      <c r="D77" s="39" t="s">
        <v>279</v>
      </c>
      <c r="E77" s="45">
        <f t="shared" si="34"/>
        <v>505000</v>
      </c>
      <c r="F77" s="45">
        <v>505000</v>
      </c>
      <c r="G77" s="45"/>
      <c r="H77" s="45"/>
      <c r="I77" s="45">
        <f t="shared" si="38"/>
        <v>548000</v>
      </c>
      <c r="J77" s="45">
        <v>548000</v>
      </c>
      <c r="K77" s="45"/>
      <c r="L77" s="45"/>
      <c r="M77" s="40">
        <f t="shared" si="39"/>
        <v>1.0851485148514852</v>
      </c>
      <c r="N77" s="40">
        <f t="shared" si="40"/>
        <v>1.0851485148514852</v>
      </c>
      <c r="O77" s="40"/>
      <c r="P77" s="40"/>
      <c r="Q77" s="41">
        <f t="shared" si="41"/>
        <v>43000</v>
      </c>
      <c r="R77" s="41">
        <f t="shared" si="42"/>
        <v>43000</v>
      </c>
      <c r="S77" s="41">
        <f t="shared" si="43"/>
        <v>0</v>
      </c>
      <c r="T77" s="41">
        <f t="shared" si="44"/>
        <v>0</v>
      </c>
    </row>
    <row r="78" spans="1:20" s="57" customFormat="1" ht="155.25" customHeight="1" x14ac:dyDescent="0.25">
      <c r="A78" s="42" t="s">
        <v>139</v>
      </c>
      <c r="B78" s="27" t="s">
        <v>140</v>
      </c>
      <c r="C78" s="27" t="s">
        <v>9</v>
      </c>
      <c r="D78" s="36" t="s">
        <v>141</v>
      </c>
      <c r="E78" s="45">
        <f t="shared" si="34"/>
        <v>1693670.72</v>
      </c>
      <c r="F78" s="45">
        <v>1693670.72</v>
      </c>
      <c r="G78" s="45"/>
      <c r="H78" s="45"/>
      <c r="I78" s="45">
        <f t="shared" si="38"/>
        <v>2332239.64</v>
      </c>
      <c r="J78" s="45">
        <v>2332239.64</v>
      </c>
      <c r="K78" s="45"/>
      <c r="L78" s="45"/>
      <c r="M78" s="40">
        <f t="shared" si="39"/>
        <v>1.377032508420527</v>
      </c>
      <c r="N78" s="40">
        <f t="shared" si="40"/>
        <v>1.377032508420527</v>
      </c>
      <c r="O78" s="40"/>
      <c r="P78" s="40"/>
      <c r="Q78" s="41">
        <f t="shared" si="41"/>
        <v>638568.92000000016</v>
      </c>
      <c r="R78" s="41">
        <f t="shared" si="42"/>
        <v>638568.92000000016</v>
      </c>
      <c r="S78" s="41">
        <f t="shared" si="43"/>
        <v>0</v>
      </c>
      <c r="T78" s="41">
        <f t="shared" si="44"/>
        <v>0</v>
      </c>
    </row>
    <row r="79" spans="1:20" s="57" customFormat="1" ht="115.5" customHeight="1" x14ac:dyDescent="0.25">
      <c r="A79" s="42" t="s">
        <v>178</v>
      </c>
      <c r="B79" s="27" t="s">
        <v>179</v>
      </c>
      <c r="C79" s="27" t="s">
        <v>9</v>
      </c>
      <c r="D79" s="36" t="s">
        <v>180</v>
      </c>
      <c r="E79" s="45">
        <f t="shared" ref="E79:E87" si="46">F79+G79</f>
        <v>24830.62</v>
      </c>
      <c r="F79" s="45">
        <v>24830.62</v>
      </c>
      <c r="G79" s="45"/>
      <c r="H79" s="45"/>
      <c r="I79" s="45">
        <f t="shared" si="38"/>
        <v>24334.05</v>
      </c>
      <c r="J79" s="45">
        <v>24334.05</v>
      </c>
      <c r="K79" s="45"/>
      <c r="L79" s="45"/>
      <c r="M79" s="40">
        <f t="shared" si="39"/>
        <v>0.9800017075691223</v>
      </c>
      <c r="N79" s="40">
        <f t="shared" si="40"/>
        <v>0.9800017075691223</v>
      </c>
      <c r="O79" s="40"/>
      <c r="P79" s="40"/>
      <c r="Q79" s="41">
        <f t="shared" si="41"/>
        <v>-496.56999999999971</v>
      </c>
      <c r="R79" s="41">
        <f t="shared" si="42"/>
        <v>-496.56999999999971</v>
      </c>
      <c r="S79" s="41">
        <f t="shared" si="43"/>
        <v>0</v>
      </c>
      <c r="T79" s="41">
        <f t="shared" si="44"/>
        <v>0</v>
      </c>
    </row>
    <row r="80" spans="1:20" s="57" customFormat="1" ht="130.5" customHeight="1" x14ac:dyDescent="0.25">
      <c r="A80" s="42" t="s">
        <v>142</v>
      </c>
      <c r="B80" s="27" t="s">
        <v>143</v>
      </c>
      <c r="C80" s="27" t="s">
        <v>27</v>
      </c>
      <c r="D80" s="36" t="s">
        <v>144</v>
      </c>
      <c r="E80" s="45">
        <f t="shared" si="46"/>
        <v>1013673.15</v>
      </c>
      <c r="F80" s="45">
        <v>1013673.15</v>
      </c>
      <c r="G80" s="45"/>
      <c r="H80" s="45"/>
      <c r="I80" s="45">
        <f t="shared" si="38"/>
        <v>1054990.58</v>
      </c>
      <c r="J80" s="45">
        <v>1054990.58</v>
      </c>
      <c r="K80" s="45"/>
      <c r="L80" s="45"/>
      <c r="M80" s="40">
        <f t="shared" si="39"/>
        <v>1.0407601108897873</v>
      </c>
      <c r="N80" s="40">
        <f t="shared" si="40"/>
        <v>1.0407601108897873</v>
      </c>
      <c r="O80" s="40"/>
      <c r="P80" s="40"/>
      <c r="Q80" s="41">
        <f t="shared" si="41"/>
        <v>41317.430000000051</v>
      </c>
      <c r="R80" s="41">
        <f t="shared" si="42"/>
        <v>41317.430000000051</v>
      </c>
      <c r="S80" s="41">
        <f t="shared" si="43"/>
        <v>0</v>
      </c>
      <c r="T80" s="41">
        <f t="shared" si="44"/>
        <v>0</v>
      </c>
    </row>
    <row r="81" spans="1:20" s="57" customFormat="1" ht="102" customHeight="1" x14ac:dyDescent="0.25">
      <c r="A81" s="42" t="s">
        <v>145</v>
      </c>
      <c r="B81" s="27" t="s">
        <v>146</v>
      </c>
      <c r="C81" s="27" t="s">
        <v>13</v>
      </c>
      <c r="D81" s="36" t="s">
        <v>147</v>
      </c>
      <c r="E81" s="45">
        <f t="shared" si="46"/>
        <v>64897.87</v>
      </c>
      <c r="F81" s="45">
        <v>64897.87</v>
      </c>
      <c r="G81" s="45"/>
      <c r="H81" s="45"/>
      <c r="I81" s="45">
        <f t="shared" si="38"/>
        <v>73724.800000000003</v>
      </c>
      <c r="J81" s="45">
        <v>73724.800000000003</v>
      </c>
      <c r="K81" s="45"/>
      <c r="L81" s="45"/>
      <c r="M81" s="40">
        <f t="shared" si="39"/>
        <v>1.1360126303066649</v>
      </c>
      <c r="N81" s="40">
        <f t="shared" si="40"/>
        <v>1.1360126303066649</v>
      </c>
      <c r="O81" s="40"/>
      <c r="P81" s="40"/>
      <c r="Q81" s="41">
        <f t="shared" si="41"/>
        <v>8826.93</v>
      </c>
      <c r="R81" s="41">
        <f t="shared" si="42"/>
        <v>8826.93</v>
      </c>
      <c r="S81" s="41">
        <f t="shared" si="43"/>
        <v>0</v>
      </c>
      <c r="T81" s="41">
        <f t="shared" si="44"/>
        <v>0</v>
      </c>
    </row>
    <row r="82" spans="1:20" s="57" customFormat="1" ht="409.5" x14ac:dyDescent="0.25">
      <c r="A82" s="49" t="s">
        <v>379</v>
      </c>
      <c r="B82" s="30" t="s">
        <v>380</v>
      </c>
      <c r="C82" s="30" t="s">
        <v>27</v>
      </c>
      <c r="D82" s="63" t="s">
        <v>381</v>
      </c>
      <c r="E82" s="45">
        <f t="shared" si="46"/>
        <v>0</v>
      </c>
      <c r="F82" s="45"/>
      <c r="G82" s="45"/>
      <c r="H82" s="45"/>
      <c r="I82" s="45">
        <f t="shared" si="38"/>
        <v>3280160.9</v>
      </c>
      <c r="J82" s="45"/>
      <c r="K82" s="45">
        <v>3280160.9</v>
      </c>
      <c r="L82" s="45">
        <f>K82</f>
        <v>3280160.9</v>
      </c>
      <c r="M82" s="40"/>
      <c r="N82" s="40"/>
      <c r="O82" s="40"/>
      <c r="P82" s="40"/>
      <c r="Q82" s="41">
        <f t="shared" si="41"/>
        <v>3280160.9</v>
      </c>
      <c r="R82" s="41">
        <f t="shared" si="42"/>
        <v>0</v>
      </c>
      <c r="S82" s="41">
        <f t="shared" si="43"/>
        <v>3280160.9</v>
      </c>
      <c r="T82" s="41">
        <f t="shared" si="44"/>
        <v>3280160.9</v>
      </c>
    </row>
    <row r="83" spans="1:20" s="57" customFormat="1" ht="409.5" x14ac:dyDescent="0.25">
      <c r="A83" s="49" t="s">
        <v>324</v>
      </c>
      <c r="B83" s="30" t="s">
        <v>325</v>
      </c>
      <c r="C83" s="30" t="s">
        <v>27</v>
      </c>
      <c r="D83" s="31" t="s">
        <v>326</v>
      </c>
      <c r="E83" s="45">
        <f t="shared" si="46"/>
        <v>0</v>
      </c>
      <c r="F83" s="45"/>
      <c r="G83" s="45"/>
      <c r="H83" s="45"/>
      <c r="I83" s="45">
        <f t="shared" si="38"/>
        <v>6430308.7999999998</v>
      </c>
      <c r="J83" s="45"/>
      <c r="K83" s="45">
        <v>6430308.7999999998</v>
      </c>
      <c r="L83" s="45">
        <f>K83</f>
        <v>6430308.7999999998</v>
      </c>
      <c r="M83" s="40"/>
      <c r="N83" s="40"/>
      <c r="O83" s="40"/>
      <c r="P83" s="40"/>
      <c r="Q83" s="41">
        <f t="shared" si="41"/>
        <v>6430308.7999999998</v>
      </c>
      <c r="R83" s="41">
        <f t="shared" si="42"/>
        <v>0</v>
      </c>
      <c r="S83" s="41">
        <f t="shared" si="43"/>
        <v>6430308.7999999998</v>
      </c>
      <c r="T83" s="41">
        <f t="shared" si="44"/>
        <v>6430308.7999999998</v>
      </c>
    </row>
    <row r="84" spans="1:20" s="57" customFormat="1" ht="369.75" customHeight="1" x14ac:dyDescent="0.25">
      <c r="A84" s="49" t="s">
        <v>327</v>
      </c>
      <c r="B84" s="30" t="s">
        <v>328</v>
      </c>
      <c r="C84" s="30" t="s">
        <v>27</v>
      </c>
      <c r="D84" s="31" t="s">
        <v>329</v>
      </c>
      <c r="E84" s="45">
        <f t="shared" si="46"/>
        <v>0</v>
      </c>
      <c r="F84" s="45"/>
      <c r="G84" s="45"/>
      <c r="H84" s="45"/>
      <c r="I84" s="45">
        <f t="shared" si="38"/>
        <v>2208073.66</v>
      </c>
      <c r="J84" s="45"/>
      <c r="K84" s="45">
        <v>2208073.66</v>
      </c>
      <c r="L84" s="45">
        <f>K84</f>
        <v>2208073.66</v>
      </c>
      <c r="M84" s="40"/>
      <c r="N84" s="40"/>
      <c r="O84" s="40"/>
      <c r="P84" s="40"/>
      <c r="Q84" s="41">
        <f t="shared" si="41"/>
        <v>2208073.66</v>
      </c>
      <c r="R84" s="41">
        <f t="shared" si="42"/>
        <v>0</v>
      </c>
      <c r="S84" s="41">
        <f t="shared" si="43"/>
        <v>2208073.66</v>
      </c>
      <c r="T84" s="41">
        <f t="shared" si="44"/>
        <v>2208073.66</v>
      </c>
    </row>
    <row r="85" spans="1:20" s="57" customFormat="1" ht="75" x14ac:dyDescent="0.25">
      <c r="A85" s="38" t="s">
        <v>255</v>
      </c>
      <c r="B85" s="25">
        <v>3230</v>
      </c>
      <c r="C85" s="25">
        <v>1070</v>
      </c>
      <c r="D85" s="39" t="s">
        <v>256</v>
      </c>
      <c r="E85" s="45">
        <f t="shared" si="46"/>
        <v>3299492.63</v>
      </c>
      <c r="F85" s="45">
        <v>633836.37</v>
      </c>
      <c r="G85" s="45">
        <v>2665656.2599999998</v>
      </c>
      <c r="H85" s="45"/>
      <c r="I85" s="45">
        <f t="shared" si="38"/>
        <v>3714653.2199999997</v>
      </c>
      <c r="J85" s="45">
        <f>105622.05+463188.35</f>
        <v>568810.4</v>
      </c>
      <c r="K85" s="45">
        <f>3145842.82</f>
        <v>3145842.82</v>
      </c>
      <c r="L85" s="45"/>
      <c r="M85" s="40">
        <f t="shared" si="39"/>
        <v>1.1258255848869709</v>
      </c>
      <c r="N85" s="40">
        <f t="shared" si="40"/>
        <v>0.8974089006599606</v>
      </c>
      <c r="O85" s="40">
        <f t="shared" si="45"/>
        <v>1.1801382148199409</v>
      </c>
      <c r="P85" s="40"/>
      <c r="Q85" s="41">
        <f t="shared" si="41"/>
        <v>415160.58999999985</v>
      </c>
      <c r="R85" s="41">
        <f t="shared" si="42"/>
        <v>-65025.969999999972</v>
      </c>
      <c r="S85" s="41">
        <f t="shared" si="43"/>
        <v>480186.56000000006</v>
      </c>
      <c r="T85" s="41">
        <f t="shared" si="44"/>
        <v>0</v>
      </c>
    </row>
    <row r="86" spans="1:20" s="57" customFormat="1" ht="37.5" x14ac:dyDescent="0.25">
      <c r="A86" s="42" t="s">
        <v>152</v>
      </c>
      <c r="B86" s="27" t="s">
        <v>148</v>
      </c>
      <c r="C86" s="27" t="s">
        <v>4</v>
      </c>
      <c r="D86" s="36" t="s">
        <v>149</v>
      </c>
      <c r="E86" s="45">
        <f t="shared" si="46"/>
        <v>33752715.850000001</v>
      </c>
      <c r="F86" s="45">
        <v>28342743.800000001</v>
      </c>
      <c r="G86" s="45">
        <v>5409972.0499999998</v>
      </c>
      <c r="H86" s="45"/>
      <c r="I86" s="45">
        <f t="shared" si="38"/>
        <v>40536315.529999994</v>
      </c>
      <c r="J86" s="45">
        <f>37129630.01+1624689.15</f>
        <v>38754319.159999996</v>
      </c>
      <c r="K86" s="45">
        <v>1781996.37</v>
      </c>
      <c r="L86" s="45"/>
      <c r="M86" s="40">
        <f t="shared" si="39"/>
        <v>1.200979373338338</v>
      </c>
      <c r="N86" s="40">
        <f t="shared" si="40"/>
        <v>1.3673453577208003</v>
      </c>
      <c r="O86" s="40">
        <f t="shared" si="45"/>
        <v>0.3293910492568996</v>
      </c>
      <c r="P86" s="40"/>
      <c r="Q86" s="41">
        <f t="shared" si="41"/>
        <v>6783599.6799999923</v>
      </c>
      <c r="R86" s="41">
        <f t="shared" si="42"/>
        <v>10411575.359999996</v>
      </c>
      <c r="S86" s="41">
        <f t="shared" si="43"/>
        <v>-3627975.6799999997</v>
      </c>
      <c r="T86" s="41">
        <f t="shared" si="44"/>
        <v>0</v>
      </c>
    </row>
    <row r="87" spans="1:20" s="57" customFormat="1" ht="56.25" x14ac:dyDescent="0.25">
      <c r="A87" s="38" t="s">
        <v>288</v>
      </c>
      <c r="B87" s="24" t="s">
        <v>289</v>
      </c>
      <c r="C87" s="24" t="s">
        <v>5</v>
      </c>
      <c r="D87" s="39" t="s">
        <v>137</v>
      </c>
      <c r="E87" s="45">
        <f t="shared" si="46"/>
        <v>45000</v>
      </c>
      <c r="F87" s="45">
        <v>45000</v>
      </c>
      <c r="G87" s="45"/>
      <c r="H87" s="45"/>
      <c r="I87" s="45">
        <f t="shared" si="38"/>
        <v>96000</v>
      </c>
      <c r="J87" s="45">
        <v>96000</v>
      </c>
      <c r="K87" s="45"/>
      <c r="L87" s="45"/>
      <c r="M87" s="40">
        <f t="shared" si="39"/>
        <v>2.1333333333333333</v>
      </c>
      <c r="N87" s="40">
        <f t="shared" si="40"/>
        <v>2.1333333333333333</v>
      </c>
      <c r="O87" s="40"/>
      <c r="P87" s="40"/>
      <c r="Q87" s="41">
        <f t="shared" si="41"/>
        <v>51000</v>
      </c>
      <c r="R87" s="41">
        <f t="shared" si="42"/>
        <v>51000</v>
      </c>
      <c r="S87" s="41">
        <f t="shared" si="43"/>
        <v>0</v>
      </c>
      <c r="T87" s="41">
        <f t="shared" si="44"/>
        <v>0</v>
      </c>
    </row>
    <row r="88" spans="1:20" s="55" customFormat="1" ht="56.25" x14ac:dyDescent="0.25">
      <c r="A88" s="50" t="s">
        <v>315</v>
      </c>
      <c r="B88" s="32" t="s">
        <v>316</v>
      </c>
      <c r="C88" s="32" t="s">
        <v>316</v>
      </c>
      <c r="D88" s="33" t="s">
        <v>317</v>
      </c>
      <c r="E88" s="43">
        <f t="shared" ref="E88:L88" si="47">E89</f>
        <v>0</v>
      </c>
      <c r="F88" s="43"/>
      <c r="G88" s="43">
        <f t="shared" si="47"/>
        <v>0</v>
      </c>
      <c r="H88" s="43">
        <f t="shared" si="47"/>
        <v>0</v>
      </c>
      <c r="I88" s="43">
        <f t="shared" si="47"/>
        <v>1332154.95</v>
      </c>
      <c r="J88" s="43">
        <f t="shared" si="47"/>
        <v>1297154.95</v>
      </c>
      <c r="K88" s="43">
        <f t="shared" si="47"/>
        <v>35000</v>
      </c>
      <c r="L88" s="43">
        <f t="shared" si="47"/>
        <v>35000</v>
      </c>
      <c r="M88" s="12"/>
      <c r="N88" s="12"/>
      <c r="O88" s="12"/>
      <c r="P88" s="12"/>
      <c r="Q88" s="13">
        <f t="shared" si="41"/>
        <v>1332154.95</v>
      </c>
      <c r="R88" s="13">
        <f t="shared" si="42"/>
        <v>1297154.95</v>
      </c>
      <c r="S88" s="13">
        <f t="shared" si="43"/>
        <v>35000</v>
      </c>
      <c r="T88" s="13">
        <f t="shared" si="44"/>
        <v>35000</v>
      </c>
    </row>
    <row r="89" spans="1:20" s="55" customFormat="1" ht="56.25" x14ac:dyDescent="0.25">
      <c r="A89" s="50" t="s">
        <v>318</v>
      </c>
      <c r="B89" s="32" t="s">
        <v>316</v>
      </c>
      <c r="C89" s="32" t="s">
        <v>316</v>
      </c>
      <c r="D89" s="33" t="s">
        <v>317</v>
      </c>
      <c r="E89" s="43">
        <f t="shared" ref="E89" si="48">F89+G89</f>
        <v>0</v>
      </c>
      <c r="F89" s="43">
        <f>F90+F92+F91</f>
        <v>0</v>
      </c>
      <c r="G89" s="43">
        <f t="shared" ref="G89" si="49">G90+G92+G91</f>
        <v>0</v>
      </c>
      <c r="H89" s="43">
        <f t="shared" ref="H89" si="50">H90+H92+H91</f>
        <v>0</v>
      </c>
      <c r="I89" s="43">
        <f t="shared" ref="I89" si="51">J89+K89</f>
        <v>1332154.95</v>
      </c>
      <c r="J89" s="43">
        <f>J90+J92+J91</f>
        <v>1297154.95</v>
      </c>
      <c r="K89" s="43">
        <f t="shared" ref="K89:L89" si="52">K90+K92+K91</f>
        <v>35000</v>
      </c>
      <c r="L89" s="43">
        <f t="shared" si="52"/>
        <v>35000</v>
      </c>
      <c r="M89" s="12"/>
      <c r="N89" s="12"/>
      <c r="O89" s="12"/>
      <c r="P89" s="12"/>
      <c r="Q89" s="13">
        <f t="shared" si="41"/>
        <v>1332154.95</v>
      </c>
      <c r="R89" s="13">
        <f t="shared" si="42"/>
        <v>1297154.95</v>
      </c>
      <c r="S89" s="13">
        <f t="shared" si="43"/>
        <v>35000</v>
      </c>
      <c r="T89" s="13">
        <f t="shared" si="44"/>
        <v>35000</v>
      </c>
    </row>
    <row r="90" spans="1:20" s="57" customFormat="1" ht="56.25" x14ac:dyDescent="0.25">
      <c r="A90" s="38" t="s">
        <v>319</v>
      </c>
      <c r="B90" s="25" t="s">
        <v>58</v>
      </c>
      <c r="C90" s="25" t="s">
        <v>3</v>
      </c>
      <c r="D90" s="39" t="s">
        <v>247</v>
      </c>
      <c r="E90" s="45"/>
      <c r="F90" s="45"/>
      <c r="G90" s="45"/>
      <c r="H90" s="45"/>
      <c r="I90" s="45">
        <f t="shared" si="38"/>
        <v>1157755.6399999999</v>
      </c>
      <c r="J90" s="45">
        <v>1122755.6399999999</v>
      </c>
      <c r="K90" s="45">
        <v>35000</v>
      </c>
      <c r="L90" s="45">
        <f>K90</f>
        <v>35000</v>
      </c>
      <c r="M90" s="40"/>
      <c r="N90" s="40"/>
      <c r="O90" s="40"/>
      <c r="P90" s="40"/>
      <c r="Q90" s="41">
        <f t="shared" si="41"/>
        <v>1157755.6399999999</v>
      </c>
      <c r="R90" s="41">
        <f t="shared" si="42"/>
        <v>1122755.6399999999</v>
      </c>
      <c r="S90" s="41">
        <f t="shared" si="43"/>
        <v>35000</v>
      </c>
      <c r="T90" s="41">
        <f t="shared" si="44"/>
        <v>35000</v>
      </c>
    </row>
    <row r="91" spans="1:20" s="57" customFormat="1" ht="37.5" x14ac:dyDescent="0.25">
      <c r="A91" s="38" t="s">
        <v>382</v>
      </c>
      <c r="B91" s="59" t="s">
        <v>8</v>
      </c>
      <c r="C91" s="59" t="s">
        <v>6</v>
      </c>
      <c r="D91" s="60" t="s">
        <v>109</v>
      </c>
      <c r="E91" s="45"/>
      <c r="F91" s="45"/>
      <c r="G91" s="45"/>
      <c r="H91" s="45"/>
      <c r="I91" s="45">
        <f t="shared" si="38"/>
        <v>80000</v>
      </c>
      <c r="J91" s="45">
        <v>80000</v>
      </c>
      <c r="K91" s="45"/>
      <c r="L91" s="45"/>
      <c r="M91" s="40"/>
      <c r="N91" s="40"/>
      <c r="O91" s="40"/>
      <c r="P91" s="40"/>
      <c r="Q91" s="41">
        <f t="shared" si="41"/>
        <v>80000</v>
      </c>
      <c r="R91" s="41">
        <f t="shared" si="42"/>
        <v>80000</v>
      </c>
      <c r="S91" s="41">
        <f t="shared" si="43"/>
        <v>0</v>
      </c>
      <c r="T91" s="41">
        <f t="shared" si="44"/>
        <v>0</v>
      </c>
    </row>
    <row r="92" spans="1:20" s="57" customFormat="1" ht="37.5" x14ac:dyDescent="0.25">
      <c r="A92" s="38" t="s">
        <v>320</v>
      </c>
      <c r="B92" s="25" t="s">
        <v>34</v>
      </c>
      <c r="C92" s="25" t="s">
        <v>17</v>
      </c>
      <c r="D92" s="39" t="s">
        <v>43</v>
      </c>
      <c r="E92" s="45"/>
      <c r="F92" s="45"/>
      <c r="G92" s="45"/>
      <c r="H92" s="45"/>
      <c r="I92" s="45">
        <f t="shared" si="38"/>
        <v>94399.31</v>
      </c>
      <c r="J92" s="45">
        <v>94399.31</v>
      </c>
      <c r="K92" s="45"/>
      <c r="L92" s="45"/>
      <c r="M92" s="40"/>
      <c r="N92" s="40"/>
      <c r="O92" s="40"/>
      <c r="P92" s="40"/>
      <c r="Q92" s="41">
        <f t="shared" si="41"/>
        <v>94399.31</v>
      </c>
      <c r="R92" s="41">
        <f t="shared" si="42"/>
        <v>94399.31</v>
      </c>
      <c r="S92" s="41">
        <f t="shared" si="43"/>
        <v>0</v>
      </c>
      <c r="T92" s="41">
        <f t="shared" si="44"/>
        <v>0</v>
      </c>
    </row>
    <row r="93" spans="1:20" s="55" customFormat="1" ht="56.25" x14ac:dyDescent="0.25">
      <c r="A93" s="47" t="s">
        <v>76</v>
      </c>
      <c r="B93" s="26"/>
      <c r="C93" s="26"/>
      <c r="D93" s="10" t="s">
        <v>217</v>
      </c>
      <c r="E93" s="43">
        <f t="shared" ref="E93:L93" si="53">E94</f>
        <v>42565992.57</v>
      </c>
      <c r="F93" s="43">
        <f t="shared" si="53"/>
        <v>42157298</v>
      </c>
      <c r="G93" s="43">
        <f t="shared" si="53"/>
        <v>408694.57</v>
      </c>
      <c r="H93" s="43">
        <f t="shared" si="53"/>
        <v>48386</v>
      </c>
      <c r="I93" s="43">
        <f t="shared" si="53"/>
        <v>46597055.349999994</v>
      </c>
      <c r="J93" s="43">
        <f t="shared" si="53"/>
        <v>45798937.619999997</v>
      </c>
      <c r="K93" s="43">
        <f t="shared" si="53"/>
        <v>798117.73</v>
      </c>
      <c r="L93" s="43">
        <f t="shared" si="53"/>
        <v>94000</v>
      </c>
      <c r="M93" s="12">
        <f t="shared" si="39"/>
        <v>1.0947014867178508</v>
      </c>
      <c r="N93" s="12">
        <f t="shared" si="40"/>
        <v>1.0863821874921868</v>
      </c>
      <c r="O93" s="12">
        <f t="shared" si="45"/>
        <v>1.9528464251433533</v>
      </c>
      <c r="P93" s="12">
        <f t="shared" ref="P93:P135" si="54">L93/H93</f>
        <v>1.942710701442566</v>
      </c>
      <c r="Q93" s="13">
        <f t="shared" si="41"/>
        <v>4031062.7799999937</v>
      </c>
      <c r="R93" s="13">
        <f t="shared" si="42"/>
        <v>3641639.6199999973</v>
      </c>
      <c r="S93" s="13">
        <f t="shared" si="43"/>
        <v>389423.16</v>
      </c>
      <c r="T93" s="13">
        <f t="shared" si="44"/>
        <v>45614</v>
      </c>
    </row>
    <row r="94" spans="1:20" s="55" customFormat="1" ht="56.25" x14ac:dyDescent="0.25">
      <c r="A94" s="47" t="s">
        <v>77</v>
      </c>
      <c r="B94" s="26"/>
      <c r="C94" s="26"/>
      <c r="D94" s="10" t="s">
        <v>217</v>
      </c>
      <c r="E94" s="43">
        <f t="shared" ref="E94:E104" si="55">F94+G94</f>
        <v>42565992.57</v>
      </c>
      <c r="F94" s="43">
        <f>F95+F97+F99+F100+F101+F102+F103+F96+F98+F104</f>
        <v>42157298</v>
      </c>
      <c r="G94" s="43">
        <f t="shared" ref="G94:H94" si="56">G95+G97+G99+G100+G101+G102+G103+G96+G98+G104</f>
        <v>408694.57</v>
      </c>
      <c r="H94" s="43">
        <f t="shared" si="56"/>
        <v>48386</v>
      </c>
      <c r="I94" s="43">
        <f t="shared" si="38"/>
        <v>46597055.349999994</v>
      </c>
      <c r="J94" s="43">
        <f>J95+J97+J99+J100+J101+J102+J103+J96+J98+J104</f>
        <v>45798937.619999997</v>
      </c>
      <c r="K94" s="43">
        <f t="shared" ref="K94:L94" si="57">K95+K97+K99+K100+K101+K102+K103+K96+K98+K104</f>
        <v>798117.73</v>
      </c>
      <c r="L94" s="43">
        <f t="shared" si="57"/>
        <v>94000</v>
      </c>
      <c r="M94" s="12">
        <f t="shared" si="39"/>
        <v>1.0947014867178508</v>
      </c>
      <c r="N94" s="12">
        <f t="shared" si="40"/>
        <v>1.0863821874921868</v>
      </c>
      <c r="O94" s="12">
        <f t="shared" si="45"/>
        <v>1.9528464251433533</v>
      </c>
      <c r="P94" s="12">
        <f t="shared" si="54"/>
        <v>1.942710701442566</v>
      </c>
      <c r="Q94" s="13">
        <f t="shared" si="41"/>
        <v>4031062.7799999937</v>
      </c>
      <c r="R94" s="13">
        <f t="shared" si="42"/>
        <v>3641639.6199999973</v>
      </c>
      <c r="S94" s="13">
        <f t="shared" si="43"/>
        <v>389423.16</v>
      </c>
      <c r="T94" s="13">
        <f t="shared" si="44"/>
        <v>45614</v>
      </c>
    </row>
    <row r="95" spans="1:20" s="57" customFormat="1" ht="56.25" x14ac:dyDescent="0.25">
      <c r="A95" s="42" t="s">
        <v>78</v>
      </c>
      <c r="B95" s="27" t="s">
        <v>58</v>
      </c>
      <c r="C95" s="27" t="s">
        <v>3</v>
      </c>
      <c r="D95" s="44" t="s">
        <v>247</v>
      </c>
      <c r="E95" s="45">
        <f t="shared" si="55"/>
        <v>702950.56</v>
      </c>
      <c r="F95" s="45">
        <v>702950.56</v>
      </c>
      <c r="G95" s="45"/>
      <c r="H95" s="45"/>
      <c r="I95" s="45">
        <f t="shared" si="38"/>
        <v>812184.12</v>
      </c>
      <c r="J95" s="45">
        <v>812184.12</v>
      </c>
      <c r="K95" s="45"/>
      <c r="L95" s="45"/>
      <c r="M95" s="40">
        <f t="shared" si="39"/>
        <v>1.1553929482608278</v>
      </c>
      <c r="N95" s="40">
        <f t="shared" si="40"/>
        <v>1.1553929482608278</v>
      </c>
      <c r="O95" s="40"/>
      <c r="P95" s="40"/>
      <c r="Q95" s="41">
        <f t="shared" si="41"/>
        <v>109233.55999999994</v>
      </c>
      <c r="R95" s="41">
        <f t="shared" si="42"/>
        <v>109233.55999999994</v>
      </c>
      <c r="S95" s="41">
        <f t="shared" si="43"/>
        <v>0</v>
      </c>
      <c r="T95" s="41">
        <f t="shared" si="44"/>
        <v>0</v>
      </c>
    </row>
    <row r="96" spans="1:20" s="57" customFormat="1" ht="37.5" x14ac:dyDescent="0.25">
      <c r="A96" s="37" t="s">
        <v>280</v>
      </c>
      <c r="B96" s="25" t="s">
        <v>8</v>
      </c>
      <c r="C96" s="25" t="s">
        <v>6</v>
      </c>
      <c r="D96" s="39" t="s">
        <v>109</v>
      </c>
      <c r="E96" s="45">
        <f t="shared" si="55"/>
        <v>164175</v>
      </c>
      <c r="F96" s="45">
        <v>164175</v>
      </c>
      <c r="G96" s="45"/>
      <c r="H96" s="45"/>
      <c r="I96" s="45">
        <f t="shared" si="38"/>
        <v>249904</v>
      </c>
      <c r="J96" s="45">
        <v>249904</v>
      </c>
      <c r="K96" s="45"/>
      <c r="L96" s="45"/>
      <c r="M96" s="40">
        <f t="shared" si="39"/>
        <v>1.5221805999695448</v>
      </c>
      <c r="N96" s="40">
        <f t="shared" si="40"/>
        <v>1.5221805999695448</v>
      </c>
      <c r="O96" s="40"/>
      <c r="P96" s="40"/>
      <c r="Q96" s="41">
        <f t="shared" si="41"/>
        <v>85729</v>
      </c>
      <c r="R96" s="41">
        <f t="shared" si="42"/>
        <v>85729</v>
      </c>
      <c r="S96" s="41">
        <f t="shared" si="43"/>
        <v>0</v>
      </c>
      <c r="T96" s="41">
        <f t="shared" si="44"/>
        <v>0</v>
      </c>
    </row>
    <row r="97" spans="1:20" s="57" customFormat="1" ht="37.5" x14ac:dyDescent="0.25">
      <c r="A97" s="42" t="s">
        <v>198</v>
      </c>
      <c r="B97" s="27" t="s">
        <v>199</v>
      </c>
      <c r="C97" s="27" t="s">
        <v>15</v>
      </c>
      <c r="D97" s="20" t="s">
        <v>197</v>
      </c>
      <c r="E97" s="45">
        <f t="shared" si="55"/>
        <v>20651708.810000002</v>
      </c>
      <c r="F97" s="45">
        <v>20409069.190000001</v>
      </c>
      <c r="G97" s="41">
        <v>242639.62</v>
      </c>
      <c r="H97" s="41"/>
      <c r="I97" s="45">
        <f t="shared" si="38"/>
        <v>21435877.289999999</v>
      </c>
      <c r="J97" s="45">
        <v>21116906.309999999</v>
      </c>
      <c r="K97" s="41">
        <f>318970.98</f>
        <v>318970.98</v>
      </c>
      <c r="L97" s="41"/>
      <c r="M97" s="40">
        <f t="shared" si="39"/>
        <v>1.0379711183812685</v>
      </c>
      <c r="N97" s="40">
        <f t="shared" si="40"/>
        <v>1.0346824793139915</v>
      </c>
      <c r="O97" s="40">
        <f t="shared" si="45"/>
        <v>1.314587370356086</v>
      </c>
      <c r="P97" s="40"/>
      <c r="Q97" s="41">
        <f t="shared" si="41"/>
        <v>784168.47999999672</v>
      </c>
      <c r="R97" s="41">
        <f t="shared" si="42"/>
        <v>707837.11999999732</v>
      </c>
      <c r="S97" s="41">
        <f t="shared" si="43"/>
        <v>76331.359999999986</v>
      </c>
      <c r="T97" s="41">
        <f t="shared" si="44"/>
        <v>0</v>
      </c>
    </row>
    <row r="98" spans="1:20" s="57" customFormat="1" ht="112.5" x14ac:dyDescent="0.25">
      <c r="A98" s="37">
        <v>1013140</v>
      </c>
      <c r="B98" s="25">
        <v>3140</v>
      </c>
      <c r="C98" s="25">
        <v>1040</v>
      </c>
      <c r="D98" s="39" t="s">
        <v>287</v>
      </c>
      <c r="E98" s="45">
        <f t="shared" si="55"/>
        <v>0</v>
      </c>
      <c r="F98" s="45"/>
      <c r="G98" s="41"/>
      <c r="H98" s="41"/>
      <c r="I98" s="45">
        <f t="shared" si="38"/>
        <v>120000</v>
      </c>
      <c r="J98" s="45">
        <v>120000</v>
      </c>
      <c r="K98" s="41"/>
      <c r="L98" s="41"/>
      <c r="M98" s="40"/>
      <c r="N98" s="40"/>
      <c r="O98" s="40"/>
      <c r="P98" s="40"/>
      <c r="Q98" s="41">
        <f t="shared" si="41"/>
        <v>120000</v>
      </c>
      <c r="R98" s="41">
        <f t="shared" si="42"/>
        <v>120000</v>
      </c>
      <c r="S98" s="41">
        <f t="shared" si="43"/>
        <v>0</v>
      </c>
      <c r="T98" s="41">
        <f t="shared" si="44"/>
        <v>0</v>
      </c>
    </row>
    <row r="99" spans="1:20" s="57" customFormat="1" x14ac:dyDescent="0.25">
      <c r="A99" s="42" t="s">
        <v>80</v>
      </c>
      <c r="B99" s="27" t="s">
        <v>79</v>
      </c>
      <c r="C99" s="27" t="s">
        <v>36</v>
      </c>
      <c r="D99" s="36" t="s">
        <v>81</v>
      </c>
      <c r="E99" s="45">
        <f t="shared" si="55"/>
        <v>7052795.3099999996</v>
      </c>
      <c r="F99" s="45">
        <v>7010385.3099999996</v>
      </c>
      <c r="G99" s="41">
        <v>42410</v>
      </c>
      <c r="H99" s="41"/>
      <c r="I99" s="45">
        <f t="shared" si="38"/>
        <v>7585445.0800000001</v>
      </c>
      <c r="J99" s="45">
        <v>7446551.0800000001</v>
      </c>
      <c r="K99" s="41">
        <f>64894+74000</f>
        <v>138894</v>
      </c>
      <c r="L99" s="41">
        <v>74000</v>
      </c>
      <c r="M99" s="40">
        <f t="shared" si="39"/>
        <v>1.0755232140715567</v>
      </c>
      <c r="N99" s="40">
        <f t="shared" si="40"/>
        <v>1.0622170894626619</v>
      </c>
      <c r="O99" s="40">
        <f t="shared" si="45"/>
        <v>3.2750294741806179</v>
      </c>
      <c r="P99" s="40"/>
      <c r="Q99" s="41">
        <f t="shared" si="41"/>
        <v>532649.77000000048</v>
      </c>
      <c r="R99" s="41">
        <f t="shared" si="42"/>
        <v>436165.77000000048</v>
      </c>
      <c r="S99" s="41">
        <f t="shared" si="43"/>
        <v>96484</v>
      </c>
      <c r="T99" s="41">
        <f t="shared" si="44"/>
        <v>74000</v>
      </c>
    </row>
    <row r="100" spans="1:20" s="57" customFormat="1" ht="37.5" x14ac:dyDescent="0.25">
      <c r="A100" s="42" t="s">
        <v>83</v>
      </c>
      <c r="B100" s="27" t="s">
        <v>82</v>
      </c>
      <c r="C100" s="27" t="s">
        <v>36</v>
      </c>
      <c r="D100" s="36" t="s">
        <v>84</v>
      </c>
      <c r="E100" s="45">
        <f t="shared" si="55"/>
        <v>2433781.71</v>
      </c>
      <c r="F100" s="45">
        <v>2416364.7000000002</v>
      </c>
      <c r="G100" s="41">
        <v>17417.009999999998</v>
      </c>
      <c r="H100" s="41"/>
      <c r="I100" s="45">
        <f t="shared" si="38"/>
        <v>3527755.66</v>
      </c>
      <c r="J100" s="45">
        <v>3471614.66</v>
      </c>
      <c r="K100" s="41">
        <f>18900+37241</f>
        <v>56141</v>
      </c>
      <c r="L100" s="41"/>
      <c r="M100" s="40">
        <f t="shared" si="39"/>
        <v>1.4494955096034476</v>
      </c>
      <c r="N100" s="40">
        <f t="shared" si="40"/>
        <v>1.4367097234949675</v>
      </c>
      <c r="O100" s="40">
        <f t="shared" si="45"/>
        <v>3.2233431570631241</v>
      </c>
      <c r="P100" s="40"/>
      <c r="Q100" s="41">
        <f t="shared" si="41"/>
        <v>1093973.9500000002</v>
      </c>
      <c r="R100" s="41">
        <f t="shared" si="42"/>
        <v>1055249.96</v>
      </c>
      <c r="S100" s="41">
        <f t="shared" si="43"/>
        <v>38723.990000000005</v>
      </c>
      <c r="T100" s="41">
        <f t="shared" si="44"/>
        <v>0</v>
      </c>
    </row>
    <row r="101" spans="1:20" s="57" customFormat="1" ht="56.25" x14ac:dyDescent="0.25">
      <c r="A101" s="42" t="s">
        <v>85</v>
      </c>
      <c r="B101" s="27" t="s">
        <v>35</v>
      </c>
      <c r="C101" s="27" t="s">
        <v>37</v>
      </c>
      <c r="D101" s="36" t="s">
        <v>86</v>
      </c>
      <c r="E101" s="45">
        <f t="shared" si="55"/>
        <v>9175928.2400000002</v>
      </c>
      <c r="F101" s="45">
        <v>9118086.3000000007</v>
      </c>
      <c r="G101" s="41">
        <v>57841.94</v>
      </c>
      <c r="H101" s="41"/>
      <c r="I101" s="45">
        <f t="shared" si="38"/>
        <v>10445519.09</v>
      </c>
      <c r="J101" s="45">
        <v>10161407.34</v>
      </c>
      <c r="K101" s="41">
        <f>130265.5+133846.25+20000</f>
        <v>284111.75</v>
      </c>
      <c r="L101" s="41">
        <v>20000</v>
      </c>
      <c r="M101" s="40">
        <f t="shared" si="39"/>
        <v>1.1383610264589428</v>
      </c>
      <c r="N101" s="40">
        <f t="shared" si="40"/>
        <v>1.114423246904342</v>
      </c>
      <c r="O101" s="40">
        <f t="shared" si="45"/>
        <v>4.91186412488931</v>
      </c>
      <c r="P101" s="40"/>
      <c r="Q101" s="41">
        <f t="shared" si="41"/>
        <v>1269590.8499999996</v>
      </c>
      <c r="R101" s="41">
        <f t="shared" si="42"/>
        <v>1043321.0399999991</v>
      </c>
      <c r="S101" s="41">
        <f t="shared" si="43"/>
        <v>226269.81</v>
      </c>
      <c r="T101" s="41">
        <f t="shared" si="44"/>
        <v>20000</v>
      </c>
    </row>
    <row r="102" spans="1:20" s="57" customFormat="1" ht="37.5" x14ac:dyDescent="0.25">
      <c r="A102" s="42" t="s">
        <v>153</v>
      </c>
      <c r="B102" s="27" t="s">
        <v>132</v>
      </c>
      <c r="C102" s="27" t="s">
        <v>38</v>
      </c>
      <c r="D102" s="36" t="s">
        <v>133</v>
      </c>
      <c r="E102" s="45">
        <f t="shared" si="55"/>
        <v>2012799.94</v>
      </c>
      <c r="F102" s="45">
        <v>2012799.94</v>
      </c>
      <c r="G102" s="41"/>
      <c r="H102" s="41"/>
      <c r="I102" s="45">
        <f t="shared" si="38"/>
        <v>2091539.11</v>
      </c>
      <c r="J102" s="45">
        <v>2091539.11</v>
      </c>
      <c r="K102" s="41"/>
      <c r="L102" s="41"/>
      <c r="M102" s="40">
        <f t="shared" si="39"/>
        <v>1.039119223145446</v>
      </c>
      <c r="N102" s="40">
        <f t="shared" si="40"/>
        <v>1.039119223145446</v>
      </c>
      <c r="O102" s="40"/>
      <c r="P102" s="40"/>
      <c r="Q102" s="41">
        <f t="shared" si="41"/>
        <v>78739.170000000158</v>
      </c>
      <c r="R102" s="41">
        <f t="shared" si="42"/>
        <v>78739.170000000158</v>
      </c>
      <c r="S102" s="41">
        <f t="shared" si="43"/>
        <v>0</v>
      </c>
      <c r="T102" s="41">
        <f t="shared" si="44"/>
        <v>0</v>
      </c>
    </row>
    <row r="103" spans="1:20" s="57" customFormat="1" ht="37.5" x14ac:dyDescent="0.25">
      <c r="A103" s="42" t="s">
        <v>130</v>
      </c>
      <c r="B103" s="27" t="s">
        <v>131</v>
      </c>
      <c r="C103" s="27" t="s">
        <v>38</v>
      </c>
      <c r="D103" s="36" t="s">
        <v>134</v>
      </c>
      <c r="E103" s="45">
        <f t="shared" si="55"/>
        <v>212253</v>
      </c>
      <c r="F103" s="45">
        <v>212253</v>
      </c>
      <c r="G103" s="41"/>
      <c r="H103" s="41"/>
      <c r="I103" s="45">
        <f t="shared" si="38"/>
        <v>328831</v>
      </c>
      <c r="J103" s="45">
        <v>328831</v>
      </c>
      <c r="K103" s="41"/>
      <c r="L103" s="41"/>
      <c r="M103" s="40">
        <f t="shared" si="39"/>
        <v>1.5492407645592761</v>
      </c>
      <c r="N103" s="40">
        <f t="shared" si="40"/>
        <v>1.5492407645592761</v>
      </c>
      <c r="O103" s="40"/>
      <c r="P103" s="40"/>
      <c r="Q103" s="41">
        <f t="shared" si="41"/>
        <v>116578</v>
      </c>
      <c r="R103" s="41">
        <f t="shared" si="42"/>
        <v>116578</v>
      </c>
      <c r="S103" s="41">
        <f t="shared" si="43"/>
        <v>0</v>
      </c>
      <c r="T103" s="41">
        <f t="shared" si="44"/>
        <v>0</v>
      </c>
    </row>
    <row r="104" spans="1:20" s="57" customFormat="1" ht="56.25" x14ac:dyDescent="0.25">
      <c r="A104" s="42" t="s">
        <v>307</v>
      </c>
      <c r="B104" s="27" t="s">
        <v>289</v>
      </c>
      <c r="C104" s="27" t="s">
        <v>5</v>
      </c>
      <c r="D104" s="39" t="s">
        <v>137</v>
      </c>
      <c r="E104" s="45">
        <f t="shared" si="55"/>
        <v>159600</v>
      </c>
      <c r="F104" s="45">
        <v>111214</v>
      </c>
      <c r="G104" s="41">
        <v>48386</v>
      </c>
      <c r="H104" s="41">
        <v>48386</v>
      </c>
      <c r="I104" s="45">
        <f t="shared" si="38"/>
        <v>0</v>
      </c>
      <c r="J104" s="45"/>
      <c r="K104" s="41"/>
      <c r="L104" s="41"/>
      <c r="M104" s="40">
        <f t="shared" si="39"/>
        <v>0</v>
      </c>
      <c r="N104" s="40">
        <f t="shared" si="40"/>
        <v>0</v>
      </c>
      <c r="O104" s="40">
        <f t="shared" si="45"/>
        <v>0</v>
      </c>
      <c r="P104" s="40">
        <f t="shared" si="54"/>
        <v>0</v>
      </c>
      <c r="Q104" s="41">
        <f t="shared" si="41"/>
        <v>-159600</v>
      </c>
      <c r="R104" s="41">
        <f t="shared" si="42"/>
        <v>-111214</v>
      </c>
      <c r="S104" s="41">
        <f t="shared" si="43"/>
        <v>-48386</v>
      </c>
      <c r="T104" s="41">
        <f t="shared" si="44"/>
        <v>-48386</v>
      </c>
    </row>
    <row r="105" spans="1:20" s="55" customFormat="1" ht="56.25" x14ac:dyDescent="0.25">
      <c r="A105" s="47" t="s">
        <v>21</v>
      </c>
      <c r="B105" s="26"/>
      <c r="C105" s="26"/>
      <c r="D105" s="10" t="s">
        <v>275</v>
      </c>
      <c r="E105" s="43">
        <f t="shared" ref="E105:L105" si="58">E106</f>
        <v>3769503.12</v>
      </c>
      <c r="F105" s="43">
        <f t="shared" si="58"/>
        <v>3769503.12</v>
      </c>
      <c r="G105" s="43">
        <f t="shared" si="58"/>
        <v>0</v>
      </c>
      <c r="H105" s="43">
        <f t="shared" si="58"/>
        <v>0</v>
      </c>
      <c r="I105" s="43">
        <f t="shared" si="58"/>
        <v>6263081.7800000003</v>
      </c>
      <c r="J105" s="43">
        <f t="shared" si="58"/>
        <v>5785350.29</v>
      </c>
      <c r="K105" s="43">
        <f t="shared" si="58"/>
        <v>477731.49</v>
      </c>
      <c r="L105" s="43">
        <f t="shared" si="58"/>
        <v>120950</v>
      </c>
      <c r="M105" s="12">
        <f t="shared" si="39"/>
        <v>1.6615138867427175</v>
      </c>
      <c r="N105" s="12">
        <f t="shared" si="40"/>
        <v>1.5347779550319087</v>
      </c>
      <c r="O105" s="12"/>
      <c r="P105" s="12"/>
      <c r="Q105" s="13">
        <f t="shared" si="41"/>
        <v>2493578.66</v>
      </c>
      <c r="R105" s="13">
        <f t="shared" si="42"/>
        <v>2015847.17</v>
      </c>
      <c r="S105" s="13">
        <f t="shared" si="43"/>
        <v>477731.49</v>
      </c>
      <c r="T105" s="13">
        <f t="shared" si="44"/>
        <v>120950</v>
      </c>
    </row>
    <row r="106" spans="1:20" s="55" customFormat="1" ht="56.25" x14ac:dyDescent="0.25">
      <c r="A106" s="47" t="s">
        <v>22</v>
      </c>
      <c r="B106" s="26"/>
      <c r="C106" s="26"/>
      <c r="D106" s="10" t="s">
        <v>276</v>
      </c>
      <c r="E106" s="43">
        <f t="shared" ref="E106:E113" si="59">F106+G106</f>
        <v>3769503.12</v>
      </c>
      <c r="F106" s="43">
        <f>F107+F109+F110+F111+F113+F108+F112</f>
        <v>3769503.12</v>
      </c>
      <c r="G106" s="43">
        <f t="shared" ref="G106:H106" si="60">G107+G109+G110+G111+G113+G108+G112</f>
        <v>0</v>
      </c>
      <c r="H106" s="43">
        <f t="shared" si="60"/>
        <v>0</v>
      </c>
      <c r="I106" s="43">
        <f t="shared" si="38"/>
        <v>6263081.7800000003</v>
      </c>
      <c r="J106" s="43">
        <f>J107+J109+J110+J111+J113+J108+J112</f>
        <v>5785350.29</v>
      </c>
      <c r="K106" s="43">
        <f t="shared" ref="K106:L106" si="61">K107+K109+K110+K111+K113+K108+K112</f>
        <v>477731.49</v>
      </c>
      <c r="L106" s="43">
        <f t="shared" si="61"/>
        <v>120950</v>
      </c>
      <c r="M106" s="12">
        <f t="shared" si="39"/>
        <v>1.6615138867427175</v>
      </c>
      <c r="N106" s="12">
        <f t="shared" si="40"/>
        <v>1.5347779550319087</v>
      </c>
      <c r="O106" s="12"/>
      <c r="P106" s="12"/>
      <c r="Q106" s="13">
        <f t="shared" si="41"/>
        <v>2493578.66</v>
      </c>
      <c r="R106" s="13">
        <f t="shared" si="42"/>
        <v>2015847.17</v>
      </c>
      <c r="S106" s="13">
        <f t="shared" si="43"/>
        <v>477731.49</v>
      </c>
      <c r="T106" s="13">
        <f t="shared" si="44"/>
        <v>120950</v>
      </c>
    </row>
    <row r="107" spans="1:20" s="57" customFormat="1" ht="78" customHeight="1" x14ac:dyDescent="0.25">
      <c r="A107" s="42" t="s">
        <v>87</v>
      </c>
      <c r="B107" s="27" t="s">
        <v>58</v>
      </c>
      <c r="C107" s="27" t="s">
        <v>3</v>
      </c>
      <c r="D107" s="44" t="s">
        <v>247</v>
      </c>
      <c r="E107" s="45">
        <f t="shared" si="59"/>
        <v>1641023.77</v>
      </c>
      <c r="F107" s="41">
        <v>1641023.77</v>
      </c>
      <c r="G107" s="45"/>
      <c r="H107" s="45"/>
      <c r="I107" s="45">
        <f t="shared" si="38"/>
        <v>1887367.66</v>
      </c>
      <c r="J107" s="41">
        <v>1766417.66</v>
      </c>
      <c r="K107" s="45">
        <v>120950</v>
      </c>
      <c r="L107" s="45">
        <f>K107</f>
        <v>120950</v>
      </c>
      <c r="M107" s="40">
        <f t="shared" si="39"/>
        <v>1.1501159791244218</v>
      </c>
      <c r="N107" s="40">
        <f t="shared" si="40"/>
        <v>1.0764119888403565</v>
      </c>
      <c r="O107" s="40"/>
      <c r="P107" s="40"/>
      <c r="Q107" s="41">
        <f t="shared" si="41"/>
        <v>246343.8899999999</v>
      </c>
      <c r="R107" s="41">
        <f t="shared" si="42"/>
        <v>125393.8899999999</v>
      </c>
      <c r="S107" s="41">
        <f t="shared" si="43"/>
        <v>120950</v>
      </c>
      <c r="T107" s="41">
        <f t="shared" si="44"/>
        <v>120950</v>
      </c>
    </row>
    <row r="108" spans="1:20" s="57" customFormat="1" ht="37.5" x14ac:dyDescent="0.25">
      <c r="A108" s="37" t="s">
        <v>281</v>
      </c>
      <c r="B108" s="25" t="s">
        <v>8</v>
      </c>
      <c r="C108" s="25" t="s">
        <v>6</v>
      </c>
      <c r="D108" s="39" t="s">
        <v>109</v>
      </c>
      <c r="E108" s="45">
        <f t="shared" si="59"/>
        <v>199000</v>
      </c>
      <c r="F108" s="41">
        <v>199000</v>
      </c>
      <c r="G108" s="45"/>
      <c r="H108" s="45"/>
      <c r="I108" s="45">
        <f t="shared" si="38"/>
        <v>274855.23</v>
      </c>
      <c r="J108" s="41">
        <v>274855.23</v>
      </c>
      <c r="K108" s="45"/>
      <c r="L108" s="45"/>
      <c r="M108" s="40">
        <f t="shared" si="39"/>
        <v>1.3811820603015075</v>
      </c>
      <c r="N108" s="40">
        <f t="shared" si="40"/>
        <v>1.3811820603015075</v>
      </c>
      <c r="O108" s="40"/>
      <c r="P108" s="40"/>
      <c r="Q108" s="41">
        <f t="shared" si="41"/>
        <v>75855.229999999981</v>
      </c>
      <c r="R108" s="41">
        <f t="shared" si="42"/>
        <v>75855.229999999981</v>
      </c>
      <c r="S108" s="41">
        <f t="shared" si="43"/>
        <v>0</v>
      </c>
      <c r="T108" s="41">
        <f t="shared" si="44"/>
        <v>0</v>
      </c>
    </row>
    <row r="109" spans="1:20" s="57" customFormat="1" ht="37.5" x14ac:dyDescent="0.25">
      <c r="A109" s="42" t="s">
        <v>89</v>
      </c>
      <c r="B109" s="27" t="s">
        <v>88</v>
      </c>
      <c r="C109" s="27" t="s">
        <v>17</v>
      </c>
      <c r="D109" s="36" t="s">
        <v>48</v>
      </c>
      <c r="E109" s="45">
        <f t="shared" si="59"/>
        <v>298807.21000000002</v>
      </c>
      <c r="F109" s="45">
        <v>298807.21000000002</v>
      </c>
      <c r="G109" s="45"/>
      <c r="H109" s="45"/>
      <c r="I109" s="45">
        <f t="shared" si="38"/>
        <v>1408800.0999999999</v>
      </c>
      <c r="J109" s="45">
        <f>407273.98+644744.63</f>
        <v>1052018.6099999999</v>
      </c>
      <c r="K109" s="45">
        <v>356781.49</v>
      </c>
      <c r="L109" s="45"/>
      <c r="M109" s="40">
        <f t="shared" si="39"/>
        <v>4.7147460062961661</v>
      </c>
      <c r="N109" s="40">
        <f t="shared" si="40"/>
        <v>3.520726993167266</v>
      </c>
      <c r="O109" s="40"/>
      <c r="P109" s="40"/>
      <c r="Q109" s="41">
        <f t="shared" si="41"/>
        <v>1109992.8899999999</v>
      </c>
      <c r="R109" s="41">
        <f t="shared" si="42"/>
        <v>753211.39999999991</v>
      </c>
      <c r="S109" s="41">
        <f t="shared" si="43"/>
        <v>356781.49</v>
      </c>
      <c r="T109" s="41">
        <f t="shared" si="44"/>
        <v>0</v>
      </c>
    </row>
    <row r="110" spans="1:20" s="57" customFormat="1" ht="56.25" x14ac:dyDescent="0.25">
      <c r="A110" s="42" t="s">
        <v>24</v>
      </c>
      <c r="B110" s="27" t="s">
        <v>23</v>
      </c>
      <c r="C110" s="27" t="s">
        <v>18</v>
      </c>
      <c r="D110" s="36" t="s">
        <v>42</v>
      </c>
      <c r="E110" s="45">
        <f t="shared" si="59"/>
        <v>367685.15</v>
      </c>
      <c r="F110" s="45">
        <v>367685.15</v>
      </c>
      <c r="G110" s="45"/>
      <c r="H110" s="45"/>
      <c r="I110" s="45">
        <f t="shared" si="38"/>
        <v>972354.91</v>
      </c>
      <c r="J110" s="45">
        <v>972354.91</v>
      </c>
      <c r="K110" s="45"/>
      <c r="L110" s="45"/>
      <c r="M110" s="40">
        <f t="shared" si="39"/>
        <v>2.6445313605947915</v>
      </c>
      <c r="N110" s="40">
        <f t="shared" si="40"/>
        <v>2.6445313605947915</v>
      </c>
      <c r="O110" s="40"/>
      <c r="P110" s="40"/>
      <c r="Q110" s="41">
        <f t="shared" si="41"/>
        <v>604669.76</v>
      </c>
      <c r="R110" s="41">
        <f t="shared" si="42"/>
        <v>604669.76</v>
      </c>
      <c r="S110" s="41">
        <f t="shared" si="43"/>
        <v>0</v>
      </c>
      <c r="T110" s="41">
        <f t="shared" si="44"/>
        <v>0</v>
      </c>
    </row>
    <row r="111" spans="1:20" s="57" customFormat="1" ht="56.25" x14ac:dyDescent="0.25">
      <c r="A111" s="42" t="s">
        <v>44</v>
      </c>
      <c r="B111" s="27" t="s">
        <v>45</v>
      </c>
      <c r="C111" s="27" t="s">
        <v>18</v>
      </c>
      <c r="D111" s="36" t="s">
        <v>46</v>
      </c>
      <c r="E111" s="45">
        <f t="shared" si="59"/>
        <v>197197.71</v>
      </c>
      <c r="F111" s="45">
        <v>197197.71</v>
      </c>
      <c r="G111" s="45"/>
      <c r="H111" s="45"/>
      <c r="I111" s="45">
        <f t="shared" si="38"/>
        <v>283691.17</v>
      </c>
      <c r="J111" s="45">
        <v>283691.17</v>
      </c>
      <c r="K111" s="45"/>
      <c r="L111" s="45"/>
      <c r="M111" s="40">
        <f t="shared" si="39"/>
        <v>1.438612902756325</v>
      </c>
      <c r="N111" s="40">
        <f t="shared" si="40"/>
        <v>1.438612902756325</v>
      </c>
      <c r="O111" s="40"/>
      <c r="P111" s="40"/>
      <c r="Q111" s="41">
        <f t="shared" si="41"/>
        <v>86493.459999999992</v>
      </c>
      <c r="R111" s="41">
        <f t="shared" si="42"/>
        <v>86493.459999999992</v>
      </c>
      <c r="S111" s="41">
        <f t="shared" si="43"/>
        <v>0</v>
      </c>
      <c r="T111" s="41">
        <f t="shared" si="44"/>
        <v>0</v>
      </c>
    </row>
    <row r="112" spans="1:20" s="57" customFormat="1" ht="75" x14ac:dyDescent="0.25">
      <c r="A112" s="49" t="s">
        <v>321</v>
      </c>
      <c r="B112" s="30" t="s">
        <v>322</v>
      </c>
      <c r="C112" s="30" t="s">
        <v>18</v>
      </c>
      <c r="D112" s="31" t="s">
        <v>323</v>
      </c>
      <c r="E112" s="45">
        <f t="shared" si="59"/>
        <v>0</v>
      </c>
      <c r="F112" s="45"/>
      <c r="G112" s="45"/>
      <c r="H112" s="45"/>
      <c r="I112" s="45">
        <f t="shared" si="38"/>
        <v>58852.800000000003</v>
      </c>
      <c r="J112" s="45">
        <v>58852.800000000003</v>
      </c>
      <c r="K112" s="45"/>
      <c r="L112" s="45"/>
      <c r="M112" s="40"/>
      <c r="N112" s="40"/>
      <c r="O112" s="40"/>
      <c r="P112" s="40"/>
      <c r="Q112" s="41">
        <f t="shared" si="41"/>
        <v>58852.800000000003</v>
      </c>
      <c r="R112" s="41">
        <f t="shared" si="42"/>
        <v>58852.800000000003</v>
      </c>
      <c r="S112" s="41">
        <f t="shared" si="43"/>
        <v>0</v>
      </c>
      <c r="T112" s="41">
        <f t="shared" si="44"/>
        <v>0</v>
      </c>
    </row>
    <row r="113" spans="1:20" s="57" customFormat="1" ht="108" customHeight="1" x14ac:dyDescent="0.25">
      <c r="A113" s="42" t="s">
        <v>49</v>
      </c>
      <c r="B113" s="27" t="s">
        <v>50</v>
      </c>
      <c r="C113" s="27" t="s">
        <v>18</v>
      </c>
      <c r="D113" s="44" t="s">
        <v>51</v>
      </c>
      <c r="E113" s="45">
        <f t="shared" si="59"/>
        <v>1065789.28</v>
      </c>
      <c r="F113" s="45">
        <v>1065789.28</v>
      </c>
      <c r="G113" s="45"/>
      <c r="H113" s="45"/>
      <c r="I113" s="45">
        <f t="shared" si="38"/>
        <v>1377159.91</v>
      </c>
      <c r="J113" s="45">
        <v>1377159.91</v>
      </c>
      <c r="K113" s="45"/>
      <c r="L113" s="45"/>
      <c r="M113" s="40">
        <f t="shared" si="39"/>
        <v>1.2921502738327411</v>
      </c>
      <c r="N113" s="40">
        <f t="shared" si="40"/>
        <v>1.2921502738327411</v>
      </c>
      <c r="O113" s="40"/>
      <c r="P113" s="40"/>
      <c r="Q113" s="41">
        <f t="shared" si="41"/>
        <v>311370.62999999989</v>
      </c>
      <c r="R113" s="41">
        <f t="shared" si="42"/>
        <v>311370.62999999989</v>
      </c>
      <c r="S113" s="41">
        <f t="shared" si="43"/>
        <v>0</v>
      </c>
      <c r="T113" s="41">
        <f t="shared" si="44"/>
        <v>0</v>
      </c>
    </row>
    <row r="114" spans="1:20" s="55" customFormat="1" ht="75" x14ac:dyDescent="0.25">
      <c r="A114" s="47" t="s">
        <v>90</v>
      </c>
      <c r="B114" s="26"/>
      <c r="C114" s="26"/>
      <c r="D114" s="10" t="s">
        <v>226</v>
      </c>
      <c r="E114" s="43">
        <f t="shared" ref="E114:L114" si="62">E115</f>
        <v>139545205.83000001</v>
      </c>
      <c r="F114" s="43">
        <f t="shared" si="62"/>
        <v>135982307.90000001</v>
      </c>
      <c r="G114" s="43">
        <f t="shared" si="62"/>
        <v>3562897.9299999997</v>
      </c>
      <c r="H114" s="43">
        <f t="shared" si="62"/>
        <v>3556461.85</v>
      </c>
      <c r="I114" s="43">
        <f t="shared" si="62"/>
        <v>218503944.44000003</v>
      </c>
      <c r="J114" s="43">
        <f t="shared" si="62"/>
        <v>181103218.32000002</v>
      </c>
      <c r="K114" s="43">
        <f t="shared" si="62"/>
        <v>37400726.119999997</v>
      </c>
      <c r="L114" s="43">
        <f t="shared" si="62"/>
        <v>33081949.710000001</v>
      </c>
      <c r="M114" s="12">
        <f t="shared" si="39"/>
        <v>1.5658291027653859</v>
      </c>
      <c r="N114" s="12">
        <f t="shared" si="40"/>
        <v>1.331814565562319</v>
      </c>
      <c r="O114" s="12" t="s">
        <v>401</v>
      </c>
      <c r="P114" s="12">
        <f t="shared" si="54"/>
        <v>9.3019273382617609</v>
      </c>
      <c r="Q114" s="13">
        <f t="shared" si="41"/>
        <v>78958738.610000014</v>
      </c>
      <c r="R114" s="13">
        <f t="shared" si="42"/>
        <v>45120910.420000017</v>
      </c>
      <c r="S114" s="13">
        <f t="shared" si="43"/>
        <v>33837828.189999998</v>
      </c>
      <c r="T114" s="13">
        <f t="shared" si="44"/>
        <v>29525487.859999999</v>
      </c>
    </row>
    <row r="115" spans="1:20" s="55" customFormat="1" ht="75" x14ac:dyDescent="0.25">
      <c r="A115" s="47" t="s">
        <v>91</v>
      </c>
      <c r="B115" s="26"/>
      <c r="C115" s="26"/>
      <c r="D115" s="10" t="s">
        <v>226</v>
      </c>
      <c r="E115" s="43">
        <f t="shared" ref="E115:E139" si="63">F115+G115</f>
        <v>139545205.83000001</v>
      </c>
      <c r="F115" s="43">
        <f>F116+F117+F119+F120+F122+F124+F129+F133+F135+F118+F138+F121+F125+F130+F132+F134+F136+F137+F139+F126+F127+F128+F123+F131</f>
        <v>135982307.90000001</v>
      </c>
      <c r="G115" s="43">
        <f t="shared" ref="G115:H115" si="64">G116+G117+G119+G120+G122+G124+G129+G133+G135+G118+G138+G121+G125+G130+G132+G134+G136+G137+G139+G126+G127+G128+G123+G131</f>
        <v>3562897.9299999997</v>
      </c>
      <c r="H115" s="43">
        <f t="shared" si="64"/>
        <v>3556461.85</v>
      </c>
      <c r="I115" s="43">
        <f t="shared" ref="I115" si="65">J115+K115</f>
        <v>218503944.44000003</v>
      </c>
      <c r="J115" s="43">
        <f>J116+J117+J119+J120+J122+J124+J129+J133+J135+J118+J138+J121+J125+J130+J132+J134+J136+J137+J139+J126+J127+J128+J123+J131</f>
        <v>181103218.32000002</v>
      </c>
      <c r="K115" s="43">
        <f t="shared" ref="K115:L115" si="66">K116+K117+K119+K120+K122+K124+K129+K133+K135+K118+K138+K121+K125+K130+K132+K134+K136+K137+K139+K126+K127+K128+K123+K131</f>
        <v>37400726.119999997</v>
      </c>
      <c r="L115" s="43">
        <f t="shared" si="66"/>
        <v>33081949.710000001</v>
      </c>
      <c r="M115" s="12">
        <f t="shared" si="39"/>
        <v>1.5658291027653859</v>
      </c>
      <c r="N115" s="12">
        <f t="shared" si="40"/>
        <v>1.331814565562319</v>
      </c>
      <c r="O115" s="12" t="s">
        <v>401</v>
      </c>
      <c r="P115" s="12">
        <f t="shared" si="54"/>
        <v>9.3019273382617609</v>
      </c>
      <c r="Q115" s="13">
        <f t="shared" si="41"/>
        <v>78958738.610000014</v>
      </c>
      <c r="R115" s="13">
        <f t="shared" si="42"/>
        <v>45120910.420000017</v>
      </c>
      <c r="S115" s="13">
        <f t="shared" si="43"/>
        <v>33837828.189999998</v>
      </c>
      <c r="T115" s="13">
        <f t="shared" si="44"/>
        <v>29525487.859999999</v>
      </c>
    </row>
    <row r="116" spans="1:20" s="57" customFormat="1" ht="74.25" customHeight="1" x14ac:dyDescent="0.25">
      <c r="A116" s="42" t="s">
        <v>92</v>
      </c>
      <c r="B116" s="27" t="s">
        <v>58</v>
      </c>
      <c r="C116" s="27" t="s">
        <v>3</v>
      </c>
      <c r="D116" s="44" t="s">
        <v>247</v>
      </c>
      <c r="E116" s="45">
        <f t="shared" si="63"/>
        <v>3427403.17</v>
      </c>
      <c r="F116" s="45">
        <v>3420967.09</v>
      </c>
      <c r="G116" s="45">
        <v>6436.08</v>
      </c>
      <c r="H116" s="45"/>
      <c r="I116" s="45">
        <f t="shared" si="38"/>
        <v>3590414.11</v>
      </c>
      <c r="J116" s="45">
        <v>3473198.83</v>
      </c>
      <c r="K116" s="45">
        <f>9215.28+108000</f>
        <v>117215.28</v>
      </c>
      <c r="L116" s="45">
        <v>108000</v>
      </c>
      <c r="M116" s="40">
        <f t="shared" si="39"/>
        <v>1.0475610635558816</v>
      </c>
      <c r="N116" s="40">
        <f t="shared" si="40"/>
        <v>1.0152681211557637</v>
      </c>
      <c r="O116" s="40" t="s">
        <v>403</v>
      </c>
      <c r="P116" s="40"/>
      <c r="Q116" s="41">
        <f t="shared" si="41"/>
        <v>163010.93999999994</v>
      </c>
      <c r="R116" s="41">
        <f t="shared" si="42"/>
        <v>52231.740000000224</v>
      </c>
      <c r="S116" s="41">
        <f t="shared" si="43"/>
        <v>110779.2</v>
      </c>
      <c r="T116" s="41">
        <f t="shared" si="44"/>
        <v>108000</v>
      </c>
    </row>
    <row r="117" spans="1:20" s="57" customFormat="1" ht="45" customHeight="1" x14ac:dyDescent="0.25">
      <c r="A117" s="42" t="s">
        <v>240</v>
      </c>
      <c r="B117" s="27" t="s">
        <v>8</v>
      </c>
      <c r="C117" s="27" t="s">
        <v>6</v>
      </c>
      <c r="D117" s="44" t="s">
        <v>109</v>
      </c>
      <c r="E117" s="45">
        <f t="shared" si="63"/>
        <v>119400</v>
      </c>
      <c r="F117" s="45">
        <v>119400</v>
      </c>
      <c r="G117" s="45"/>
      <c r="H117" s="45"/>
      <c r="I117" s="45">
        <f t="shared" si="38"/>
        <v>44775</v>
      </c>
      <c r="J117" s="45">
        <v>44775</v>
      </c>
      <c r="K117" s="45"/>
      <c r="L117" s="45"/>
      <c r="M117" s="40">
        <f t="shared" si="39"/>
        <v>0.375</v>
      </c>
      <c r="N117" s="40">
        <f t="shared" si="40"/>
        <v>0.375</v>
      </c>
      <c r="O117" s="40"/>
      <c r="P117" s="40"/>
      <c r="Q117" s="41">
        <f t="shared" si="41"/>
        <v>-74625</v>
      </c>
      <c r="R117" s="41">
        <f t="shared" si="42"/>
        <v>-74625</v>
      </c>
      <c r="S117" s="41">
        <f t="shared" si="43"/>
        <v>0</v>
      </c>
      <c r="T117" s="41">
        <f t="shared" si="44"/>
        <v>0</v>
      </c>
    </row>
    <row r="118" spans="1:20" s="57" customFormat="1" ht="37.5" x14ac:dyDescent="0.25">
      <c r="A118" s="38">
        <v>1216011</v>
      </c>
      <c r="B118" s="24">
        <v>6011</v>
      </c>
      <c r="C118" s="24" t="s">
        <v>39</v>
      </c>
      <c r="D118" s="39" t="s">
        <v>105</v>
      </c>
      <c r="E118" s="45">
        <f t="shared" si="63"/>
        <v>275836.78000000003</v>
      </c>
      <c r="F118" s="45">
        <v>275836.78000000003</v>
      </c>
      <c r="G118" s="45"/>
      <c r="H118" s="45"/>
      <c r="I118" s="45">
        <f t="shared" si="38"/>
        <v>7285553.0999999996</v>
      </c>
      <c r="J118" s="45">
        <v>49969.4</v>
      </c>
      <c r="K118" s="45">
        <f>4968167.8+2267415.9</f>
        <v>7235583.6999999993</v>
      </c>
      <c r="L118" s="45">
        <f>K118</f>
        <v>7235583.6999999993</v>
      </c>
      <c r="M118" s="40">
        <f t="shared" si="39"/>
        <v>26.412551292108322</v>
      </c>
      <c r="N118" s="40">
        <f t="shared" si="40"/>
        <v>0.18115568199425761</v>
      </c>
      <c r="O118" s="40"/>
      <c r="P118" s="40"/>
      <c r="Q118" s="41">
        <f t="shared" si="41"/>
        <v>7009716.3199999994</v>
      </c>
      <c r="R118" s="41">
        <f t="shared" si="42"/>
        <v>-225867.38000000003</v>
      </c>
      <c r="S118" s="41">
        <f t="shared" si="43"/>
        <v>7235583.6999999993</v>
      </c>
      <c r="T118" s="41">
        <f t="shared" si="44"/>
        <v>7235583.6999999993</v>
      </c>
    </row>
    <row r="119" spans="1:20" s="57" customFormat="1" ht="56.25" x14ac:dyDescent="0.25">
      <c r="A119" s="42" t="s">
        <v>127</v>
      </c>
      <c r="B119" s="27" t="s">
        <v>126</v>
      </c>
      <c r="C119" s="27" t="s">
        <v>7</v>
      </c>
      <c r="D119" s="36" t="s">
        <v>128</v>
      </c>
      <c r="E119" s="45">
        <f t="shared" si="63"/>
        <v>27800000</v>
      </c>
      <c r="F119" s="45">
        <v>27800000</v>
      </c>
      <c r="G119" s="45"/>
      <c r="H119" s="45"/>
      <c r="I119" s="45">
        <f t="shared" si="38"/>
        <v>29950179.77</v>
      </c>
      <c r="J119" s="45">
        <v>29950179.77</v>
      </c>
      <c r="K119" s="45"/>
      <c r="L119" s="45"/>
      <c r="M119" s="40">
        <f t="shared" si="39"/>
        <v>1.0773445960431653</v>
      </c>
      <c r="N119" s="40">
        <f t="shared" si="40"/>
        <v>1.0773445960431653</v>
      </c>
      <c r="O119" s="40"/>
      <c r="P119" s="40"/>
      <c r="Q119" s="41">
        <f t="shared" si="41"/>
        <v>2150179.7699999996</v>
      </c>
      <c r="R119" s="41">
        <f t="shared" si="42"/>
        <v>2150179.7699999996</v>
      </c>
      <c r="S119" s="41">
        <f t="shared" si="43"/>
        <v>0</v>
      </c>
      <c r="T119" s="41">
        <f t="shared" si="44"/>
        <v>0</v>
      </c>
    </row>
    <row r="120" spans="1:20" s="57" customFormat="1" ht="37.5" x14ac:dyDescent="0.25">
      <c r="A120" s="42" t="s">
        <v>107</v>
      </c>
      <c r="B120" s="27" t="s">
        <v>106</v>
      </c>
      <c r="C120" s="27" t="s">
        <v>7</v>
      </c>
      <c r="D120" s="36" t="s">
        <v>108</v>
      </c>
      <c r="E120" s="45">
        <f t="shared" si="63"/>
        <v>3975300</v>
      </c>
      <c r="F120" s="45">
        <v>3975300</v>
      </c>
      <c r="G120" s="45"/>
      <c r="H120" s="45"/>
      <c r="I120" s="45">
        <f t="shared" si="38"/>
        <v>3653652</v>
      </c>
      <c r="J120" s="45">
        <v>3530928</v>
      </c>
      <c r="K120" s="45">
        <v>122724</v>
      </c>
      <c r="L120" s="45">
        <f>K120</f>
        <v>122724</v>
      </c>
      <c r="M120" s="40">
        <f t="shared" si="39"/>
        <v>0.91908837068900462</v>
      </c>
      <c r="N120" s="40">
        <f t="shared" si="40"/>
        <v>0.8882167383593691</v>
      </c>
      <c r="O120" s="40"/>
      <c r="P120" s="40"/>
      <c r="Q120" s="41">
        <f t="shared" si="41"/>
        <v>-321648</v>
      </c>
      <c r="R120" s="41">
        <f t="shared" si="42"/>
        <v>-444372</v>
      </c>
      <c r="S120" s="41">
        <f t="shared" si="43"/>
        <v>122724</v>
      </c>
      <c r="T120" s="41">
        <f t="shared" si="44"/>
        <v>122724</v>
      </c>
    </row>
    <row r="121" spans="1:20" s="57" customFormat="1" ht="37.5" x14ac:dyDescent="0.25">
      <c r="A121" s="37" t="s">
        <v>330</v>
      </c>
      <c r="B121" s="25" t="s">
        <v>331</v>
      </c>
      <c r="C121" s="25" t="s">
        <v>7</v>
      </c>
      <c r="D121" s="39" t="s">
        <v>332</v>
      </c>
      <c r="E121" s="45">
        <f t="shared" si="63"/>
        <v>0</v>
      </c>
      <c r="F121" s="45"/>
      <c r="G121" s="45"/>
      <c r="H121" s="45"/>
      <c r="I121" s="45">
        <f t="shared" si="38"/>
        <v>879174.89</v>
      </c>
      <c r="J121" s="45"/>
      <c r="K121" s="45">
        <v>879174.89</v>
      </c>
      <c r="L121" s="45">
        <f>K121</f>
        <v>879174.89</v>
      </c>
      <c r="M121" s="40"/>
      <c r="N121" s="40"/>
      <c r="O121" s="40"/>
      <c r="P121" s="40"/>
      <c r="Q121" s="41">
        <f t="shared" si="41"/>
        <v>879174.89</v>
      </c>
      <c r="R121" s="41">
        <f t="shared" si="42"/>
        <v>0</v>
      </c>
      <c r="S121" s="41">
        <f t="shared" si="43"/>
        <v>879174.89</v>
      </c>
      <c r="T121" s="41">
        <f t="shared" si="44"/>
        <v>879174.89</v>
      </c>
    </row>
    <row r="122" spans="1:20" s="57" customFormat="1" ht="56.25" x14ac:dyDescent="0.25">
      <c r="A122" s="42" t="s">
        <v>156</v>
      </c>
      <c r="B122" s="27" t="s">
        <v>157</v>
      </c>
      <c r="C122" s="27" t="s">
        <v>7</v>
      </c>
      <c r="D122" s="36" t="s">
        <v>158</v>
      </c>
      <c r="E122" s="45">
        <f t="shared" si="63"/>
        <v>753971.79</v>
      </c>
      <c r="F122" s="45">
        <v>753971.79</v>
      </c>
      <c r="G122" s="45"/>
      <c r="H122" s="45"/>
      <c r="I122" s="45">
        <f t="shared" si="38"/>
        <v>1053204.74</v>
      </c>
      <c r="J122" s="45">
        <v>1053204.74</v>
      </c>
      <c r="K122" s="45"/>
      <c r="L122" s="45">
        <f t="shared" ref="L122:L125" si="67">K122</f>
        <v>0</v>
      </c>
      <c r="M122" s="40">
        <f t="shared" si="39"/>
        <v>1.3968755250113534</v>
      </c>
      <c r="N122" s="40">
        <f t="shared" si="40"/>
        <v>1.3968755250113534</v>
      </c>
      <c r="O122" s="40"/>
      <c r="P122" s="40"/>
      <c r="Q122" s="41">
        <f t="shared" si="41"/>
        <v>299232.94999999995</v>
      </c>
      <c r="R122" s="41">
        <f t="shared" si="42"/>
        <v>299232.94999999995</v>
      </c>
      <c r="S122" s="41">
        <f t="shared" si="43"/>
        <v>0</v>
      </c>
      <c r="T122" s="41">
        <f t="shared" si="44"/>
        <v>0</v>
      </c>
    </row>
    <row r="123" spans="1:20" s="57" customFormat="1" ht="75" x14ac:dyDescent="0.25">
      <c r="A123" s="37">
        <v>1216020</v>
      </c>
      <c r="B123" s="25">
        <v>6020</v>
      </c>
      <c r="C123" s="61" t="s">
        <v>7</v>
      </c>
      <c r="D123" s="60" t="s">
        <v>390</v>
      </c>
      <c r="E123" s="45">
        <f t="shared" si="63"/>
        <v>0</v>
      </c>
      <c r="F123" s="45"/>
      <c r="G123" s="45"/>
      <c r="H123" s="45"/>
      <c r="I123" s="45">
        <f t="shared" si="38"/>
        <v>176886</v>
      </c>
      <c r="J123" s="45">
        <v>76896</v>
      </c>
      <c r="K123" s="45">
        <v>99990</v>
      </c>
      <c r="L123" s="45">
        <f t="shared" si="67"/>
        <v>99990</v>
      </c>
      <c r="M123" s="40"/>
      <c r="N123" s="40"/>
      <c r="O123" s="40"/>
      <c r="P123" s="40"/>
      <c r="Q123" s="41">
        <f t="shared" si="41"/>
        <v>176886</v>
      </c>
      <c r="R123" s="41">
        <f t="shared" si="42"/>
        <v>76896</v>
      </c>
      <c r="S123" s="41">
        <f t="shared" si="43"/>
        <v>99990</v>
      </c>
      <c r="T123" s="41">
        <f t="shared" si="44"/>
        <v>99990</v>
      </c>
    </row>
    <row r="124" spans="1:20" s="57" customFormat="1" ht="37.5" x14ac:dyDescent="0.25">
      <c r="A124" s="42" t="s">
        <v>93</v>
      </c>
      <c r="B124" s="27" t="s">
        <v>40</v>
      </c>
      <c r="C124" s="27" t="s">
        <v>7</v>
      </c>
      <c r="D124" s="44" t="s">
        <v>55</v>
      </c>
      <c r="E124" s="45">
        <f t="shared" si="63"/>
        <v>51128483.07</v>
      </c>
      <c r="F124" s="45">
        <v>50189138.219999999</v>
      </c>
      <c r="G124" s="45">
        <v>939344.85</v>
      </c>
      <c r="H124" s="45">
        <f>G124</f>
        <v>939344.85</v>
      </c>
      <c r="I124" s="45">
        <f t="shared" si="38"/>
        <v>68241032.849999994</v>
      </c>
      <c r="J124" s="45">
        <f>31854860.18+17855056.58+575789.12+17156053.86</f>
        <v>67441759.739999995</v>
      </c>
      <c r="K124" s="45">
        <f>700294.11+98979</f>
        <v>799273.11</v>
      </c>
      <c r="L124" s="45">
        <f t="shared" si="67"/>
        <v>799273.11</v>
      </c>
      <c r="M124" s="40">
        <f t="shared" si="39"/>
        <v>1.3346969976905281</v>
      </c>
      <c r="N124" s="40">
        <f t="shared" si="40"/>
        <v>1.3437520972042702</v>
      </c>
      <c r="O124" s="40">
        <f t="shared" si="45"/>
        <v>0.85088358125346619</v>
      </c>
      <c r="P124" s="40">
        <f t="shared" si="54"/>
        <v>0.85088358125346619</v>
      </c>
      <c r="Q124" s="41">
        <f t="shared" si="41"/>
        <v>17112549.779999994</v>
      </c>
      <c r="R124" s="41">
        <f t="shared" si="42"/>
        <v>17252621.519999996</v>
      </c>
      <c r="S124" s="41">
        <f t="shared" si="43"/>
        <v>-140071.74</v>
      </c>
      <c r="T124" s="41">
        <f t="shared" si="44"/>
        <v>-140071.74</v>
      </c>
    </row>
    <row r="125" spans="1:20" s="57" customFormat="1" ht="37.5" x14ac:dyDescent="0.25">
      <c r="A125" s="38" t="s">
        <v>333</v>
      </c>
      <c r="B125" s="24" t="s">
        <v>334</v>
      </c>
      <c r="C125" s="24" t="s">
        <v>293</v>
      </c>
      <c r="D125" s="39" t="s">
        <v>335</v>
      </c>
      <c r="E125" s="45">
        <f t="shared" si="63"/>
        <v>0</v>
      </c>
      <c r="F125" s="45"/>
      <c r="G125" s="45"/>
      <c r="H125" s="45"/>
      <c r="I125" s="45">
        <f t="shared" si="38"/>
        <v>4444844.7300000004</v>
      </c>
      <c r="J125" s="45"/>
      <c r="K125" s="45">
        <f>297682.55+1079585.33+3067576.85</f>
        <v>4444844.7300000004</v>
      </c>
      <c r="L125" s="45">
        <f t="shared" si="67"/>
        <v>4444844.7300000004</v>
      </c>
      <c r="M125" s="40"/>
      <c r="N125" s="40"/>
      <c r="O125" s="40"/>
      <c r="P125" s="40"/>
      <c r="Q125" s="41">
        <f t="shared" si="41"/>
        <v>4444844.7300000004</v>
      </c>
      <c r="R125" s="41">
        <f t="shared" si="42"/>
        <v>0</v>
      </c>
      <c r="S125" s="41">
        <f t="shared" si="43"/>
        <v>4444844.7300000004</v>
      </c>
      <c r="T125" s="41">
        <f t="shared" si="44"/>
        <v>4444844.7300000004</v>
      </c>
    </row>
    <row r="126" spans="1:20" s="57" customFormat="1" ht="56.25" x14ac:dyDescent="0.25">
      <c r="A126" s="38" t="s">
        <v>383</v>
      </c>
      <c r="B126" s="59" t="s">
        <v>301</v>
      </c>
      <c r="C126" s="59" t="s">
        <v>20</v>
      </c>
      <c r="D126" s="60" t="s">
        <v>302</v>
      </c>
      <c r="E126" s="45">
        <f t="shared" si="63"/>
        <v>0</v>
      </c>
      <c r="F126" s="45"/>
      <c r="G126" s="45"/>
      <c r="H126" s="45"/>
      <c r="I126" s="45">
        <f t="shared" si="38"/>
        <v>99700</v>
      </c>
      <c r="J126" s="45">
        <v>99700</v>
      </c>
      <c r="K126" s="45"/>
      <c r="L126" s="45"/>
      <c r="M126" s="40"/>
      <c r="N126" s="40"/>
      <c r="O126" s="40"/>
      <c r="P126" s="40"/>
      <c r="Q126" s="41">
        <f t="shared" si="41"/>
        <v>99700</v>
      </c>
      <c r="R126" s="41">
        <f t="shared" si="42"/>
        <v>99700</v>
      </c>
      <c r="S126" s="41">
        <f t="shared" si="43"/>
        <v>0</v>
      </c>
      <c r="T126" s="41">
        <f t="shared" si="44"/>
        <v>0</v>
      </c>
    </row>
    <row r="127" spans="1:20" s="57" customFormat="1" ht="113.25" customHeight="1" x14ac:dyDescent="0.25">
      <c r="A127" s="38" t="s">
        <v>384</v>
      </c>
      <c r="B127" s="59" t="s">
        <v>385</v>
      </c>
      <c r="C127" s="59" t="s">
        <v>20</v>
      </c>
      <c r="D127" s="60" t="s">
        <v>386</v>
      </c>
      <c r="E127" s="45">
        <f t="shared" si="63"/>
        <v>0</v>
      </c>
      <c r="F127" s="45"/>
      <c r="G127" s="45"/>
      <c r="H127" s="45"/>
      <c r="I127" s="45">
        <f t="shared" si="38"/>
        <v>297595.03000000003</v>
      </c>
      <c r="J127" s="45">
        <v>297595.03000000003</v>
      </c>
      <c r="K127" s="45"/>
      <c r="L127" s="45"/>
      <c r="M127" s="40"/>
      <c r="N127" s="40"/>
      <c r="O127" s="40"/>
      <c r="P127" s="40"/>
      <c r="Q127" s="41">
        <f t="shared" si="41"/>
        <v>297595.03000000003</v>
      </c>
      <c r="R127" s="41">
        <f t="shared" si="42"/>
        <v>297595.03000000003</v>
      </c>
      <c r="S127" s="41">
        <f t="shared" si="43"/>
        <v>0</v>
      </c>
      <c r="T127" s="41">
        <f t="shared" si="44"/>
        <v>0</v>
      </c>
    </row>
    <row r="128" spans="1:20" s="57" customFormat="1" ht="126.75" customHeight="1" x14ac:dyDescent="0.25">
      <c r="A128" s="38" t="s">
        <v>387</v>
      </c>
      <c r="B128" s="59" t="s">
        <v>388</v>
      </c>
      <c r="C128" s="59" t="s">
        <v>20</v>
      </c>
      <c r="D128" s="60" t="s">
        <v>389</v>
      </c>
      <c r="E128" s="45">
        <f t="shared" si="63"/>
        <v>0</v>
      </c>
      <c r="F128" s="45"/>
      <c r="G128" s="45"/>
      <c r="H128" s="45"/>
      <c r="I128" s="45">
        <f t="shared" si="38"/>
        <v>130000</v>
      </c>
      <c r="J128" s="45">
        <v>130000</v>
      </c>
      <c r="K128" s="45"/>
      <c r="L128" s="45"/>
      <c r="M128" s="40"/>
      <c r="N128" s="40"/>
      <c r="O128" s="40"/>
      <c r="P128" s="40"/>
      <c r="Q128" s="41">
        <f t="shared" si="41"/>
        <v>130000</v>
      </c>
      <c r="R128" s="41">
        <f t="shared" si="42"/>
        <v>130000</v>
      </c>
      <c r="S128" s="41">
        <f t="shared" si="43"/>
        <v>0</v>
      </c>
      <c r="T128" s="41">
        <f t="shared" si="44"/>
        <v>0</v>
      </c>
    </row>
    <row r="129" spans="1:20" s="57" customFormat="1" ht="56.25" x14ac:dyDescent="0.25">
      <c r="A129" s="42" t="s">
        <v>125</v>
      </c>
      <c r="B129" s="27" t="s">
        <v>102</v>
      </c>
      <c r="C129" s="27" t="s">
        <v>41</v>
      </c>
      <c r="D129" s="36" t="s">
        <v>103</v>
      </c>
      <c r="E129" s="45">
        <f t="shared" si="63"/>
        <v>21042900</v>
      </c>
      <c r="F129" s="45">
        <v>21042900</v>
      </c>
      <c r="G129" s="45"/>
      <c r="H129" s="45"/>
      <c r="I129" s="45">
        <f t="shared" si="38"/>
        <v>23999998.800000001</v>
      </c>
      <c r="J129" s="45">
        <v>23999998.800000001</v>
      </c>
      <c r="K129" s="45"/>
      <c r="L129" s="45"/>
      <c r="M129" s="40">
        <f t="shared" si="39"/>
        <v>1.1405271516758622</v>
      </c>
      <c r="N129" s="40">
        <f t="shared" si="40"/>
        <v>1.1405271516758622</v>
      </c>
      <c r="O129" s="40"/>
      <c r="P129" s="40"/>
      <c r="Q129" s="41">
        <f t="shared" si="41"/>
        <v>2957098.8000000007</v>
      </c>
      <c r="R129" s="41">
        <f t="shared" si="42"/>
        <v>2957098.8000000007</v>
      </c>
      <c r="S129" s="41">
        <f t="shared" si="43"/>
        <v>0</v>
      </c>
      <c r="T129" s="41">
        <f t="shared" si="44"/>
        <v>0</v>
      </c>
    </row>
    <row r="130" spans="1:20" s="57" customFormat="1" x14ac:dyDescent="0.25">
      <c r="A130" s="37">
        <v>1217640</v>
      </c>
      <c r="B130" s="25">
        <v>7640</v>
      </c>
      <c r="C130" s="24" t="s">
        <v>305</v>
      </c>
      <c r="D130" s="39" t="s">
        <v>306</v>
      </c>
      <c r="E130" s="45">
        <f t="shared" si="63"/>
        <v>0</v>
      </c>
      <c r="F130" s="45"/>
      <c r="G130" s="45"/>
      <c r="H130" s="45"/>
      <c r="I130" s="45">
        <f t="shared" si="38"/>
        <v>293519.15999999997</v>
      </c>
      <c r="J130" s="45"/>
      <c r="K130" s="45">
        <f>293519.16</f>
        <v>293519.15999999997</v>
      </c>
      <c r="L130" s="45">
        <f>K130</f>
        <v>293519.15999999997</v>
      </c>
      <c r="M130" s="40"/>
      <c r="N130" s="40"/>
      <c r="O130" s="40"/>
      <c r="P130" s="40"/>
      <c r="Q130" s="41">
        <f t="shared" si="41"/>
        <v>293519.15999999997</v>
      </c>
      <c r="R130" s="41">
        <f t="shared" si="42"/>
        <v>0</v>
      </c>
      <c r="S130" s="41">
        <f t="shared" si="43"/>
        <v>293519.15999999997</v>
      </c>
      <c r="T130" s="41">
        <f t="shared" si="44"/>
        <v>293519.15999999997</v>
      </c>
    </row>
    <row r="131" spans="1:20" s="57" customFormat="1" ht="37.5" x14ac:dyDescent="0.25">
      <c r="A131" s="37">
        <v>1217670</v>
      </c>
      <c r="B131" s="25">
        <v>7670</v>
      </c>
      <c r="C131" s="59" t="s">
        <v>20</v>
      </c>
      <c r="D131" s="60" t="s">
        <v>391</v>
      </c>
      <c r="E131" s="45">
        <f t="shared" si="63"/>
        <v>0</v>
      </c>
      <c r="F131" s="45"/>
      <c r="G131" s="45"/>
      <c r="H131" s="45"/>
      <c r="I131" s="45">
        <f t="shared" si="38"/>
        <v>11733310</v>
      </c>
      <c r="J131" s="45"/>
      <c r="K131" s="45">
        <f>11221310+512000</f>
        <v>11733310</v>
      </c>
      <c r="L131" s="45">
        <f>K131</f>
        <v>11733310</v>
      </c>
      <c r="M131" s="40"/>
      <c r="N131" s="40"/>
      <c r="O131" s="40"/>
      <c r="P131" s="40"/>
      <c r="Q131" s="41">
        <f t="shared" si="41"/>
        <v>11733310</v>
      </c>
      <c r="R131" s="41">
        <f t="shared" si="42"/>
        <v>0</v>
      </c>
      <c r="S131" s="41">
        <f t="shared" si="43"/>
        <v>11733310</v>
      </c>
      <c r="T131" s="41">
        <f t="shared" si="44"/>
        <v>11733310</v>
      </c>
    </row>
    <row r="132" spans="1:20" s="57" customFormat="1" ht="193.5" customHeight="1" x14ac:dyDescent="0.25">
      <c r="A132" s="38">
        <v>1217691</v>
      </c>
      <c r="B132" s="24">
        <v>7691</v>
      </c>
      <c r="C132" s="24" t="s">
        <v>20</v>
      </c>
      <c r="D132" s="39" t="s">
        <v>336</v>
      </c>
      <c r="E132" s="45">
        <f t="shared" si="63"/>
        <v>0</v>
      </c>
      <c r="F132" s="45"/>
      <c r="G132" s="45"/>
      <c r="H132" s="45"/>
      <c r="I132" s="45">
        <f t="shared" si="38"/>
        <v>430001.19</v>
      </c>
      <c r="J132" s="45"/>
      <c r="K132" s="45">
        <v>430001.19</v>
      </c>
      <c r="L132" s="45"/>
      <c r="M132" s="40"/>
      <c r="N132" s="40"/>
      <c r="O132" s="40"/>
      <c r="P132" s="40"/>
      <c r="Q132" s="41">
        <f t="shared" si="41"/>
        <v>430001.19</v>
      </c>
      <c r="R132" s="41">
        <f t="shared" si="42"/>
        <v>0</v>
      </c>
      <c r="S132" s="41">
        <f t="shared" si="43"/>
        <v>430001.19</v>
      </c>
      <c r="T132" s="41">
        <f t="shared" si="44"/>
        <v>0</v>
      </c>
    </row>
    <row r="133" spans="1:20" s="57" customFormat="1" ht="37.5" x14ac:dyDescent="0.25">
      <c r="A133" s="37">
        <v>1217693</v>
      </c>
      <c r="B133" s="25" t="s">
        <v>135</v>
      </c>
      <c r="C133" s="25" t="s">
        <v>20</v>
      </c>
      <c r="D133" s="39" t="s">
        <v>257</v>
      </c>
      <c r="E133" s="45">
        <f t="shared" si="63"/>
        <v>19857898.140000001</v>
      </c>
      <c r="F133" s="45">
        <v>19857898.140000001</v>
      </c>
      <c r="G133" s="45"/>
      <c r="H133" s="45"/>
      <c r="I133" s="45">
        <f t="shared" si="38"/>
        <v>52514529.680000007</v>
      </c>
      <c r="J133" s="45">
        <f>8739790.82+197849.6+38465220.06</f>
        <v>47402860.480000004</v>
      </c>
      <c r="K133" s="45">
        <f>5111669.2</f>
        <v>5111669.2</v>
      </c>
      <c r="L133" s="45">
        <f>K133</f>
        <v>5111669.2</v>
      </c>
      <c r="M133" s="40">
        <f t="shared" si="39"/>
        <v>2.6445160162353418</v>
      </c>
      <c r="N133" s="40">
        <f t="shared" si="40"/>
        <v>2.3871036172008484</v>
      </c>
      <c r="O133" s="40"/>
      <c r="P133" s="40"/>
      <c r="Q133" s="41">
        <f t="shared" si="41"/>
        <v>32656631.540000007</v>
      </c>
      <c r="R133" s="41">
        <f t="shared" si="42"/>
        <v>27544962.340000004</v>
      </c>
      <c r="S133" s="41">
        <f t="shared" si="43"/>
        <v>5111669.2</v>
      </c>
      <c r="T133" s="41">
        <f t="shared" si="44"/>
        <v>5111669.2</v>
      </c>
    </row>
    <row r="134" spans="1:20" s="57" customFormat="1" ht="75" x14ac:dyDescent="0.25">
      <c r="A134" s="37">
        <v>1217700</v>
      </c>
      <c r="B134" s="25">
        <v>7700</v>
      </c>
      <c r="C134" s="24" t="s">
        <v>6</v>
      </c>
      <c r="D134" s="39" t="s">
        <v>337</v>
      </c>
      <c r="E134" s="45">
        <f t="shared" si="63"/>
        <v>0</v>
      </c>
      <c r="F134" s="45"/>
      <c r="G134" s="45"/>
      <c r="H134" s="45"/>
      <c r="I134" s="45">
        <f t="shared" si="38"/>
        <v>3514793.36</v>
      </c>
      <c r="J134" s="45"/>
      <c r="K134" s="45">
        <f>3514793.36</f>
        <v>3514793.36</v>
      </c>
      <c r="L134" s="45"/>
      <c r="M134" s="40"/>
      <c r="N134" s="40"/>
      <c r="O134" s="40"/>
      <c r="P134" s="40"/>
      <c r="Q134" s="41">
        <f t="shared" si="41"/>
        <v>3514793.36</v>
      </c>
      <c r="R134" s="41">
        <f t="shared" si="42"/>
        <v>0</v>
      </c>
      <c r="S134" s="41">
        <f t="shared" si="43"/>
        <v>3514793.36</v>
      </c>
      <c r="T134" s="41">
        <f t="shared" si="44"/>
        <v>0</v>
      </c>
    </row>
    <row r="135" spans="1:20" s="57" customFormat="1" ht="56.25" x14ac:dyDescent="0.25">
      <c r="A135" s="37">
        <v>1218110</v>
      </c>
      <c r="B135" s="25">
        <v>8110</v>
      </c>
      <c r="C135" s="24" t="s">
        <v>5</v>
      </c>
      <c r="D135" s="39" t="s">
        <v>137</v>
      </c>
      <c r="E135" s="45">
        <f t="shared" si="63"/>
        <v>9776845.129999999</v>
      </c>
      <c r="F135" s="45">
        <v>7490905.1299999999</v>
      </c>
      <c r="G135" s="45">
        <v>2285940</v>
      </c>
      <c r="H135" s="45">
        <f>G135</f>
        <v>2285940</v>
      </c>
      <c r="I135" s="45">
        <f t="shared" si="38"/>
        <v>5636410.4499999993</v>
      </c>
      <c r="J135" s="45">
        <f>2967480.12+107842.01+41299.4+265928</f>
        <v>3382549.53</v>
      </c>
      <c r="K135" s="45">
        <f>839973.03+1413887.89</f>
        <v>2253860.92</v>
      </c>
      <c r="L135" s="45">
        <f>839973.03+1413887.89</f>
        <v>2253860.92</v>
      </c>
      <c r="M135" s="40">
        <f t="shared" si="39"/>
        <v>0.57650605845282521</v>
      </c>
      <c r="N135" s="40">
        <f t="shared" si="40"/>
        <v>0.45155418087640364</v>
      </c>
      <c r="O135" s="40">
        <f t="shared" si="45"/>
        <v>0.98596678827965734</v>
      </c>
      <c r="P135" s="40">
        <f t="shared" si="54"/>
        <v>0.98596678827965734</v>
      </c>
      <c r="Q135" s="41">
        <f t="shared" si="41"/>
        <v>-4140434.6799999997</v>
      </c>
      <c r="R135" s="41">
        <f t="shared" si="42"/>
        <v>-4108355.6</v>
      </c>
      <c r="S135" s="41">
        <f t="shared" si="43"/>
        <v>-32079.080000000075</v>
      </c>
      <c r="T135" s="41">
        <f t="shared" si="44"/>
        <v>-32079.080000000075</v>
      </c>
    </row>
    <row r="136" spans="1:20" s="57" customFormat="1" ht="37.5" x14ac:dyDescent="0.25">
      <c r="A136" s="37">
        <v>1218240</v>
      </c>
      <c r="B136" s="37">
        <v>8240</v>
      </c>
      <c r="C136" s="38" t="s">
        <v>227</v>
      </c>
      <c r="D136" s="35" t="s">
        <v>258</v>
      </c>
      <c r="E136" s="45">
        <f t="shared" si="63"/>
        <v>125000</v>
      </c>
      <c r="F136" s="45">
        <v>125000</v>
      </c>
      <c r="G136" s="45"/>
      <c r="H136" s="45"/>
      <c r="I136" s="45">
        <f t="shared" si="38"/>
        <v>466169.58</v>
      </c>
      <c r="J136" s="45">
        <v>101403</v>
      </c>
      <c r="K136" s="45">
        <f>306868.25+57898.33</f>
        <v>364766.58</v>
      </c>
      <c r="L136" s="45"/>
      <c r="M136" s="40">
        <f t="shared" si="39"/>
        <v>3.7293566400000002</v>
      </c>
      <c r="N136" s="40">
        <f t="shared" si="40"/>
        <v>0.81122399999999995</v>
      </c>
      <c r="O136" s="40"/>
      <c r="P136" s="40"/>
      <c r="Q136" s="41">
        <f t="shared" si="41"/>
        <v>341169.58</v>
      </c>
      <c r="R136" s="41">
        <f t="shared" si="42"/>
        <v>-23597</v>
      </c>
      <c r="S136" s="41">
        <f t="shared" si="43"/>
        <v>364766.58</v>
      </c>
      <c r="T136" s="41">
        <f t="shared" si="44"/>
        <v>0</v>
      </c>
    </row>
    <row r="137" spans="1:20" s="57" customFormat="1" ht="111.75" customHeight="1" x14ac:dyDescent="0.25">
      <c r="A137" s="37">
        <v>1218745</v>
      </c>
      <c r="B137" s="37">
        <v>8745</v>
      </c>
      <c r="C137" s="38" t="s">
        <v>357</v>
      </c>
      <c r="D137" s="39" t="s">
        <v>358</v>
      </c>
      <c r="E137" s="45">
        <f t="shared" si="63"/>
        <v>207997.9</v>
      </c>
      <c r="F137" s="45">
        <v>207997.9</v>
      </c>
      <c r="G137" s="45"/>
      <c r="H137" s="45"/>
      <c r="I137" s="45">
        <f t="shared" si="38"/>
        <v>0</v>
      </c>
      <c r="J137" s="45"/>
      <c r="K137" s="45"/>
      <c r="L137" s="45"/>
      <c r="M137" s="40">
        <f t="shared" si="39"/>
        <v>0</v>
      </c>
      <c r="N137" s="40">
        <f t="shared" si="40"/>
        <v>0</v>
      </c>
      <c r="O137" s="40"/>
      <c r="P137" s="40"/>
      <c r="Q137" s="41">
        <f t="shared" si="41"/>
        <v>-207997.9</v>
      </c>
      <c r="R137" s="41">
        <f t="shared" si="42"/>
        <v>-207997.9</v>
      </c>
      <c r="S137" s="41">
        <f t="shared" si="43"/>
        <v>0</v>
      </c>
      <c r="T137" s="41">
        <f t="shared" si="44"/>
        <v>0</v>
      </c>
    </row>
    <row r="138" spans="1:20" s="57" customFormat="1" ht="75" x14ac:dyDescent="0.25">
      <c r="A138" s="37">
        <v>1218771</v>
      </c>
      <c r="B138" s="24">
        <v>8771</v>
      </c>
      <c r="C138" s="24" t="s">
        <v>129</v>
      </c>
      <c r="D138" s="39" t="s">
        <v>290</v>
      </c>
      <c r="E138" s="45">
        <f t="shared" si="63"/>
        <v>0</v>
      </c>
      <c r="F138" s="45"/>
      <c r="G138" s="45"/>
      <c r="H138" s="45"/>
      <c r="I138" s="45">
        <f t="shared" si="38"/>
        <v>68200</v>
      </c>
      <c r="J138" s="45">
        <v>68200</v>
      </c>
      <c r="K138" s="45"/>
      <c r="L138" s="45"/>
      <c r="M138" s="40"/>
      <c r="N138" s="40"/>
      <c r="O138" s="40"/>
      <c r="P138" s="40"/>
      <c r="Q138" s="41">
        <f t="shared" ref="Q138:Q182" si="68">I138-E138</f>
        <v>68200</v>
      </c>
      <c r="R138" s="41">
        <f t="shared" ref="R138:R182" si="69">J138-F138</f>
        <v>68200</v>
      </c>
      <c r="S138" s="41">
        <f t="shared" ref="S138:S182" si="70">K138-G138</f>
        <v>0</v>
      </c>
      <c r="T138" s="41">
        <f t="shared" ref="T138:T182" si="71">L138-H138</f>
        <v>0</v>
      </c>
    </row>
    <row r="139" spans="1:20" s="57" customFormat="1" ht="53.25" customHeight="1" x14ac:dyDescent="0.25">
      <c r="A139" s="37">
        <v>1218775</v>
      </c>
      <c r="B139" s="37">
        <v>8775</v>
      </c>
      <c r="C139" s="38" t="s">
        <v>6</v>
      </c>
      <c r="D139" s="39" t="s">
        <v>359</v>
      </c>
      <c r="E139" s="45">
        <f t="shared" si="63"/>
        <v>1054169.8500000001</v>
      </c>
      <c r="F139" s="45">
        <v>722992.85</v>
      </c>
      <c r="G139" s="45">
        <v>331177</v>
      </c>
      <c r="H139" s="45">
        <f>G139</f>
        <v>331177</v>
      </c>
      <c r="I139" s="45">
        <f t="shared" si="38"/>
        <v>0</v>
      </c>
      <c r="J139" s="45"/>
      <c r="K139" s="45"/>
      <c r="L139" s="45"/>
      <c r="M139" s="40">
        <f t="shared" ref="M139:M182" si="72">I139/E139</f>
        <v>0</v>
      </c>
      <c r="N139" s="40">
        <f t="shared" ref="N139:N182" si="73">J139/F139</f>
        <v>0</v>
      </c>
      <c r="O139" s="40">
        <f t="shared" ref="O139:O182" si="74">K139/G139</f>
        <v>0</v>
      </c>
      <c r="P139" s="40">
        <f t="shared" ref="P139:P181" si="75">L139/H139</f>
        <v>0</v>
      </c>
      <c r="Q139" s="41">
        <f t="shared" si="68"/>
        <v>-1054169.8500000001</v>
      </c>
      <c r="R139" s="41">
        <f t="shared" si="69"/>
        <v>-722992.85</v>
      </c>
      <c r="S139" s="41">
        <f t="shared" si="70"/>
        <v>-331177</v>
      </c>
      <c r="T139" s="41">
        <f t="shared" si="71"/>
        <v>-331177</v>
      </c>
    </row>
    <row r="140" spans="1:20" s="55" customFormat="1" ht="75" x14ac:dyDescent="0.25">
      <c r="A140" s="47" t="s">
        <v>25</v>
      </c>
      <c r="B140" s="26"/>
      <c r="C140" s="26"/>
      <c r="D140" s="10" t="s">
        <v>218</v>
      </c>
      <c r="E140" s="43">
        <f t="shared" ref="E140:L140" si="76">E141</f>
        <v>12334542.9</v>
      </c>
      <c r="F140" s="43">
        <f t="shared" si="76"/>
        <v>4742476.34</v>
      </c>
      <c r="G140" s="43">
        <f t="shared" si="76"/>
        <v>7592066.5600000005</v>
      </c>
      <c r="H140" s="43">
        <f t="shared" si="76"/>
        <v>7592066.5600000005</v>
      </c>
      <c r="I140" s="43">
        <f t="shared" si="76"/>
        <v>147403216.86000001</v>
      </c>
      <c r="J140" s="43">
        <f t="shared" si="76"/>
        <v>4361567.16</v>
      </c>
      <c r="K140" s="43">
        <f t="shared" si="76"/>
        <v>143041649.70000002</v>
      </c>
      <c r="L140" s="43">
        <f t="shared" si="76"/>
        <v>142426305</v>
      </c>
      <c r="M140" s="12" t="s">
        <v>404</v>
      </c>
      <c r="N140" s="12">
        <f t="shared" si="73"/>
        <v>0.91968137473090694</v>
      </c>
      <c r="O140" s="12" t="s">
        <v>403</v>
      </c>
      <c r="P140" s="12" t="s">
        <v>403</v>
      </c>
      <c r="Q140" s="13">
        <f t="shared" si="68"/>
        <v>135068673.96000001</v>
      </c>
      <c r="R140" s="13">
        <f t="shared" si="69"/>
        <v>-380909.1799999997</v>
      </c>
      <c r="S140" s="13">
        <f t="shared" si="70"/>
        <v>135449583.14000002</v>
      </c>
      <c r="T140" s="13">
        <f t="shared" si="71"/>
        <v>134834238.44</v>
      </c>
    </row>
    <row r="141" spans="1:20" s="55" customFormat="1" ht="75" x14ac:dyDescent="0.25">
      <c r="A141" s="47" t="s">
        <v>26</v>
      </c>
      <c r="B141" s="26"/>
      <c r="C141" s="26"/>
      <c r="D141" s="10" t="s">
        <v>218</v>
      </c>
      <c r="E141" s="43">
        <f t="shared" ref="E141:E164" si="77">F141+G141</f>
        <v>12334542.9</v>
      </c>
      <c r="F141" s="43">
        <f>F143+F151+F157+F160+F152+F147+F144+F142+F148+F154+F156+F159+F145+F149+F150+F153+F161+F162+F158+F163+F164+F146+F155</f>
        <v>4742476.34</v>
      </c>
      <c r="G141" s="43">
        <f t="shared" ref="G141:H141" si="78">G143+G151+G157+G160+G152+G147+G144+G142+G148+G154+G156+G159+G145+G149+G150+G153+G161+G162+G158+G163+G164+G146+G155</f>
        <v>7592066.5600000005</v>
      </c>
      <c r="H141" s="43">
        <f t="shared" si="78"/>
        <v>7592066.5600000005</v>
      </c>
      <c r="I141" s="43">
        <f t="shared" ref="I141:I142" si="79">J141+K141</f>
        <v>147403216.86000001</v>
      </c>
      <c r="J141" s="43">
        <f>J143+J151+J157+J160+J152+J147+J144+J142+J148+J154+J156+J159+J145+J149+J150+J153+J161+J162+J158+J163+J164+J146+J155</f>
        <v>4361567.16</v>
      </c>
      <c r="K141" s="43">
        <f t="shared" ref="K141:L141" si="80">K143+K151+K157+K160+K152+K147+K144+K142+K148+K154+K156+K159+K145+K149+K150+K153+K161+K162+K158+K163+K164+K146+K155</f>
        <v>143041649.70000002</v>
      </c>
      <c r="L141" s="43">
        <f t="shared" si="80"/>
        <v>142426305</v>
      </c>
      <c r="M141" s="12" t="s">
        <v>404</v>
      </c>
      <c r="N141" s="12">
        <f t="shared" si="73"/>
        <v>0.91968137473090694</v>
      </c>
      <c r="O141" s="12" t="s">
        <v>403</v>
      </c>
      <c r="P141" s="12" t="s">
        <v>403</v>
      </c>
      <c r="Q141" s="13">
        <f t="shared" si="68"/>
        <v>135068673.96000001</v>
      </c>
      <c r="R141" s="13">
        <f t="shared" si="69"/>
        <v>-380909.1799999997</v>
      </c>
      <c r="S141" s="13">
        <f t="shared" si="70"/>
        <v>135449583.14000002</v>
      </c>
      <c r="T141" s="13">
        <f t="shared" si="71"/>
        <v>134834238.44</v>
      </c>
    </row>
    <row r="142" spans="1:20" s="55" customFormat="1" ht="130.5" customHeight="1" x14ac:dyDescent="0.25">
      <c r="A142" s="38">
        <v>1510150</v>
      </c>
      <c r="B142" s="24">
        <v>150</v>
      </c>
      <c r="C142" s="24" t="s">
        <v>3</v>
      </c>
      <c r="D142" s="39" t="s">
        <v>295</v>
      </c>
      <c r="E142" s="45">
        <f t="shared" si="77"/>
        <v>0</v>
      </c>
      <c r="F142" s="45"/>
      <c r="G142" s="45"/>
      <c r="H142" s="45"/>
      <c r="I142" s="45">
        <f t="shared" si="79"/>
        <v>538945.43999999994</v>
      </c>
      <c r="J142" s="45"/>
      <c r="K142" s="45">
        <v>538945.43999999994</v>
      </c>
      <c r="L142" s="45">
        <f>K142</f>
        <v>538945.43999999994</v>
      </c>
      <c r="M142" s="40"/>
      <c r="N142" s="40"/>
      <c r="O142" s="40"/>
      <c r="P142" s="40"/>
      <c r="Q142" s="41">
        <f t="shared" si="68"/>
        <v>538945.43999999994</v>
      </c>
      <c r="R142" s="41">
        <f t="shared" si="69"/>
        <v>0</v>
      </c>
      <c r="S142" s="41">
        <f t="shared" si="70"/>
        <v>538945.43999999994</v>
      </c>
      <c r="T142" s="41">
        <f t="shared" si="71"/>
        <v>538945.43999999994</v>
      </c>
    </row>
    <row r="143" spans="1:20" s="57" customFormat="1" ht="65.25" customHeight="1" x14ac:dyDescent="0.25">
      <c r="A143" s="42" t="s">
        <v>94</v>
      </c>
      <c r="B143" s="27" t="s">
        <v>58</v>
      </c>
      <c r="C143" s="27" t="s">
        <v>3</v>
      </c>
      <c r="D143" s="44" t="s">
        <v>247</v>
      </c>
      <c r="E143" s="45">
        <f t="shared" si="77"/>
        <v>2959860.54</v>
      </c>
      <c r="F143" s="45">
        <v>2959860.54</v>
      </c>
      <c r="G143" s="45"/>
      <c r="H143" s="45"/>
      <c r="I143" s="45">
        <f t="shared" si="38"/>
        <v>3604298.01</v>
      </c>
      <c r="J143" s="45">
        <v>3604298.01</v>
      </c>
      <c r="K143" s="45"/>
      <c r="L143" s="45"/>
      <c r="M143" s="40">
        <f t="shared" si="72"/>
        <v>1.2177256195996315</v>
      </c>
      <c r="N143" s="40">
        <f t="shared" si="73"/>
        <v>1.2177256195996315</v>
      </c>
      <c r="O143" s="40"/>
      <c r="P143" s="40"/>
      <c r="Q143" s="41">
        <f t="shared" si="68"/>
        <v>644437.46999999974</v>
      </c>
      <c r="R143" s="41">
        <f t="shared" si="69"/>
        <v>644437.46999999974</v>
      </c>
      <c r="S143" s="41">
        <f t="shared" si="70"/>
        <v>0</v>
      </c>
      <c r="T143" s="41">
        <f t="shared" si="71"/>
        <v>0</v>
      </c>
    </row>
    <row r="144" spans="1:20" s="57" customFormat="1" ht="37.5" x14ac:dyDescent="0.25">
      <c r="A144" s="37" t="s">
        <v>291</v>
      </c>
      <c r="B144" s="25" t="s">
        <v>8</v>
      </c>
      <c r="C144" s="25" t="s">
        <v>6</v>
      </c>
      <c r="D144" s="39" t="s">
        <v>109</v>
      </c>
      <c r="E144" s="45">
        <f t="shared" si="77"/>
        <v>134325</v>
      </c>
      <c r="F144" s="45">
        <v>134325</v>
      </c>
      <c r="G144" s="45"/>
      <c r="H144" s="45"/>
      <c r="I144" s="45">
        <f t="shared" si="38"/>
        <v>202380</v>
      </c>
      <c r="J144" s="45">
        <v>202380</v>
      </c>
      <c r="K144" s="45"/>
      <c r="L144" s="45"/>
      <c r="M144" s="40">
        <f t="shared" si="72"/>
        <v>1.5066443327749861</v>
      </c>
      <c r="N144" s="40">
        <f t="shared" si="73"/>
        <v>1.5066443327749861</v>
      </c>
      <c r="O144" s="40"/>
      <c r="P144" s="40"/>
      <c r="Q144" s="41">
        <f t="shared" si="68"/>
        <v>68055</v>
      </c>
      <c r="R144" s="41">
        <f t="shared" si="69"/>
        <v>68055</v>
      </c>
      <c r="S144" s="41">
        <f t="shared" si="70"/>
        <v>0</v>
      </c>
      <c r="T144" s="41">
        <f t="shared" si="71"/>
        <v>0</v>
      </c>
    </row>
    <row r="145" spans="1:20" s="57" customFormat="1" ht="37.5" x14ac:dyDescent="0.25">
      <c r="A145" s="38">
        <v>1512010</v>
      </c>
      <c r="B145" s="24">
        <v>2010</v>
      </c>
      <c r="C145" s="24" t="s">
        <v>29</v>
      </c>
      <c r="D145" s="39" t="s">
        <v>162</v>
      </c>
      <c r="E145" s="45">
        <f t="shared" si="77"/>
        <v>3205846.12</v>
      </c>
      <c r="F145" s="45"/>
      <c r="G145" s="45">
        <f>3205846.12</f>
        <v>3205846.12</v>
      </c>
      <c r="H145" s="45">
        <f>G145</f>
        <v>3205846.12</v>
      </c>
      <c r="I145" s="45">
        <f t="shared" si="38"/>
        <v>10870577.360000001</v>
      </c>
      <c r="J145" s="45"/>
      <c r="K145" s="45">
        <f>507964.15+10362613.21</f>
        <v>10870577.360000001</v>
      </c>
      <c r="L145" s="45">
        <f t="shared" ref="L145:L150" si="81">K145</f>
        <v>10870577.360000001</v>
      </c>
      <c r="M145" s="40">
        <f t="shared" si="72"/>
        <v>3.3908606193487545</v>
      </c>
      <c r="N145" s="40"/>
      <c r="O145" s="40">
        <f t="shared" si="74"/>
        <v>3.3908606193487545</v>
      </c>
      <c r="P145" s="40">
        <f t="shared" si="75"/>
        <v>3.3908606193487545</v>
      </c>
      <c r="Q145" s="41">
        <f t="shared" si="68"/>
        <v>7664731.2400000012</v>
      </c>
      <c r="R145" s="41">
        <f t="shared" si="69"/>
        <v>0</v>
      </c>
      <c r="S145" s="41">
        <f t="shared" si="70"/>
        <v>7664731.2400000012</v>
      </c>
      <c r="T145" s="41">
        <f t="shared" si="71"/>
        <v>7664731.2400000012</v>
      </c>
    </row>
    <row r="146" spans="1:20" s="57" customFormat="1" ht="75" x14ac:dyDescent="0.25">
      <c r="A146" s="38" t="s">
        <v>392</v>
      </c>
      <c r="B146" s="59" t="s">
        <v>393</v>
      </c>
      <c r="C146" s="59" t="s">
        <v>250</v>
      </c>
      <c r="D146" s="60" t="s">
        <v>251</v>
      </c>
      <c r="E146" s="45">
        <f t="shared" si="77"/>
        <v>0</v>
      </c>
      <c r="F146" s="45"/>
      <c r="G146" s="45"/>
      <c r="H146" s="45"/>
      <c r="I146" s="45">
        <f t="shared" si="38"/>
        <v>443042.63</v>
      </c>
      <c r="J146" s="45"/>
      <c r="K146" s="45">
        <v>443042.63</v>
      </c>
      <c r="L146" s="45">
        <f t="shared" si="81"/>
        <v>443042.63</v>
      </c>
      <c r="M146" s="40"/>
      <c r="N146" s="40"/>
      <c r="O146" s="40"/>
      <c r="P146" s="40"/>
      <c r="Q146" s="41">
        <f t="shared" si="68"/>
        <v>443042.63</v>
      </c>
      <c r="R146" s="41">
        <f t="shared" si="69"/>
        <v>0</v>
      </c>
      <c r="S146" s="41">
        <f t="shared" si="70"/>
        <v>443042.63</v>
      </c>
      <c r="T146" s="41">
        <f t="shared" si="71"/>
        <v>443042.63</v>
      </c>
    </row>
    <row r="147" spans="1:20" s="57" customFormat="1" ht="37.5" x14ac:dyDescent="0.25">
      <c r="A147" s="38" t="s">
        <v>268</v>
      </c>
      <c r="B147" s="24" t="s">
        <v>104</v>
      </c>
      <c r="C147" s="24" t="s">
        <v>39</v>
      </c>
      <c r="D147" s="39" t="s">
        <v>105</v>
      </c>
      <c r="E147" s="45">
        <f t="shared" si="77"/>
        <v>0</v>
      </c>
      <c r="F147" s="45"/>
      <c r="G147" s="45"/>
      <c r="H147" s="45"/>
      <c r="I147" s="45">
        <f t="shared" si="38"/>
        <v>7005255.71</v>
      </c>
      <c r="J147" s="45"/>
      <c r="K147" s="45">
        <v>7005255.71</v>
      </c>
      <c r="L147" s="45">
        <f t="shared" si="81"/>
        <v>7005255.71</v>
      </c>
      <c r="M147" s="40"/>
      <c r="N147" s="40"/>
      <c r="O147" s="40"/>
      <c r="P147" s="40"/>
      <c r="Q147" s="41">
        <f t="shared" si="68"/>
        <v>7005255.71</v>
      </c>
      <c r="R147" s="41">
        <f t="shared" si="69"/>
        <v>0</v>
      </c>
      <c r="S147" s="41">
        <f t="shared" si="70"/>
        <v>7005255.71</v>
      </c>
      <c r="T147" s="41">
        <f t="shared" si="71"/>
        <v>7005255.71</v>
      </c>
    </row>
    <row r="148" spans="1:20" s="57" customFormat="1" ht="56.25" x14ac:dyDescent="0.25">
      <c r="A148" s="38" t="s">
        <v>296</v>
      </c>
      <c r="B148" s="24" t="s">
        <v>126</v>
      </c>
      <c r="C148" s="24" t="s">
        <v>7</v>
      </c>
      <c r="D148" s="39" t="s">
        <v>128</v>
      </c>
      <c r="E148" s="45">
        <f t="shared" si="77"/>
        <v>0</v>
      </c>
      <c r="F148" s="45"/>
      <c r="G148" s="45"/>
      <c r="H148" s="45"/>
      <c r="I148" s="45">
        <f t="shared" si="38"/>
        <v>18213883.800000001</v>
      </c>
      <c r="J148" s="45"/>
      <c r="K148" s="45">
        <v>18213883.800000001</v>
      </c>
      <c r="L148" s="45">
        <f t="shared" si="81"/>
        <v>18213883.800000001</v>
      </c>
      <c r="M148" s="40"/>
      <c r="N148" s="40"/>
      <c r="O148" s="40"/>
      <c r="P148" s="40"/>
      <c r="Q148" s="41">
        <f t="shared" si="68"/>
        <v>18213883.800000001</v>
      </c>
      <c r="R148" s="41">
        <f t="shared" si="69"/>
        <v>0</v>
      </c>
      <c r="S148" s="41">
        <f t="shared" si="70"/>
        <v>18213883.800000001</v>
      </c>
      <c r="T148" s="41">
        <f t="shared" si="71"/>
        <v>18213883.800000001</v>
      </c>
    </row>
    <row r="149" spans="1:20" s="57" customFormat="1" ht="37.5" x14ac:dyDescent="0.25">
      <c r="A149" s="38" t="s">
        <v>341</v>
      </c>
      <c r="B149" s="24" t="s">
        <v>106</v>
      </c>
      <c r="C149" s="24" t="s">
        <v>7</v>
      </c>
      <c r="D149" s="39" t="s">
        <v>108</v>
      </c>
      <c r="E149" s="45">
        <f t="shared" si="77"/>
        <v>0</v>
      </c>
      <c r="F149" s="45"/>
      <c r="G149" s="45"/>
      <c r="H149" s="45"/>
      <c r="I149" s="45">
        <f t="shared" si="38"/>
        <v>24067415</v>
      </c>
      <c r="J149" s="45"/>
      <c r="K149" s="45">
        <f>24041681.4+25733.6</f>
        <v>24067415</v>
      </c>
      <c r="L149" s="45">
        <f t="shared" si="81"/>
        <v>24067415</v>
      </c>
      <c r="M149" s="40"/>
      <c r="N149" s="40"/>
      <c r="O149" s="40"/>
      <c r="P149" s="40"/>
      <c r="Q149" s="41">
        <f t="shared" si="68"/>
        <v>24067415</v>
      </c>
      <c r="R149" s="41">
        <f t="shared" si="69"/>
        <v>0</v>
      </c>
      <c r="S149" s="41">
        <f t="shared" si="70"/>
        <v>24067415</v>
      </c>
      <c r="T149" s="41">
        <f t="shared" si="71"/>
        <v>24067415</v>
      </c>
    </row>
    <row r="150" spans="1:20" s="57" customFormat="1" ht="37.5" x14ac:dyDescent="0.25">
      <c r="A150" s="38" t="s">
        <v>342</v>
      </c>
      <c r="B150" s="24" t="s">
        <v>331</v>
      </c>
      <c r="C150" s="24" t="s">
        <v>7</v>
      </c>
      <c r="D150" s="39" t="s">
        <v>332</v>
      </c>
      <c r="E150" s="45">
        <f t="shared" si="77"/>
        <v>0</v>
      </c>
      <c r="F150" s="45"/>
      <c r="G150" s="45"/>
      <c r="H150" s="45"/>
      <c r="I150" s="45">
        <f t="shared" si="38"/>
        <v>4350226.4400000004</v>
      </c>
      <c r="J150" s="45"/>
      <c r="K150" s="45">
        <v>4350226.4400000004</v>
      </c>
      <c r="L150" s="45">
        <f t="shared" si="81"/>
        <v>4350226.4400000004</v>
      </c>
      <c r="M150" s="40"/>
      <c r="N150" s="40"/>
      <c r="O150" s="40"/>
      <c r="P150" s="40"/>
      <c r="Q150" s="41">
        <f t="shared" si="68"/>
        <v>4350226.4400000004</v>
      </c>
      <c r="R150" s="41">
        <f t="shared" si="69"/>
        <v>0</v>
      </c>
      <c r="S150" s="41">
        <f t="shared" si="70"/>
        <v>4350226.4400000004</v>
      </c>
      <c r="T150" s="41">
        <f t="shared" si="71"/>
        <v>4350226.4400000004</v>
      </c>
    </row>
    <row r="151" spans="1:20" s="57" customFormat="1" ht="37.5" x14ac:dyDescent="0.25">
      <c r="A151" s="42" t="s">
        <v>241</v>
      </c>
      <c r="B151" s="27" t="s">
        <v>40</v>
      </c>
      <c r="C151" s="27" t="s">
        <v>7</v>
      </c>
      <c r="D151" s="44" t="s">
        <v>55</v>
      </c>
      <c r="E151" s="45">
        <f t="shared" si="77"/>
        <v>0</v>
      </c>
      <c r="F151" s="45"/>
      <c r="G151" s="45"/>
      <c r="H151" s="45"/>
      <c r="I151" s="45">
        <f t="shared" si="38"/>
        <v>8532105.0899999999</v>
      </c>
      <c r="J151" s="45"/>
      <c r="K151" s="45">
        <f>8532105.09</f>
        <v>8532105.0899999999</v>
      </c>
      <c r="L151" s="45">
        <f t="shared" ref="L151:L161" si="82">K151</f>
        <v>8532105.0899999999</v>
      </c>
      <c r="M151" s="40"/>
      <c r="N151" s="40"/>
      <c r="O151" s="40"/>
      <c r="P151" s="40"/>
      <c r="Q151" s="41">
        <f t="shared" si="68"/>
        <v>8532105.0899999999</v>
      </c>
      <c r="R151" s="41">
        <f t="shared" si="69"/>
        <v>0</v>
      </c>
      <c r="S151" s="41">
        <f t="shared" si="70"/>
        <v>8532105.0899999999</v>
      </c>
      <c r="T151" s="41">
        <f t="shared" si="71"/>
        <v>8532105.0899999999</v>
      </c>
    </row>
    <row r="152" spans="1:20" s="57" customFormat="1" ht="93.75" x14ac:dyDescent="0.25">
      <c r="A152" s="38" t="s">
        <v>266</v>
      </c>
      <c r="B152" s="24">
        <v>6050</v>
      </c>
      <c r="C152" s="24" t="s">
        <v>7</v>
      </c>
      <c r="D152" s="39" t="s">
        <v>267</v>
      </c>
      <c r="E152" s="45">
        <f t="shared" si="77"/>
        <v>0</v>
      </c>
      <c r="F152" s="45"/>
      <c r="G152" s="45"/>
      <c r="H152" s="45"/>
      <c r="I152" s="45">
        <f t="shared" si="38"/>
        <v>554889.15</v>
      </c>
      <c r="J152" s="45">
        <v>554889.15</v>
      </c>
      <c r="K152" s="45"/>
      <c r="L152" s="45">
        <f t="shared" si="82"/>
        <v>0</v>
      </c>
      <c r="M152" s="40"/>
      <c r="N152" s="40"/>
      <c r="O152" s="40"/>
      <c r="P152" s="40"/>
      <c r="Q152" s="41">
        <f t="shared" si="68"/>
        <v>554889.15</v>
      </c>
      <c r="R152" s="41">
        <f t="shared" si="69"/>
        <v>554889.15</v>
      </c>
      <c r="S152" s="41">
        <f t="shared" si="70"/>
        <v>0</v>
      </c>
      <c r="T152" s="41">
        <f t="shared" si="71"/>
        <v>0</v>
      </c>
    </row>
    <row r="153" spans="1:20" s="57" customFormat="1" ht="57" customHeight="1" x14ac:dyDescent="0.25">
      <c r="A153" s="38" t="s">
        <v>343</v>
      </c>
      <c r="B153" s="24" t="s">
        <v>334</v>
      </c>
      <c r="C153" s="24" t="s">
        <v>293</v>
      </c>
      <c r="D153" s="39" t="s">
        <v>335</v>
      </c>
      <c r="E153" s="45"/>
      <c r="F153" s="45"/>
      <c r="G153" s="45"/>
      <c r="H153" s="45"/>
      <c r="I153" s="45">
        <f t="shared" si="38"/>
        <v>20151864.039999999</v>
      </c>
      <c r="J153" s="45"/>
      <c r="K153" s="45">
        <f>1430743.55+16871108.49+1850012</f>
        <v>20151864.039999999</v>
      </c>
      <c r="L153" s="45">
        <f t="shared" si="82"/>
        <v>20151864.039999999</v>
      </c>
      <c r="M153" s="40"/>
      <c r="N153" s="40"/>
      <c r="O153" s="40"/>
      <c r="P153" s="40"/>
      <c r="Q153" s="41">
        <f t="shared" si="68"/>
        <v>20151864.039999999</v>
      </c>
      <c r="R153" s="41">
        <f t="shared" si="69"/>
        <v>0</v>
      </c>
      <c r="S153" s="41">
        <f t="shared" si="70"/>
        <v>20151864.039999999</v>
      </c>
      <c r="T153" s="41">
        <f t="shared" si="71"/>
        <v>20151864.039999999</v>
      </c>
    </row>
    <row r="154" spans="1:20" s="57" customFormat="1" ht="37.5" x14ac:dyDescent="0.25">
      <c r="A154" s="38" t="s">
        <v>297</v>
      </c>
      <c r="B154" s="24" t="s">
        <v>298</v>
      </c>
      <c r="C154" s="24" t="s">
        <v>293</v>
      </c>
      <c r="D154" s="39" t="s">
        <v>299</v>
      </c>
      <c r="E154" s="45">
        <f t="shared" si="77"/>
        <v>0</v>
      </c>
      <c r="F154" s="45"/>
      <c r="G154" s="45"/>
      <c r="H154" s="45"/>
      <c r="I154" s="45">
        <f t="shared" si="38"/>
        <v>632871.19999999995</v>
      </c>
      <c r="J154" s="45"/>
      <c r="K154" s="45">
        <f>632871.2</f>
        <v>632871.19999999995</v>
      </c>
      <c r="L154" s="45">
        <f t="shared" si="82"/>
        <v>632871.19999999995</v>
      </c>
      <c r="M154" s="40"/>
      <c r="N154" s="40"/>
      <c r="O154" s="40"/>
      <c r="P154" s="40"/>
      <c r="Q154" s="41">
        <f t="shared" si="68"/>
        <v>632871.19999999995</v>
      </c>
      <c r="R154" s="41">
        <f t="shared" si="69"/>
        <v>0</v>
      </c>
      <c r="S154" s="41">
        <f t="shared" si="70"/>
        <v>632871.19999999995</v>
      </c>
      <c r="T154" s="41">
        <f t="shared" si="71"/>
        <v>632871.19999999995</v>
      </c>
    </row>
    <row r="155" spans="1:20" s="57" customFormat="1" ht="55.5" customHeight="1" x14ac:dyDescent="0.25">
      <c r="A155" s="38" t="s">
        <v>394</v>
      </c>
      <c r="B155" s="59" t="s">
        <v>395</v>
      </c>
      <c r="C155" s="59" t="s">
        <v>20</v>
      </c>
      <c r="D155" s="60" t="s">
        <v>396</v>
      </c>
      <c r="E155" s="45">
        <f t="shared" si="77"/>
        <v>0</v>
      </c>
      <c r="F155" s="45"/>
      <c r="G155" s="45"/>
      <c r="H155" s="45"/>
      <c r="I155" s="45">
        <f t="shared" si="38"/>
        <v>7411280.8700000001</v>
      </c>
      <c r="J155" s="45"/>
      <c r="K155" s="45">
        <v>7411280.8700000001</v>
      </c>
      <c r="L155" s="45">
        <f t="shared" si="82"/>
        <v>7411280.8700000001</v>
      </c>
      <c r="M155" s="40"/>
      <c r="N155" s="40"/>
      <c r="O155" s="40"/>
      <c r="P155" s="40"/>
      <c r="Q155" s="41">
        <f t="shared" si="68"/>
        <v>7411280.8700000001</v>
      </c>
      <c r="R155" s="41">
        <f t="shared" si="69"/>
        <v>0</v>
      </c>
      <c r="S155" s="41">
        <f t="shared" si="70"/>
        <v>7411280.8700000001</v>
      </c>
      <c r="T155" s="41">
        <f t="shared" si="71"/>
        <v>7411280.8700000001</v>
      </c>
    </row>
    <row r="156" spans="1:20" s="57" customFormat="1" ht="56.25" x14ac:dyDescent="0.25">
      <c r="A156" s="38" t="s">
        <v>300</v>
      </c>
      <c r="B156" s="24" t="s">
        <v>301</v>
      </c>
      <c r="C156" s="24" t="s">
        <v>20</v>
      </c>
      <c r="D156" s="39" t="s">
        <v>302</v>
      </c>
      <c r="E156" s="45">
        <f t="shared" si="77"/>
        <v>0</v>
      </c>
      <c r="F156" s="45"/>
      <c r="G156" s="45"/>
      <c r="H156" s="45"/>
      <c r="I156" s="45">
        <f t="shared" si="38"/>
        <v>1734539.73</v>
      </c>
      <c r="J156" s="45"/>
      <c r="K156" s="45">
        <f>245600+1203455.44+285484.29</f>
        <v>1734539.73</v>
      </c>
      <c r="L156" s="45">
        <f t="shared" si="82"/>
        <v>1734539.73</v>
      </c>
      <c r="M156" s="40"/>
      <c r="N156" s="40"/>
      <c r="O156" s="40"/>
      <c r="P156" s="40"/>
      <c r="Q156" s="41">
        <f t="shared" si="68"/>
        <v>1734539.73</v>
      </c>
      <c r="R156" s="41">
        <f t="shared" si="69"/>
        <v>0</v>
      </c>
      <c r="S156" s="41">
        <f t="shared" si="70"/>
        <v>1734539.73</v>
      </c>
      <c r="T156" s="41">
        <f t="shared" si="71"/>
        <v>1734539.73</v>
      </c>
    </row>
    <row r="157" spans="1:20" s="57" customFormat="1" ht="37.5" x14ac:dyDescent="0.25">
      <c r="A157" s="42" t="s">
        <v>248</v>
      </c>
      <c r="B157" s="27" t="s">
        <v>245</v>
      </c>
      <c r="C157" s="27" t="s">
        <v>20</v>
      </c>
      <c r="D157" s="44" t="s">
        <v>246</v>
      </c>
      <c r="E157" s="45">
        <f t="shared" si="77"/>
        <v>0</v>
      </c>
      <c r="F157" s="45"/>
      <c r="G157" s="45"/>
      <c r="H157" s="45"/>
      <c r="I157" s="45">
        <f t="shared" si="38"/>
        <v>385498.86</v>
      </c>
      <c r="J157" s="45"/>
      <c r="K157" s="45">
        <v>385498.86</v>
      </c>
      <c r="L157" s="45">
        <f t="shared" si="82"/>
        <v>385498.86</v>
      </c>
      <c r="M157" s="40"/>
      <c r="N157" s="40"/>
      <c r="O157" s="40"/>
      <c r="P157" s="40"/>
      <c r="Q157" s="41">
        <f t="shared" si="68"/>
        <v>385498.86</v>
      </c>
      <c r="R157" s="41">
        <f t="shared" si="69"/>
        <v>0</v>
      </c>
      <c r="S157" s="41">
        <f t="shared" si="70"/>
        <v>385498.86</v>
      </c>
      <c r="T157" s="41">
        <f t="shared" si="71"/>
        <v>385498.86</v>
      </c>
    </row>
    <row r="158" spans="1:20" s="57" customFormat="1" ht="56.25" x14ac:dyDescent="0.25">
      <c r="A158" s="42" t="s">
        <v>360</v>
      </c>
      <c r="B158" s="42" t="s">
        <v>102</v>
      </c>
      <c r="C158" s="42" t="s">
        <v>41</v>
      </c>
      <c r="D158" s="36" t="s">
        <v>103</v>
      </c>
      <c r="E158" s="45">
        <f t="shared" si="77"/>
        <v>158791.34</v>
      </c>
      <c r="F158" s="45"/>
      <c r="G158" s="45">
        <v>158791.34</v>
      </c>
      <c r="H158" s="45">
        <f>G158</f>
        <v>158791.34</v>
      </c>
      <c r="I158" s="45"/>
      <c r="J158" s="45"/>
      <c r="K158" s="45"/>
      <c r="L158" s="45">
        <f t="shared" si="82"/>
        <v>0</v>
      </c>
      <c r="M158" s="40">
        <f t="shared" si="72"/>
        <v>0</v>
      </c>
      <c r="N158" s="40"/>
      <c r="O158" s="40">
        <f t="shared" si="74"/>
        <v>0</v>
      </c>
      <c r="P158" s="40">
        <f t="shared" si="75"/>
        <v>0</v>
      </c>
      <c r="Q158" s="41">
        <f t="shared" si="68"/>
        <v>-158791.34</v>
      </c>
      <c r="R158" s="41">
        <f t="shared" si="69"/>
        <v>0</v>
      </c>
      <c r="S158" s="41">
        <f t="shared" si="70"/>
        <v>-158791.34</v>
      </c>
      <c r="T158" s="41">
        <f t="shared" si="71"/>
        <v>-158791.34</v>
      </c>
    </row>
    <row r="159" spans="1:20" s="57" customFormat="1" x14ac:dyDescent="0.25">
      <c r="A159" s="38" t="s">
        <v>303</v>
      </c>
      <c r="B159" s="24" t="s">
        <v>304</v>
      </c>
      <c r="C159" s="24" t="s">
        <v>305</v>
      </c>
      <c r="D159" s="39" t="s">
        <v>306</v>
      </c>
      <c r="E159" s="45">
        <f t="shared" si="77"/>
        <v>0</v>
      </c>
      <c r="F159" s="45"/>
      <c r="G159" s="45"/>
      <c r="H159" s="45"/>
      <c r="I159" s="45">
        <f t="shared" si="38"/>
        <v>9834244.5</v>
      </c>
      <c r="J159" s="45"/>
      <c r="K159" s="45">
        <v>9834244.5</v>
      </c>
      <c r="L159" s="45">
        <f t="shared" si="82"/>
        <v>9834244.5</v>
      </c>
      <c r="M159" s="40"/>
      <c r="N159" s="40"/>
      <c r="O159" s="40"/>
      <c r="P159" s="40"/>
      <c r="Q159" s="41">
        <f t="shared" si="68"/>
        <v>9834244.5</v>
      </c>
      <c r="R159" s="41">
        <f t="shared" si="69"/>
        <v>0</v>
      </c>
      <c r="S159" s="41">
        <f t="shared" si="70"/>
        <v>9834244.5</v>
      </c>
      <c r="T159" s="41">
        <f t="shared" si="71"/>
        <v>9834244.5</v>
      </c>
    </row>
    <row r="160" spans="1:20" s="57" customFormat="1" ht="56.25" x14ac:dyDescent="0.25">
      <c r="A160" s="38" t="s">
        <v>259</v>
      </c>
      <c r="B160" s="25">
        <v>8110</v>
      </c>
      <c r="C160" s="24" t="s">
        <v>5</v>
      </c>
      <c r="D160" s="39" t="s">
        <v>137</v>
      </c>
      <c r="E160" s="45">
        <f t="shared" si="77"/>
        <v>4240191.54</v>
      </c>
      <c r="F160" s="45">
        <v>95562.44</v>
      </c>
      <c r="G160" s="45">
        <v>4144629.1</v>
      </c>
      <c r="H160" s="45">
        <f>G160</f>
        <v>4144629.1</v>
      </c>
      <c r="I160" s="45">
        <f t="shared" si="38"/>
        <v>25245755.349999998</v>
      </c>
      <c r="J160" s="45"/>
      <c r="K160" s="45">
        <f>22826.4+25222928.95</f>
        <v>25245755.349999998</v>
      </c>
      <c r="L160" s="45">
        <f t="shared" si="82"/>
        <v>25245755.349999998</v>
      </c>
      <c r="M160" s="40">
        <f t="shared" si="72"/>
        <v>5.9539186170820946</v>
      </c>
      <c r="N160" s="40">
        <f t="shared" si="73"/>
        <v>0</v>
      </c>
      <c r="O160" s="40">
        <f t="shared" si="74"/>
        <v>6.0911977262332107</v>
      </c>
      <c r="P160" s="40">
        <f t="shared" si="75"/>
        <v>6.0911977262332107</v>
      </c>
      <c r="Q160" s="41">
        <f t="shared" si="68"/>
        <v>21005563.809999999</v>
      </c>
      <c r="R160" s="41">
        <f t="shared" si="69"/>
        <v>-95562.44</v>
      </c>
      <c r="S160" s="41">
        <f t="shared" si="70"/>
        <v>21101126.249999996</v>
      </c>
      <c r="T160" s="41">
        <f t="shared" si="71"/>
        <v>21101126.249999996</v>
      </c>
    </row>
    <row r="161" spans="1:20" s="57" customFormat="1" ht="37.5" x14ac:dyDescent="0.25">
      <c r="A161" s="38" t="s">
        <v>344</v>
      </c>
      <c r="B161" s="24" t="s">
        <v>345</v>
      </c>
      <c r="C161" s="24" t="s">
        <v>346</v>
      </c>
      <c r="D161" s="39" t="s">
        <v>347</v>
      </c>
      <c r="E161" s="45">
        <f t="shared" si="77"/>
        <v>0</v>
      </c>
      <c r="F161" s="45"/>
      <c r="G161" s="45"/>
      <c r="H161" s="45"/>
      <c r="I161" s="45">
        <f t="shared" si="38"/>
        <v>42720</v>
      </c>
      <c r="J161" s="45"/>
      <c r="K161" s="45">
        <v>42720</v>
      </c>
      <c r="L161" s="45">
        <f t="shared" si="82"/>
        <v>42720</v>
      </c>
      <c r="M161" s="40"/>
      <c r="N161" s="40"/>
      <c r="O161" s="40"/>
      <c r="P161" s="40"/>
      <c r="Q161" s="41">
        <f t="shared" si="68"/>
        <v>42720</v>
      </c>
      <c r="R161" s="41">
        <f t="shared" si="69"/>
        <v>0</v>
      </c>
      <c r="S161" s="41">
        <f t="shared" si="70"/>
        <v>42720</v>
      </c>
      <c r="T161" s="41">
        <f t="shared" si="71"/>
        <v>42720</v>
      </c>
    </row>
    <row r="162" spans="1:20" s="57" customFormat="1" ht="37.5" x14ac:dyDescent="0.25">
      <c r="A162" s="38" t="s">
        <v>348</v>
      </c>
      <c r="B162" s="24" t="s">
        <v>338</v>
      </c>
      <c r="C162" s="24" t="s">
        <v>339</v>
      </c>
      <c r="D162" s="39" t="s">
        <v>340</v>
      </c>
      <c r="E162" s="45">
        <f t="shared" si="77"/>
        <v>0</v>
      </c>
      <c r="F162" s="45"/>
      <c r="G162" s="45"/>
      <c r="H162" s="45"/>
      <c r="I162" s="45">
        <f t="shared" si="38"/>
        <v>615344.69999999995</v>
      </c>
      <c r="J162" s="45"/>
      <c r="K162" s="45">
        <v>615344.69999999995</v>
      </c>
      <c r="L162" s="45"/>
      <c r="M162" s="40"/>
      <c r="N162" s="40"/>
      <c r="O162" s="40"/>
      <c r="P162" s="40"/>
      <c r="Q162" s="41">
        <f t="shared" si="68"/>
        <v>615344.69999999995</v>
      </c>
      <c r="R162" s="41">
        <f t="shared" si="69"/>
        <v>0</v>
      </c>
      <c r="S162" s="41">
        <f t="shared" si="70"/>
        <v>615344.69999999995</v>
      </c>
      <c r="T162" s="41">
        <f t="shared" si="71"/>
        <v>0</v>
      </c>
    </row>
    <row r="163" spans="1:20" s="57" customFormat="1" ht="56.25" x14ac:dyDescent="0.25">
      <c r="A163" s="42" t="s">
        <v>361</v>
      </c>
      <c r="B163" s="42" t="s">
        <v>362</v>
      </c>
      <c r="C163" s="42" t="s">
        <v>7</v>
      </c>
      <c r="D163" s="44" t="s">
        <v>363</v>
      </c>
      <c r="E163" s="45">
        <f t="shared" si="77"/>
        <v>1552728.36</v>
      </c>
      <c r="F163" s="45">
        <v>1552728.36</v>
      </c>
      <c r="G163" s="45"/>
      <c r="H163" s="45"/>
      <c r="I163" s="45">
        <f t="shared" si="38"/>
        <v>2966078.98</v>
      </c>
      <c r="J163" s="45"/>
      <c r="K163" s="45">
        <v>2966078.98</v>
      </c>
      <c r="L163" s="45">
        <f>K163</f>
        <v>2966078.98</v>
      </c>
      <c r="M163" s="40">
        <f t="shared" si="72"/>
        <v>1.9102368813563757</v>
      </c>
      <c r="N163" s="40">
        <f t="shared" si="73"/>
        <v>0</v>
      </c>
      <c r="O163" s="40"/>
      <c r="P163" s="40"/>
      <c r="Q163" s="41">
        <f t="shared" si="68"/>
        <v>1413350.6199999999</v>
      </c>
      <c r="R163" s="41">
        <f t="shared" si="69"/>
        <v>-1552728.36</v>
      </c>
      <c r="S163" s="41">
        <f t="shared" si="70"/>
        <v>2966078.98</v>
      </c>
      <c r="T163" s="41">
        <f t="shared" si="71"/>
        <v>2966078.98</v>
      </c>
    </row>
    <row r="164" spans="1:20" s="57" customFormat="1" ht="37.5" x14ac:dyDescent="0.25">
      <c r="A164" s="37">
        <v>1218775</v>
      </c>
      <c r="B164" s="37">
        <v>8775</v>
      </c>
      <c r="C164" s="38" t="s">
        <v>6</v>
      </c>
      <c r="D164" s="39" t="s">
        <v>359</v>
      </c>
      <c r="E164" s="45">
        <f t="shared" si="77"/>
        <v>82800</v>
      </c>
      <c r="F164" s="45"/>
      <c r="G164" s="45">
        <v>82800</v>
      </c>
      <c r="H164" s="45">
        <f>G164</f>
        <v>82800</v>
      </c>
      <c r="I164" s="45"/>
      <c r="J164" s="45"/>
      <c r="K164" s="45"/>
      <c r="L164" s="45"/>
      <c r="M164" s="40">
        <f t="shared" si="72"/>
        <v>0</v>
      </c>
      <c r="N164" s="40"/>
      <c r="O164" s="40">
        <f t="shared" si="74"/>
        <v>0</v>
      </c>
      <c r="P164" s="40">
        <f t="shared" si="75"/>
        <v>0</v>
      </c>
      <c r="Q164" s="41">
        <f t="shared" si="68"/>
        <v>-82800</v>
      </c>
      <c r="R164" s="41">
        <f t="shared" si="69"/>
        <v>0</v>
      </c>
      <c r="S164" s="41">
        <f t="shared" si="70"/>
        <v>-82800</v>
      </c>
      <c r="T164" s="41">
        <f t="shared" si="71"/>
        <v>-82800</v>
      </c>
    </row>
    <row r="165" spans="1:20" s="55" customFormat="1" ht="75" x14ac:dyDescent="0.25">
      <c r="A165" s="47" t="s">
        <v>95</v>
      </c>
      <c r="B165" s="26"/>
      <c r="C165" s="26"/>
      <c r="D165" s="10" t="s">
        <v>219</v>
      </c>
      <c r="E165" s="43">
        <f t="shared" ref="E165:L165" si="83">E166</f>
        <v>15503134.719999999</v>
      </c>
      <c r="F165" s="43">
        <f t="shared" si="83"/>
        <v>15503134.719999999</v>
      </c>
      <c r="G165" s="43">
        <f t="shared" si="83"/>
        <v>0</v>
      </c>
      <c r="H165" s="43">
        <f t="shared" si="83"/>
        <v>0</v>
      </c>
      <c r="I165" s="43">
        <f t="shared" si="83"/>
        <v>21374533.960000005</v>
      </c>
      <c r="J165" s="43">
        <f t="shared" si="83"/>
        <v>19485126.730000004</v>
      </c>
      <c r="K165" s="43">
        <f t="shared" si="83"/>
        <v>1889407.23</v>
      </c>
      <c r="L165" s="43">
        <f t="shared" si="83"/>
        <v>1889407.23</v>
      </c>
      <c r="M165" s="12">
        <f t="shared" si="72"/>
        <v>1.3787233579558293</v>
      </c>
      <c r="N165" s="12">
        <f t="shared" si="73"/>
        <v>1.2568507648239031</v>
      </c>
      <c r="O165" s="12"/>
      <c r="P165" s="12"/>
      <c r="Q165" s="13">
        <f t="shared" si="68"/>
        <v>5871399.2400000058</v>
      </c>
      <c r="R165" s="13">
        <f t="shared" si="69"/>
        <v>3981992.0100000054</v>
      </c>
      <c r="S165" s="13">
        <f t="shared" si="70"/>
        <v>1889407.23</v>
      </c>
      <c r="T165" s="13">
        <f t="shared" si="71"/>
        <v>1889407.23</v>
      </c>
    </row>
    <row r="166" spans="1:20" s="55" customFormat="1" ht="75" x14ac:dyDescent="0.25">
      <c r="A166" s="47" t="s">
        <v>96</v>
      </c>
      <c r="B166" s="26"/>
      <c r="C166" s="26"/>
      <c r="D166" s="10" t="s">
        <v>219</v>
      </c>
      <c r="E166" s="43">
        <f t="shared" ref="E166:E174" si="84">F166+G166</f>
        <v>15503134.719999999</v>
      </c>
      <c r="F166" s="43">
        <f>F167+F172+F169+F174+F168+F171+F173+F170</f>
        <v>15503134.719999999</v>
      </c>
      <c r="G166" s="43">
        <f t="shared" ref="G166:H166" si="85">G167+G172+G169+G174+G168+G171+G173+G170</f>
        <v>0</v>
      </c>
      <c r="H166" s="43">
        <f t="shared" si="85"/>
        <v>0</v>
      </c>
      <c r="I166" s="43">
        <f t="shared" ref="I166" si="86">J166+K166</f>
        <v>21374533.960000005</v>
      </c>
      <c r="J166" s="43">
        <f>J167+J172+J169+J174+J168+J171+J173+J170</f>
        <v>19485126.730000004</v>
      </c>
      <c r="K166" s="43">
        <f t="shared" ref="K166:L166" si="87">K167+K172+K169+K174+K168+K171+K173+K170</f>
        <v>1889407.23</v>
      </c>
      <c r="L166" s="43">
        <f t="shared" si="87"/>
        <v>1889407.23</v>
      </c>
      <c r="M166" s="12">
        <f t="shared" si="72"/>
        <v>1.3787233579558293</v>
      </c>
      <c r="N166" s="12">
        <f t="shared" si="73"/>
        <v>1.2568507648239031</v>
      </c>
      <c r="O166" s="12"/>
      <c r="P166" s="12"/>
      <c r="Q166" s="13">
        <f t="shared" si="68"/>
        <v>5871399.2400000058</v>
      </c>
      <c r="R166" s="13">
        <f t="shared" si="69"/>
        <v>3981992.0100000054</v>
      </c>
      <c r="S166" s="13">
        <f t="shared" si="70"/>
        <v>1889407.23</v>
      </c>
      <c r="T166" s="13">
        <f t="shared" si="71"/>
        <v>1889407.23</v>
      </c>
    </row>
    <row r="167" spans="1:20" s="57" customFormat="1" ht="56.25" x14ac:dyDescent="0.25">
      <c r="A167" s="42" t="s">
        <v>97</v>
      </c>
      <c r="B167" s="27" t="s">
        <v>58</v>
      </c>
      <c r="C167" s="27" t="s">
        <v>3</v>
      </c>
      <c r="D167" s="44" t="s">
        <v>247</v>
      </c>
      <c r="E167" s="45">
        <f t="shared" si="84"/>
        <v>2645774.59</v>
      </c>
      <c r="F167" s="45">
        <v>2645774.59</v>
      </c>
      <c r="G167" s="45"/>
      <c r="H167" s="45"/>
      <c r="I167" s="45">
        <f t="shared" ref="I167:I182" si="88">J167+K167</f>
        <v>2968218.95</v>
      </c>
      <c r="J167" s="45">
        <v>2938218.95</v>
      </c>
      <c r="K167" s="45">
        <v>30000</v>
      </c>
      <c r="L167" s="45">
        <f>K167</f>
        <v>30000</v>
      </c>
      <c r="M167" s="40">
        <f t="shared" si="72"/>
        <v>1.1218714403028567</v>
      </c>
      <c r="N167" s="40">
        <f t="shared" si="73"/>
        <v>1.1105326058785683</v>
      </c>
      <c r="O167" s="40"/>
      <c r="P167" s="40"/>
      <c r="Q167" s="41">
        <f t="shared" si="68"/>
        <v>322444.36000000034</v>
      </c>
      <c r="R167" s="41">
        <f t="shared" si="69"/>
        <v>292444.36000000034</v>
      </c>
      <c r="S167" s="41">
        <f t="shared" si="70"/>
        <v>30000</v>
      </c>
      <c r="T167" s="41">
        <f t="shared" si="71"/>
        <v>30000</v>
      </c>
    </row>
    <row r="168" spans="1:20" s="57" customFormat="1" ht="37.5" x14ac:dyDescent="0.25">
      <c r="A168" s="37" t="s">
        <v>292</v>
      </c>
      <c r="B168" s="25" t="s">
        <v>8</v>
      </c>
      <c r="C168" s="25" t="s">
        <v>6</v>
      </c>
      <c r="D168" s="39" t="s">
        <v>109</v>
      </c>
      <c r="E168" s="45">
        <f t="shared" si="84"/>
        <v>41347.1</v>
      </c>
      <c r="F168" s="45">
        <v>41347.1</v>
      </c>
      <c r="G168" s="45"/>
      <c r="H168" s="45"/>
      <c r="I168" s="45">
        <f t="shared" si="88"/>
        <v>30537.279999999999</v>
      </c>
      <c r="J168" s="45">
        <v>30537.279999999999</v>
      </c>
      <c r="K168" s="45"/>
      <c r="L168" s="45">
        <f t="shared" ref="L168:L172" si="89">K168</f>
        <v>0</v>
      </c>
      <c r="M168" s="40">
        <f t="shared" si="72"/>
        <v>0.73855917343658928</v>
      </c>
      <c r="N168" s="40">
        <f t="shared" si="73"/>
        <v>0.73855917343658928</v>
      </c>
      <c r="O168" s="40"/>
      <c r="P168" s="40"/>
      <c r="Q168" s="41">
        <f t="shared" si="68"/>
        <v>-10809.82</v>
      </c>
      <c r="R168" s="41">
        <f t="shared" si="69"/>
        <v>-10809.82</v>
      </c>
      <c r="S168" s="41">
        <f t="shared" si="70"/>
        <v>0</v>
      </c>
      <c r="T168" s="41">
        <f t="shared" si="71"/>
        <v>0</v>
      </c>
    </row>
    <row r="169" spans="1:20" s="57" customFormat="1" ht="56.25" x14ac:dyDescent="0.25">
      <c r="A169" s="37" t="s">
        <v>260</v>
      </c>
      <c r="B169" s="25" t="s">
        <v>157</v>
      </c>
      <c r="C169" s="25" t="s">
        <v>7</v>
      </c>
      <c r="D169" s="39" t="s">
        <v>261</v>
      </c>
      <c r="E169" s="45">
        <f t="shared" si="84"/>
        <v>47037.26</v>
      </c>
      <c r="F169" s="45">
        <v>47037.26</v>
      </c>
      <c r="G169" s="45"/>
      <c r="H169" s="45"/>
      <c r="I169" s="45">
        <f t="shared" si="88"/>
        <v>128437.21</v>
      </c>
      <c r="J169" s="45">
        <v>128437.21</v>
      </c>
      <c r="K169" s="45"/>
      <c r="L169" s="45">
        <f t="shared" si="89"/>
        <v>0</v>
      </c>
      <c r="M169" s="40">
        <f t="shared" si="72"/>
        <v>2.7305419150690327</v>
      </c>
      <c r="N169" s="40">
        <f t="shared" si="73"/>
        <v>2.7305419150690327</v>
      </c>
      <c r="O169" s="40"/>
      <c r="P169" s="40"/>
      <c r="Q169" s="41">
        <f t="shared" si="68"/>
        <v>81399.950000000012</v>
      </c>
      <c r="R169" s="41">
        <f t="shared" si="69"/>
        <v>81399.950000000012</v>
      </c>
      <c r="S169" s="41">
        <f t="shared" si="70"/>
        <v>0</v>
      </c>
      <c r="T169" s="41">
        <f t="shared" si="71"/>
        <v>0</v>
      </c>
    </row>
    <row r="170" spans="1:20" s="57" customFormat="1" x14ac:dyDescent="0.25">
      <c r="A170" s="37" t="s">
        <v>397</v>
      </c>
      <c r="B170" s="61" t="s">
        <v>398</v>
      </c>
      <c r="C170" s="61" t="s">
        <v>399</v>
      </c>
      <c r="D170" s="60" t="s">
        <v>400</v>
      </c>
      <c r="E170" s="45">
        <f t="shared" si="84"/>
        <v>0</v>
      </c>
      <c r="F170" s="45"/>
      <c r="G170" s="45"/>
      <c r="H170" s="45"/>
      <c r="I170" s="45">
        <f t="shared" si="88"/>
        <v>94000</v>
      </c>
      <c r="J170" s="45">
        <v>94000</v>
      </c>
      <c r="K170" s="45"/>
      <c r="L170" s="45">
        <f t="shared" si="89"/>
        <v>0</v>
      </c>
      <c r="M170" s="40"/>
      <c r="N170" s="40"/>
      <c r="O170" s="40"/>
      <c r="P170" s="40"/>
      <c r="Q170" s="41">
        <f t="shared" si="68"/>
        <v>94000</v>
      </c>
      <c r="R170" s="41">
        <f t="shared" si="69"/>
        <v>94000</v>
      </c>
      <c r="S170" s="41">
        <f t="shared" si="70"/>
        <v>0</v>
      </c>
      <c r="T170" s="41">
        <f t="shared" si="71"/>
        <v>0</v>
      </c>
    </row>
    <row r="171" spans="1:20" s="57" customFormat="1" ht="56.25" x14ac:dyDescent="0.25">
      <c r="A171" s="37">
        <v>3117350</v>
      </c>
      <c r="B171" s="25">
        <v>7350</v>
      </c>
      <c r="C171" s="24" t="s">
        <v>293</v>
      </c>
      <c r="D171" s="39" t="s">
        <v>294</v>
      </c>
      <c r="E171" s="45">
        <f t="shared" si="84"/>
        <v>0</v>
      </c>
      <c r="F171" s="45"/>
      <c r="G171" s="45"/>
      <c r="H171" s="45"/>
      <c r="I171" s="45">
        <f t="shared" si="88"/>
        <v>1414343.89</v>
      </c>
      <c r="J171" s="45">
        <f>1414343.89</f>
        <v>1414343.89</v>
      </c>
      <c r="K171" s="45"/>
      <c r="L171" s="45">
        <f t="shared" si="89"/>
        <v>0</v>
      </c>
      <c r="M171" s="40"/>
      <c r="N171" s="40"/>
      <c r="O171" s="40"/>
      <c r="P171" s="40"/>
      <c r="Q171" s="41">
        <f t="shared" si="68"/>
        <v>1414343.89</v>
      </c>
      <c r="R171" s="41">
        <f t="shared" si="69"/>
        <v>1414343.89</v>
      </c>
      <c r="S171" s="41">
        <f t="shared" si="70"/>
        <v>0</v>
      </c>
      <c r="T171" s="41">
        <f t="shared" si="71"/>
        <v>0</v>
      </c>
    </row>
    <row r="172" spans="1:20" s="57" customFormat="1" ht="37.5" x14ac:dyDescent="0.25">
      <c r="A172" s="42" t="s">
        <v>181</v>
      </c>
      <c r="B172" s="27" t="s">
        <v>135</v>
      </c>
      <c r="C172" s="27" t="s">
        <v>20</v>
      </c>
      <c r="D172" s="44" t="s">
        <v>136</v>
      </c>
      <c r="E172" s="45">
        <f t="shared" si="84"/>
        <v>0</v>
      </c>
      <c r="F172" s="45"/>
      <c r="G172" s="45"/>
      <c r="H172" s="45"/>
      <c r="I172" s="45">
        <f t="shared" si="88"/>
        <v>16605988.82</v>
      </c>
      <c r="J172" s="45">
        <f>1452837.67+476332.69+218752.3+12598658.93</f>
        <v>14746581.59</v>
      </c>
      <c r="K172" s="45">
        <f>85300+1774107.23</f>
        <v>1859407.23</v>
      </c>
      <c r="L172" s="45">
        <f t="shared" si="89"/>
        <v>1859407.23</v>
      </c>
      <c r="M172" s="40"/>
      <c r="N172" s="40"/>
      <c r="O172" s="40"/>
      <c r="P172" s="40"/>
      <c r="Q172" s="41">
        <f t="shared" si="68"/>
        <v>16605988.82</v>
      </c>
      <c r="R172" s="41">
        <f t="shared" si="69"/>
        <v>14746581.59</v>
      </c>
      <c r="S172" s="41">
        <f t="shared" si="70"/>
        <v>1859407.23</v>
      </c>
      <c r="T172" s="41">
        <f t="shared" si="71"/>
        <v>1859407.23</v>
      </c>
    </row>
    <row r="173" spans="1:20" s="57" customFormat="1" ht="56.25" x14ac:dyDescent="0.25">
      <c r="A173" s="37">
        <v>3118110</v>
      </c>
      <c r="B173" s="25">
        <v>8110</v>
      </c>
      <c r="C173" s="24" t="s">
        <v>5</v>
      </c>
      <c r="D173" s="39" t="s">
        <v>137</v>
      </c>
      <c r="E173" s="45">
        <f t="shared" si="84"/>
        <v>12723927.539999999</v>
      </c>
      <c r="F173" s="45">
        <v>12723927.539999999</v>
      </c>
      <c r="G173" s="45"/>
      <c r="H173" s="45"/>
      <c r="I173" s="45">
        <f t="shared" si="88"/>
        <v>23757.599999999999</v>
      </c>
      <c r="J173" s="45">
        <f>17076+6681.6</f>
        <v>23757.599999999999</v>
      </c>
      <c r="K173" s="45"/>
      <c r="L173" s="45"/>
      <c r="M173" s="40">
        <f t="shared" si="72"/>
        <v>1.8671593283845437E-3</v>
      </c>
      <c r="N173" s="40">
        <f t="shared" si="73"/>
        <v>1.8671593283845437E-3</v>
      </c>
      <c r="O173" s="40"/>
      <c r="P173" s="40"/>
      <c r="Q173" s="41">
        <f t="shared" si="68"/>
        <v>-12700169.939999999</v>
      </c>
      <c r="R173" s="41">
        <f t="shared" si="69"/>
        <v>-12700169.939999999</v>
      </c>
      <c r="S173" s="41">
        <f t="shared" si="70"/>
        <v>0</v>
      </c>
      <c r="T173" s="41">
        <f t="shared" si="71"/>
        <v>0</v>
      </c>
    </row>
    <row r="174" spans="1:20" s="57" customFormat="1" ht="37.5" x14ac:dyDescent="0.25">
      <c r="A174" s="38">
        <v>3118240</v>
      </c>
      <c r="B174" s="24">
        <v>8240</v>
      </c>
      <c r="C174" s="24" t="s">
        <v>227</v>
      </c>
      <c r="D174" s="39" t="s">
        <v>258</v>
      </c>
      <c r="E174" s="45">
        <f t="shared" si="84"/>
        <v>45048.23</v>
      </c>
      <c r="F174" s="45">
        <v>45048.23</v>
      </c>
      <c r="G174" s="45"/>
      <c r="H174" s="45"/>
      <c r="I174" s="45">
        <f t="shared" si="88"/>
        <v>109250.21</v>
      </c>
      <c r="J174" s="45">
        <v>109250.21</v>
      </c>
      <c r="K174" s="45"/>
      <c r="L174" s="45"/>
      <c r="M174" s="40">
        <f t="shared" si="72"/>
        <v>2.4251831869975802</v>
      </c>
      <c r="N174" s="40">
        <f t="shared" si="73"/>
        <v>2.4251831869975802</v>
      </c>
      <c r="O174" s="40"/>
      <c r="P174" s="40"/>
      <c r="Q174" s="41">
        <f t="shared" si="68"/>
        <v>64201.98</v>
      </c>
      <c r="R174" s="41">
        <f t="shared" si="69"/>
        <v>64201.98</v>
      </c>
      <c r="S174" s="41">
        <f t="shared" si="70"/>
        <v>0</v>
      </c>
      <c r="T174" s="41">
        <f t="shared" si="71"/>
        <v>0</v>
      </c>
    </row>
    <row r="175" spans="1:20" s="55" customFormat="1" ht="56.25" x14ac:dyDescent="0.25">
      <c r="A175" s="47" t="s">
        <v>98</v>
      </c>
      <c r="B175" s="26"/>
      <c r="C175" s="26"/>
      <c r="D175" s="10" t="s">
        <v>220</v>
      </c>
      <c r="E175" s="43">
        <f t="shared" ref="E175:L175" si="90">E176</f>
        <v>24759037.829999998</v>
      </c>
      <c r="F175" s="43">
        <f t="shared" si="90"/>
        <v>20043202.829999998</v>
      </c>
      <c r="G175" s="43">
        <f t="shared" si="90"/>
        <v>4715835</v>
      </c>
      <c r="H175" s="43">
        <f t="shared" si="90"/>
        <v>4715835</v>
      </c>
      <c r="I175" s="43">
        <f t="shared" si="90"/>
        <v>101558782.90000001</v>
      </c>
      <c r="J175" s="43">
        <f t="shared" si="90"/>
        <v>74153544.620000005</v>
      </c>
      <c r="K175" s="43">
        <f t="shared" si="90"/>
        <v>27405238.280000001</v>
      </c>
      <c r="L175" s="43">
        <f t="shared" si="90"/>
        <v>27404279.280000001</v>
      </c>
      <c r="M175" s="12">
        <f t="shared" si="72"/>
        <v>4.1018873026214049</v>
      </c>
      <c r="N175" s="12">
        <f t="shared" si="73"/>
        <v>3.6996853870584721</v>
      </c>
      <c r="O175" s="12">
        <f t="shared" si="74"/>
        <v>5.8113225505133244</v>
      </c>
      <c r="P175" s="12">
        <f t="shared" si="75"/>
        <v>5.8111191931015398</v>
      </c>
      <c r="Q175" s="13">
        <f t="shared" si="68"/>
        <v>76799745.070000008</v>
      </c>
      <c r="R175" s="13">
        <f t="shared" si="69"/>
        <v>54110341.790000007</v>
      </c>
      <c r="S175" s="13">
        <f t="shared" si="70"/>
        <v>22689403.280000001</v>
      </c>
      <c r="T175" s="13">
        <f t="shared" si="71"/>
        <v>22688444.280000001</v>
      </c>
    </row>
    <row r="176" spans="1:20" s="55" customFormat="1" ht="75" x14ac:dyDescent="0.25">
      <c r="A176" s="47" t="s">
        <v>99</v>
      </c>
      <c r="B176" s="26"/>
      <c r="C176" s="26"/>
      <c r="D176" s="10" t="s">
        <v>221</v>
      </c>
      <c r="E176" s="43">
        <f t="shared" ref="E176:E181" si="91">F176+G176</f>
        <v>24759037.829999998</v>
      </c>
      <c r="F176" s="43">
        <f>F177+F178+F179+F181+F180</f>
        <v>20043202.829999998</v>
      </c>
      <c r="G176" s="43">
        <f t="shared" ref="G176:H176" si="92">G177+G178+G179+G181+G180</f>
        <v>4715835</v>
      </c>
      <c r="H176" s="43">
        <f t="shared" si="92"/>
        <v>4715835</v>
      </c>
      <c r="I176" s="43">
        <f t="shared" ref="I176" si="93">J176+K176</f>
        <v>101558782.90000001</v>
      </c>
      <c r="J176" s="43">
        <f>J177+J178+J179+J181+J180</f>
        <v>74153544.620000005</v>
      </c>
      <c r="K176" s="43">
        <f t="shared" ref="K176:L176" si="94">K177+K178+K179+K181+K180</f>
        <v>27405238.280000001</v>
      </c>
      <c r="L176" s="43">
        <f t="shared" si="94"/>
        <v>27404279.280000001</v>
      </c>
      <c r="M176" s="12">
        <f t="shared" si="72"/>
        <v>4.1018873026214049</v>
      </c>
      <c r="N176" s="12">
        <f t="shared" si="73"/>
        <v>3.6996853870584721</v>
      </c>
      <c r="O176" s="12">
        <f t="shared" si="74"/>
        <v>5.8113225505133244</v>
      </c>
      <c r="P176" s="12">
        <f t="shared" si="75"/>
        <v>5.8111191931015398</v>
      </c>
      <c r="Q176" s="13">
        <f t="shared" si="68"/>
        <v>76799745.070000008</v>
      </c>
      <c r="R176" s="13">
        <f t="shared" si="69"/>
        <v>54110341.790000007</v>
      </c>
      <c r="S176" s="13">
        <f t="shared" si="70"/>
        <v>22689403.280000001</v>
      </c>
      <c r="T176" s="13">
        <f t="shared" si="71"/>
        <v>22688444.280000001</v>
      </c>
    </row>
    <row r="177" spans="1:20" s="57" customFormat="1" ht="56.25" x14ac:dyDescent="0.25">
      <c r="A177" s="42" t="s">
        <v>100</v>
      </c>
      <c r="B177" s="27" t="s">
        <v>58</v>
      </c>
      <c r="C177" s="27" t="s">
        <v>3</v>
      </c>
      <c r="D177" s="44" t="s">
        <v>247</v>
      </c>
      <c r="E177" s="45">
        <f t="shared" si="91"/>
        <v>4471258.75</v>
      </c>
      <c r="F177" s="45">
        <v>4471258.75</v>
      </c>
      <c r="G177" s="45"/>
      <c r="H177" s="45"/>
      <c r="I177" s="45">
        <f t="shared" si="88"/>
        <v>5123511.6100000003</v>
      </c>
      <c r="J177" s="45">
        <v>5028372.6100000003</v>
      </c>
      <c r="K177" s="45">
        <f>959+94180</f>
        <v>95139</v>
      </c>
      <c r="L177" s="45">
        <v>94180</v>
      </c>
      <c r="M177" s="40">
        <f t="shared" si="72"/>
        <v>1.1458767869338808</v>
      </c>
      <c r="N177" s="40">
        <f t="shared" si="73"/>
        <v>1.1245988861637677</v>
      </c>
      <c r="O177" s="40"/>
      <c r="P177" s="40"/>
      <c r="Q177" s="41">
        <f t="shared" si="68"/>
        <v>652252.86000000034</v>
      </c>
      <c r="R177" s="41">
        <f t="shared" si="69"/>
        <v>557113.86000000034</v>
      </c>
      <c r="S177" s="41">
        <f t="shared" si="70"/>
        <v>95139</v>
      </c>
      <c r="T177" s="41">
        <f t="shared" si="71"/>
        <v>94180</v>
      </c>
    </row>
    <row r="178" spans="1:20" s="57" customFormat="1" ht="37.5" x14ac:dyDescent="0.25">
      <c r="A178" s="42" t="s">
        <v>110</v>
      </c>
      <c r="B178" s="27" t="s">
        <v>8</v>
      </c>
      <c r="C178" s="27" t="s">
        <v>6</v>
      </c>
      <c r="D178" s="44" t="s">
        <v>109</v>
      </c>
      <c r="E178" s="45">
        <f t="shared" si="91"/>
        <v>43316</v>
      </c>
      <c r="F178" s="45">
        <v>43316</v>
      </c>
      <c r="G178" s="45"/>
      <c r="H178" s="45"/>
      <c r="I178" s="45">
        <f t="shared" si="88"/>
        <v>44408</v>
      </c>
      <c r="J178" s="45">
        <v>44408</v>
      </c>
      <c r="K178" s="45"/>
      <c r="L178" s="45">
        <f t="shared" ref="L178:L181" si="95">K178</f>
        <v>0</v>
      </c>
      <c r="M178" s="40">
        <f t="shared" si="72"/>
        <v>1.0252100840336134</v>
      </c>
      <c r="N178" s="40">
        <f t="shared" si="73"/>
        <v>1.0252100840336134</v>
      </c>
      <c r="O178" s="40"/>
      <c r="P178" s="40"/>
      <c r="Q178" s="41">
        <f t="shared" si="68"/>
        <v>1092</v>
      </c>
      <c r="R178" s="41">
        <f t="shared" si="69"/>
        <v>1092</v>
      </c>
      <c r="S178" s="41">
        <f t="shared" si="70"/>
        <v>0</v>
      </c>
      <c r="T178" s="41">
        <f t="shared" si="71"/>
        <v>0</v>
      </c>
    </row>
    <row r="179" spans="1:20" s="57" customFormat="1" x14ac:dyDescent="0.25">
      <c r="A179" s="42" t="s">
        <v>112</v>
      </c>
      <c r="B179" s="27" t="s">
        <v>111</v>
      </c>
      <c r="C179" s="27" t="s">
        <v>8</v>
      </c>
      <c r="D179" s="44" t="s">
        <v>2</v>
      </c>
      <c r="E179" s="45">
        <f t="shared" si="91"/>
        <v>6419166.6600000001</v>
      </c>
      <c r="F179" s="45">
        <v>6419166.6600000001</v>
      </c>
      <c r="G179" s="45"/>
      <c r="H179" s="45"/>
      <c r="I179" s="45">
        <f t="shared" si="88"/>
        <v>10294700</v>
      </c>
      <c r="J179" s="45">
        <v>10294700</v>
      </c>
      <c r="K179" s="45"/>
      <c r="L179" s="45">
        <f t="shared" si="95"/>
        <v>0</v>
      </c>
      <c r="M179" s="40">
        <f t="shared" si="72"/>
        <v>1.603743997511353</v>
      </c>
      <c r="N179" s="40">
        <f t="shared" si="73"/>
        <v>1.603743997511353</v>
      </c>
      <c r="O179" s="40"/>
      <c r="P179" s="40"/>
      <c r="Q179" s="41">
        <f t="shared" si="68"/>
        <v>3875533.34</v>
      </c>
      <c r="R179" s="41">
        <f t="shared" si="69"/>
        <v>3875533.34</v>
      </c>
      <c r="S179" s="41">
        <f t="shared" si="70"/>
        <v>0</v>
      </c>
      <c r="T179" s="41">
        <f t="shared" si="71"/>
        <v>0</v>
      </c>
    </row>
    <row r="180" spans="1:20" s="57" customFormat="1" x14ac:dyDescent="0.25">
      <c r="A180" s="42" t="s">
        <v>165</v>
      </c>
      <c r="B180" s="27" t="s">
        <v>163</v>
      </c>
      <c r="C180" s="27" t="s">
        <v>8</v>
      </c>
      <c r="D180" s="22" t="s">
        <v>164</v>
      </c>
      <c r="E180" s="45">
        <f t="shared" si="91"/>
        <v>2240000</v>
      </c>
      <c r="F180" s="45">
        <v>2240000</v>
      </c>
      <c r="G180" s="45"/>
      <c r="H180" s="45"/>
      <c r="I180" s="45">
        <f t="shared" si="88"/>
        <v>36120000</v>
      </c>
      <c r="J180" s="45">
        <v>35120000</v>
      </c>
      <c r="K180" s="45">
        <v>1000000</v>
      </c>
      <c r="L180" s="45">
        <f t="shared" si="95"/>
        <v>1000000</v>
      </c>
      <c r="M180" s="40" t="s">
        <v>349</v>
      </c>
      <c r="N180" s="40" t="s">
        <v>349</v>
      </c>
      <c r="O180" s="40"/>
      <c r="P180" s="40"/>
      <c r="Q180" s="41">
        <f t="shared" si="68"/>
        <v>33880000</v>
      </c>
      <c r="R180" s="41">
        <f t="shared" si="69"/>
        <v>32880000</v>
      </c>
      <c r="S180" s="41">
        <f t="shared" si="70"/>
        <v>1000000</v>
      </c>
      <c r="T180" s="41">
        <f t="shared" si="71"/>
        <v>1000000</v>
      </c>
    </row>
    <row r="181" spans="1:20" s="57" customFormat="1" ht="75" x14ac:dyDescent="0.25">
      <c r="A181" s="42" t="s">
        <v>161</v>
      </c>
      <c r="B181" s="27" t="s">
        <v>159</v>
      </c>
      <c r="C181" s="29" t="s">
        <v>8</v>
      </c>
      <c r="D181" s="21" t="s">
        <v>160</v>
      </c>
      <c r="E181" s="45">
        <f t="shared" si="91"/>
        <v>11585296.42</v>
      </c>
      <c r="F181" s="45">
        <v>6869461.4199999999</v>
      </c>
      <c r="G181" s="45">
        <v>4715835</v>
      </c>
      <c r="H181" s="45">
        <v>4715835</v>
      </c>
      <c r="I181" s="45">
        <f t="shared" si="88"/>
        <v>49976163.290000007</v>
      </c>
      <c r="J181" s="45">
        <v>23666064.010000002</v>
      </c>
      <c r="K181" s="45">
        <v>26310099.280000001</v>
      </c>
      <c r="L181" s="45">
        <f t="shared" si="95"/>
        <v>26310099.280000001</v>
      </c>
      <c r="M181" s="40">
        <f t="shared" si="72"/>
        <v>4.3137578425464236</v>
      </c>
      <c r="N181" s="40">
        <f t="shared" si="73"/>
        <v>3.4451120055930096</v>
      </c>
      <c r="O181" s="40">
        <f t="shared" si="74"/>
        <v>5.5790966562655395</v>
      </c>
      <c r="P181" s="40">
        <f t="shared" si="75"/>
        <v>5.5790966562655395</v>
      </c>
      <c r="Q181" s="41">
        <f t="shared" si="68"/>
        <v>38390866.870000005</v>
      </c>
      <c r="R181" s="41">
        <f t="shared" si="69"/>
        <v>16796602.590000004</v>
      </c>
      <c r="S181" s="41">
        <f t="shared" si="70"/>
        <v>21594264.280000001</v>
      </c>
      <c r="T181" s="41">
        <f t="shared" si="71"/>
        <v>21594264.280000001</v>
      </c>
    </row>
    <row r="182" spans="1:20" s="55" customFormat="1" x14ac:dyDescent="0.25">
      <c r="A182" s="47"/>
      <c r="B182" s="26"/>
      <c r="C182" s="26"/>
      <c r="D182" s="23" t="s">
        <v>1</v>
      </c>
      <c r="E182" s="43">
        <f t="shared" ref="E182" si="96">F182+G182</f>
        <v>805495412.55000007</v>
      </c>
      <c r="F182" s="43">
        <f>F9+F39+F67+F93+F105+F114+F140+F165+F175+F88</f>
        <v>776485420.69000006</v>
      </c>
      <c r="G182" s="43">
        <f>G9+G39+G67+G93+G105+G114+G140+G165+G175+G88</f>
        <v>29009991.859999999</v>
      </c>
      <c r="H182" s="43">
        <f>H9+H39+H67+H93+H105+H114+H140+H165+H175+H88</f>
        <v>18236081.41</v>
      </c>
      <c r="I182" s="43">
        <f t="shared" si="88"/>
        <v>1153966212.4100001</v>
      </c>
      <c r="J182" s="43">
        <f>J9+J39+J67+J93+J105+J114+J140+J165+J175+J88</f>
        <v>911415961.11000013</v>
      </c>
      <c r="K182" s="43">
        <f>K9+K39+K67+K93+K105+K114+K140+K165+K175+K88</f>
        <v>242550251.30000001</v>
      </c>
      <c r="L182" s="43">
        <f>L9+L39+L67+L93+L105+L114+L140+L165+L175+L88</f>
        <v>223311719.83999997</v>
      </c>
      <c r="M182" s="12">
        <f t="shared" si="72"/>
        <v>1.4326167404936887</v>
      </c>
      <c r="N182" s="12">
        <f t="shared" si="73"/>
        <v>1.1737708614027784</v>
      </c>
      <c r="O182" s="12">
        <f t="shared" si="74"/>
        <v>8.3609210395690194</v>
      </c>
      <c r="P182" s="12" t="s">
        <v>404</v>
      </c>
      <c r="Q182" s="13">
        <f t="shared" si="68"/>
        <v>348470799.86000001</v>
      </c>
      <c r="R182" s="13">
        <f t="shared" si="69"/>
        <v>134930540.42000008</v>
      </c>
      <c r="S182" s="13">
        <f t="shared" si="70"/>
        <v>213540259.44</v>
      </c>
      <c r="T182" s="13">
        <f t="shared" si="71"/>
        <v>205075638.42999998</v>
      </c>
    </row>
    <row r="183" spans="1:20" x14ac:dyDescent="0.3">
      <c r="D183" s="3"/>
      <c r="E183" s="3"/>
      <c r="F183" s="3"/>
      <c r="G183" s="3"/>
      <c r="H183" s="3"/>
      <c r="I183" s="3"/>
      <c r="K183" s="4"/>
      <c r="L183" s="4"/>
      <c r="N183" s="4"/>
      <c r="O183" s="4"/>
      <c r="P183" s="4"/>
      <c r="Q183" s="5"/>
      <c r="R183" s="5"/>
      <c r="S183" s="5"/>
      <c r="T183" s="5"/>
    </row>
    <row r="184" spans="1:20" x14ac:dyDescent="0.3">
      <c r="A184" s="52"/>
      <c r="B184" s="1"/>
      <c r="C184" s="1"/>
      <c r="D184" s="1" t="s">
        <v>188</v>
      </c>
      <c r="E184" s="2"/>
      <c r="F184" s="2"/>
      <c r="G184" s="5"/>
      <c r="H184" s="3"/>
      <c r="J184" s="6"/>
      <c r="K184" s="4" t="s">
        <v>225</v>
      </c>
      <c r="L184" s="7"/>
      <c r="M184" s="3"/>
      <c r="N184" s="4"/>
      <c r="O184" s="4"/>
      <c r="P184" s="4"/>
      <c r="Q184" s="5"/>
      <c r="R184" s="5"/>
      <c r="S184" s="5"/>
      <c r="T184" s="5"/>
    </row>
    <row r="185" spans="1:20" x14ac:dyDescent="0.3">
      <c r="E185" s="64"/>
      <c r="F185" s="64"/>
      <c r="G185" s="5"/>
      <c r="J185" s="5"/>
      <c r="K185" s="65"/>
    </row>
    <row r="189" spans="1:20" x14ac:dyDescent="0.3">
      <c r="H189" s="65"/>
    </row>
    <row r="190" spans="1:20" x14ac:dyDescent="0.3">
      <c r="H190" s="65"/>
    </row>
    <row r="191" spans="1:20" x14ac:dyDescent="0.3">
      <c r="H191" s="65"/>
    </row>
  </sheetData>
  <mergeCells count="29">
    <mergeCell ref="A2:T2"/>
    <mergeCell ref="K5:L5"/>
    <mergeCell ref="N5:N7"/>
    <mergeCell ref="O5:P5"/>
    <mergeCell ref="K6:K7"/>
    <mergeCell ref="I3:L3"/>
    <mergeCell ref="I4:I7"/>
    <mergeCell ref="J4:L4"/>
    <mergeCell ref="J5:J7"/>
    <mergeCell ref="A3:A7"/>
    <mergeCell ref="B3:B7"/>
    <mergeCell ref="C3:C7"/>
    <mergeCell ref="D3:D7"/>
    <mergeCell ref="F5:F7"/>
    <mergeCell ref="Q3:T3"/>
    <mergeCell ref="Q4:Q7"/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</mergeCells>
  <pageMargins left="0.74803149606299213" right="0.35433070866141736" top="0.55118110236220474" bottom="0.51181102362204722" header="0.15748031496062992" footer="0.11811023622047245"/>
  <pageSetup paperSize="9" scale="3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рік</vt:lpstr>
      <vt:lpstr>рік!Заголовки_для_друку</vt:lpstr>
      <vt:lpstr>рік!Область_друку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Natasha-findep</cp:lastModifiedBy>
  <cp:lastPrinted>2024-01-11T11:33:20Z</cp:lastPrinted>
  <dcterms:created xsi:type="dcterms:W3CDTF">2012-12-15T07:44:03Z</dcterms:created>
  <dcterms:modified xsi:type="dcterms:W3CDTF">2024-01-11T11:37:27Z</dcterms:modified>
</cp:coreProperties>
</file>