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ЦяКнига"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2023 РІК\"/>
    </mc:Choice>
  </mc:AlternateContent>
  <bookViews>
    <workbookView xWindow="120" yWindow="150" windowWidth="15240" windowHeight="7605"/>
  </bookViews>
  <sheets>
    <sheet name="2023" sheetId="4" r:id="rId1"/>
  </sheets>
  <definedNames>
    <definedName name="Z_22648713_93C4_4BCC_9593_E6D578C36006_.wvu.PrintArea" localSheetId="0" hidden="1">'2023'!$A$1:$P$150</definedName>
    <definedName name="Z_22648713_93C4_4BCC_9593_E6D578C36006_.wvu.PrintTitles" localSheetId="0" hidden="1">'2023'!$10:$15</definedName>
    <definedName name="Z_22648713_93C4_4BCC_9593_E6D578C36006_.wvu.Rows" localSheetId="0" hidden="1">'2023'!$27:$27,'2023'!#REF!</definedName>
    <definedName name="_xlnm.Print_Titles" localSheetId="0">'2023'!$10:$15</definedName>
    <definedName name="_xlnm.Print_Area" localSheetId="0">'2023'!$A$1:$P$225</definedName>
  </definedNames>
  <calcPr calcId="152511"/>
  <customWorkbookViews>
    <customWorkbookView name="Администратор - Личное представление" guid="{22648713-93C4-4BCC-9593-E6D578C36006}" mergeInterval="0" personalView="1" maximized="1" xWindow="1" yWindow="1" windowWidth="1276" windowHeight="767" activeSheetId="4" showComments="commIndAndComment"/>
  </customWorkbookViews>
</workbook>
</file>

<file path=xl/calcChain.xml><?xml version="1.0" encoding="utf-8"?>
<calcChain xmlns="http://schemas.openxmlformats.org/spreadsheetml/2006/main">
  <c r="H17" i="4" l="1"/>
  <c r="G17" i="4"/>
  <c r="I40" i="4" l="1"/>
  <c r="E40" i="4"/>
  <c r="P35" i="4" l="1"/>
  <c r="O35" i="4"/>
  <c r="P34" i="4"/>
  <c r="O34" i="4"/>
  <c r="P31" i="4"/>
  <c r="O31" i="4"/>
  <c r="N97" i="4"/>
  <c r="M97" i="4"/>
  <c r="N96" i="4"/>
  <c r="M96" i="4"/>
  <c r="P136" i="4"/>
  <c r="O136" i="4"/>
  <c r="P189" i="4"/>
  <c r="O189" i="4"/>
  <c r="P193" i="4"/>
  <c r="O193" i="4"/>
  <c r="P195" i="4"/>
  <c r="O195" i="4"/>
  <c r="L218" i="4" l="1"/>
  <c r="K218" i="4"/>
  <c r="J218" i="4"/>
  <c r="H218" i="4"/>
  <c r="G218" i="4"/>
  <c r="F218" i="4"/>
  <c r="P20" i="4"/>
  <c r="P45" i="4"/>
  <c r="P46" i="4"/>
  <c r="O46" i="4"/>
  <c r="O45" i="4"/>
  <c r="O71" i="4"/>
  <c r="N75" i="4"/>
  <c r="P75" i="4"/>
  <c r="O75" i="4"/>
  <c r="L79" i="4"/>
  <c r="K79" i="4"/>
  <c r="J79" i="4"/>
  <c r="H79" i="4"/>
  <c r="G79" i="4"/>
  <c r="F79" i="4"/>
  <c r="P133" i="4" l="1"/>
  <c r="O133" i="4"/>
  <c r="P146" i="4"/>
  <c r="O145" i="4"/>
  <c r="O146" i="4"/>
  <c r="P208" i="4"/>
  <c r="P209" i="4"/>
  <c r="P210" i="4"/>
  <c r="L31" i="4" l="1"/>
  <c r="E209" i="4"/>
  <c r="E210" i="4"/>
  <c r="I209" i="4"/>
  <c r="I210" i="4"/>
  <c r="L216" i="4"/>
  <c r="L215" i="4"/>
  <c r="L213" i="4"/>
  <c r="M209" i="4" l="1"/>
  <c r="M210" i="4"/>
  <c r="H221" i="4" l="1"/>
  <c r="K215" i="4"/>
  <c r="K189" i="4"/>
  <c r="K112" i="4" l="1"/>
  <c r="K59" i="4"/>
  <c r="K31" i="4"/>
  <c r="G31" i="4"/>
  <c r="H214" i="4"/>
  <c r="K127" i="4"/>
  <c r="K113" i="4"/>
  <c r="K57" i="4"/>
  <c r="K53" i="4"/>
  <c r="K52" i="4"/>
  <c r="K22" i="4"/>
  <c r="K19" i="4"/>
  <c r="G113" i="4"/>
  <c r="K111" i="4"/>
  <c r="G111" i="4"/>
  <c r="G86" i="4"/>
  <c r="G57" i="4"/>
  <c r="G53" i="4"/>
  <c r="G52" i="4"/>
  <c r="K20" i="4"/>
  <c r="K184" i="4"/>
  <c r="L184" i="4"/>
  <c r="H184" i="4"/>
  <c r="K176" i="4"/>
  <c r="I176" i="4" s="1"/>
  <c r="G176" i="4"/>
  <c r="G174" i="4"/>
  <c r="L173" i="4"/>
  <c r="H173" i="4"/>
  <c r="G170" i="4"/>
  <c r="L169" i="4"/>
  <c r="H169" i="4"/>
  <c r="P168" i="4"/>
  <c r="K168" i="4"/>
  <c r="I168" i="4" s="1"/>
  <c r="G168" i="4"/>
  <c r="E168" i="4" s="1"/>
  <c r="L166" i="4"/>
  <c r="H166" i="4"/>
  <c r="K162" i="4"/>
  <c r="L162" i="4" s="1"/>
  <c r="H162" i="4"/>
  <c r="G162" i="4"/>
  <c r="P159" i="4"/>
  <c r="O159" i="4"/>
  <c r="E159" i="4"/>
  <c r="L158" i="4"/>
  <c r="L214" i="4" s="1"/>
  <c r="K158" i="4"/>
  <c r="H158" i="4"/>
  <c r="G158" i="4"/>
  <c r="K150" i="4"/>
  <c r="L148" i="4"/>
  <c r="L220" i="4" s="1"/>
  <c r="K148" i="4"/>
  <c r="H148" i="4"/>
  <c r="H220" i="4" s="1"/>
  <c r="G148" i="4"/>
  <c r="L144" i="4"/>
  <c r="P144" i="4" s="1"/>
  <c r="K144" i="4"/>
  <c r="I144" i="4" s="1"/>
  <c r="H144" i="4"/>
  <c r="G144" i="4"/>
  <c r="L138" i="4"/>
  <c r="K138" i="4"/>
  <c r="H138" i="4"/>
  <c r="G138" i="4"/>
  <c r="L137" i="4"/>
  <c r="K137" i="4"/>
  <c r="H137" i="4"/>
  <c r="G137" i="4"/>
  <c r="L131" i="4"/>
  <c r="K131" i="4"/>
  <c r="H131" i="4"/>
  <c r="G131" i="4"/>
  <c r="L100" i="4"/>
  <c r="L99" i="4" s="1"/>
  <c r="H100" i="4"/>
  <c r="H99" i="4" s="1"/>
  <c r="F100" i="4"/>
  <c r="E104" i="4"/>
  <c r="O104" i="4"/>
  <c r="J104" i="4"/>
  <c r="P40" i="4"/>
  <c r="O40" i="4"/>
  <c r="P22" i="4"/>
  <c r="G22" i="4"/>
  <c r="G20" i="4"/>
  <c r="G19" i="4"/>
  <c r="J148" i="4"/>
  <c r="J96" i="4"/>
  <c r="F96" i="4"/>
  <c r="J221" i="4"/>
  <c r="J217" i="4"/>
  <c r="I217" i="4" s="1"/>
  <c r="J216" i="4"/>
  <c r="J213" i="4"/>
  <c r="L200" i="4"/>
  <c r="L221" i="4" s="1"/>
  <c r="P207" i="4"/>
  <c r="P205" i="4"/>
  <c r="P206" i="4"/>
  <c r="P203" i="4"/>
  <c r="P202" i="4"/>
  <c r="N208" i="4"/>
  <c r="O209" i="4"/>
  <c r="O208" i="4"/>
  <c r="I208" i="4"/>
  <c r="M208" i="4" s="1"/>
  <c r="E208" i="4"/>
  <c r="K213" i="4" l="1"/>
  <c r="I213" i="4" s="1"/>
  <c r="J100" i="4"/>
  <c r="H219" i="4"/>
  <c r="P200" i="4"/>
  <c r="P214" i="4"/>
  <c r="L219" i="4"/>
  <c r="G213" i="4"/>
  <c r="O168" i="4"/>
  <c r="M168" i="4"/>
  <c r="I159" i="4"/>
  <c r="M159" i="4" s="1"/>
  <c r="O144" i="4"/>
  <c r="E144" i="4"/>
  <c r="M144" i="4" s="1"/>
  <c r="M40" i="4"/>
  <c r="O210" i="4"/>
  <c r="J195" i="4" l="1"/>
  <c r="J199" i="4"/>
  <c r="F199" i="4"/>
  <c r="J185" i="4" l="1"/>
  <c r="J184" i="4"/>
  <c r="F184" i="4"/>
  <c r="N151" i="4"/>
  <c r="E151" i="4"/>
  <c r="J149" i="4"/>
  <c r="F149" i="4"/>
  <c r="F148" i="4"/>
  <c r="J146" i="4"/>
  <c r="J219" i="4" s="1"/>
  <c r="F146" i="4"/>
  <c r="N141" i="4"/>
  <c r="I141" i="4"/>
  <c r="E141" i="4"/>
  <c r="N140" i="4"/>
  <c r="I140" i="4"/>
  <c r="E140" i="4"/>
  <c r="J137" i="4"/>
  <c r="F137" i="4"/>
  <c r="N136" i="4"/>
  <c r="I136" i="4"/>
  <c r="E136" i="4"/>
  <c r="J120" i="4"/>
  <c r="F120" i="4"/>
  <c r="N102" i="4"/>
  <c r="E102" i="4"/>
  <c r="J97" i="4"/>
  <c r="F97" i="4"/>
  <c r="L49" i="4"/>
  <c r="J49" i="4"/>
  <c r="H49" i="4"/>
  <c r="I75" i="4"/>
  <c r="E75" i="4"/>
  <c r="I69" i="4"/>
  <c r="I68" i="4"/>
  <c r="N69" i="4"/>
  <c r="N68" i="4"/>
  <c r="J215" i="4" l="1"/>
  <c r="I215" i="4" s="1"/>
  <c r="F219" i="4"/>
  <c r="O151" i="4"/>
  <c r="I151" i="4"/>
  <c r="M151" i="4" s="1"/>
  <c r="P151" i="4"/>
  <c r="M141" i="4"/>
  <c r="M140" i="4"/>
  <c r="M136" i="4"/>
  <c r="I102" i="4"/>
  <c r="M102" i="4" s="1"/>
  <c r="M75" i="4"/>
  <c r="E69" i="4"/>
  <c r="M69" i="4" s="1"/>
  <c r="E68" i="4"/>
  <c r="M68" i="4" s="1"/>
  <c r="I71" i="4"/>
  <c r="E71" i="4"/>
  <c r="N70" i="4"/>
  <c r="I70" i="4"/>
  <c r="E70" i="4"/>
  <c r="N66" i="4"/>
  <c r="I66" i="4"/>
  <c r="E66" i="4"/>
  <c r="M71" i="4" l="1"/>
  <c r="M70" i="4"/>
  <c r="M66" i="4"/>
  <c r="N46" i="4"/>
  <c r="I46" i="4"/>
  <c r="E46" i="4"/>
  <c r="J42" i="4"/>
  <c r="J220" i="4" s="1"/>
  <c r="F42" i="4"/>
  <c r="N38" i="4"/>
  <c r="I38" i="4"/>
  <c r="E38" i="4"/>
  <c r="N36" i="4"/>
  <c r="I36" i="4"/>
  <c r="E36" i="4"/>
  <c r="M36" i="4" l="1"/>
  <c r="M38" i="4"/>
  <c r="M46" i="4"/>
  <c r="J28" i="4" l="1"/>
  <c r="J214" i="4" s="1"/>
  <c r="F28" i="4"/>
  <c r="I98" i="4" l="1"/>
  <c r="I93" i="4"/>
  <c r="O21" i="4"/>
  <c r="O207" i="4"/>
  <c r="N207" i="4"/>
  <c r="O206" i="4"/>
  <c r="O205" i="4"/>
  <c r="N205" i="4"/>
  <c r="N204" i="4"/>
  <c r="O203" i="4"/>
  <c r="N203" i="4"/>
  <c r="O202" i="4"/>
  <c r="N202" i="4"/>
  <c r="N199" i="4"/>
  <c r="N198" i="4"/>
  <c r="N197" i="4"/>
  <c r="N196" i="4"/>
  <c r="N195" i="4"/>
  <c r="N193" i="4"/>
  <c r="N192" i="4"/>
  <c r="N191" i="4"/>
  <c r="N190" i="4"/>
  <c r="N189" i="4"/>
  <c r="N186" i="4"/>
  <c r="P184" i="4"/>
  <c r="N183" i="4"/>
  <c r="N182" i="4"/>
  <c r="N181" i="4"/>
  <c r="N180" i="4"/>
  <c r="P179" i="4"/>
  <c r="N179" i="4"/>
  <c r="P176" i="4"/>
  <c r="O176" i="4"/>
  <c r="O175" i="4"/>
  <c r="P174" i="4"/>
  <c r="P173" i="4"/>
  <c r="P171" i="4"/>
  <c r="P170" i="4"/>
  <c r="O170" i="4"/>
  <c r="P167" i="4"/>
  <c r="N165" i="4"/>
  <c r="P164" i="4"/>
  <c r="P161" i="4"/>
  <c r="P158" i="4"/>
  <c r="N157" i="4"/>
  <c r="N156" i="4"/>
  <c r="P155" i="4"/>
  <c r="O155" i="4"/>
  <c r="N152" i="4"/>
  <c r="N149" i="4"/>
  <c r="O147" i="4"/>
  <c r="P143" i="4"/>
  <c r="N142" i="4"/>
  <c r="N139" i="4"/>
  <c r="N135" i="4"/>
  <c r="P134" i="4"/>
  <c r="N133" i="4"/>
  <c r="N132" i="4"/>
  <c r="N131" i="4"/>
  <c r="N130" i="4"/>
  <c r="N129" i="4"/>
  <c r="N128" i="4"/>
  <c r="P127" i="4"/>
  <c r="O127" i="4"/>
  <c r="N127" i="4"/>
  <c r="N124" i="4"/>
  <c r="N123" i="4"/>
  <c r="N122" i="4"/>
  <c r="N121" i="4"/>
  <c r="N119" i="4"/>
  <c r="P118" i="4"/>
  <c r="N118" i="4"/>
  <c r="N115" i="4"/>
  <c r="N114" i="4"/>
  <c r="P113" i="4"/>
  <c r="N113" i="4"/>
  <c r="N112" i="4"/>
  <c r="P111" i="4"/>
  <c r="N111" i="4"/>
  <c r="N110" i="4"/>
  <c r="O109" i="4"/>
  <c r="N109" i="4"/>
  <c r="N108" i="4"/>
  <c r="N107" i="4"/>
  <c r="N103" i="4"/>
  <c r="P101" i="4"/>
  <c r="N101" i="4"/>
  <c r="N98" i="4"/>
  <c r="P95" i="4"/>
  <c r="P94" i="4"/>
  <c r="P93" i="4"/>
  <c r="O93" i="4"/>
  <c r="N92" i="4"/>
  <c r="N91" i="4"/>
  <c r="N90" i="4"/>
  <c r="N89" i="4"/>
  <c r="N88" i="4"/>
  <c r="P87" i="4"/>
  <c r="O87" i="4"/>
  <c r="N87" i="4"/>
  <c r="P86" i="4"/>
  <c r="N86" i="4"/>
  <c r="N85" i="4"/>
  <c r="N84" i="4"/>
  <c r="N83" i="4"/>
  <c r="N82" i="4"/>
  <c r="N81" i="4"/>
  <c r="P80" i="4"/>
  <c r="N80" i="4"/>
  <c r="N77" i="4"/>
  <c r="N76" i="4"/>
  <c r="N74" i="4"/>
  <c r="N73" i="4"/>
  <c r="N72" i="4"/>
  <c r="N65" i="4"/>
  <c r="N64" i="4"/>
  <c r="N62" i="4"/>
  <c r="N61" i="4"/>
  <c r="N60" i="4"/>
  <c r="N59" i="4"/>
  <c r="N58" i="4"/>
  <c r="N57" i="4"/>
  <c r="N56" i="4"/>
  <c r="N55" i="4"/>
  <c r="N54" i="4"/>
  <c r="P53" i="4"/>
  <c r="N53" i="4"/>
  <c r="P52" i="4"/>
  <c r="N52" i="4"/>
  <c r="N51" i="4"/>
  <c r="N50" i="4"/>
  <c r="N45" i="4"/>
  <c r="N44" i="4"/>
  <c r="P43" i="4"/>
  <c r="N43" i="4"/>
  <c r="N41" i="4"/>
  <c r="N39" i="4"/>
  <c r="N37" i="4"/>
  <c r="N35" i="4"/>
  <c r="N34" i="4"/>
  <c r="N33" i="4"/>
  <c r="N32" i="4"/>
  <c r="N30" i="4"/>
  <c r="N29" i="4"/>
  <c r="P27" i="4"/>
  <c r="P26" i="4"/>
  <c r="O26" i="4"/>
  <c r="N26" i="4"/>
  <c r="P25" i="4"/>
  <c r="O25" i="4"/>
  <c r="N25" i="4"/>
  <c r="N24" i="4"/>
  <c r="N23" i="4"/>
  <c r="N22" i="4"/>
  <c r="P21" i="4"/>
  <c r="N21" i="4"/>
  <c r="N20" i="4"/>
  <c r="P19" i="4"/>
  <c r="N19" i="4"/>
  <c r="O112" i="4"/>
  <c r="O86" i="4"/>
  <c r="G216" i="4" l="1"/>
  <c r="O19" i="4"/>
  <c r="O53" i="4"/>
  <c r="O113" i="4"/>
  <c r="O111" i="4"/>
  <c r="O52" i="4"/>
  <c r="K49" i="4"/>
  <c r="H215" i="4"/>
  <c r="H216" i="4"/>
  <c r="H213" i="4"/>
  <c r="P213" i="4" s="1"/>
  <c r="K216" i="4"/>
  <c r="O216" i="4" l="1"/>
  <c r="I216" i="4"/>
  <c r="P215" i="4"/>
  <c r="P216" i="4"/>
  <c r="K200" i="4"/>
  <c r="G221" i="4"/>
  <c r="O200" i="4" l="1"/>
  <c r="G184" i="4"/>
  <c r="O184" i="4" s="1"/>
  <c r="K179" i="4"/>
  <c r="O179" i="4" s="1"/>
  <c r="K174" i="4"/>
  <c r="O174" i="4" s="1"/>
  <c r="K173" i="4"/>
  <c r="K220" i="4" s="1"/>
  <c r="I220" i="4" s="1"/>
  <c r="G173" i="4"/>
  <c r="K171" i="4"/>
  <c r="G171" i="4"/>
  <c r="G169" i="4"/>
  <c r="K167" i="4"/>
  <c r="G167" i="4"/>
  <c r="K166" i="4"/>
  <c r="G166" i="4"/>
  <c r="P162" i="4"/>
  <c r="O161" i="4"/>
  <c r="O158" i="4"/>
  <c r="O143" i="4"/>
  <c r="P138" i="4"/>
  <c r="O134" i="4"/>
  <c r="G118" i="4"/>
  <c r="K101" i="4"/>
  <c r="K100" i="4" s="1"/>
  <c r="K99" i="4" s="1"/>
  <c r="G101" i="4"/>
  <c r="G94" i="4"/>
  <c r="G215" i="4" s="1"/>
  <c r="K80" i="4"/>
  <c r="O80" i="4" s="1"/>
  <c r="K43" i="4"/>
  <c r="G27" i="4"/>
  <c r="G214" i="4" s="1"/>
  <c r="K27" i="4"/>
  <c r="K214" i="4" s="1"/>
  <c r="I214" i="4" s="1"/>
  <c r="J31" i="4"/>
  <c r="I218" i="4" s="1"/>
  <c r="F31" i="4"/>
  <c r="G100" i="4" l="1"/>
  <c r="G99" i="4" s="1"/>
  <c r="G219" i="4"/>
  <c r="P137" i="4"/>
  <c r="O43" i="4"/>
  <c r="O118" i="4"/>
  <c r="G49" i="4"/>
  <c r="O101" i="4"/>
  <c r="I100" i="4"/>
  <c r="O137" i="4"/>
  <c r="O162" i="4"/>
  <c r="O171" i="4"/>
  <c r="P148" i="4"/>
  <c r="P220" i="4"/>
  <c r="I94" i="4"/>
  <c r="O94" i="4"/>
  <c r="O215" i="4"/>
  <c r="P131" i="4"/>
  <c r="O167" i="4"/>
  <c r="O173" i="4"/>
  <c r="I95" i="4"/>
  <c r="O95" i="4"/>
  <c r="O131" i="4"/>
  <c r="O138" i="4"/>
  <c r="P160" i="4"/>
  <c r="O164" i="4"/>
  <c r="P169" i="4"/>
  <c r="O160" i="4"/>
  <c r="K169" i="4"/>
  <c r="O169" i="4" s="1"/>
  <c r="O166" i="4"/>
  <c r="O27" i="4"/>
  <c r="O214" i="4"/>
  <c r="O213" i="4"/>
  <c r="N31" i="4"/>
  <c r="O148" i="4"/>
  <c r="P166" i="4"/>
  <c r="E100" i="4" l="1"/>
  <c r="K219" i="4"/>
  <c r="I219" i="4" s="1"/>
  <c r="P219" i="4"/>
  <c r="I198" i="4"/>
  <c r="I199" i="4"/>
  <c r="E194" i="4"/>
  <c r="E199" i="4"/>
  <c r="F185" i="4"/>
  <c r="F220" i="4" s="1"/>
  <c r="O219" i="4" l="1"/>
  <c r="M199" i="4"/>
  <c r="N184" i="4"/>
  <c r="N185" i="4"/>
  <c r="N148" i="4"/>
  <c r="N137" i="4"/>
  <c r="I103" i="4"/>
  <c r="I101" i="4"/>
  <c r="E103" i="4"/>
  <c r="E101" i="4"/>
  <c r="F99" i="4"/>
  <c r="I96" i="4" l="1"/>
  <c r="I97" i="4"/>
  <c r="M103" i="4"/>
  <c r="N120" i="4"/>
  <c r="M101" i="4"/>
  <c r="N100" i="4"/>
  <c r="P99" i="4"/>
  <c r="P100" i="4"/>
  <c r="E99" i="4"/>
  <c r="O100" i="4"/>
  <c r="J99" i="4"/>
  <c r="M100" i="4" l="1"/>
  <c r="O99" i="4"/>
  <c r="I99" i="4"/>
  <c r="M99" i="4" s="1"/>
  <c r="N99" i="4"/>
  <c r="I32" i="4" l="1"/>
  <c r="E32" i="4"/>
  <c r="M32" i="4" l="1"/>
  <c r="N42" i="4"/>
  <c r="N220" i="4"/>
  <c r="N27" i="4" l="1"/>
  <c r="N28" i="4"/>
  <c r="I72" i="4" l="1"/>
  <c r="I206" i="4" l="1"/>
  <c r="I207" i="4"/>
  <c r="E207" i="4"/>
  <c r="M207" i="4" l="1"/>
  <c r="K154" i="4"/>
  <c r="E176" i="4"/>
  <c r="M176" i="4" s="1"/>
  <c r="G154" i="4"/>
  <c r="G150" i="4"/>
  <c r="G220" i="4" s="1"/>
  <c r="E95" i="4"/>
  <c r="M95" i="4" s="1"/>
  <c r="E93" i="4"/>
  <c r="M93" i="4" s="1"/>
  <c r="E94" i="4"/>
  <c r="M94" i="4" s="1"/>
  <c r="I147" i="4"/>
  <c r="E147" i="4"/>
  <c r="L78" i="4"/>
  <c r="O163" i="4" l="1"/>
  <c r="O218" i="4"/>
  <c r="M147" i="4"/>
  <c r="P163" i="4"/>
  <c r="P218" i="4"/>
  <c r="O150" i="4"/>
  <c r="O220" i="4"/>
  <c r="L154" i="4"/>
  <c r="H154" i="4"/>
  <c r="F106" i="4"/>
  <c r="N200" i="4"/>
  <c r="I197" i="4"/>
  <c r="E198" i="4"/>
  <c r="M198" i="4" s="1"/>
  <c r="E197" i="4"/>
  <c r="I183" i="4"/>
  <c r="E183" i="4"/>
  <c r="E158" i="4"/>
  <c r="I158" i="4"/>
  <c r="M158" i="4" l="1"/>
  <c r="M183" i="4"/>
  <c r="M197" i="4"/>
  <c r="G126" i="4"/>
  <c r="H126" i="4"/>
  <c r="I152" i="4"/>
  <c r="E152" i="4"/>
  <c r="F126" i="4"/>
  <c r="G117" i="4"/>
  <c r="H117" i="4"/>
  <c r="F217" i="4"/>
  <c r="G106" i="4"/>
  <c r="H106" i="4"/>
  <c r="J106" i="4"/>
  <c r="L106" i="4"/>
  <c r="I123" i="4"/>
  <c r="E123" i="4"/>
  <c r="J117" i="4"/>
  <c r="F117" i="4"/>
  <c r="I110" i="4"/>
  <c r="E110" i="4"/>
  <c r="M110" i="4" l="1"/>
  <c r="M123" i="4"/>
  <c r="N219" i="4"/>
  <c r="N146" i="4"/>
  <c r="M152" i="4"/>
  <c r="N217" i="4"/>
  <c r="J126" i="4"/>
  <c r="F215" i="4" l="1"/>
  <c r="N215" i="4" s="1"/>
  <c r="I79" i="4"/>
  <c r="F63" i="4"/>
  <c r="F213" i="4" s="1"/>
  <c r="I37" i="4"/>
  <c r="I39" i="4"/>
  <c r="I41" i="4"/>
  <c r="N63" i="4" l="1"/>
  <c r="F49" i="4"/>
  <c r="E165" i="4"/>
  <c r="I165" i="4"/>
  <c r="K106" i="4"/>
  <c r="I161" i="4"/>
  <c r="I138" i="4"/>
  <c r="M165" i="4" l="1"/>
  <c r="L126" i="4"/>
  <c r="K126" i="4"/>
  <c r="E220" i="4"/>
  <c r="I205" i="4" l="1"/>
  <c r="I204" i="4"/>
  <c r="I182" i="4"/>
  <c r="I77" i="4"/>
  <c r="F216" i="4" l="1"/>
  <c r="N216" i="4"/>
  <c r="E205" i="4" l="1"/>
  <c r="M205" i="4" s="1"/>
  <c r="E204" i="4"/>
  <c r="M204" i="4" s="1"/>
  <c r="P221" i="4"/>
  <c r="K193" i="4"/>
  <c r="I196" i="4"/>
  <c r="E196" i="4"/>
  <c r="E182" i="4"/>
  <c r="M182" i="4" s="1"/>
  <c r="E161" i="4"/>
  <c r="M161" i="4" s="1"/>
  <c r="E138" i="4"/>
  <c r="M138" i="4" s="1"/>
  <c r="K221" i="4" l="1"/>
  <c r="I221" i="4" s="1"/>
  <c r="M196" i="4"/>
  <c r="F221" i="4"/>
  <c r="E221" i="4" s="1"/>
  <c r="F188" i="4"/>
  <c r="O221" i="4" l="1"/>
  <c r="N221" i="4"/>
  <c r="J78" i="4"/>
  <c r="E77" i="4"/>
  <c r="M77" i="4" s="1"/>
  <c r="E72" i="4"/>
  <c r="M72" i="4" s="1"/>
  <c r="E37" i="4"/>
  <c r="M37" i="4" s="1"/>
  <c r="E39" i="4"/>
  <c r="M39" i="4" s="1"/>
  <c r="K78" i="4" l="1"/>
  <c r="O79" i="4"/>
  <c r="P79" i="4"/>
  <c r="I19" i="4"/>
  <c r="I20" i="4"/>
  <c r="I21" i="4"/>
  <c r="I22" i="4"/>
  <c r="J188" i="4" l="1"/>
  <c r="I186" i="4" l="1"/>
  <c r="I174" i="4" l="1"/>
  <c r="E174" i="4" l="1"/>
  <c r="M174" i="4" s="1"/>
  <c r="H188" i="4" l="1"/>
  <c r="G188" i="4"/>
  <c r="N188" i="4"/>
  <c r="E185" i="4"/>
  <c r="I185" i="4"/>
  <c r="I149" i="4"/>
  <c r="E149" i="4"/>
  <c r="E98" i="4"/>
  <c r="M98" i="4" s="1"/>
  <c r="M185" i="4" l="1"/>
  <c r="M149" i="4"/>
  <c r="N79" i="4"/>
  <c r="H116" i="4" l="1"/>
  <c r="G116" i="4"/>
  <c r="E217" i="4"/>
  <c r="J187" i="4"/>
  <c r="H187" i="4"/>
  <c r="G187" i="4"/>
  <c r="F187" i="4"/>
  <c r="M221" i="4" l="1"/>
  <c r="N187" i="4"/>
  <c r="E219" i="4"/>
  <c r="L188" i="4"/>
  <c r="P188" i="4" s="1"/>
  <c r="K188" i="4"/>
  <c r="O188" i="4" s="1"/>
  <c r="E216" i="4"/>
  <c r="I192" i="4"/>
  <c r="H178" i="4"/>
  <c r="G178" i="4"/>
  <c r="F178" i="4"/>
  <c r="F177" i="4" s="1"/>
  <c r="J154" i="4"/>
  <c r="J153" i="4" s="1"/>
  <c r="H153" i="4"/>
  <c r="G153" i="4"/>
  <c r="F154" i="4"/>
  <c r="J116" i="4" l="1"/>
  <c r="N154" i="4"/>
  <c r="J178" i="4"/>
  <c r="E215" i="4"/>
  <c r="I23" i="4"/>
  <c r="F214" i="4"/>
  <c r="N214" i="4" s="1"/>
  <c r="J177" i="4" l="1"/>
  <c r="N177" i="4" s="1"/>
  <c r="N178" i="4"/>
  <c r="E214" i="4"/>
  <c r="G177" i="4"/>
  <c r="H177" i="4"/>
  <c r="F153" i="4"/>
  <c r="N153" i="4" s="1"/>
  <c r="E126" i="4"/>
  <c r="H125" i="4"/>
  <c r="F125" i="4"/>
  <c r="G78" i="4"/>
  <c r="O78" i="4" s="1"/>
  <c r="H78" i="4"/>
  <c r="P78" i="4" s="1"/>
  <c r="F78" i="4"/>
  <c r="G18" i="4"/>
  <c r="H18" i="4"/>
  <c r="F18" i="4"/>
  <c r="E19" i="4"/>
  <c r="M19" i="4" s="1"/>
  <c r="E20" i="4"/>
  <c r="M20" i="4" s="1"/>
  <c r="E21" i="4"/>
  <c r="M21" i="4" s="1"/>
  <c r="E22" i="4"/>
  <c r="M22" i="4" s="1"/>
  <c r="E23" i="4"/>
  <c r="M23" i="4" s="1"/>
  <c r="E24" i="4"/>
  <c r="E25" i="4"/>
  <c r="E26" i="4"/>
  <c r="E27" i="4"/>
  <c r="E28" i="4"/>
  <c r="E29" i="4"/>
  <c r="E30" i="4"/>
  <c r="E33" i="4"/>
  <c r="E34" i="4"/>
  <c r="E35" i="4"/>
  <c r="E41" i="4"/>
  <c r="M41" i="4" s="1"/>
  <c r="E43" i="4"/>
  <c r="E44" i="4"/>
  <c r="E45" i="4"/>
  <c r="E47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4" i="4"/>
  <c r="E65" i="4"/>
  <c r="E73" i="4"/>
  <c r="E74" i="4"/>
  <c r="E76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6" i="4"/>
  <c r="E97" i="4"/>
  <c r="E107" i="4"/>
  <c r="E108" i="4"/>
  <c r="E109" i="4"/>
  <c r="E111" i="4"/>
  <c r="E112" i="4"/>
  <c r="E113" i="4"/>
  <c r="E114" i="4"/>
  <c r="E115" i="4"/>
  <c r="E118" i="4"/>
  <c r="E119" i="4"/>
  <c r="E120" i="4"/>
  <c r="E121" i="4"/>
  <c r="E122" i="4"/>
  <c r="E124" i="4"/>
  <c r="E127" i="4"/>
  <c r="E128" i="4"/>
  <c r="E129" i="4"/>
  <c r="E130" i="4"/>
  <c r="E131" i="4"/>
  <c r="E132" i="4"/>
  <c r="E133" i="4"/>
  <c r="E134" i="4"/>
  <c r="E135" i="4"/>
  <c r="E137" i="4"/>
  <c r="E139" i="4"/>
  <c r="E142" i="4"/>
  <c r="E143" i="4"/>
  <c r="E145" i="4"/>
  <c r="E146" i="4"/>
  <c r="E148" i="4"/>
  <c r="E150" i="4"/>
  <c r="E155" i="4"/>
  <c r="E156" i="4"/>
  <c r="E157" i="4"/>
  <c r="E160" i="4"/>
  <c r="E162" i="4"/>
  <c r="E163" i="4"/>
  <c r="E164" i="4"/>
  <c r="E166" i="4"/>
  <c r="E167" i="4"/>
  <c r="E169" i="4"/>
  <c r="E170" i="4"/>
  <c r="E171" i="4"/>
  <c r="E172" i="4"/>
  <c r="E173" i="4"/>
  <c r="E175" i="4"/>
  <c r="E179" i="4"/>
  <c r="E180" i="4"/>
  <c r="E181" i="4"/>
  <c r="E184" i="4"/>
  <c r="E186" i="4"/>
  <c r="M186" i="4" s="1"/>
  <c r="E189" i="4"/>
  <c r="E190" i="4"/>
  <c r="E191" i="4"/>
  <c r="E192" i="4"/>
  <c r="M192" i="4" s="1"/>
  <c r="E193" i="4"/>
  <c r="E195" i="4"/>
  <c r="E200" i="4"/>
  <c r="E202" i="4"/>
  <c r="E203" i="4"/>
  <c r="E206" i="4"/>
  <c r="M206" i="4" s="1"/>
  <c r="F17" i="4" l="1"/>
  <c r="F212" i="4"/>
  <c r="E17" i="4"/>
  <c r="G212" i="4"/>
  <c r="G222" i="4" s="1"/>
  <c r="H212" i="4"/>
  <c r="H222" i="4" s="1"/>
  <c r="F16" i="4"/>
  <c r="N213" i="4"/>
  <c r="G105" i="4"/>
  <c r="O106" i="4"/>
  <c r="F116" i="4"/>
  <c r="N117" i="4"/>
  <c r="F105" i="4"/>
  <c r="N106" i="4"/>
  <c r="H105" i="4"/>
  <c r="P106" i="4"/>
  <c r="N78" i="4"/>
  <c r="E117" i="4"/>
  <c r="H16" i="4"/>
  <c r="E31" i="4"/>
  <c r="E42" i="4"/>
  <c r="E63" i="4"/>
  <c r="E49" i="4" s="1"/>
  <c r="E188" i="4"/>
  <c r="E178" i="4"/>
  <c r="E79" i="4"/>
  <c r="E187" i="4"/>
  <c r="E177" i="4"/>
  <c r="E154" i="4"/>
  <c r="E153" i="4"/>
  <c r="G125" i="4"/>
  <c r="E125" i="4" s="1"/>
  <c r="E106" i="4"/>
  <c r="E78" i="4"/>
  <c r="H48" i="4"/>
  <c r="E18" i="4"/>
  <c r="H211" i="4" l="1"/>
  <c r="H224" i="4" s="1"/>
  <c r="E105" i="4"/>
  <c r="F48" i="4"/>
  <c r="F211" i="4" s="1"/>
  <c r="N49" i="4"/>
  <c r="E116" i="4"/>
  <c r="N116" i="4"/>
  <c r="E218" i="4"/>
  <c r="G48" i="4"/>
  <c r="E213" i="4"/>
  <c r="E212" i="4"/>
  <c r="F222" i="4"/>
  <c r="G16" i="4"/>
  <c r="E16" i="4" l="1"/>
  <c r="G211" i="4"/>
  <c r="E48" i="4"/>
  <c r="E222" i="4"/>
  <c r="H225" i="4"/>
  <c r="F225" i="4"/>
  <c r="I189" i="4"/>
  <c r="M189" i="4" s="1"/>
  <c r="E211" i="4" l="1"/>
  <c r="E225" i="4" s="1"/>
  <c r="G225" i="4"/>
  <c r="I179" i="4" l="1"/>
  <c r="M179" i="4" s="1"/>
  <c r="K187" i="4" l="1"/>
  <c r="O187" i="4" s="1"/>
  <c r="L187" i="4"/>
  <c r="P187" i="4" s="1"/>
  <c r="J18" i="4" l="1"/>
  <c r="J17" i="4" l="1"/>
  <c r="J212" i="4"/>
  <c r="N18" i="4"/>
  <c r="I62" i="4"/>
  <c r="M62" i="4" s="1"/>
  <c r="N212" i="4" l="1"/>
  <c r="N126" i="4"/>
  <c r="J125" i="4" l="1"/>
  <c r="N125" i="4" s="1"/>
  <c r="I167" i="4"/>
  <c r="M167" i="4" s="1"/>
  <c r="K18" i="4" l="1"/>
  <c r="K17" i="4" s="1"/>
  <c r="I17" i="4" s="1"/>
  <c r="L18" i="4"/>
  <c r="I24" i="4"/>
  <c r="M24" i="4" s="1"/>
  <c r="I25" i="4"/>
  <c r="M25" i="4" s="1"/>
  <c r="I26" i="4"/>
  <c r="M26" i="4" s="1"/>
  <c r="I27" i="4"/>
  <c r="M27" i="4" s="1"/>
  <c r="I28" i="4"/>
  <c r="M28" i="4" s="1"/>
  <c r="I29" i="4"/>
  <c r="M29" i="4" s="1"/>
  <c r="I30" i="4"/>
  <c r="I33" i="4"/>
  <c r="M33" i="4" s="1"/>
  <c r="I34" i="4"/>
  <c r="M34" i="4" s="1"/>
  <c r="I35" i="4"/>
  <c r="M35" i="4" s="1"/>
  <c r="I43" i="4"/>
  <c r="M43" i="4" s="1"/>
  <c r="I44" i="4"/>
  <c r="M44" i="4" s="1"/>
  <c r="I45" i="4"/>
  <c r="M45" i="4" s="1"/>
  <c r="I47" i="4"/>
  <c r="M47" i="4" s="1"/>
  <c r="I50" i="4"/>
  <c r="I51" i="4"/>
  <c r="M51" i="4" s="1"/>
  <c r="I52" i="4"/>
  <c r="M52" i="4" s="1"/>
  <c r="I53" i="4"/>
  <c r="M53" i="4" s="1"/>
  <c r="I54" i="4"/>
  <c r="M54" i="4" s="1"/>
  <c r="I55" i="4"/>
  <c r="M55" i="4" s="1"/>
  <c r="I56" i="4"/>
  <c r="M56" i="4" s="1"/>
  <c r="I57" i="4"/>
  <c r="M57" i="4" s="1"/>
  <c r="I58" i="4"/>
  <c r="M58" i="4" s="1"/>
  <c r="I59" i="4"/>
  <c r="M59" i="4" s="1"/>
  <c r="I60" i="4"/>
  <c r="M60" i="4" s="1"/>
  <c r="I61" i="4"/>
  <c r="M61" i="4" s="1"/>
  <c r="I64" i="4"/>
  <c r="M64" i="4" s="1"/>
  <c r="I65" i="4"/>
  <c r="M65" i="4" s="1"/>
  <c r="I73" i="4"/>
  <c r="M73" i="4" s="1"/>
  <c r="I74" i="4"/>
  <c r="M74" i="4" s="1"/>
  <c r="I80" i="4"/>
  <c r="M80" i="4" s="1"/>
  <c r="I81" i="4"/>
  <c r="M81" i="4" s="1"/>
  <c r="I82" i="4"/>
  <c r="M82" i="4" s="1"/>
  <c r="I83" i="4"/>
  <c r="M83" i="4" s="1"/>
  <c r="I84" i="4"/>
  <c r="M84" i="4" s="1"/>
  <c r="I85" i="4"/>
  <c r="M85" i="4" s="1"/>
  <c r="I86" i="4"/>
  <c r="M86" i="4" s="1"/>
  <c r="I87" i="4"/>
  <c r="M87" i="4" s="1"/>
  <c r="I88" i="4"/>
  <c r="M88" i="4" s="1"/>
  <c r="I89" i="4"/>
  <c r="M89" i="4" s="1"/>
  <c r="I90" i="4"/>
  <c r="M90" i="4" s="1"/>
  <c r="I91" i="4"/>
  <c r="M91" i="4" s="1"/>
  <c r="I92" i="4"/>
  <c r="M92" i="4" s="1"/>
  <c r="I107" i="4"/>
  <c r="M107" i="4" s="1"/>
  <c r="I108" i="4"/>
  <c r="M108" i="4" s="1"/>
  <c r="I109" i="4"/>
  <c r="M109" i="4" s="1"/>
  <c r="I111" i="4"/>
  <c r="M111" i="4" s="1"/>
  <c r="I112" i="4"/>
  <c r="M112" i="4" s="1"/>
  <c r="I113" i="4"/>
  <c r="M113" i="4" s="1"/>
  <c r="I114" i="4"/>
  <c r="M114" i="4" s="1"/>
  <c r="I115" i="4"/>
  <c r="M115" i="4" s="1"/>
  <c r="I118" i="4"/>
  <c r="M118" i="4" s="1"/>
  <c r="I119" i="4"/>
  <c r="M119" i="4" s="1"/>
  <c r="I120" i="4"/>
  <c r="I121" i="4"/>
  <c r="M121" i="4" s="1"/>
  <c r="I122" i="4"/>
  <c r="M122" i="4" s="1"/>
  <c r="I127" i="4"/>
  <c r="M127" i="4" s="1"/>
  <c r="I128" i="4"/>
  <c r="M128" i="4" s="1"/>
  <c r="I129" i="4"/>
  <c r="M129" i="4" s="1"/>
  <c r="I130" i="4"/>
  <c r="M130" i="4" s="1"/>
  <c r="I131" i="4"/>
  <c r="M131" i="4" s="1"/>
  <c r="I132" i="4"/>
  <c r="M132" i="4" s="1"/>
  <c r="I133" i="4"/>
  <c r="M133" i="4" s="1"/>
  <c r="I134" i="4"/>
  <c r="M134" i="4" s="1"/>
  <c r="I135" i="4"/>
  <c r="M135" i="4" s="1"/>
  <c r="I137" i="4"/>
  <c r="M137" i="4" s="1"/>
  <c r="I139" i="4"/>
  <c r="I142" i="4"/>
  <c r="M142" i="4" s="1"/>
  <c r="I143" i="4"/>
  <c r="M143" i="4" s="1"/>
  <c r="I145" i="4"/>
  <c r="M145" i="4" s="1"/>
  <c r="I162" i="4"/>
  <c r="M162" i="4" s="1"/>
  <c r="I169" i="4"/>
  <c r="M169" i="4" s="1"/>
  <c r="I173" i="4"/>
  <c r="M173" i="4" s="1"/>
  <c r="I187" i="4"/>
  <c r="M187" i="4" s="1"/>
  <c r="I188" i="4"/>
  <c r="M188" i="4" s="1"/>
  <c r="I190" i="4"/>
  <c r="M190" i="4" s="1"/>
  <c r="I191" i="4"/>
  <c r="M191" i="4" s="1"/>
  <c r="I193" i="4"/>
  <c r="M193" i="4" s="1"/>
  <c r="I202" i="4"/>
  <c r="M202" i="4" s="1"/>
  <c r="L212" i="4" l="1"/>
  <c r="P212" i="4" s="1"/>
  <c r="L17" i="4"/>
  <c r="M50" i="4"/>
  <c r="M120" i="4"/>
  <c r="M30" i="4"/>
  <c r="M215" i="4"/>
  <c r="M139" i="4"/>
  <c r="P17" i="4"/>
  <c r="O17" i="4"/>
  <c r="K212" i="4"/>
  <c r="I212" i="4" s="1"/>
  <c r="I222" i="4" s="1"/>
  <c r="M214" i="4"/>
  <c r="I106" i="4"/>
  <c r="M106" i="4" s="1"/>
  <c r="M216" i="4"/>
  <c r="N218" i="4"/>
  <c r="P49" i="4"/>
  <c r="P18" i="4"/>
  <c r="O18" i="4"/>
  <c r="N17" i="4"/>
  <c r="L105" i="4"/>
  <c r="P105" i="4" s="1"/>
  <c r="K105" i="4"/>
  <c r="O105" i="4" s="1"/>
  <c r="K178" i="4"/>
  <c r="O178" i="4" s="1"/>
  <c r="L178" i="4"/>
  <c r="P178" i="4" s="1"/>
  <c r="J105" i="4"/>
  <c r="N105" i="4" s="1"/>
  <c r="I42" i="4"/>
  <c r="I195" i="4"/>
  <c r="M195" i="4" s="1"/>
  <c r="I31" i="4"/>
  <c r="M31" i="4" s="1"/>
  <c r="I184" i="4"/>
  <c r="M184" i="4" s="1"/>
  <c r="I180" i="4"/>
  <c r="M180" i="4" s="1"/>
  <c r="I76" i="4"/>
  <c r="M76" i="4" s="1"/>
  <c r="I63" i="4"/>
  <c r="M63" i="4" s="1"/>
  <c r="I18" i="4"/>
  <c r="M17" i="4" l="1"/>
  <c r="I49" i="4"/>
  <c r="M49" i="4" s="1"/>
  <c r="M213" i="4"/>
  <c r="M42" i="4"/>
  <c r="O212" i="4"/>
  <c r="K222" i="4"/>
  <c r="L222" i="4"/>
  <c r="J222" i="4"/>
  <c r="N222" i="4" s="1"/>
  <c r="M18" i="4"/>
  <c r="I78" i="4"/>
  <c r="M78" i="4" s="1"/>
  <c r="M79" i="4"/>
  <c r="K48" i="4"/>
  <c r="O48" i="4" s="1"/>
  <c r="O49" i="4"/>
  <c r="L48" i="4"/>
  <c r="P48" i="4" s="1"/>
  <c r="L177" i="4"/>
  <c r="P177" i="4" s="1"/>
  <c r="K177" i="4"/>
  <c r="O177" i="4" s="1"/>
  <c r="I105" i="4"/>
  <c r="M105" i="4" s="1"/>
  <c r="J16" i="4"/>
  <c r="K16" i="4"/>
  <c r="L16" i="4"/>
  <c r="I181" i="4"/>
  <c r="M181" i="4" s="1"/>
  <c r="J48" i="4"/>
  <c r="N48" i="4" s="1"/>
  <c r="J211" i="4" l="1"/>
  <c r="O16" i="4"/>
  <c r="P16" i="4"/>
  <c r="I178" i="4"/>
  <c r="M178" i="4" s="1"/>
  <c r="N16" i="4"/>
  <c r="I177" i="4"/>
  <c r="M177" i="4" s="1"/>
  <c r="I16" i="4"/>
  <c r="I48" i="4"/>
  <c r="M48" i="4" s="1"/>
  <c r="M16" i="4" l="1"/>
  <c r="J225" i="4"/>
  <c r="N211" i="4"/>
  <c r="N225" i="4" s="1"/>
  <c r="I166" i="4"/>
  <c r="I160" i="4"/>
  <c r="M160" i="4" s="1"/>
  <c r="M166" i="4" l="1"/>
  <c r="P154" i="4"/>
  <c r="O154" i="4"/>
  <c r="I157" i="4"/>
  <c r="M157" i="4" s="1"/>
  <c r="I156" i="4"/>
  <c r="M156" i="4" s="1"/>
  <c r="I155" i="4"/>
  <c r="M155" i="4" l="1"/>
  <c r="K153" i="4"/>
  <c r="O153" i="4" s="1"/>
  <c r="L153" i="4"/>
  <c r="P153" i="4" s="1"/>
  <c r="I164" i="4"/>
  <c r="M164" i="4" s="1"/>
  <c r="M212" i="4" l="1"/>
  <c r="I150" i="4" l="1"/>
  <c r="M150" i="4" s="1"/>
  <c r="P126" i="4" l="1"/>
  <c r="I148" i="4"/>
  <c r="M148" i="4" l="1"/>
  <c r="K125" i="4"/>
  <c r="O125" i="4" s="1"/>
  <c r="O126" i="4"/>
  <c r="L125" i="4"/>
  <c r="I146" i="4"/>
  <c r="M146" i="4" s="1"/>
  <c r="P125" i="4" l="1"/>
  <c r="I126" i="4"/>
  <c r="M126" i="4" s="1"/>
  <c r="L117" i="4"/>
  <c r="I125" i="4"/>
  <c r="M125" i="4" s="1"/>
  <c r="P117" i="4" l="1"/>
  <c r="L116" i="4"/>
  <c r="L211" i="4" s="1"/>
  <c r="P211" i="4" s="1"/>
  <c r="K117" i="4"/>
  <c r="I124" i="4"/>
  <c r="M124" i="4" s="1"/>
  <c r="I170" i="4"/>
  <c r="I163" i="4"/>
  <c r="M163" i="4" l="1"/>
  <c r="P116" i="4"/>
  <c r="M170" i="4"/>
  <c r="O117" i="4"/>
  <c r="K116" i="4"/>
  <c r="I117" i="4"/>
  <c r="M117" i="4" s="1"/>
  <c r="M218" i="4"/>
  <c r="M217" i="4"/>
  <c r="I175" i="4"/>
  <c r="M175" i="4" l="1"/>
  <c r="M220" i="4"/>
  <c r="O116" i="4"/>
  <c r="K211" i="4"/>
  <c r="I116" i="4"/>
  <c r="I172" i="4"/>
  <c r="M172" i="4" l="1"/>
  <c r="M116" i="4"/>
  <c r="O211" i="4"/>
  <c r="P222" i="4"/>
  <c r="I171" i="4"/>
  <c r="M171" i="4" l="1"/>
  <c r="I154" i="4"/>
  <c r="P225" i="4"/>
  <c r="M154" i="4"/>
  <c r="I203" i="4"/>
  <c r="M203" i="4" s="1"/>
  <c r="M219" i="4" l="1"/>
  <c r="M222" i="4"/>
  <c r="O222" i="4"/>
  <c r="O225" i="4" s="1"/>
  <c r="I200" i="4"/>
  <c r="M200" i="4" s="1"/>
  <c r="I153" i="4"/>
  <c r="M153" i="4" l="1"/>
  <c r="I211" i="4"/>
  <c r="M211" i="4" s="1"/>
  <c r="M225" i="4" s="1"/>
</calcChain>
</file>

<file path=xl/sharedStrings.xml><?xml version="1.0" encoding="utf-8"?>
<sst xmlns="http://schemas.openxmlformats.org/spreadsheetml/2006/main" count="687" uniqueCount="423">
  <si>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</si>
  <si>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</si>
  <si>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</si>
  <si>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</si>
  <si>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</si>
  <si>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</si>
  <si>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</si>
  <si>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</si>
  <si>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</si>
  <si>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</si>
  <si>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</si>
  <si>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</si>
  <si>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</si>
  <si>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</si>
  <si>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</si>
  <si>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</si>
  <si>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</si>
  <si>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</si>
  <si>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0950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</si>
  <si>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</si>
  <si>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</si>
  <si>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</si>
  <si>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</si>
  <si>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</si>
  <si>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</si>
  <si>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</si>
  <si>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</si>
  <si>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</si>
  <si>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</si>
  <si>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</si>
  <si>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</si>
  <si>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</si>
  <si>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</si>
  <si>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</si>
  <si>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</si>
  <si>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</si>
  <si>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3112</t>
  </si>
  <si>
    <t>4060</t>
  </si>
  <si>
    <t>0824</t>
  </si>
  <si>
    <t>0828</t>
  </si>
  <si>
    <t>0829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</si>
  <si>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</si>
  <si>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</si>
  <si>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</si>
  <si>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</si>
  <si>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</si>
  <si>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</si>
  <si>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</si>
  <si>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</si>
  <si>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</si>
  <si>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</si>
  <si>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</si>
  <si>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</si>
  <si>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0150</t>
  </si>
  <si>
    <t>2100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</si>
  <si>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</si>
  <si>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</si>
  <si>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</si>
  <si>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</si>
  <si>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</si>
  <si>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</si>
  <si>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</si>
  <si>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</si>
  <si>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</si>
  <si>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</si>
  <si>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</si>
  <si>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</si>
  <si>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</si>
  <si>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</si>
  <si>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</si>
  <si>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</si>
  <si>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</si>
  <si>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</si>
  <si>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</si>
  <si>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</si>
  <si>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</si>
  <si>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</si>
  <si>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</si>
  <si>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</si>
  <si>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</si>
  <si>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</si>
  <si>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</si>
  <si>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1014060</t>
  </si>
  <si>
    <t>1110160</t>
  </si>
  <si>
    <t>3123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</si>
  <si>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</si>
  <si>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</si>
  <si>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</si>
  <si>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</si>
  <si>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</si>
  <si>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</si>
  <si>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</si>
  <si>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</si>
  <si>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</si>
  <si>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</si>
  <si>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</si>
  <si>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</si>
  <si>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</si>
  <si>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</si>
  <si>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</si>
  <si>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</si>
  <si>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</si>
  <si>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</si>
  <si>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</si>
  <si>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</si>
  <si>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3710180</t>
  </si>
  <si>
    <t>9110</t>
  </si>
  <si>
    <t>3719110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</si>
  <si>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</si>
  <si>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</si>
  <si>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</si>
  <si>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</si>
  <si>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</si>
  <si>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</si>
  <si>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</si>
  <si>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</si>
  <si>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</si>
  <si>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</si>
  <si>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</si>
  <si>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0210180</t>
  </si>
  <si>
    <t>3104</t>
  </si>
  <si>
    <t>0813104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</si>
  <si>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</si>
  <si>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</si>
  <si>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</si>
  <si>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</si>
  <si>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</si>
  <si>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</si>
  <si>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</si>
  <si>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6012</t>
  </si>
  <si>
    <t>1216012</t>
  </si>
  <si>
    <t>Забезпечення діяльності з виробництва, транспортування, постачання теплової енергії</t>
  </si>
  <si>
    <t>0443</t>
  </si>
  <si>
    <t>8340</t>
  </si>
  <si>
    <t>0218340</t>
  </si>
  <si>
    <t>0763</t>
  </si>
  <si>
    <t>1218340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</si>
  <si>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</si>
  <si>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</si>
  <si>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</si>
  <si>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</si>
  <si>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</si>
  <si>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Природоохоронні заходи за рахунок цільових фондів</t>
  </si>
  <si>
    <t>7693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</si>
  <si>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</si>
  <si>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</si>
  <si>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</si>
  <si>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0813160</t>
  </si>
  <si>
    <t>3160</t>
  </si>
  <si>
    <t>0813180</t>
  </si>
  <si>
    <t>3180</t>
  </si>
  <si>
    <t>0813192</t>
  </si>
  <si>
    <t>3192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</si>
  <si>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</si>
  <si>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</si>
  <si>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</si>
  <si>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</si>
  <si>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</si>
  <si>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</si>
  <si>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</si>
  <si>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1216017</t>
  </si>
  <si>
    <t>6017</t>
  </si>
  <si>
    <t>Багатопрофільна стаціонарна медична допомога населенню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</si>
  <si>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</si>
  <si>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 т.ч. за програмами:</t>
  </si>
  <si>
    <t>Інші субвенції з місцевого бюджету</t>
  </si>
  <si>
    <t>0810180</t>
  </si>
  <si>
    <t>0380</t>
  </si>
  <si>
    <t>0213112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</si>
  <si>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</si>
  <si>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</si>
  <si>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</si>
  <si>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</si>
  <si>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</si>
  <si>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</si>
  <si>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</si>
  <si>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</si>
  <si>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</si>
  <si>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</si>
  <si>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</si>
  <si>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</si>
  <si>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</si>
  <si>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</si>
  <si>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ЗВІТ</t>
  </si>
  <si>
    <t>в  тому  числі</t>
  </si>
  <si>
    <t>в  тому   числі</t>
  </si>
  <si>
    <t>загальний фонд</t>
  </si>
  <si>
    <t>спеціальний фонд</t>
  </si>
  <si>
    <t>загальний  фонд</t>
  </si>
  <si>
    <t>всього</t>
  </si>
  <si>
    <t xml:space="preserve">з них </t>
  </si>
  <si>
    <t>0218210</t>
  </si>
  <si>
    <t>8210</t>
  </si>
  <si>
    <t>Муніципальні формування з охорони громадського порядку</t>
  </si>
  <si>
    <t>3116017</t>
  </si>
  <si>
    <t>2152</t>
  </si>
  <si>
    <t>1210170</t>
  </si>
  <si>
    <t>0611021</t>
  </si>
  <si>
    <t>1021</t>
  </si>
  <si>
    <t>0611022</t>
  </si>
  <si>
    <t>1022</t>
  </si>
  <si>
    <t>0611031</t>
  </si>
  <si>
    <t>1031</t>
  </si>
  <si>
    <t>0611032</t>
  </si>
  <si>
    <t>1032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</si>
  <si>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</si>
  <si>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</si>
  <si>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</si>
  <si>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Підвищення кваліфікації, перепідготовка кадрів закладами післядипломної освіти</t>
  </si>
  <si>
    <t>0611141</t>
  </si>
  <si>
    <t>1141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</si>
  <si>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</si>
  <si>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</si>
  <si>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</si>
  <si>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</si>
  <si>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</si>
  <si>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</si>
  <si>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</si>
  <si>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</si>
  <si>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1011080</t>
  </si>
  <si>
    <t>1080</t>
  </si>
  <si>
    <t>3718710</t>
  </si>
  <si>
    <t>8710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</si>
  <si>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</si>
  <si>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</si>
  <si>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</si>
  <si>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(код бюджету)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</si>
  <si>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</si>
  <si>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</si>
  <si>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</si>
  <si>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</si>
  <si>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</si>
  <si>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</si>
  <si>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</si>
  <si>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</si>
  <si>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</si>
  <si>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</si>
  <si>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</si>
  <si>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</si>
  <si>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</si>
  <si>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</si>
  <si>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Субвенція з місцевого бюджету державному бюджету на виконання програм соціально-економічного розвитку регіонів</t>
  </si>
  <si>
    <t/>
  </si>
  <si>
    <t>Виконавчий комiтет Чорноморської мiської ради Одеського району Одеської областi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</si>
  <si>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</si>
  <si>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Стоматологічна допомога населенню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</si>
  <si>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</si>
  <si>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</si>
  <si>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</si>
  <si>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</si>
  <si>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</si>
  <si>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Організація благоустрою населених пунктів</t>
  </si>
  <si>
    <t>0218220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</si>
  <si>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</si>
  <si>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</si>
  <si>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</si>
  <si>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</si>
  <si>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</si>
  <si>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</si>
  <si>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</si>
  <si>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</si>
  <si>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0611200</t>
  </si>
  <si>
    <t>Управлiння соцiальної полiтики Чорноморської мiської ради Одеського району Одеської областi</t>
  </si>
  <si>
    <t>Надання пільг окремим категоріям громадян з оплати послуг зв`язку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</si>
  <si>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</si>
  <si>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Утримання та забезпечення діяльності центрів соціальних служб</t>
  </si>
  <si>
    <t>0813123</t>
  </si>
  <si>
    <t>Заходи державної політики з питань сім`ї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</si>
  <si>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</si>
  <si>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</si>
  <si>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</si>
  <si>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Вiддiл культури Чорноморської мiської ради Одеського району Одеської областi</t>
  </si>
  <si>
    <t>1010180</t>
  </si>
  <si>
    <t>Надання спеціалізованої освіти мистецькими школами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</si>
  <si>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</si>
  <si>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</si>
  <si>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Вiддiл молодi та спорту Чорноморської мiської ради Одеського району Одеської областi</t>
  </si>
  <si>
    <t>1110180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</si>
  <si>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</si>
  <si>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Вiддiл комунального господарства та благоустрою Чорноморської мiської ради Одеського району Одеської областi</t>
  </si>
  <si>
    <t>1210180</t>
  </si>
  <si>
    <t>Інша діяльність, пов`язана з експлуатацією об`єктів житлово-комунального господарства</t>
  </si>
  <si>
    <t>Інші заходи, пов`язані з економічною діяльністю</t>
  </si>
  <si>
    <t>Управлiння капiтального будiвництва Чорноморської мiської ради Одеського району Одеської областi</t>
  </si>
  <si>
    <t>1510180</t>
  </si>
  <si>
    <t>Будівництво 1 об'єктів житлово-комунального господарства</t>
  </si>
  <si>
    <t>Будівництво 1 освітніх установ та закладів</t>
  </si>
  <si>
    <t>Розвиток мережі центрів надання адміністративних послуг</t>
  </si>
  <si>
    <t>Управлiння комунальної власностi та земельних вiдносин Чорноморської мiської ради Одеського району Одеської областi</t>
  </si>
  <si>
    <t>Фiнансове управлiння Чорноморської мiської ради Одеського району Одеської областi</t>
  </si>
  <si>
    <t>Резервний фонд місцевого бюджету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</si>
  <si>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</si>
  <si>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X</t>
  </si>
  <si>
    <t>УСЬОГО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</si>
  <si>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</si>
  <si>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0813230</t>
  </si>
  <si>
    <t>3118240</t>
  </si>
  <si>
    <t>1518110</t>
  </si>
  <si>
    <t>Всього</t>
  </si>
  <si>
    <t xml:space="preserve"> в тому  числі</t>
  </si>
  <si>
    <t>Виконання (%)</t>
  </si>
  <si>
    <t>0618110</t>
  </si>
  <si>
    <t>0610</t>
  </si>
  <si>
    <t>1510150</t>
  </si>
  <si>
    <t xml:space="preserve">Начальник фінансового управління </t>
  </si>
  <si>
    <t>Ольга ЯКОВЕНКО</t>
  </si>
  <si>
    <t>0818110</t>
  </si>
  <si>
    <t>3118110</t>
  </si>
  <si>
    <t>1518311</t>
  </si>
  <si>
    <t>0511</t>
  </si>
  <si>
    <t>Охорона та раціональне використання природних ресурсів</t>
  </si>
  <si>
    <t>0217351</t>
  </si>
  <si>
    <t>Розроблення комплексних планів просторового розвитку територій територіальних громад</t>
  </si>
  <si>
    <t>0217390</t>
  </si>
  <si>
    <t>7390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</si>
  <si>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</si>
  <si>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</si>
  <si>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</si>
  <si>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</si>
  <si>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</si>
  <si>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</si>
  <si>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0618240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</si>
  <si>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</si>
  <si>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1217310</t>
  </si>
  <si>
    <t>7310</t>
  </si>
  <si>
    <t>Будівництво об'єктів житлово-комунального господарства</t>
  </si>
  <si>
    <t>1516050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</si>
  <si>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</si>
  <si>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3117130</t>
  </si>
  <si>
    <t>7130</t>
  </si>
  <si>
    <t>0421</t>
  </si>
  <si>
    <t>Здійснення заходів із землеустрою</t>
  </si>
  <si>
    <t>Інша субвенція бюджету Херсонської міської територіальної громади</t>
  </si>
  <si>
    <t xml:space="preserve"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 </t>
  </si>
  <si>
    <t>Міська програма "Здоров'я населення Чорноморської міської територіальної громади на 2021-2025 роки"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</si>
  <si>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</si>
  <si>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 xml:space="preserve">Міська цільова програма фінансової підтримки Іллічівського міського суду Одеської області на 2023 рік </t>
  </si>
  <si>
    <t>7000</t>
  </si>
  <si>
    <t>Економічна діяльність</t>
  </si>
  <si>
    <t>Інша діяльність</t>
  </si>
  <si>
    <t>8000</t>
  </si>
  <si>
    <t>9000</t>
  </si>
  <si>
    <t>Міжбюджетні трансферти</t>
  </si>
  <si>
    <t>Управління освiти Чорноморської мiської ради Одеського району Одеської областi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</si>
  <si>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</si>
  <si>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</si>
  <si>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</si>
  <si>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</si>
  <si>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</si>
  <si>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</si>
  <si>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Додаток 3</t>
  </si>
  <si>
    <t xml:space="preserve">до рішення Чорноморської міської ради 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</si>
  <si>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</si>
  <si>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</si>
  <si>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</si>
  <si>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Заходи із запобігання поширенню інфекційних захворювань за рахунок коштів резервного фонду місцевого бюджету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</si>
  <si>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</si>
  <si>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</si>
  <si>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Інша субвенція бюджету Сергіївської селищної територіальної громади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</si>
  <si>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</si>
  <si>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</si>
  <si>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0813221</t>
  </si>
  <si>
    <t>3221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</si>
  <si>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</si>
  <si>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</si>
  <si>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</si>
  <si>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</si>
  <si>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</si>
  <si>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</si>
  <si>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</si>
  <si>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</si>
  <si>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більше 100%</t>
  </si>
  <si>
    <t>0900000</t>
  </si>
  <si>
    <t>Служба у справах дітей Чорноморської мiської ради Одеського району Одеської областi</t>
  </si>
  <si>
    <t>0910000</t>
  </si>
  <si>
    <t>0910160</t>
  </si>
  <si>
    <t>0913112</t>
  </si>
  <si>
    <t>Інша субвенція обласному бюджету Одеської області</t>
  </si>
  <si>
    <t>Затверджено розписом на звітний рік з урахуванням змін, грн</t>
  </si>
  <si>
    <t xml:space="preserve"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                                                                                                                                                                                                 </t>
  </si>
  <si>
    <t>про виконання видатків бюджету  Чорноморської міської територіальної громади  за  2023 рік в розрізі відповідальних виконавців за бюджетними програмами/підпрограмами</t>
  </si>
  <si>
    <t>0217350</t>
  </si>
  <si>
    <t>7350</t>
  </si>
  <si>
    <t>0217373</t>
  </si>
  <si>
    <t>7373</t>
  </si>
  <si>
    <t>Реалізація проектів (заходів) з відновлення медичних установ та закладів, пошкоджених / знищених внаслідок збройної агресії, за рахунок коштів місцевих бюджетів</t>
  </si>
  <si>
    <t>0218240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</si>
  <si>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</si>
  <si>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</si>
  <si>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</si>
  <si>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в тому числі: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</si>
  <si>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</si>
  <si>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</si>
  <si>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</si>
  <si>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</si>
  <si>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</si>
  <si>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бюджетуи місцевим бюджетам (за спеціальним фондом державного бюджету)</t>
  </si>
  <si>
    <t>0617372</t>
  </si>
  <si>
    <t>Реалізація проектів (заходів) з відновлення освітніх установ та закладів, пошкоджених / знищених внаслідок збройної агресії, за рахунок коштів місцевих бюджетів</t>
  </si>
  <si>
    <t>0910180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</si>
  <si>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</si>
  <si>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1217375</t>
  </si>
  <si>
    <t>7375</t>
  </si>
  <si>
    <t>Реалізація проектів (заходів) з відновлення об'єктів житлового фонду, пошкоджених / знищених внаслідок збройної агресії, за рахунок коштів місцевих бюджетів</t>
  </si>
  <si>
    <t>1217376</t>
  </si>
  <si>
    <t>7376</t>
  </si>
  <si>
    <t>Реалізація проектів (заходів) з відновлення об'єктів житлово-комунального господарства, пошкоджених / знищених внаслідок збройної агресії, за рахунок коштів місцевих бюджетів</t>
  </si>
  <si>
    <t>Заходи із запобігання та ліквідації наслідків надзвичайної ситуації внаслідок стихійного лиха за рахунок коштів резервного фонду місцевого бюджету</t>
  </si>
  <si>
    <t>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</si>
  <si>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</si>
  <si>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0217640</t>
  </si>
  <si>
    <t>7640</t>
  </si>
  <si>
    <t>0916083</t>
  </si>
  <si>
    <t>Внески до статутного капіталу суб'єктів господарювання</t>
  </si>
  <si>
    <t>1512111</t>
  </si>
  <si>
    <t>2111</t>
  </si>
  <si>
    <t>1517368</t>
  </si>
  <si>
    <t>7368</t>
  </si>
  <si>
    <t>Виконання інвестиційних проектів за рахунок субвенцій з інших бюджетів</t>
  </si>
  <si>
    <t>від                           2024  №           - VIII</t>
  </si>
  <si>
    <t>в т.ч.:</t>
  </si>
  <si>
    <t xml:space="preserve">Фінансування заходів Міської цільової програми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 </t>
  </si>
  <si>
    <t>Виконано за звітний період (рік),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</si>
</sst>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u/>
      <sz val="12"/>
      <name val="Times New Roman"/>
      <family val="1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i/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</cellStyleXfs>
  <cellXfs count="128">
    <xf numFmtId="0" fontId="0" fillId="0" borderId="0" xfId="0"/>
    <xf numFmtId="0" fontId="6" fillId="2" borderId="0" xfId="0" applyFont="1" applyFill="1"/>
    <xf numFmtId="0" fontId="5" fillId="2" borderId="0" xfId="0" applyFont="1" applyFill="1"/>
    <xf numFmtId="49" fontId="3" fillId="2" borderId="0" xfId="0" applyNumberFormat="1" applyFont="1" applyFill="1"/>
    <xf numFmtId="0" fontId="9" fillId="2" borderId="0" xfId="0" applyFont="1" applyFill="1"/>
    <xf numFmtId="164" fontId="9" fillId="0" borderId="0" xfId="0" applyNumberFormat="1" applyFont="1" applyFill="1" applyAlignment="1">
      <alignment horizontal="left"/>
    </xf>
    <xf numFmtId="2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0" xfId="0" applyFont="1" applyFill="1"/>
    <xf numFmtId="49" fontId="3" fillId="0" borderId="0" xfId="0" applyNumberFormat="1" applyFont="1" applyFill="1"/>
    <xf numFmtId="0" fontId="9" fillId="0" borderId="0" xfId="0" applyFont="1" applyFill="1" applyAlignment="1">
      <alignment horizontal="left"/>
    </xf>
    <xf numFmtId="0" fontId="3" fillId="0" borderId="0" xfId="2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13" fillId="0" borderId="0" xfId="0" applyFont="1" applyFill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/>
    <xf numFmtId="0" fontId="18" fillId="0" borderId="1" xfId="0" applyFont="1" applyFill="1" applyBorder="1" applyAlignment="1">
      <alignment vertical="center" wrapText="1"/>
    </xf>
    <xf numFmtId="0" fontId="18" fillId="0" borderId="1" xfId="0" quotePrefix="1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1" xfId="0" quotePrefix="1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0" fontId="20" fillId="0" borderId="1" xfId="0" quotePrefix="1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vertical="center" wrapText="1"/>
    </xf>
    <xf numFmtId="0" fontId="19" fillId="0" borderId="2" xfId="0" quotePrefix="1" applyFont="1" applyFill="1" applyBorder="1" applyAlignment="1">
      <alignment vertical="center" wrapText="1"/>
    </xf>
    <xf numFmtId="1" fontId="19" fillId="0" borderId="1" xfId="0" applyNumberFormat="1" applyFont="1" applyFill="1" applyBorder="1" applyAlignment="1">
      <alignment horizontal="left" vertical="center" wrapText="1"/>
    </xf>
    <xf numFmtId="2" fontId="19" fillId="0" borderId="1" xfId="0" quotePrefix="1" applyNumberFormat="1" applyFont="1" applyFill="1" applyBorder="1" applyAlignment="1">
      <alignment vertical="center" wrapText="1"/>
    </xf>
    <xf numFmtId="2" fontId="19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" fontId="6" fillId="0" borderId="0" xfId="0" applyNumberFormat="1" applyFont="1" applyFill="1"/>
    <xf numFmtId="0" fontId="26" fillId="0" borderId="1" xfId="0" applyFont="1" applyFill="1" applyBorder="1" applyAlignment="1">
      <alignment wrapText="1"/>
    </xf>
    <xf numFmtId="165" fontId="7" fillId="0" borderId="1" xfId="2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165" fontId="5" fillId="0" borderId="1" xfId="2" applyNumberFormat="1" applyFont="1" applyFill="1" applyBorder="1" applyAlignment="1">
      <alignment horizontal="right" vertical="center"/>
    </xf>
    <xf numFmtId="0" fontId="14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4" fontId="5" fillId="0" borderId="1" xfId="0" applyNumberFormat="1" applyFont="1" applyFill="1" applyBorder="1" applyAlignment="1">
      <alignment horizontal="right" vertical="center"/>
    </xf>
    <xf numFmtId="164" fontId="5" fillId="2" borderId="0" xfId="0" applyNumberFormat="1" applyFont="1" applyFill="1" applyAlignment="1">
      <alignment vertical="center"/>
    </xf>
    <xf numFmtId="1" fontId="5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49" fontId="5" fillId="0" borderId="1" xfId="3" applyNumberFormat="1" applyFont="1" applyFill="1" applyBorder="1" applyAlignment="1">
      <alignment horizontal="left" vertical="center"/>
    </xf>
    <xf numFmtId="0" fontId="5" fillId="0" borderId="1" xfId="2" applyFont="1" applyFill="1" applyBorder="1" applyAlignment="1">
      <alignment vertical="center" wrapText="1"/>
    </xf>
    <xf numFmtId="49" fontId="8" fillId="0" borderId="1" xfId="3" applyNumberFormat="1" applyFont="1" applyFill="1" applyBorder="1" applyAlignment="1">
      <alignment horizontal="center" vertical="center"/>
    </xf>
    <xf numFmtId="4" fontId="7" fillId="2" borderId="0" xfId="0" applyNumberFormat="1" applyFont="1" applyFill="1" applyAlignment="1">
      <alignment vertical="center"/>
    </xf>
    <xf numFmtId="0" fontId="5" fillId="0" borderId="1" xfId="2" applyFont="1" applyFill="1" applyBorder="1" applyAlignment="1">
      <alignment horizontal="left" vertical="center" wrapText="1"/>
    </xf>
    <xf numFmtId="0" fontId="27" fillId="2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29" fillId="0" borderId="1" xfId="0" applyFont="1" applyFill="1" applyBorder="1" applyAlignment="1">
      <alignment vertical="center" wrapText="1"/>
    </xf>
    <xf numFmtId="0" fontId="6" fillId="4" borderId="0" xfId="0" applyFont="1" applyFill="1"/>
    <xf numFmtId="0" fontId="30" fillId="0" borderId="1" xfId="0" quotePrefix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left" wrapText="1"/>
    </xf>
    <xf numFmtId="49" fontId="18" fillId="0" borderId="1" xfId="0" applyNumberFormat="1" applyFont="1" applyFill="1" applyBorder="1" applyAlignment="1">
      <alignment vertical="center" wrapText="1"/>
    </xf>
    <xf numFmtId="0" fontId="6" fillId="5" borderId="0" xfId="0" applyFont="1" applyFill="1"/>
    <xf numFmtId="2" fontId="14" fillId="5" borderId="0" xfId="0" applyNumberFormat="1" applyFont="1" applyFill="1"/>
    <xf numFmtId="2" fontId="6" fillId="5" borderId="0" xfId="0" applyNumberFormat="1" applyFont="1" applyFill="1"/>
    <xf numFmtId="4" fontId="6" fillId="5" borderId="0" xfId="0" applyNumberFormat="1" applyFont="1" applyFill="1"/>
    <xf numFmtId="0" fontId="14" fillId="5" borderId="0" xfId="0" applyFont="1" applyFill="1"/>
    <xf numFmtId="0" fontId="10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7" fillId="0" borderId="1" xfId="2" applyFont="1" applyFill="1" applyBorder="1" applyAlignment="1">
      <alignment horizontal="left" wrapText="1"/>
    </xf>
    <xf numFmtId="0" fontId="5" fillId="0" borderId="1" xfId="2" applyFont="1" applyFill="1" applyBorder="1" applyAlignment="1">
      <alignment horizontal="left" wrapText="1"/>
    </xf>
    <xf numFmtId="165" fontId="19" fillId="0" borderId="1" xfId="2" applyNumberFormat="1" applyFont="1" applyFill="1" applyBorder="1" applyAlignment="1">
      <alignment horizontal="right" vertical="center"/>
    </xf>
    <xf numFmtId="0" fontId="31" fillId="2" borderId="0" xfId="0" applyFont="1" applyFill="1" applyAlignment="1">
      <alignment vertical="center"/>
    </xf>
    <xf numFmtId="0" fontId="20" fillId="0" borderId="1" xfId="2" applyFont="1" applyFill="1" applyBorder="1" applyAlignment="1">
      <alignment vertical="center" wrapText="1"/>
    </xf>
    <xf numFmtId="0" fontId="32" fillId="2" borderId="0" xfId="0" applyFont="1" applyFill="1" applyAlignment="1">
      <alignment vertical="center"/>
    </xf>
    <xf numFmtId="0" fontId="33" fillId="2" borderId="0" xfId="0" applyFont="1" applyFill="1" applyAlignment="1">
      <alignment vertical="center"/>
    </xf>
    <xf numFmtId="165" fontId="18" fillId="0" borderId="1" xfId="2" applyNumberFormat="1" applyFont="1" applyFill="1" applyBorder="1" applyAlignment="1">
      <alignment horizontal="right" vertical="center"/>
    </xf>
    <xf numFmtId="49" fontId="19" fillId="0" borderId="1" xfId="0" applyNumberFormat="1" applyFont="1" applyFill="1" applyBorder="1" applyAlignment="1">
      <alignment vertical="center"/>
    </xf>
    <xf numFmtId="49" fontId="19" fillId="0" borderId="1" xfId="0" applyNumberFormat="1" applyFont="1" applyFill="1" applyBorder="1" applyAlignment="1">
      <alignment horizontal="center" vertical="center"/>
    </xf>
    <xf numFmtId="164" fontId="19" fillId="0" borderId="1" xfId="2" applyNumberFormat="1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/>
    </xf>
    <xf numFmtId="165" fontId="26" fillId="0" borderId="1" xfId="2" applyNumberFormat="1" applyFont="1" applyFill="1" applyBorder="1" applyAlignment="1">
      <alignment horizontal="right"/>
    </xf>
    <xf numFmtId="0" fontId="34" fillId="2" borderId="0" xfId="0" applyFont="1" applyFill="1"/>
    <xf numFmtId="3" fontId="7" fillId="0" borderId="1" xfId="2" applyNumberFormat="1" applyFont="1" applyFill="1" applyBorder="1" applyAlignment="1">
      <alignment horizontal="right" vertical="center" wrapText="1"/>
    </xf>
    <xf numFmtId="3" fontId="22" fillId="0" borderId="1" xfId="0" applyNumberFormat="1" applyFont="1" applyFill="1" applyBorder="1" applyAlignment="1">
      <alignment horizontal="right" vertical="center"/>
    </xf>
    <xf numFmtId="3" fontId="5" fillId="0" borderId="1" xfId="2" applyNumberFormat="1" applyFont="1" applyFill="1" applyBorder="1" applyAlignment="1">
      <alignment horizontal="right"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3" fontId="5" fillId="0" borderId="1" xfId="2" applyNumberFormat="1" applyFont="1" applyFill="1" applyBorder="1" applyAlignment="1">
      <alignment horizontal="right" vertical="center"/>
    </xf>
    <xf numFmtId="3" fontId="8" fillId="0" borderId="1" xfId="2" applyNumberFormat="1" applyFont="1" applyFill="1" applyBorder="1" applyAlignment="1">
      <alignment horizontal="right" vertical="center" wrapText="1"/>
    </xf>
    <xf numFmtId="3" fontId="28" fillId="0" borderId="1" xfId="0" applyNumberFormat="1" applyFont="1" applyFill="1" applyBorder="1" applyAlignment="1">
      <alignment vertical="center"/>
    </xf>
    <xf numFmtId="3" fontId="24" fillId="0" borderId="1" xfId="0" applyNumberFormat="1" applyFont="1" applyFill="1" applyBorder="1" applyAlignment="1">
      <alignment horizontal="right" vertical="center"/>
    </xf>
    <xf numFmtId="3" fontId="8" fillId="0" borderId="1" xfId="2" applyNumberFormat="1" applyFont="1" applyFill="1" applyBorder="1" applyAlignment="1">
      <alignment horizontal="right" vertical="center"/>
    </xf>
    <xf numFmtId="3" fontId="5" fillId="0" borderId="0" xfId="4" applyNumberFormat="1" applyFont="1" applyFill="1" applyAlignment="1">
      <alignment vertical="center"/>
    </xf>
    <xf numFmtId="3" fontId="5" fillId="0" borderId="1" xfId="0" applyNumberFormat="1" applyFont="1" applyFill="1" applyBorder="1" applyAlignment="1">
      <alignment horizontal="right" vertical="center"/>
    </xf>
    <xf numFmtId="3" fontId="7" fillId="0" borderId="1" xfId="2" applyNumberFormat="1" applyFont="1" applyFill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right" vertical="center"/>
    </xf>
    <xf numFmtId="3" fontId="21" fillId="0" borderId="1" xfId="2" applyNumberFormat="1" applyFont="1" applyFill="1" applyBorder="1" applyAlignment="1">
      <alignment horizontal="right" vertical="center" wrapText="1"/>
    </xf>
    <xf numFmtId="3" fontId="20" fillId="0" borderId="1" xfId="2" applyNumberFormat="1" applyFont="1" applyFill="1" applyBorder="1" applyAlignment="1">
      <alignment horizontal="right" vertical="center" wrapText="1"/>
    </xf>
    <xf numFmtId="3" fontId="20" fillId="0" borderId="1" xfId="0" applyNumberFormat="1" applyFont="1" applyFill="1" applyBorder="1" applyAlignment="1">
      <alignment horizontal="right" vertical="center"/>
    </xf>
    <xf numFmtId="3" fontId="19" fillId="0" borderId="1" xfId="2" applyNumberFormat="1" applyFont="1" applyFill="1" applyBorder="1" applyAlignment="1">
      <alignment horizontal="right" vertical="center" wrapText="1"/>
    </xf>
    <xf numFmtId="3" fontId="19" fillId="0" borderId="1" xfId="0" applyNumberFormat="1" applyFont="1" applyFill="1" applyBorder="1" applyAlignment="1">
      <alignment horizontal="right" vertical="center"/>
    </xf>
    <xf numFmtId="3" fontId="18" fillId="0" borderId="1" xfId="2" applyNumberFormat="1" applyFont="1" applyFill="1" applyBorder="1" applyAlignment="1">
      <alignment horizontal="right" vertical="center" wrapText="1"/>
    </xf>
    <xf numFmtId="3" fontId="26" fillId="0" borderId="1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49" fontId="12" fillId="0" borderId="1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</cellXfs>
  <cellStyles count="5">
    <cellStyle name="Гарний" xfId="4" builtinId="26"/>
    <cellStyle name="Звичайний" xfId="0" builtinId="0"/>
    <cellStyle name="Обычный 2" xfId="3"/>
    <cellStyle name="Обычный 3" xfId="1"/>
    <cellStyle name="Обычный_дод 3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1"/>
  <dimension ref="A1:R230"/>
  <sheetViews>
    <sheetView showZeros="0" tabSelected="1" view="pageBreakPreview" zoomScale="78" zoomScaleNormal="50" zoomScaleSheetLayoutView="78" workbookViewId="0">
      <pane xSplit="4" ySplit="15" topLeftCell="E206" activePane="bottomRight" state="frozen"/>
      <selection pane="topRight" activeCell="E1" sqref="E1"/>
      <selection pane="bottomLeft" activeCell="A13" sqref="A13"/>
      <selection pane="bottomRight" activeCell="G202" sqref="G202:G210"/>
    </sheetView>
  </sheetViews>
  <sheetFormatPr defaultColWidth="9.140625" defaultRowHeight="15.75" x14ac:dyDescent="0.25"/>
  <cols>
    <col min="1" max="1" width="18" style="3" customWidth="1"/>
    <col min="2" max="2" width="15.140625" style="3" customWidth="1"/>
    <col min="3" max="3" width="18.42578125" style="3" customWidth="1"/>
    <col min="4" max="4" width="54.140625" style="1" customWidth="1"/>
    <col min="5" max="5" width="27.7109375" style="1" customWidth="1"/>
    <col min="6" max="6" width="23" style="9" customWidth="1"/>
    <col min="7" max="7" width="22.85546875" style="65" customWidth="1"/>
    <col min="8" max="8" width="22.42578125" style="61" customWidth="1"/>
    <col min="9" max="9" width="24.42578125" style="9" customWidth="1"/>
    <col min="10" max="10" width="22" style="9" customWidth="1"/>
    <col min="11" max="11" width="21.42578125" style="65" customWidth="1"/>
    <col min="12" max="12" width="22.5703125" style="61" customWidth="1"/>
    <col min="13" max="14" width="14.140625" style="1" customWidth="1"/>
    <col min="15" max="15" width="18.85546875" style="1" customWidth="1"/>
    <col min="16" max="16" width="11.85546875" style="1" customWidth="1"/>
    <col min="17" max="17" width="12" style="1" bestFit="1" customWidth="1"/>
    <col min="18" max="16384" width="9.140625" style="1"/>
  </cols>
  <sheetData>
    <row r="1" spans="1:16" x14ac:dyDescent="0.25">
      <c r="A1" s="5"/>
      <c r="B1" s="6"/>
      <c r="C1" s="6"/>
      <c r="D1" s="7"/>
      <c r="E1" s="8"/>
      <c r="F1" s="8"/>
      <c r="G1" s="8"/>
      <c r="H1" s="8"/>
      <c r="I1" s="8"/>
      <c r="J1" s="8"/>
      <c r="K1" s="8"/>
      <c r="L1" s="8"/>
      <c r="M1" s="109" t="s">
        <v>350</v>
      </c>
      <c r="N1" s="109"/>
      <c r="O1" s="109"/>
      <c r="P1" s="15"/>
    </row>
    <row r="2" spans="1:16" x14ac:dyDescent="0.25">
      <c r="A2" s="5"/>
      <c r="B2" s="6"/>
      <c r="C2" s="6"/>
      <c r="D2" s="7"/>
      <c r="E2" s="8"/>
      <c r="F2" s="8"/>
      <c r="G2" s="8"/>
      <c r="H2" s="8"/>
      <c r="I2" s="8"/>
      <c r="J2" s="8"/>
      <c r="K2" s="8"/>
      <c r="L2" s="8"/>
      <c r="M2" s="109" t="s">
        <v>351</v>
      </c>
      <c r="N2" s="109"/>
      <c r="O2" s="109"/>
      <c r="P2" s="15"/>
    </row>
    <row r="3" spans="1:16" x14ac:dyDescent="0.25">
      <c r="A3" s="5"/>
      <c r="B3" s="6"/>
      <c r="C3" s="10"/>
      <c r="D3" s="7"/>
      <c r="E3" s="8"/>
      <c r="F3" s="8"/>
      <c r="G3" s="8"/>
      <c r="H3" s="8"/>
      <c r="I3" s="8"/>
      <c r="J3" s="8"/>
      <c r="K3" s="72"/>
      <c r="L3" s="8"/>
      <c r="M3" s="109" t="s">
        <v>419</v>
      </c>
      <c r="N3" s="109"/>
      <c r="O3" s="109"/>
      <c r="P3" s="15"/>
    </row>
    <row r="4" spans="1:16" x14ac:dyDescent="0.25">
      <c r="A4" s="11"/>
      <c r="B4" s="10"/>
      <c r="C4" s="10"/>
      <c r="D4" s="7"/>
      <c r="E4" s="8"/>
      <c r="F4" s="8"/>
      <c r="G4" s="8"/>
      <c r="H4" s="8"/>
      <c r="I4" s="8"/>
      <c r="J4" s="8"/>
      <c r="K4" s="72"/>
      <c r="L4" s="8"/>
      <c r="M4" s="110"/>
      <c r="N4" s="110"/>
      <c r="O4" s="110"/>
      <c r="P4" s="73"/>
    </row>
    <row r="5" spans="1:16" s="4" customFormat="1" x14ac:dyDescent="0.25">
      <c r="A5" s="126" t="s">
        <v>183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</row>
    <row r="6" spans="1:16" s="4" customFormat="1" x14ac:dyDescent="0.25">
      <c r="A6" s="127" t="s">
        <v>380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</row>
    <row r="7" spans="1:16" s="4" customFormat="1" x14ac:dyDescent="0.25">
      <c r="A7" s="16">
        <v>1558900000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6" s="4" customFormat="1" x14ac:dyDescent="0.25">
      <c r="A8" s="70" t="s">
        <v>226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6" x14ac:dyDescent="0.25">
      <c r="A9" s="10"/>
      <c r="B9" s="10"/>
      <c r="C9" s="10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ht="15.6" customHeight="1" x14ac:dyDescent="0.25">
      <c r="A10" s="112" t="s">
        <v>169</v>
      </c>
      <c r="B10" s="111" t="s">
        <v>170</v>
      </c>
      <c r="C10" s="112" t="s">
        <v>171</v>
      </c>
      <c r="D10" s="113" t="s">
        <v>172</v>
      </c>
      <c r="E10" s="119" t="s">
        <v>378</v>
      </c>
      <c r="F10" s="120"/>
      <c r="G10" s="120"/>
      <c r="H10" s="121"/>
      <c r="I10" s="119" t="s">
        <v>422</v>
      </c>
      <c r="J10" s="120"/>
      <c r="K10" s="120"/>
      <c r="L10" s="121"/>
      <c r="M10" s="119" t="s">
        <v>300</v>
      </c>
      <c r="N10" s="120"/>
      <c r="O10" s="120"/>
      <c r="P10" s="121"/>
    </row>
    <row r="11" spans="1:16" ht="15.6" customHeight="1" x14ac:dyDescent="0.25">
      <c r="A11" s="112"/>
      <c r="B11" s="111"/>
      <c r="C11" s="112"/>
      <c r="D11" s="113"/>
      <c r="E11" s="122" t="s">
        <v>298</v>
      </c>
      <c r="F11" s="116" t="s">
        <v>184</v>
      </c>
      <c r="G11" s="117"/>
      <c r="H11" s="118"/>
      <c r="I11" s="122" t="s">
        <v>298</v>
      </c>
      <c r="J11" s="116" t="s">
        <v>299</v>
      </c>
      <c r="K11" s="117"/>
      <c r="L11" s="118"/>
      <c r="M11" s="122" t="s">
        <v>298</v>
      </c>
      <c r="N11" s="116" t="s">
        <v>185</v>
      </c>
      <c r="O11" s="117"/>
      <c r="P11" s="118"/>
    </row>
    <row r="12" spans="1:16" x14ac:dyDescent="0.25">
      <c r="A12" s="112"/>
      <c r="B12" s="111"/>
      <c r="C12" s="112"/>
      <c r="D12" s="113"/>
      <c r="E12" s="123"/>
      <c r="F12" s="114" t="s">
        <v>186</v>
      </c>
      <c r="G12" s="114" t="s">
        <v>187</v>
      </c>
      <c r="H12" s="114"/>
      <c r="I12" s="123"/>
      <c r="J12" s="114" t="s">
        <v>188</v>
      </c>
      <c r="K12" s="114" t="s">
        <v>187</v>
      </c>
      <c r="L12" s="114"/>
      <c r="M12" s="123"/>
      <c r="N12" s="114" t="s">
        <v>186</v>
      </c>
      <c r="O12" s="114" t="s">
        <v>187</v>
      </c>
      <c r="P12" s="114"/>
    </row>
    <row r="13" spans="1:16" x14ac:dyDescent="0.25">
      <c r="A13" s="112"/>
      <c r="B13" s="111"/>
      <c r="C13" s="112"/>
      <c r="D13" s="113"/>
      <c r="E13" s="123"/>
      <c r="F13" s="115"/>
      <c r="G13" s="125" t="s">
        <v>189</v>
      </c>
      <c r="H13" s="71" t="s">
        <v>190</v>
      </c>
      <c r="I13" s="123"/>
      <c r="J13" s="115"/>
      <c r="K13" s="125" t="s">
        <v>189</v>
      </c>
      <c r="L13" s="71" t="s">
        <v>190</v>
      </c>
      <c r="M13" s="123"/>
      <c r="N13" s="115"/>
      <c r="O13" s="125" t="s">
        <v>189</v>
      </c>
      <c r="P13" s="71" t="s">
        <v>190</v>
      </c>
    </row>
    <row r="14" spans="1:16" ht="66" customHeight="1" x14ac:dyDescent="0.25">
      <c r="A14" s="112"/>
      <c r="B14" s="111"/>
      <c r="C14" s="112"/>
      <c r="D14" s="113"/>
      <c r="E14" s="124"/>
      <c r="F14" s="115"/>
      <c r="G14" s="125"/>
      <c r="H14" s="71" t="s">
        <v>0</v>
      </c>
      <c r="I14" s="124"/>
      <c r="J14" s="115"/>
      <c r="K14" s="125"/>
      <c r="L14" s="71" t="s">
        <v>0</v>
      </c>
      <c r="M14" s="124"/>
      <c r="N14" s="115"/>
      <c r="O14" s="125"/>
      <c r="P14" s="71" t="s">
        <v>0</v>
      </c>
    </row>
    <row r="15" spans="1:16" x14ac:dyDescent="0.25">
      <c r="A15" s="13">
        <v>1</v>
      </c>
      <c r="B15" s="13">
        <v>2</v>
      </c>
      <c r="C15" s="13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  <c r="N15" s="14">
        <v>14</v>
      </c>
      <c r="O15" s="14">
        <v>15</v>
      </c>
      <c r="P15" s="14">
        <v>16</v>
      </c>
    </row>
    <row r="16" spans="1:16" s="41" customFormat="1" ht="56.25" x14ac:dyDescent="0.25">
      <c r="A16" s="19" t="s">
        <v>62</v>
      </c>
      <c r="B16" s="19" t="s">
        <v>242</v>
      </c>
      <c r="C16" s="19" t="s">
        <v>242</v>
      </c>
      <c r="D16" s="20" t="s">
        <v>243</v>
      </c>
      <c r="E16" s="88">
        <f>F16+G16</f>
        <v>171870860</v>
      </c>
      <c r="F16" s="89">
        <f>F17</f>
        <v>160286568</v>
      </c>
      <c r="G16" s="89">
        <f t="shared" ref="G16:H16" si="0">G17</f>
        <v>11584292</v>
      </c>
      <c r="H16" s="89">
        <f t="shared" si="0"/>
        <v>11247792</v>
      </c>
      <c r="I16" s="88">
        <f>J16+K16</f>
        <v>148913126.70999998</v>
      </c>
      <c r="J16" s="88">
        <f>J17</f>
        <v>145808492.41999999</v>
      </c>
      <c r="K16" s="88">
        <f t="shared" ref="K16:L16" si="1">K17</f>
        <v>3104634.29</v>
      </c>
      <c r="L16" s="88">
        <f t="shared" si="1"/>
        <v>2731075.96</v>
      </c>
      <c r="M16" s="40">
        <f>I16/E16*100</f>
        <v>86.642451611634442</v>
      </c>
      <c r="N16" s="40">
        <f t="shared" ref="N16:P16" si="2">J16/F16*100</f>
        <v>90.967380635412937</v>
      </c>
      <c r="O16" s="40">
        <f t="shared" si="2"/>
        <v>26.800380118180723</v>
      </c>
      <c r="P16" s="40">
        <f t="shared" si="2"/>
        <v>24.280996305763832</v>
      </c>
    </row>
    <row r="17" spans="1:16" s="42" customFormat="1" ht="56.25" x14ac:dyDescent="0.25">
      <c r="A17" s="19" t="s">
        <v>63</v>
      </c>
      <c r="B17" s="19" t="s">
        <v>242</v>
      </c>
      <c r="C17" s="19" t="s">
        <v>242</v>
      </c>
      <c r="D17" s="20" t="s">
        <v>243</v>
      </c>
      <c r="E17" s="89">
        <f>F17+G17</f>
        <v>171870860</v>
      </c>
      <c r="F17" s="89">
        <f>F18+F23+F24+F25+F26+F27+F28+F29+F30+F31+F37+F39+F41+F42+F43+F44+F45+F47+F38+F46+F36</f>
        <v>160286568</v>
      </c>
      <c r="G17" s="89">
        <f>G18+G23+G24+G25+G26+G27+G28+G29+G30+G31+G37+G39+G41+G42+G43+G44+G45+G47+G38+G46+G36+G40</f>
        <v>11584292</v>
      </c>
      <c r="H17" s="89">
        <f>H18+H23+H24+H25+H26+H27+H28+H29+H30+H31+H37+H39+H41+H42+H43+H44+H45+H47+H38+H46+H36+H40</f>
        <v>11247792</v>
      </c>
      <c r="I17" s="89">
        <f>J17+K17</f>
        <v>148913126.70999998</v>
      </c>
      <c r="J17" s="89">
        <f>J18+J23+J24+J25+J26+J27+J28+J29+J30+J31+J37+J39+J41+J42+J43+J44+J45+J47+J38+J46+J36</f>
        <v>145808492.41999999</v>
      </c>
      <c r="K17" s="89">
        <f>K18+K23+K24+K25+K26+K27+K28+K29+K30+K31+K37+K39+K41+K42+K43+K44+K45+K47+K38+K46+K36+K40</f>
        <v>3104634.29</v>
      </c>
      <c r="L17" s="89">
        <f>L18+L23+L24+L25+L26+L27+L28+L29+L30+L31+L37+L39+L41+L42+L43+L44+L45+L47+L38+L46+L36+L40</f>
        <v>2731075.96</v>
      </c>
      <c r="M17" s="40">
        <f t="shared" ref="M17:M79" si="3">I17/E17*100</f>
        <v>86.642451611634442</v>
      </c>
      <c r="N17" s="40">
        <f t="shared" ref="N17:N79" si="4">J17/F17*100</f>
        <v>90.967380635412937</v>
      </c>
      <c r="O17" s="40">
        <f t="shared" ref="O17:O49" si="5">K17/G17*100</f>
        <v>26.800380118180723</v>
      </c>
      <c r="P17" s="40">
        <f t="shared" ref="P17:P49" si="6">L17/H17*100</f>
        <v>24.280996305763832</v>
      </c>
    </row>
    <row r="18" spans="1:16" s="44" customFormat="1" ht="93.75" x14ac:dyDescent="0.25">
      <c r="A18" s="21" t="s">
        <v>64</v>
      </c>
      <c r="B18" s="21" t="s">
        <v>53</v>
      </c>
      <c r="C18" s="21" t="s">
        <v>3</v>
      </c>
      <c r="D18" s="22" t="s">
        <v>244</v>
      </c>
      <c r="E18" s="90">
        <f t="shared" ref="E18:E83" si="7">F18+G18</f>
        <v>66773000</v>
      </c>
      <c r="F18" s="91">
        <f>F19+F20+F21+F22</f>
        <v>65393600</v>
      </c>
      <c r="G18" s="91">
        <f t="shared" ref="G18:H18" si="8">G19+G20+G21+G22</f>
        <v>1379400</v>
      </c>
      <c r="H18" s="91">
        <f t="shared" si="8"/>
        <v>1238900</v>
      </c>
      <c r="I18" s="90">
        <f t="shared" ref="I18:I82" si="9">J18+K18</f>
        <v>62149267.850000001</v>
      </c>
      <c r="J18" s="92">
        <f>J19+J20+J21+J22</f>
        <v>60842977.640000001</v>
      </c>
      <c r="K18" s="92">
        <f t="shared" ref="K18:L18" si="10">K19+K20+K21+K22</f>
        <v>1306290.21</v>
      </c>
      <c r="L18" s="92">
        <f t="shared" si="10"/>
        <v>932731.88</v>
      </c>
      <c r="M18" s="43">
        <f t="shared" si="3"/>
        <v>93.075446437931504</v>
      </c>
      <c r="N18" s="43">
        <f t="shared" si="4"/>
        <v>93.041180849502098</v>
      </c>
      <c r="O18" s="43">
        <f t="shared" si="5"/>
        <v>94.699884732492393</v>
      </c>
      <c r="P18" s="43">
        <f t="shared" si="6"/>
        <v>75.287099846638156</v>
      </c>
    </row>
    <row r="19" spans="1:16" s="45" customFormat="1" ht="56.25" x14ac:dyDescent="0.25">
      <c r="A19" s="23"/>
      <c r="B19" s="23"/>
      <c r="C19" s="23"/>
      <c r="D19" s="24" t="s">
        <v>243</v>
      </c>
      <c r="E19" s="93">
        <f t="shared" si="7"/>
        <v>59861698</v>
      </c>
      <c r="F19" s="94">
        <v>58677200</v>
      </c>
      <c r="G19" s="95">
        <f>1044000+140498</f>
        <v>1184498</v>
      </c>
      <c r="H19" s="95">
        <v>1044000</v>
      </c>
      <c r="I19" s="93">
        <f t="shared" si="9"/>
        <v>55733146.840000004</v>
      </c>
      <c r="J19" s="93">
        <v>54608177.170000002</v>
      </c>
      <c r="K19" s="96">
        <f>759882.88+160912.26+204174.53</f>
        <v>1124969.67</v>
      </c>
      <c r="L19" s="96">
        <v>759882.88</v>
      </c>
      <c r="M19" s="43">
        <f t="shared" ref="M19:M47" si="11">I19/E19*100</f>
        <v>93.103184009247457</v>
      </c>
      <c r="N19" s="43">
        <f t="shared" ref="N19:N45" si="12">J19/F19*100</f>
        <v>93.065410704668935</v>
      </c>
      <c r="O19" s="43">
        <f t="shared" ref="O19:O46" si="13">K19/G19*100</f>
        <v>94.974383240832822</v>
      </c>
      <c r="P19" s="43">
        <f t="shared" ref="P19:P46" si="14">L19/H19*100</f>
        <v>72.785716475095782</v>
      </c>
    </row>
    <row r="20" spans="1:16" s="45" customFormat="1" ht="56.25" x14ac:dyDescent="0.25">
      <c r="A20" s="23"/>
      <c r="B20" s="23"/>
      <c r="C20" s="23"/>
      <c r="D20" s="24" t="s">
        <v>223</v>
      </c>
      <c r="E20" s="93">
        <f t="shared" si="7"/>
        <v>2661501</v>
      </c>
      <c r="F20" s="94">
        <v>2611600</v>
      </c>
      <c r="G20" s="95">
        <f>49900+1</f>
        <v>49901</v>
      </c>
      <c r="H20" s="95">
        <v>49900</v>
      </c>
      <c r="I20" s="93">
        <f t="shared" si="9"/>
        <v>2474256.9500000002</v>
      </c>
      <c r="J20" s="93">
        <v>2422407.41</v>
      </c>
      <c r="K20" s="96">
        <f>49899+1950.54</f>
        <v>51849.54</v>
      </c>
      <c r="L20" s="96">
        <v>49899</v>
      </c>
      <c r="M20" s="43">
        <f t="shared" si="11"/>
        <v>92.96471990805189</v>
      </c>
      <c r="N20" s="43">
        <f t="shared" si="12"/>
        <v>92.755682723234798</v>
      </c>
      <c r="O20" s="43" t="s">
        <v>371</v>
      </c>
      <c r="P20" s="43">
        <f t="shared" si="14"/>
        <v>99.99799599198397</v>
      </c>
    </row>
    <row r="21" spans="1:16" s="45" customFormat="1" ht="56.25" x14ac:dyDescent="0.25">
      <c r="A21" s="23"/>
      <c r="B21" s="23"/>
      <c r="C21" s="23"/>
      <c r="D21" s="24" t="s">
        <v>225</v>
      </c>
      <c r="E21" s="93">
        <f t="shared" si="7"/>
        <v>1930000</v>
      </c>
      <c r="F21" s="94">
        <v>1830000</v>
      </c>
      <c r="G21" s="95">
        <v>100000</v>
      </c>
      <c r="H21" s="95">
        <v>100000</v>
      </c>
      <c r="I21" s="93">
        <f t="shared" si="9"/>
        <v>1754878.86</v>
      </c>
      <c r="J21" s="93">
        <v>1672288.86</v>
      </c>
      <c r="K21" s="96">
        <v>82590</v>
      </c>
      <c r="L21" s="96">
        <v>82590</v>
      </c>
      <c r="M21" s="43">
        <f t="shared" si="11"/>
        <v>90.926365803108808</v>
      </c>
      <c r="N21" s="43">
        <f t="shared" si="12"/>
        <v>91.381904918032802</v>
      </c>
      <c r="O21" s="43">
        <f t="shared" si="13"/>
        <v>82.59</v>
      </c>
      <c r="P21" s="43">
        <f t="shared" si="14"/>
        <v>82.59</v>
      </c>
    </row>
    <row r="22" spans="1:16" s="45" customFormat="1" ht="56.25" x14ac:dyDescent="0.25">
      <c r="A22" s="23"/>
      <c r="B22" s="23"/>
      <c r="C22" s="23"/>
      <c r="D22" s="24" t="s">
        <v>224</v>
      </c>
      <c r="E22" s="93">
        <f t="shared" si="7"/>
        <v>2319801</v>
      </c>
      <c r="F22" s="94">
        <v>2274800</v>
      </c>
      <c r="G22" s="95">
        <f>45000+1</f>
        <v>45001</v>
      </c>
      <c r="H22" s="95">
        <v>45000</v>
      </c>
      <c r="I22" s="93">
        <f t="shared" si="9"/>
        <v>2186985.2000000002</v>
      </c>
      <c r="J22" s="93">
        <v>2140104.2000000002</v>
      </c>
      <c r="K22" s="96">
        <f>40360+6521</f>
        <v>46881</v>
      </c>
      <c r="L22" s="96">
        <v>40360</v>
      </c>
      <c r="M22" s="43">
        <f t="shared" si="11"/>
        <v>94.274689941076844</v>
      </c>
      <c r="N22" s="43">
        <f t="shared" si="12"/>
        <v>94.078784948127321</v>
      </c>
      <c r="O22" s="43" t="s">
        <v>371</v>
      </c>
      <c r="P22" s="43">
        <f t="shared" si="14"/>
        <v>89.688888888888883</v>
      </c>
    </row>
    <row r="23" spans="1:16" s="45" customFormat="1" ht="56.25" x14ac:dyDescent="0.25">
      <c r="A23" s="21" t="s">
        <v>112</v>
      </c>
      <c r="B23" s="21" t="s">
        <v>113</v>
      </c>
      <c r="C23" s="21" t="s">
        <v>114</v>
      </c>
      <c r="D23" s="22" t="s">
        <v>115</v>
      </c>
      <c r="E23" s="90">
        <f t="shared" si="7"/>
        <v>27000</v>
      </c>
      <c r="F23" s="91">
        <v>27000</v>
      </c>
      <c r="G23" s="91"/>
      <c r="H23" s="91"/>
      <c r="I23" s="90">
        <f t="shared" si="9"/>
        <v>8840</v>
      </c>
      <c r="J23" s="97">
        <v>8840</v>
      </c>
      <c r="K23" s="92"/>
      <c r="L23" s="92"/>
      <c r="M23" s="43">
        <f t="shared" si="11"/>
        <v>32.74074074074074</v>
      </c>
      <c r="N23" s="43">
        <f t="shared" si="12"/>
        <v>32.74074074074074</v>
      </c>
      <c r="O23" s="43"/>
      <c r="P23" s="43"/>
    </row>
    <row r="24" spans="1:16" s="46" customFormat="1" ht="37.5" x14ac:dyDescent="0.25">
      <c r="A24" s="21" t="s">
        <v>119</v>
      </c>
      <c r="B24" s="21" t="s">
        <v>10</v>
      </c>
      <c r="C24" s="21" t="s">
        <v>6</v>
      </c>
      <c r="D24" s="22" t="s">
        <v>104</v>
      </c>
      <c r="E24" s="90">
        <f t="shared" si="7"/>
        <v>1482500</v>
      </c>
      <c r="F24" s="91">
        <v>1482500</v>
      </c>
      <c r="G24" s="91"/>
      <c r="H24" s="91"/>
      <c r="I24" s="90">
        <f t="shared" si="9"/>
        <v>1002095.1</v>
      </c>
      <c r="J24" s="92">
        <v>1002095.1</v>
      </c>
      <c r="K24" s="92"/>
      <c r="L24" s="92"/>
      <c r="M24" s="43">
        <f t="shared" si="11"/>
        <v>67.594947723440129</v>
      </c>
      <c r="N24" s="43">
        <f t="shared" si="12"/>
        <v>67.594947723440129</v>
      </c>
      <c r="O24" s="43"/>
      <c r="P24" s="43"/>
    </row>
    <row r="25" spans="1:16" s="47" customFormat="1" ht="37.5" x14ac:dyDescent="0.25">
      <c r="A25" s="21" t="s">
        <v>65</v>
      </c>
      <c r="B25" s="21" t="s">
        <v>31</v>
      </c>
      <c r="C25" s="21" t="s">
        <v>32</v>
      </c>
      <c r="D25" s="22" t="s">
        <v>162</v>
      </c>
      <c r="E25" s="90">
        <f t="shared" si="7"/>
        <v>38876100</v>
      </c>
      <c r="F25" s="91">
        <v>33576100</v>
      </c>
      <c r="G25" s="91">
        <v>5300000</v>
      </c>
      <c r="H25" s="91">
        <v>5300000</v>
      </c>
      <c r="I25" s="90">
        <f t="shared" si="9"/>
        <v>31307006.539999999</v>
      </c>
      <c r="J25" s="92">
        <v>31207015.039999999</v>
      </c>
      <c r="K25" s="92">
        <v>99991.5</v>
      </c>
      <c r="L25" s="92">
        <v>99991.5</v>
      </c>
      <c r="M25" s="43">
        <f t="shared" si="11"/>
        <v>80.53021403895967</v>
      </c>
      <c r="N25" s="43">
        <f t="shared" si="12"/>
        <v>92.944132999365621</v>
      </c>
      <c r="O25" s="43">
        <f t="shared" si="13"/>
        <v>1.8866320754716983</v>
      </c>
      <c r="P25" s="43">
        <f t="shared" si="14"/>
        <v>1.8866320754716983</v>
      </c>
    </row>
    <row r="26" spans="1:16" s="46" customFormat="1" ht="27.75" customHeight="1" x14ac:dyDescent="0.25">
      <c r="A26" s="21" t="s">
        <v>66</v>
      </c>
      <c r="B26" s="21" t="s">
        <v>54</v>
      </c>
      <c r="C26" s="21" t="s">
        <v>33</v>
      </c>
      <c r="D26" s="22" t="s">
        <v>245</v>
      </c>
      <c r="E26" s="90">
        <f t="shared" si="7"/>
        <v>7087758.7699999996</v>
      </c>
      <c r="F26" s="91">
        <v>7060458.7699999996</v>
      </c>
      <c r="G26" s="91">
        <v>27300</v>
      </c>
      <c r="H26" s="91">
        <v>27300</v>
      </c>
      <c r="I26" s="90">
        <f t="shared" si="9"/>
        <v>6999942.8300000001</v>
      </c>
      <c r="J26" s="92">
        <v>6972642.8300000001</v>
      </c>
      <c r="K26" s="92">
        <v>27300</v>
      </c>
      <c r="L26" s="92">
        <v>27300</v>
      </c>
      <c r="M26" s="43">
        <f t="shared" si="11"/>
        <v>98.7610196276474</v>
      </c>
      <c r="N26" s="43">
        <f t="shared" si="12"/>
        <v>98.756228980854175</v>
      </c>
      <c r="O26" s="43">
        <f t="shared" si="13"/>
        <v>100</v>
      </c>
      <c r="P26" s="43">
        <f t="shared" si="14"/>
        <v>100</v>
      </c>
    </row>
    <row r="27" spans="1:16" s="46" customFormat="1" ht="81.75" customHeight="1" x14ac:dyDescent="0.25">
      <c r="A27" s="21" t="s">
        <v>246</v>
      </c>
      <c r="B27" s="25">
        <v>2111</v>
      </c>
      <c r="C27" s="21" t="s">
        <v>247</v>
      </c>
      <c r="D27" s="22" t="s">
        <v>248</v>
      </c>
      <c r="E27" s="90">
        <f t="shared" si="7"/>
        <v>3004600</v>
      </c>
      <c r="F27" s="91">
        <v>2934600</v>
      </c>
      <c r="G27" s="91">
        <f>H27</f>
        <v>70000</v>
      </c>
      <c r="H27" s="91">
        <v>70000</v>
      </c>
      <c r="I27" s="90">
        <f t="shared" si="9"/>
        <v>2954330.28</v>
      </c>
      <c r="J27" s="92">
        <v>2885430.28</v>
      </c>
      <c r="K27" s="92">
        <f>L27</f>
        <v>68900</v>
      </c>
      <c r="L27" s="92">
        <v>68900</v>
      </c>
      <c r="M27" s="43">
        <f t="shared" si="11"/>
        <v>98.326908074286095</v>
      </c>
      <c r="N27" s="43">
        <f t="shared" si="12"/>
        <v>98.3244830641314</v>
      </c>
      <c r="O27" s="43">
        <f t="shared" si="13"/>
        <v>98.428571428571431</v>
      </c>
      <c r="P27" s="43">
        <f t="shared" si="14"/>
        <v>98.428571428571431</v>
      </c>
    </row>
    <row r="28" spans="1:16" s="46" customFormat="1" ht="37.5" x14ac:dyDescent="0.25">
      <c r="A28" s="21" t="s">
        <v>249</v>
      </c>
      <c r="B28" s="21" t="s">
        <v>195</v>
      </c>
      <c r="C28" s="21" t="s">
        <v>135</v>
      </c>
      <c r="D28" s="22" t="s">
        <v>250</v>
      </c>
      <c r="E28" s="90">
        <f t="shared" si="7"/>
        <v>1976841.23</v>
      </c>
      <c r="F28" s="91">
        <f>972900+1003941.23</f>
        <v>1976841.23</v>
      </c>
      <c r="G28" s="91"/>
      <c r="H28" s="91"/>
      <c r="I28" s="90">
        <f t="shared" si="9"/>
        <v>1402479.88</v>
      </c>
      <c r="J28" s="92">
        <f>523369.15+879110.73</f>
        <v>1402479.88</v>
      </c>
      <c r="K28" s="92"/>
      <c r="L28" s="92"/>
      <c r="M28" s="43">
        <f t="shared" si="11"/>
        <v>70.945499249831002</v>
      </c>
      <c r="N28" s="43">
        <f t="shared" si="12"/>
        <v>70.945499249831002</v>
      </c>
      <c r="O28" s="43"/>
      <c r="P28" s="43"/>
    </row>
    <row r="29" spans="1:16" s="45" customFormat="1" ht="37.5" x14ac:dyDescent="0.25">
      <c r="A29" s="21" t="s">
        <v>168</v>
      </c>
      <c r="B29" s="21" t="s">
        <v>36</v>
      </c>
      <c r="C29" s="21" t="s">
        <v>20</v>
      </c>
      <c r="D29" s="22" t="s">
        <v>45</v>
      </c>
      <c r="E29" s="90">
        <f t="shared" si="7"/>
        <v>36000</v>
      </c>
      <c r="F29" s="91">
        <v>36000</v>
      </c>
      <c r="G29" s="91"/>
      <c r="H29" s="91"/>
      <c r="I29" s="90">
        <f t="shared" si="9"/>
        <v>36000</v>
      </c>
      <c r="J29" s="92">
        <v>36000</v>
      </c>
      <c r="K29" s="92"/>
      <c r="L29" s="92"/>
      <c r="M29" s="43">
        <f t="shared" si="11"/>
        <v>100</v>
      </c>
      <c r="N29" s="43">
        <f t="shared" si="12"/>
        <v>100</v>
      </c>
      <c r="O29" s="43"/>
      <c r="P29" s="43"/>
    </row>
    <row r="30" spans="1:16" s="45" customFormat="1" ht="37.5" x14ac:dyDescent="0.25">
      <c r="A30" s="21" t="s">
        <v>155</v>
      </c>
      <c r="B30" s="21" t="s">
        <v>153</v>
      </c>
      <c r="C30" s="21" t="s">
        <v>4</v>
      </c>
      <c r="D30" s="22" t="s">
        <v>154</v>
      </c>
      <c r="E30" s="90">
        <f t="shared" si="7"/>
        <v>5000000</v>
      </c>
      <c r="F30" s="91">
        <v>5000000</v>
      </c>
      <c r="G30" s="91"/>
      <c r="H30" s="91"/>
      <c r="I30" s="90">
        <f t="shared" si="9"/>
        <v>3758000</v>
      </c>
      <c r="J30" s="92">
        <v>3758000</v>
      </c>
      <c r="K30" s="92"/>
      <c r="L30" s="92"/>
      <c r="M30" s="43">
        <f t="shared" si="11"/>
        <v>75.160000000000011</v>
      </c>
      <c r="N30" s="43">
        <f t="shared" si="12"/>
        <v>75.160000000000011</v>
      </c>
      <c r="O30" s="43"/>
      <c r="P30" s="43"/>
    </row>
    <row r="31" spans="1:16" s="45" customFormat="1" ht="18.75" x14ac:dyDescent="0.25">
      <c r="A31" s="21" t="s">
        <v>67</v>
      </c>
      <c r="B31" s="21" t="s">
        <v>41</v>
      </c>
      <c r="C31" s="21" t="s">
        <v>9</v>
      </c>
      <c r="D31" s="22" t="s">
        <v>251</v>
      </c>
      <c r="E31" s="90">
        <f t="shared" si="7"/>
        <v>9245200</v>
      </c>
      <c r="F31" s="91">
        <f>F33+F34+F35+F32</f>
        <v>9136300</v>
      </c>
      <c r="G31" s="91">
        <f>G34+G35</f>
        <v>108900</v>
      </c>
      <c r="H31" s="91">
        <v>108900</v>
      </c>
      <c r="I31" s="90">
        <f t="shared" si="9"/>
        <v>7510447.9800000004</v>
      </c>
      <c r="J31" s="91">
        <f>J33+J34+J35+J32</f>
        <v>7401936.4000000004</v>
      </c>
      <c r="K31" s="91">
        <f>K34+K35</f>
        <v>108511.58</v>
      </c>
      <c r="L31" s="91">
        <f>L34+L35</f>
        <v>108511.58</v>
      </c>
      <c r="M31" s="43">
        <f t="shared" si="11"/>
        <v>81.236187210660674</v>
      </c>
      <c r="N31" s="43">
        <f t="shared" si="12"/>
        <v>81.016783599487766</v>
      </c>
      <c r="O31" s="43">
        <f t="shared" ref="O31" si="15">K31/G31*100</f>
        <v>99.643324150596882</v>
      </c>
      <c r="P31" s="43">
        <f t="shared" ref="P31" si="16">L31/H31*100</f>
        <v>99.643324150596882</v>
      </c>
    </row>
    <row r="32" spans="1:16" s="45" customFormat="1" ht="45" customHeight="1" x14ac:dyDescent="0.25">
      <c r="A32" s="21"/>
      <c r="B32" s="21"/>
      <c r="C32" s="21"/>
      <c r="D32" s="62" t="s">
        <v>243</v>
      </c>
      <c r="E32" s="90">
        <f t="shared" ref="E32" si="17">F32+G32</f>
        <v>1530000</v>
      </c>
      <c r="F32" s="91">
        <v>1530000</v>
      </c>
      <c r="G32" s="91"/>
      <c r="H32" s="91"/>
      <c r="I32" s="90">
        <f t="shared" ref="I32" si="18">J32+K32</f>
        <v>0</v>
      </c>
      <c r="J32" s="92"/>
      <c r="K32" s="92"/>
      <c r="L32" s="92"/>
      <c r="M32" s="43">
        <f t="shared" si="11"/>
        <v>0</v>
      </c>
      <c r="N32" s="43">
        <f t="shared" si="12"/>
        <v>0</v>
      </c>
      <c r="O32" s="43"/>
      <c r="P32" s="43"/>
    </row>
    <row r="33" spans="1:18" s="45" customFormat="1" ht="56.25" x14ac:dyDescent="0.25">
      <c r="A33" s="23"/>
      <c r="B33" s="23"/>
      <c r="C33" s="23"/>
      <c r="D33" s="24" t="s">
        <v>223</v>
      </c>
      <c r="E33" s="93">
        <f t="shared" si="7"/>
        <v>4249600</v>
      </c>
      <c r="F33" s="95">
        <v>4249600</v>
      </c>
      <c r="G33" s="95"/>
      <c r="H33" s="95"/>
      <c r="I33" s="93">
        <f t="shared" si="9"/>
        <v>4166922.22</v>
      </c>
      <c r="J33" s="93">
        <v>4166922.22</v>
      </c>
      <c r="K33" s="96"/>
      <c r="L33" s="96"/>
      <c r="M33" s="43">
        <f t="shared" si="11"/>
        <v>98.054457360692766</v>
      </c>
      <c r="N33" s="43">
        <f t="shared" si="12"/>
        <v>98.054457360692766</v>
      </c>
      <c r="O33" s="43"/>
      <c r="P33" s="43"/>
    </row>
    <row r="34" spans="1:18" s="45" customFormat="1" ht="56.25" x14ac:dyDescent="0.25">
      <c r="A34" s="23"/>
      <c r="B34" s="23"/>
      <c r="C34" s="23"/>
      <c r="D34" s="24" t="s">
        <v>225</v>
      </c>
      <c r="E34" s="93">
        <f t="shared" si="7"/>
        <v>1380700</v>
      </c>
      <c r="F34" s="95">
        <v>1321800</v>
      </c>
      <c r="G34" s="95">
        <v>58900</v>
      </c>
      <c r="H34" s="95">
        <v>58900</v>
      </c>
      <c r="I34" s="93">
        <f t="shared" si="9"/>
        <v>1289575.24</v>
      </c>
      <c r="J34" s="93">
        <v>1230732.82</v>
      </c>
      <c r="K34" s="96">
        <v>58842.42</v>
      </c>
      <c r="L34" s="96">
        <v>58842.42</v>
      </c>
      <c r="M34" s="43">
        <f t="shared" si="11"/>
        <v>93.400104294922869</v>
      </c>
      <c r="N34" s="43">
        <f t="shared" si="12"/>
        <v>93.110366167347564</v>
      </c>
      <c r="O34" s="43">
        <f t="shared" ref="O34:O35" si="19">K34/G34*100</f>
        <v>99.902241086587424</v>
      </c>
      <c r="P34" s="43">
        <f t="shared" ref="P34:P35" si="20">L34/H34*100</f>
        <v>99.902241086587424</v>
      </c>
    </row>
    <row r="35" spans="1:18" s="45" customFormat="1" ht="56.25" x14ac:dyDescent="0.25">
      <c r="A35" s="23"/>
      <c r="B35" s="23"/>
      <c r="C35" s="23"/>
      <c r="D35" s="24" t="s">
        <v>224</v>
      </c>
      <c r="E35" s="93">
        <f t="shared" si="7"/>
        <v>2084900</v>
      </c>
      <c r="F35" s="95">
        <v>2034900</v>
      </c>
      <c r="G35" s="95">
        <v>50000</v>
      </c>
      <c r="H35" s="95">
        <v>50000</v>
      </c>
      <c r="I35" s="93">
        <f t="shared" si="9"/>
        <v>2053950.52</v>
      </c>
      <c r="J35" s="93">
        <v>2004281.36</v>
      </c>
      <c r="K35" s="96">
        <v>49669.16</v>
      </c>
      <c r="L35" s="96">
        <v>49669.16</v>
      </c>
      <c r="M35" s="43">
        <f t="shared" si="11"/>
        <v>98.515541272962736</v>
      </c>
      <c r="N35" s="43">
        <f t="shared" si="12"/>
        <v>98.495324585974743</v>
      </c>
      <c r="O35" s="43">
        <f t="shared" si="19"/>
        <v>99.338319999999996</v>
      </c>
      <c r="P35" s="43">
        <f t="shared" si="20"/>
        <v>99.338319999999996</v>
      </c>
    </row>
    <row r="36" spans="1:18" s="45" customFormat="1" ht="37.5" x14ac:dyDescent="0.25">
      <c r="A36" s="27" t="s">
        <v>381</v>
      </c>
      <c r="B36" s="27" t="s">
        <v>382</v>
      </c>
      <c r="C36" s="27" t="s">
        <v>132</v>
      </c>
      <c r="D36" s="22" t="s">
        <v>356</v>
      </c>
      <c r="E36" s="93">
        <f t="shared" ref="E36" si="21">F36+G36</f>
        <v>400000</v>
      </c>
      <c r="F36" s="95">
        <v>400000</v>
      </c>
      <c r="G36" s="95"/>
      <c r="H36" s="95"/>
      <c r="I36" s="93">
        <f t="shared" ref="I36" si="22">J36+K36</f>
        <v>0</v>
      </c>
      <c r="J36" s="93"/>
      <c r="K36" s="96"/>
      <c r="L36" s="96"/>
      <c r="M36" s="43">
        <f t="shared" ref="M36" si="23">I36/E36*100</f>
        <v>0</v>
      </c>
      <c r="N36" s="43">
        <f t="shared" ref="N36" si="24">J36/F36*100</f>
        <v>0</v>
      </c>
      <c r="O36" s="43"/>
      <c r="P36" s="43"/>
    </row>
    <row r="37" spans="1:18" s="45" customFormat="1" ht="56.25" x14ac:dyDescent="0.25">
      <c r="A37" s="27" t="s">
        <v>311</v>
      </c>
      <c r="B37" s="27">
        <v>7351</v>
      </c>
      <c r="C37" s="27" t="s">
        <v>132</v>
      </c>
      <c r="D37" s="22" t="s">
        <v>312</v>
      </c>
      <c r="E37" s="93">
        <f t="shared" si="7"/>
        <v>1800000</v>
      </c>
      <c r="F37" s="95">
        <v>1800000</v>
      </c>
      <c r="G37" s="95"/>
      <c r="H37" s="95"/>
      <c r="I37" s="93">
        <f t="shared" si="9"/>
        <v>1740000</v>
      </c>
      <c r="J37" s="93">
        <v>1740000</v>
      </c>
      <c r="K37" s="96"/>
      <c r="L37" s="96"/>
      <c r="M37" s="43">
        <f t="shared" si="11"/>
        <v>96.666666666666671</v>
      </c>
      <c r="N37" s="43">
        <f t="shared" si="12"/>
        <v>96.666666666666671</v>
      </c>
      <c r="O37" s="43"/>
      <c r="P37" s="43"/>
    </row>
    <row r="38" spans="1:18" s="45" customFormat="1" ht="93.75" x14ac:dyDescent="0.25">
      <c r="A38" s="27" t="s">
        <v>383</v>
      </c>
      <c r="B38" s="27" t="s">
        <v>384</v>
      </c>
      <c r="C38" s="27" t="s">
        <v>23</v>
      </c>
      <c r="D38" s="22" t="s">
        <v>385</v>
      </c>
      <c r="E38" s="93">
        <f t="shared" ref="E38" si="25">F38+G38</f>
        <v>179860</v>
      </c>
      <c r="F38" s="95">
        <v>179860</v>
      </c>
      <c r="G38" s="95"/>
      <c r="H38" s="95"/>
      <c r="I38" s="93">
        <f t="shared" ref="I38" si="26">J38+K38</f>
        <v>143718</v>
      </c>
      <c r="J38" s="93">
        <v>143718</v>
      </c>
      <c r="K38" s="96"/>
      <c r="L38" s="96"/>
      <c r="M38" s="43">
        <f t="shared" ref="M38" si="27">I38/E38*100</f>
        <v>79.905482041587902</v>
      </c>
      <c r="N38" s="43">
        <f t="shared" ref="N38" si="28">J38/F38*100</f>
        <v>79.905482041587902</v>
      </c>
      <c r="O38" s="43"/>
      <c r="P38" s="43"/>
    </row>
    <row r="39" spans="1:18" s="45" customFormat="1" ht="37.5" x14ac:dyDescent="0.25">
      <c r="A39" s="27" t="s">
        <v>313</v>
      </c>
      <c r="B39" s="27" t="s">
        <v>314</v>
      </c>
      <c r="C39" s="27" t="s">
        <v>23</v>
      </c>
      <c r="D39" s="22" t="s">
        <v>287</v>
      </c>
      <c r="E39" s="93">
        <f t="shared" si="7"/>
        <v>70000</v>
      </c>
      <c r="F39" s="95">
        <v>70000</v>
      </c>
      <c r="G39" s="95"/>
      <c r="H39" s="95"/>
      <c r="I39" s="93">
        <f t="shared" si="9"/>
        <v>38865</v>
      </c>
      <c r="J39" s="93">
        <v>38865</v>
      </c>
      <c r="K39" s="96"/>
      <c r="L39" s="96"/>
      <c r="M39" s="43">
        <f t="shared" si="11"/>
        <v>55.521428571428565</v>
      </c>
      <c r="N39" s="43">
        <f t="shared" si="12"/>
        <v>55.521428571428565</v>
      </c>
      <c r="O39" s="43"/>
      <c r="P39" s="43"/>
    </row>
    <row r="40" spans="1:18" s="45" customFormat="1" ht="18.75" x14ac:dyDescent="0.25">
      <c r="A40" s="27" t="s">
        <v>410</v>
      </c>
      <c r="B40" s="27" t="s">
        <v>411</v>
      </c>
      <c r="C40" s="27" t="s">
        <v>7</v>
      </c>
      <c r="D40" s="22" t="s">
        <v>8</v>
      </c>
      <c r="E40" s="93">
        <f>F40+G40</f>
        <v>1750000</v>
      </c>
      <c r="F40" s="95"/>
      <c r="G40" s="95">
        <v>1750000</v>
      </c>
      <c r="H40" s="95">
        <v>1750000</v>
      </c>
      <c r="I40" s="93">
        <f t="shared" si="9"/>
        <v>70000</v>
      </c>
      <c r="J40" s="93"/>
      <c r="K40" s="96">
        <v>70000</v>
      </c>
      <c r="L40" s="96">
        <v>70000</v>
      </c>
      <c r="M40" s="43">
        <f t="shared" ref="M40" si="29">I40/E40*100</f>
        <v>4</v>
      </c>
      <c r="N40" s="43"/>
      <c r="O40" s="43">
        <f t="shared" ref="O40" si="30">K40/G40*100</f>
        <v>4</v>
      </c>
      <c r="P40" s="43">
        <f t="shared" ref="P40" si="31">L40/H40*100</f>
        <v>4</v>
      </c>
    </row>
    <row r="41" spans="1:18" s="46" customFormat="1" ht="37.5" x14ac:dyDescent="0.25">
      <c r="A41" s="21" t="s">
        <v>117</v>
      </c>
      <c r="B41" s="21" t="s">
        <v>116</v>
      </c>
      <c r="C41" s="21" t="s">
        <v>23</v>
      </c>
      <c r="D41" s="22" t="s">
        <v>118</v>
      </c>
      <c r="E41" s="90">
        <f t="shared" si="7"/>
        <v>70700</v>
      </c>
      <c r="F41" s="91">
        <v>70700</v>
      </c>
      <c r="G41" s="91"/>
      <c r="H41" s="91"/>
      <c r="I41" s="93">
        <f t="shared" si="9"/>
        <v>70700</v>
      </c>
      <c r="J41" s="92">
        <v>70700</v>
      </c>
      <c r="K41" s="92"/>
      <c r="L41" s="92"/>
      <c r="M41" s="43">
        <f t="shared" si="11"/>
        <v>100</v>
      </c>
      <c r="N41" s="43">
        <f t="shared" si="12"/>
        <v>100</v>
      </c>
      <c r="O41" s="43"/>
      <c r="P41" s="43"/>
    </row>
    <row r="42" spans="1:18" s="46" customFormat="1" ht="56.25" x14ac:dyDescent="0.25">
      <c r="A42" s="26" t="s">
        <v>98</v>
      </c>
      <c r="B42" s="25">
        <v>8110</v>
      </c>
      <c r="C42" s="27" t="s">
        <v>5</v>
      </c>
      <c r="D42" s="22" t="s">
        <v>144</v>
      </c>
      <c r="E42" s="90">
        <f t="shared" si="7"/>
        <v>1311200</v>
      </c>
      <c r="F42" s="91">
        <f>228500+1020600+20700+20700+20700</f>
        <v>1311200</v>
      </c>
      <c r="G42" s="91"/>
      <c r="H42" s="91"/>
      <c r="I42" s="90">
        <f t="shared" si="9"/>
        <v>346764.2</v>
      </c>
      <c r="J42" s="92">
        <f>199000+114150.8+16806.7+16806.7</f>
        <v>346764.2</v>
      </c>
      <c r="K42" s="91"/>
      <c r="L42" s="91"/>
      <c r="M42" s="43">
        <f t="shared" si="11"/>
        <v>26.446323978035391</v>
      </c>
      <c r="N42" s="43">
        <f t="shared" si="12"/>
        <v>26.446323978035391</v>
      </c>
      <c r="O42" s="43"/>
      <c r="P42" s="43"/>
    </row>
    <row r="43" spans="1:18" s="46" customFormat="1" ht="37.5" x14ac:dyDescent="0.25">
      <c r="A43" s="21" t="s">
        <v>191</v>
      </c>
      <c r="B43" s="21" t="s">
        <v>192</v>
      </c>
      <c r="C43" s="21" t="s">
        <v>167</v>
      </c>
      <c r="D43" s="22" t="s">
        <v>193</v>
      </c>
      <c r="E43" s="90">
        <f t="shared" si="7"/>
        <v>22222600</v>
      </c>
      <c r="F43" s="91">
        <v>21352480</v>
      </c>
      <c r="G43" s="91">
        <v>870120</v>
      </c>
      <c r="H43" s="91">
        <v>870120</v>
      </c>
      <c r="I43" s="90">
        <f t="shared" si="9"/>
        <v>21374237.010000002</v>
      </c>
      <c r="J43" s="98">
        <v>20504117.010000002</v>
      </c>
      <c r="K43" s="98">
        <f>L43</f>
        <v>870120</v>
      </c>
      <c r="L43" s="98">
        <v>870120</v>
      </c>
      <c r="M43" s="43">
        <f t="shared" si="11"/>
        <v>96.182431443665465</v>
      </c>
      <c r="N43" s="43">
        <f t="shared" si="12"/>
        <v>96.026864373599707</v>
      </c>
      <c r="O43" s="43">
        <f t="shared" si="13"/>
        <v>100</v>
      </c>
      <c r="P43" s="43">
        <f t="shared" si="14"/>
        <v>100</v>
      </c>
      <c r="Q43" s="49"/>
    </row>
    <row r="44" spans="1:18" s="46" customFormat="1" ht="37.5" x14ac:dyDescent="0.25">
      <c r="A44" s="21" t="s">
        <v>252</v>
      </c>
      <c r="B44" s="25">
        <v>8220</v>
      </c>
      <c r="C44" s="21" t="s">
        <v>167</v>
      </c>
      <c r="D44" s="22" t="s">
        <v>253</v>
      </c>
      <c r="E44" s="90">
        <f t="shared" si="7"/>
        <v>1385000</v>
      </c>
      <c r="F44" s="91">
        <v>1385000</v>
      </c>
      <c r="G44" s="91"/>
      <c r="H44" s="91"/>
      <c r="I44" s="90">
        <f t="shared" si="9"/>
        <v>374160.04</v>
      </c>
      <c r="J44" s="92">
        <v>374160.04</v>
      </c>
      <c r="K44" s="98"/>
      <c r="L44" s="98"/>
      <c r="M44" s="43">
        <f t="shared" si="11"/>
        <v>27.015165342960291</v>
      </c>
      <c r="N44" s="43">
        <f t="shared" si="12"/>
        <v>27.015165342960291</v>
      </c>
      <c r="O44" s="43"/>
      <c r="P44" s="43"/>
      <c r="Q44" s="49"/>
    </row>
    <row r="45" spans="1:18" s="46" customFormat="1" ht="37.5" x14ac:dyDescent="0.25">
      <c r="A45" s="21" t="s">
        <v>254</v>
      </c>
      <c r="B45" s="21" t="s">
        <v>255</v>
      </c>
      <c r="C45" s="21" t="s">
        <v>167</v>
      </c>
      <c r="D45" s="22" t="s">
        <v>256</v>
      </c>
      <c r="E45" s="90">
        <f t="shared" si="7"/>
        <v>7379500</v>
      </c>
      <c r="F45" s="91">
        <v>6895928</v>
      </c>
      <c r="G45" s="91">
        <v>483572</v>
      </c>
      <c r="H45" s="91">
        <v>483572</v>
      </c>
      <c r="I45" s="90">
        <f t="shared" si="9"/>
        <v>7367272</v>
      </c>
      <c r="J45" s="92">
        <v>6883751</v>
      </c>
      <c r="K45" s="98">
        <v>483521</v>
      </c>
      <c r="L45" s="98">
        <v>483521</v>
      </c>
      <c r="M45" s="43">
        <f t="shared" si="11"/>
        <v>99.83429771664747</v>
      </c>
      <c r="N45" s="43">
        <f t="shared" si="12"/>
        <v>99.823417529881397</v>
      </c>
      <c r="O45" s="43">
        <f t="shared" si="13"/>
        <v>99.989453483659105</v>
      </c>
      <c r="P45" s="43">
        <f t="shared" si="14"/>
        <v>99.989453483659105</v>
      </c>
      <c r="Q45" s="49"/>
    </row>
    <row r="46" spans="1:18" s="46" customFormat="1" ht="18.75" x14ac:dyDescent="0.25">
      <c r="A46" s="27" t="s">
        <v>386</v>
      </c>
      <c r="B46" s="27" t="s">
        <v>257</v>
      </c>
      <c r="C46" s="27" t="s">
        <v>167</v>
      </c>
      <c r="D46" s="22" t="s">
        <v>258</v>
      </c>
      <c r="E46" s="90">
        <f t="shared" ref="E46" si="32">F46+G46</f>
        <v>1597000</v>
      </c>
      <c r="F46" s="91">
        <v>198000</v>
      </c>
      <c r="G46" s="91">
        <v>1399000</v>
      </c>
      <c r="H46" s="91">
        <v>1399000</v>
      </c>
      <c r="I46" s="90">
        <f t="shared" ref="I46" si="33">J46+K46</f>
        <v>259000</v>
      </c>
      <c r="J46" s="92">
        <v>189000</v>
      </c>
      <c r="K46" s="98">
        <v>70000</v>
      </c>
      <c r="L46" s="98">
        <v>70000</v>
      </c>
      <c r="M46" s="43">
        <f t="shared" ref="M46" si="34">I46/E46*100</f>
        <v>16.217908578584847</v>
      </c>
      <c r="N46" s="43">
        <f t="shared" ref="N46" si="35">J46/F46*100</f>
        <v>95.454545454545453</v>
      </c>
      <c r="O46" s="43">
        <f t="shared" si="13"/>
        <v>5.003573981415296</v>
      </c>
      <c r="P46" s="43">
        <f t="shared" si="14"/>
        <v>5.003573981415296</v>
      </c>
      <c r="Q46" s="49"/>
    </row>
    <row r="47" spans="1:18" s="46" customFormat="1" ht="37.5" x14ac:dyDescent="0.25">
      <c r="A47" s="21" t="s">
        <v>134</v>
      </c>
      <c r="B47" s="21" t="s">
        <v>133</v>
      </c>
      <c r="C47" s="21" t="s">
        <v>43</v>
      </c>
      <c r="D47" s="22" t="s">
        <v>142</v>
      </c>
      <c r="E47" s="90">
        <f t="shared" si="7"/>
        <v>196000</v>
      </c>
      <c r="F47" s="91"/>
      <c r="G47" s="91">
        <v>196000</v>
      </c>
      <c r="H47" s="91"/>
      <c r="I47" s="90">
        <f t="shared" si="9"/>
        <v>0</v>
      </c>
      <c r="J47" s="92"/>
      <c r="K47" s="98">
        <v>0</v>
      </c>
      <c r="L47" s="98"/>
      <c r="M47" s="43">
        <f t="shared" si="11"/>
        <v>0</v>
      </c>
      <c r="N47" s="43"/>
      <c r="O47" s="43"/>
      <c r="P47" s="43"/>
      <c r="R47" s="50"/>
    </row>
    <row r="48" spans="1:18" s="51" customFormat="1" ht="56.25" x14ac:dyDescent="0.25">
      <c r="A48" s="19" t="s">
        <v>55</v>
      </c>
      <c r="B48" s="19" t="s">
        <v>242</v>
      </c>
      <c r="C48" s="19" t="s">
        <v>242</v>
      </c>
      <c r="D48" s="20" t="s">
        <v>343</v>
      </c>
      <c r="E48" s="88">
        <f t="shared" si="7"/>
        <v>404627551</v>
      </c>
      <c r="F48" s="89">
        <f>F49</f>
        <v>387008748</v>
      </c>
      <c r="G48" s="89">
        <f t="shared" ref="G48:H48" si="36">G49</f>
        <v>17618803</v>
      </c>
      <c r="H48" s="89">
        <f t="shared" si="36"/>
        <v>11909535</v>
      </c>
      <c r="I48" s="88">
        <f t="shared" si="9"/>
        <v>363963572.21000004</v>
      </c>
      <c r="J48" s="99">
        <f>J49</f>
        <v>352531668.30000001</v>
      </c>
      <c r="K48" s="99">
        <f t="shared" ref="K48:L48" si="37">K49</f>
        <v>11431903.91</v>
      </c>
      <c r="L48" s="99">
        <f t="shared" si="37"/>
        <v>3490749.3000000003</v>
      </c>
      <c r="M48" s="40">
        <f t="shared" si="3"/>
        <v>89.950269404665434</v>
      </c>
      <c r="N48" s="40">
        <f t="shared" si="4"/>
        <v>91.091395251871674</v>
      </c>
      <c r="O48" s="40">
        <f t="shared" si="5"/>
        <v>64.884679793513783</v>
      </c>
      <c r="P48" s="40">
        <f t="shared" si="6"/>
        <v>29.310542351149731</v>
      </c>
      <c r="R48" s="52"/>
    </row>
    <row r="49" spans="1:16" s="51" customFormat="1" ht="56.25" x14ac:dyDescent="0.25">
      <c r="A49" s="19" t="s">
        <v>56</v>
      </c>
      <c r="B49" s="19" t="s">
        <v>242</v>
      </c>
      <c r="C49" s="19" t="s">
        <v>242</v>
      </c>
      <c r="D49" s="20" t="s">
        <v>343</v>
      </c>
      <c r="E49" s="89">
        <f>E50+E51+E52+E53+E54+E55+E56+E57+E58+E59+E60+E61+E62+E63+E72+E73+E74+E76+E77+E66+E70+E71+E75</f>
        <v>404627551</v>
      </c>
      <c r="F49" s="89">
        <f>F50+F51+F52+F53+F54+F55+F56+F57+F58+F59+F60+F61+F62+F63+F72+F73+F74+F76+F77+F66+F70+F71+F75</f>
        <v>387008748</v>
      </c>
      <c r="G49" s="89">
        <f t="shared" ref="G49:L49" si="38">G50+G51+G52+G53+G54+G55+G56+G57+G58+G59+G60+G61+G62+G63+G72+G73+G74+G76+G77+G66+G70+G71+G75</f>
        <v>17618803</v>
      </c>
      <c r="H49" s="89">
        <f t="shared" si="38"/>
        <v>11909535</v>
      </c>
      <c r="I49" s="89">
        <f t="shared" si="38"/>
        <v>363963572.20999998</v>
      </c>
      <c r="J49" s="89">
        <f t="shared" si="38"/>
        <v>352531668.30000001</v>
      </c>
      <c r="K49" s="89">
        <f t="shared" si="38"/>
        <v>11431903.91</v>
      </c>
      <c r="L49" s="89">
        <f t="shared" si="38"/>
        <v>3490749.3000000003</v>
      </c>
      <c r="M49" s="40">
        <f t="shared" si="3"/>
        <v>89.95026940466542</v>
      </c>
      <c r="N49" s="40">
        <f t="shared" si="4"/>
        <v>91.091395251871674</v>
      </c>
      <c r="O49" s="40">
        <f t="shared" si="5"/>
        <v>64.884679793513783</v>
      </c>
      <c r="P49" s="40">
        <f t="shared" si="6"/>
        <v>29.310542351149731</v>
      </c>
    </row>
    <row r="50" spans="1:16" s="46" customFormat="1" ht="56.25" x14ac:dyDescent="0.25">
      <c r="A50" s="21" t="s">
        <v>58</v>
      </c>
      <c r="B50" s="21" t="s">
        <v>57</v>
      </c>
      <c r="C50" s="21" t="s">
        <v>3</v>
      </c>
      <c r="D50" s="22" t="s">
        <v>259</v>
      </c>
      <c r="E50" s="90">
        <f t="shared" si="7"/>
        <v>4281400</v>
      </c>
      <c r="F50" s="91">
        <v>4281400</v>
      </c>
      <c r="G50" s="91"/>
      <c r="H50" s="91"/>
      <c r="I50" s="90">
        <f t="shared" si="9"/>
        <v>3393140.38</v>
      </c>
      <c r="J50" s="92">
        <v>3393140.38</v>
      </c>
      <c r="K50" s="98"/>
      <c r="L50" s="98"/>
      <c r="M50" s="43">
        <f t="shared" ref="M50:M77" si="39">I50/E50*100</f>
        <v>79.253056943990288</v>
      </c>
      <c r="N50" s="43">
        <f t="shared" ref="N50:N77" si="40">J50/F50*100</f>
        <v>79.253056943990288</v>
      </c>
      <c r="O50" s="43"/>
      <c r="P50" s="43"/>
    </row>
    <row r="51" spans="1:16" s="46" customFormat="1" ht="37.5" x14ac:dyDescent="0.25">
      <c r="A51" s="21" t="s">
        <v>260</v>
      </c>
      <c r="B51" s="21" t="s">
        <v>10</v>
      </c>
      <c r="C51" s="21" t="s">
        <v>6</v>
      </c>
      <c r="D51" s="22" t="s">
        <v>104</v>
      </c>
      <c r="E51" s="90">
        <f t="shared" si="7"/>
        <v>135469</v>
      </c>
      <c r="F51" s="91">
        <v>135469</v>
      </c>
      <c r="G51" s="91"/>
      <c r="H51" s="91"/>
      <c r="I51" s="90">
        <f t="shared" si="9"/>
        <v>134476.5</v>
      </c>
      <c r="J51" s="92">
        <v>134476.5</v>
      </c>
      <c r="K51" s="98"/>
      <c r="L51" s="98"/>
      <c r="M51" s="43">
        <f t="shared" si="39"/>
        <v>99.267360060235191</v>
      </c>
      <c r="N51" s="43">
        <f t="shared" si="40"/>
        <v>99.267360060235191</v>
      </c>
      <c r="O51" s="43"/>
      <c r="P51" s="43"/>
    </row>
    <row r="52" spans="1:16" s="46" customFormat="1" ht="18.75" x14ac:dyDescent="0.25">
      <c r="A52" s="21" t="s">
        <v>59</v>
      </c>
      <c r="B52" s="21" t="s">
        <v>11</v>
      </c>
      <c r="C52" s="21" t="s">
        <v>12</v>
      </c>
      <c r="D52" s="22" t="s">
        <v>60</v>
      </c>
      <c r="E52" s="90">
        <f t="shared" si="7"/>
        <v>99930116</v>
      </c>
      <c r="F52" s="91">
        <v>93160116</v>
      </c>
      <c r="G52" s="91">
        <f>1570000+5200000</f>
        <v>6770000</v>
      </c>
      <c r="H52" s="91">
        <v>1570000</v>
      </c>
      <c r="I52" s="90">
        <f t="shared" si="9"/>
        <v>83791823.599999994</v>
      </c>
      <c r="J52" s="92">
        <v>82022331.959999993</v>
      </c>
      <c r="K52" s="98">
        <f>780510.39+343697.25+645284</f>
        <v>1769491.6400000001</v>
      </c>
      <c r="L52" s="98">
        <v>780510.39</v>
      </c>
      <c r="M52" s="43">
        <f t="shared" si="39"/>
        <v>83.850421628650963</v>
      </c>
      <c r="N52" s="43">
        <f t="shared" si="40"/>
        <v>88.044471692156321</v>
      </c>
      <c r="O52" s="43">
        <f t="shared" ref="O52:O53" si="41">K52/G52*100</f>
        <v>26.137247267355985</v>
      </c>
      <c r="P52" s="43">
        <f t="shared" ref="P52:P53" si="42">L52/H52*100</f>
        <v>49.714037579617838</v>
      </c>
    </row>
    <row r="53" spans="1:16" s="46" customFormat="1" ht="56.25" x14ac:dyDescent="0.25">
      <c r="A53" s="21" t="s">
        <v>197</v>
      </c>
      <c r="B53" s="21" t="s">
        <v>198</v>
      </c>
      <c r="C53" s="21" t="s">
        <v>14</v>
      </c>
      <c r="D53" s="22" t="s">
        <v>344</v>
      </c>
      <c r="E53" s="90">
        <f t="shared" si="7"/>
        <v>87574369</v>
      </c>
      <c r="F53" s="91">
        <v>82124985</v>
      </c>
      <c r="G53" s="91">
        <f>5441885+7499</f>
        <v>5449384</v>
      </c>
      <c r="H53" s="91">
        <v>5441885</v>
      </c>
      <c r="I53" s="90">
        <f t="shared" si="9"/>
        <v>77909811.379999995</v>
      </c>
      <c r="J53" s="92">
        <v>71411903.709999993</v>
      </c>
      <c r="K53" s="98">
        <f>2426588.91+36858.89+4034459.87</f>
        <v>6497907.6699999999</v>
      </c>
      <c r="L53" s="98">
        <v>2426588.91</v>
      </c>
      <c r="M53" s="43">
        <f t="shared" si="39"/>
        <v>88.964170989345064</v>
      </c>
      <c r="N53" s="43">
        <f t="shared" si="40"/>
        <v>86.955149775674229</v>
      </c>
      <c r="O53" s="43">
        <f t="shared" si="41"/>
        <v>119.24114120054669</v>
      </c>
      <c r="P53" s="43">
        <f t="shared" si="42"/>
        <v>44.590962690317788</v>
      </c>
    </row>
    <row r="54" spans="1:16" s="46" customFormat="1" ht="112.5" x14ac:dyDescent="0.25">
      <c r="A54" s="21" t="s">
        <v>199</v>
      </c>
      <c r="B54" s="21" t="s">
        <v>200</v>
      </c>
      <c r="C54" s="21" t="s">
        <v>16</v>
      </c>
      <c r="D54" s="22" t="s">
        <v>345</v>
      </c>
      <c r="E54" s="90">
        <f t="shared" si="7"/>
        <v>6864728.5700000003</v>
      </c>
      <c r="F54" s="91">
        <v>6864728.5700000003</v>
      </c>
      <c r="G54" s="98"/>
      <c r="H54" s="98"/>
      <c r="I54" s="90">
        <f t="shared" si="9"/>
        <v>5511885.9399999995</v>
      </c>
      <c r="J54" s="98">
        <v>5260528.34</v>
      </c>
      <c r="K54" s="98">
        <v>251357.6</v>
      </c>
      <c r="L54" s="98"/>
      <c r="M54" s="43">
        <f t="shared" si="39"/>
        <v>80.292846014157831</v>
      </c>
      <c r="N54" s="43">
        <f t="shared" si="40"/>
        <v>76.631264970757613</v>
      </c>
      <c r="O54" s="43"/>
      <c r="P54" s="43"/>
    </row>
    <row r="55" spans="1:16" s="46" customFormat="1" ht="56.25" x14ac:dyDescent="0.25">
      <c r="A55" s="21" t="s">
        <v>201</v>
      </c>
      <c r="B55" s="21" t="s">
        <v>202</v>
      </c>
      <c r="C55" s="21" t="s">
        <v>14</v>
      </c>
      <c r="D55" s="22" t="s">
        <v>348</v>
      </c>
      <c r="E55" s="90">
        <f t="shared" si="7"/>
        <v>117414500</v>
      </c>
      <c r="F55" s="91">
        <v>117414500</v>
      </c>
      <c r="G55" s="91"/>
      <c r="H55" s="91"/>
      <c r="I55" s="90">
        <f t="shared" si="9"/>
        <v>117414500</v>
      </c>
      <c r="J55" s="92">
        <v>117414500</v>
      </c>
      <c r="K55" s="98"/>
      <c r="L55" s="98"/>
      <c r="M55" s="43">
        <f t="shared" si="39"/>
        <v>100</v>
      </c>
      <c r="N55" s="43">
        <f t="shared" si="40"/>
        <v>100</v>
      </c>
      <c r="O55" s="43"/>
      <c r="P55" s="43"/>
    </row>
    <row r="56" spans="1:16" s="46" customFormat="1" ht="96.6" customHeight="1" x14ac:dyDescent="0.25">
      <c r="A56" s="21" t="s">
        <v>203</v>
      </c>
      <c r="B56" s="21" t="s">
        <v>204</v>
      </c>
      <c r="C56" s="21" t="s">
        <v>16</v>
      </c>
      <c r="D56" s="22" t="s">
        <v>349</v>
      </c>
      <c r="E56" s="90">
        <f t="shared" si="7"/>
        <v>9500000</v>
      </c>
      <c r="F56" s="91">
        <v>9500000</v>
      </c>
      <c r="G56" s="91"/>
      <c r="H56" s="91"/>
      <c r="I56" s="90">
        <f t="shared" si="9"/>
        <v>9500000</v>
      </c>
      <c r="J56" s="92">
        <v>9500000</v>
      </c>
      <c r="K56" s="98"/>
      <c r="L56" s="98"/>
      <c r="M56" s="43">
        <f t="shared" si="39"/>
        <v>100</v>
      </c>
      <c r="N56" s="43">
        <f t="shared" si="40"/>
        <v>100</v>
      </c>
      <c r="O56" s="43"/>
      <c r="P56" s="43"/>
    </row>
    <row r="57" spans="1:16" s="46" customFormat="1" ht="66" customHeight="1" x14ac:dyDescent="0.25">
      <c r="A57" s="21" t="s">
        <v>61</v>
      </c>
      <c r="B57" s="21" t="s">
        <v>35</v>
      </c>
      <c r="C57" s="21" t="s">
        <v>17</v>
      </c>
      <c r="D57" s="22" t="s">
        <v>205</v>
      </c>
      <c r="E57" s="90">
        <f t="shared" si="7"/>
        <v>20947790</v>
      </c>
      <c r="F57" s="91">
        <v>20761790</v>
      </c>
      <c r="G57" s="91">
        <f>73500+112500</f>
        <v>186000</v>
      </c>
      <c r="H57" s="91">
        <v>73500</v>
      </c>
      <c r="I57" s="90">
        <f t="shared" si="9"/>
        <v>20201727.620000001</v>
      </c>
      <c r="J57" s="92">
        <v>19796294.620000001</v>
      </c>
      <c r="K57" s="92">
        <f>174123+231310</f>
        <v>405433</v>
      </c>
      <c r="L57" s="92"/>
      <c r="M57" s="43">
        <f t="shared" si="39"/>
        <v>96.438467351448537</v>
      </c>
      <c r="N57" s="43">
        <f t="shared" si="40"/>
        <v>95.349652510693929</v>
      </c>
      <c r="O57" s="43" t="s">
        <v>371</v>
      </c>
      <c r="P57" s="43"/>
    </row>
    <row r="58" spans="1:16" s="46" customFormat="1" ht="37.5" x14ac:dyDescent="0.25">
      <c r="A58" s="21" t="s">
        <v>206</v>
      </c>
      <c r="B58" s="21" t="s">
        <v>207</v>
      </c>
      <c r="C58" s="21" t="s">
        <v>18</v>
      </c>
      <c r="D58" s="22" t="s">
        <v>208</v>
      </c>
      <c r="E58" s="90">
        <f t="shared" si="7"/>
        <v>30000</v>
      </c>
      <c r="F58" s="91">
        <v>30000</v>
      </c>
      <c r="G58" s="91"/>
      <c r="H58" s="91"/>
      <c r="I58" s="90">
        <f t="shared" si="9"/>
        <v>3900</v>
      </c>
      <c r="J58" s="92">
        <v>3900</v>
      </c>
      <c r="K58" s="92"/>
      <c r="L58" s="92"/>
      <c r="M58" s="43">
        <f t="shared" si="39"/>
        <v>13</v>
      </c>
      <c r="N58" s="43">
        <f t="shared" si="40"/>
        <v>13</v>
      </c>
      <c r="O58" s="43"/>
      <c r="P58" s="43"/>
    </row>
    <row r="59" spans="1:16" s="46" customFormat="1" ht="37.5" x14ac:dyDescent="0.25">
      <c r="A59" s="21" t="s">
        <v>209</v>
      </c>
      <c r="B59" s="21" t="s">
        <v>210</v>
      </c>
      <c r="C59" s="21" t="s">
        <v>19</v>
      </c>
      <c r="D59" s="22" t="s">
        <v>159</v>
      </c>
      <c r="E59" s="90">
        <f t="shared" si="7"/>
        <v>18712261</v>
      </c>
      <c r="F59" s="91">
        <v>18712260</v>
      </c>
      <c r="G59" s="91">
        <v>1</v>
      </c>
      <c r="H59" s="91"/>
      <c r="I59" s="90">
        <f t="shared" si="9"/>
        <v>18222349.609999999</v>
      </c>
      <c r="J59" s="92">
        <v>16437553.609999999</v>
      </c>
      <c r="K59" s="98">
        <f>1784796</f>
        <v>1784796</v>
      </c>
      <c r="L59" s="98"/>
      <c r="M59" s="43">
        <f t="shared" si="39"/>
        <v>97.38186962013836</v>
      </c>
      <c r="N59" s="43">
        <f t="shared" si="40"/>
        <v>87.843764515884232</v>
      </c>
      <c r="O59" s="43" t="s">
        <v>371</v>
      </c>
      <c r="P59" s="43"/>
    </row>
    <row r="60" spans="1:16" s="46" customFormat="1" ht="56.25" x14ac:dyDescent="0.25">
      <c r="A60" s="21" t="s">
        <v>211</v>
      </c>
      <c r="B60" s="21" t="s">
        <v>212</v>
      </c>
      <c r="C60" s="21" t="s">
        <v>19</v>
      </c>
      <c r="D60" s="22" t="s">
        <v>213</v>
      </c>
      <c r="E60" s="90">
        <f t="shared" si="7"/>
        <v>850560</v>
      </c>
      <c r="F60" s="91">
        <v>810060</v>
      </c>
      <c r="G60" s="91">
        <v>40500</v>
      </c>
      <c r="H60" s="91">
        <v>40500</v>
      </c>
      <c r="I60" s="90">
        <f t="shared" si="9"/>
        <v>651213.61</v>
      </c>
      <c r="J60" s="92">
        <v>601213.61</v>
      </c>
      <c r="K60" s="92">
        <v>50000</v>
      </c>
      <c r="L60" s="99"/>
      <c r="M60" s="43">
        <f t="shared" si="39"/>
        <v>76.562924426260352</v>
      </c>
      <c r="N60" s="43">
        <f t="shared" si="40"/>
        <v>74.21840480952028</v>
      </c>
      <c r="O60" s="43" t="s">
        <v>371</v>
      </c>
      <c r="P60" s="43"/>
    </row>
    <row r="61" spans="1:16" s="46" customFormat="1" ht="56.25" x14ac:dyDescent="0.25">
      <c r="A61" s="21" t="s">
        <v>214</v>
      </c>
      <c r="B61" s="21" t="s">
        <v>215</v>
      </c>
      <c r="C61" s="21" t="s">
        <v>19</v>
      </c>
      <c r="D61" s="22" t="s">
        <v>216</v>
      </c>
      <c r="E61" s="90">
        <f t="shared" si="7"/>
        <v>2295056</v>
      </c>
      <c r="F61" s="91">
        <v>2295056</v>
      </c>
      <c r="G61" s="91"/>
      <c r="H61" s="91"/>
      <c r="I61" s="90">
        <f t="shared" si="9"/>
        <v>2049601.01</v>
      </c>
      <c r="J61" s="92">
        <v>2049601.01</v>
      </c>
      <c r="K61" s="99"/>
      <c r="L61" s="99"/>
      <c r="M61" s="43">
        <f t="shared" si="39"/>
        <v>89.305054430044407</v>
      </c>
      <c r="N61" s="43">
        <f t="shared" si="40"/>
        <v>89.305054430044407</v>
      </c>
      <c r="O61" s="43"/>
      <c r="P61" s="43"/>
    </row>
    <row r="62" spans="1:16" s="46" customFormat="1" ht="56.25" x14ac:dyDescent="0.25">
      <c r="A62" s="26" t="s">
        <v>315</v>
      </c>
      <c r="B62" s="26" t="s">
        <v>316</v>
      </c>
      <c r="C62" s="27" t="s">
        <v>19</v>
      </c>
      <c r="D62" s="22" t="s">
        <v>317</v>
      </c>
      <c r="E62" s="90">
        <f t="shared" si="7"/>
        <v>3832400</v>
      </c>
      <c r="F62" s="91">
        <v>3832400</v>
      </c>
      <c r="G62" s="91"/>
      <c r="H62" s="91"/>
      <c r="I62" s="90">
        <f t="shared" si="9"/>
        <v>3508954.39</v>
      </c>
      <c r="J62" s="92">
        <v>3508954.39</v>
      </c>
      <c r="K62" s="92"/>
      <c r="L62" s="92"/>
      <c r="M62" s="43">
        <f t="shared" si="39"/>
        <v>91.560233535121597</v>
      </c>
      <c r="N62" s="43">
        <f t="shared" si="40"/>
        <v>91.560233535121597</v>
      </c>
      <c r="O62" s="43"/>
      <c r="P62" s="43"/>
    </row>
    <row r="63" spans="1:16" s="46" customFormat="1" ht="75" x14ac:dyDescent="0.25">
      <c r="A63" s="53" t="s">
        <v>261</v>
      </c>
      <c r="B63" s="53" t="s">
        <v>217</v>
      </c>
      <c r="C63" s="53" t="s">
        <v>19</v>
      </c>
      <c r="D63" s="54" t="s">
        <v>218</v>
      </c>
      <c r="E63" s="90">
        <f t="shared" si="7"/>
        <v>351372</v>
      </c>
      <c r="F63" s="91">
        <f>F64+F65</f>
        <v>351372</v>
      </c>
      <c r="G63" s="91"/>
      <c r="H63" s="91"/>
      <c r="I63" s="90">
        <f t="shared" si="9"/>
        <v>351372</v>
      </c>
      <c r="J63" s="92">
        <v>351372</v>
      </c>
      <c r="K63" s="92"/>
      <c r="L63" s="92"/>
      <c r="M63" s="43">
        <f t="shared" si="39"/>
        <v>100</v>
      </c>
      <c r="N63" s="43">
        <f t="shared" si="40"/>
        <v>100</v>
      </c>
      <c r="O63" s="43"/>
      <c r="P63" s="43"/>
    </row>
    <row r="64" spans="1:16" s="45" customFormat="1" ht="93.75" x14ac:dyDescent="0.3">
      <c r="A64" s="55"/>
      <c r="B64" s="55"/>
      <c r="C64" s="55"/>
      <c r="D64" s="63" t="s">
        <v>346</v>
      </c>
      <c r="E64" s="93">
        <f t="shared" si="7"/>
        <v>123354</v>
      </c>
      <c r="F64" s="95">
        <v>123354</v>
      </c>
      <c r="G64" s="95"/>
      <c r="H64" s="95"/>
      <c r="I64" s="93">
        <f t="shared" si="9"/>
        <v>123354</v>
      </c>
      <c r="J64" s="96">
        <v>123354</v>
      </c>
      <c r="K64" s="100"/>
      <c r="L64" s="100"/>
      <c r="M64" s="43">
        <f t="shared" si="39"/>
        <v>100</v>
      </c>
      <c r="N64" s="43">
        <f t="shared" si="40"/>
        <v>100</v>
      </c>
      <c r="O64" s="43"/>
      <c r="P64" s="43"/>
    </row>
    <row r="65" spans="1:16" s="45" customFormat="1" ht="93.75" x14ac:dyDescent="0.3">
      <c r="A65" s="55"/>
      <c r="B65" s="55"/>
      <c r="C65" s="55"/>
      <c r="D65" s="63" t="s">
        <v>347</v>
      </c>
      <c r="E65" s="93">
        <f t="shared" si="7"/>
        <v>228018</v>
      </c>
      <c r="F65" s="95">
        <v>228018</v>
      </c>
      <c r="G65" s="95"/>
      <c r="H65" s="95"/>
      <c r="I65" s="93">
        <f t="shared" si="9"/>
        <v>228018</v>
      </c>
      <c r="J65" s="96">
        <v>228018</v>
      </c>
      <c r="K65" s="100"/>
      <c r="L65" s="100"/>
      <c r="M65" s="43">
        <f t="shared" si="39"/>
        <v>100</v>
      </c>
      <c r="N65" s="43">
        <f t="shared" si="40"/>
        <v>100</v>
      </c>
      <c r="O65" s="43"/>
      <c r="P65" s="43"/>
    </row>
    <row r="66" spans="1:16" s="45" customFormat="1" ht="93.75" x14ac:dyDescent="0.25">
      <c r="A66" s="27" t="s">
        <v>387</v>
      </c>
      <c r="B66" s="27" t="s">
        <v>388</v>
      </c>
      <c r="C66" s="21" t="s">
        <v>19</v>
      </c>
      <c r="D66" s="22" t="s">
        <v>389</v>
      </c>
      <c r="E66" s="93">
        <f t="shared" ref="E66:E69" si="43">F66+G66</f>
        <v>395100</v>
      </c>
      <c r="F66" s="95">
        <v>395100</v>
      </c>
      <c r="G66" s="95"/>
      <c r="H66" s="95"/>
      <c r="I66" s="93">
        <f t="shared" ref="I66:I69" si="44">J66+K66</f>
        <v>111396.79</v>
      </c>
      <c r="J66" s="96">
        <v>111396.79</v>
      </c>
      <c r="K66" s="100"/>
      <c r="L66" s="100"/>
      <c r="M66" s="43">
        <f t="shared" ref="M66" si="45">I66/E66*100</f>
        <v>28.194581118704125</v>
      </c>
      <c r="N66" s="43">
        <f t="shared" ref="N66" si="46">J66/F66*100</f>
        <v>28.194581118704125</v>
      </c>
      <c r="O66" s="43"/>
      <c r="P66" s="43"/>
    </row>
    <row r="67" spans="1:16" s="45" customFormat="1" ht="18.75" x14ac:dyDescent="0.3">
      <c r="A67" s="27"/>
      <c r="B67" s="27"/>
      <c r="C67" s="21"/>
      <c r="D67" s="74" t="s">
        <v>390</v>
      </c>
      <c r="E67" s="93"/>
      <c r="F67" s="95"/>
      <c r="G67" s="95"/>
      <c r="H67" s="95"/>
      <c r="I67" s="93"/>
      <c r="J67" s="96"/>
      <c r="K67" s="100"/>
      <c r="L67" s="100"/>
      <c r="M67" s="43"/>
      <c r="N67" s="43"/>
      <c r="O67" s="43"/>
      <c r="P67" s="43"/>
    </row>
    <row r="68" spans="1:16" s="45" customFormat="1" ht="93.75" x14ac:dyDescent="0.3">
      <c r="A68" s="27"/>
      <c r="B68" s="27"/>
      <c r="C68" s="21"/>
      <c r="D68" s="63" t="s">
        <v>346</v>
      </c>
      <c r="E68" s="93">
        <f t="shared" si="43"/>
        <v>71890</v>
      </c>
      <c r="F68" s="95">
        <v>71890</v>
      </c>
      <c r="G68" s="95"/>
      <c r="H68" s="95"/>
      <c r="I68" s="93">
        <f t="shared" si="44"/>
        <v>21182.3</v>
      </c>
      <c r="J68" s="96">
        <v>21182.3</v>
      </c>
      <c r="K68" s="100"/>
      <c r="L68" s="100"/>
      <c r="M68" s="43">
        <f t="shared" ref="M68:M69" si="47">I68/E68*100</f>
        <v>29.464876895256641</v>
      </c>
      <c r="N68" s="43">
        <f t="shared" ref="N68:N69" si="48">J68/F68*100</f>
        <v>29.464876895256641</v>
      </c>
      <c r="O68" s="43"/>
      <c r="P68" s="43"/>
    </row>
    <row r="69" spans="1:16" s="45" customFormat="1" ht="93.75" x14ac:dyDescent="0.3">
      <c r="A69" s="27"/>
      <c r="B69" s="27"/>
      <c r="C69" s="21"/>
      <c r="D69" s="63" t="s">
        <v>347</v>
      </c>
      <c r="E69" s="93">
        <f t="shared" si="43"/>
        <v>323210</v>
      </c>
      <c r="F69" s="95">
        <v>323210</v>
      </c>
      <c r="G69" s="95"/>
      <c r="H69" s="95"/>
      <c r="I69" s="93">
        <f t="shared" si="44"/>
        <v>90214.49</v>
      </c>
      <c r="J69" s="96">
        <v>90214.49</v>
      </c>
      <c r="K69" s="100"/>
      <c r="L69" s="100"/>
      <c r="M69" s="43">
        <f t="shared" si="47"/>
        <v>27.912035518703011</v>
      </c>
      <c r="N69" s="43">
        <f t="shared" si="48"/>
        <v>27.912035518703011</v>
      </c>
      <c r="O69" s="43"/>
      <c r="P69" s="43"/>
    </row>
    <row r="70" spans="1:16" s="45" customFormat="1" ht="75" x14ac:dyDescent="0.25">
      <c r="A70" s="27" t="s">
        <v>391</v>
      </c>
      <c r="B70" s="27" t="s">
        <v>392</v>
      </c>
      <c r="C70" s="27" t="s">
        <v>19</v>
      </c>
      <c r="D70" s="57" t="s">
        <v>393</v>
      </c>
      <c r="E70" s="93">
        <f t="shared" ref="E70:E71" si="49">F70+G70</f>
        <v>166829.14000000001</v>
      </c>
      <c r="F70" s="95">
        <v>166829.14000000001</v>
      </c>
      <c r="G70" s="95"/>
      <c r="H70" s="95"/>
      <c r="I70" s="93">
        <f t="shared" ref="I70:I71" si="50">J70+K70</f>
        <v>166826</v>
      </c>
      <c r="J70" s="96">
        <v>166826</v>
      </c>
      <c r="K70" s="100"/>
      <c r="L70" s="100"/>
      <c r="M70" s="43">
        <f t="shared" ref="M70:M71" si="51">I70/E70*100</f>
        <v>99.998117834809904</v>
      </c>
      <c r="N70" s="43">
        <f t="shared" ref="N70" si="52">J70/F70*100</f>
        <v>99.998117834809904</v>
      </c>
      <c r="O70" s="43"/>
      <c r="P70" s="43"/>
    </row>
    <row r="71" spans="1:16" s="45" customFormat="1" ht="75" x14ac:dyDescent="0.3">
      <c r="A71" s="27" t="s">
        <v>394</v>
      </c>
      <c r="B71" s="27" t="s">
        <v>395</v>
      </c>
      <c r="C71" s="27" t="s">
        <v>19</v>
      </c>
      <c r="D71" s="75" t="s">
        <v>396</v>
      </c>
      <c r="E71" s="93">
        <f t="shared" si="49"/>
        <v>389268</v>
      </c>
      <c r="F71" s="95"/>
      <c r="G71" s="95">
        <v>389268</v>
      </c>
      <c r="H71" s="95"/>
      <c r="I71" s="93">
        <f t="shared" si="50"/>
        <v>389268</v>
      </c>
      <c r="J71" s="96"/>
      <c r="K71" s="100">
        <v>389268</v>
      </c>
      <c r="L71" s="100"/>
      <c r="M71" s="43">
        <f t="shared" si="51"/>
        <v>100</v>
      </c>
      <c r="N71" s="43"/>
      <c r="O71" s="43">
        <f t="shared" ref="O71" si="53">K71/G71*100</f>
        <v>100</v>
      </c>
      <c r="P71" s="43"/>
    </row>
    <row r="72" spans="1:16" s="45" customFormat="1" ht="93.75" x14ac:dyDescent="0.25">
      <c r="A72" s="21" t="s">
        <v>318</v>
      </c>
      <c r="B72" s="21" t="s">
        <v>319</v>
      </c>
      <c r="C72" s="21" t="s">
        <v>20</v>
      </c>
      <c r="D72" s="22" t="s">
        <v>320</v>
      </c>
      <c r="E72" s="93">
        <f t="shared" si="7"/>
        <v>2283800</v>
      </c>
      <c r="F72" s="95">
        <v>2283800</v>
      </c>
      <c r="G72" s="95"/>
      <c r="H72" s="95"/>
      <c r="I72" s="93">
        <f t="shared" si="9"/>
        <v>2256288.38</v>
      </c>
      <c r="J72" s="96">
        <v>2256288.38</v>
      </c>
      <c r="K72" s="96"/>
      <c r="L72" s="96"/>
      <c r="M72" s="43">
        <f t="shared" si="39"/>
        <v>98.795357737104823</v>
      </c>
      <c r="N72" s="43">
        <f t="shared" si="40"/>
        <v>98.795357737104823</v>
      </c>
      <c r="O72" s="43"/>
      <c r="P72" s="43"/>
    </row>
    <row r="73" spans="1:16" s="47" customFormat="1" ht="37.5" x14ac:dyDescent="0.25">
      <c r="A73" s="21" t="s">
        <v>156</v>
      </c>
      <c r="B73" s="21" t="s">
        <v>153</v>
      </c>
      <c r="C73" s="21" t="s">
        <v>4</v>
      </c>
      <c r="D73" s="22" t="s">
        <v>154</v>
      </c>
      <c r="E73" s="90">
        <f t="shared" si="7"/>
        <v>9530200</v>
      </c>
      <c r="F73" s="91">
        <v>9530200</v>
      </c>
      <c r="G73" s="91"/>
      <c r="H73" s="91"/>
      <c r="I73" s="90">
        <f t="shared" si="9"/>
        <v>7730473.0899999999</v>
      </c>
      <c r="J73" s="92">
        <v>7730473.0899999999</v>
      </c>
      <c r="K73" s="92"/>
      <c r="L73" s="92"/>
      <c r="M73" s="43">
        <f t="shared" si="39"/>
        <v>81.115538918385766</v>
      </c>
      <c r="N73" s="43">
        <f t="shared" si="40"/>
        <v>81.115538918385766</v>
      </c>
      <c r="O73" s="43"/>
      <c r="P73" s="43"/>
    </row>
    <row r="74" spans="1:16" s="47" customFormat="1" ht="56.25" x14ac:dyDescent="0.25">
      <c r="A74" s="21" t="s">
        <v>68</v>
      </c>
      <c r="B74" s="21" t="s">
        <v>49</v>
      </c>
      <c r="C74" s="21" t="s">
        <v>21</v>
      </c>
      <c r="D74" s="22" t="s">
        <v>22</v>
      </c>
      <c r="E74" s="90">
        <f t="shared" si="7"/>
        <v>9932472.2899999991</v>
      </c>
      <c r="F74" s="91">
        <v>9932472.2899999991</v>
      </c>
      <c r="G74" s="91"/>
      <c r="H74" s="91"/>
      <c r="I74" s="90">
        <f t="shared" si="9"/>
        <v>8732432.8499999996</v>
      </c>
      <c r="J74" s="92">
        <v>8732432.8499999996</v>
      </c>
      <c r="K74" s="92"/>
      <c r="L74" s="92"/>
      <c r="M74" s="43">
        <f t="shared" si="39"/>
        <v>87.918018747374731</v>
      </c>
      <c r="N74" s="43">
        <f t="shared" si="40"/>
        <v>87.918018747374731</v>
      </c>
      <c r="O74" s="43"/>
      <c r="P74" s="43"/>
    </row>
    <row r="75" spans="1:16" s="47" customFormat="1" ht="75" x14ac:dyDescent="0.25">
      <c r="A75" s="27" t="s">
        <v>397</v>
      </c>
      <c r="B75" s="25">
        <v>7372</v>
      </c>
      <c r="C75" s="27" t="s">
        <v>23</v>
      </c>
      <c r="D75" s="22" t="s">
        <v>398</v>
      </c>
      <c r="E75" s="90">
        <f t="shared" ref="E75" si="54">F75+G75</f>
        <v>343650</v>
      </c>
      <c r="F75" s="91">
        <v>60000</v>
      </c>
      <c r="G75" s="91">
        <v>283650</v>
      </c>
      <c r="H75" s="91">
        <v>283650</v>
      </c>
      <c r="I75" s="90">
        <f t="shared" ref="I75" si="55">J75+K75</f>
        <v>283650</v>
      </c>
      <c r="J75" s="92">
        <v>0</v>
      </c>
      <c r="K75" s="92">
        <v>283650</v>
      </c>
      <c r="L75" s="92">
        <v>283650</v>
      </c>
      <c r="M75" s="43">
        <f t="shared" ref="M75" si="56">I75/E75*100</f>
        <v>82.540375381929294</v>
      </c>
      <c r="N75" s="43">
        <f t="shared" si="40"/>
        <v>0</v>
      </c>
      <c r="O75" s="43">
        <f t="shared" ref="O75" si="57">K75/G75*100</f>
        <v>100</v>
      </c>
      <c r="P75" s="43">
        <f t="shared" ref="P75" si="58">L75/H75*100</f>
        <v>100</v>
      </c>
    </row>
    <row r="76" spans="1:16" s="42" customFormat="1" ht="56.25" x14ac:dyDescent="0.25">
      <c r="A76" s="26" t="s">
        <v>301</v>
      </c>
      <c r="B76" s="25">
        <v>8110</v>
      </c>
      <c r="C76" s="26" t="s">
        <v>5</v>
      </c>
      <c r="D76" s="22" t="s">
        <v>144</v>
      </c>
      <c r="E76" s="90">
        <f t="shared" si="7"/>
        <v>8769210</v>
      </c>
      <c r="F76" s="91">
        <v>4269210</v>
      </c>
      <c r="G76" s="91">
        <v>4500000</v>
      </c>
      <c r="H76" s="91">
        <v>4500000</v>
      </c>
      <c r="I76" s="90">
        <f t="shared" si="9"/>
        <v>1551481.06</v>
      </c>
      <c r="J76" s="92">
        <v>1551481.06</v>
      </c>
      <c r="K76" s="92"/>
      <c r="L76" s="92"/>
      <c r="M76" s="43">
        <f t="shared" si="39"/>
        <v>17.69236978017404</v>
      </c>
      <c r="N76" s="43">
        <f t="shared" si="40"/>
        <v>36.341174596705244</v>
      </c>
      <c r="O76" s="43"/>
      <c r="P76" s="43"/>
    </row>
    <row r="77" spans="1:16" s="42" customFormat="1" ht="18.75" x14ac:dyDescent="0.25">
      <c r="A77" s="27" t="s">
        <v>321</v>
      </c>
      <c r="B77" s="27" t="s">
        <v>257</v>
      </c>
      <c r="C77" s="27" t="s">
        <v>167</v>
      </c>
      <c r="D77" s="22" t="s">
        <v>258</v>
      </c>
      <c r="E77" s="90">
        <f t="shared" si="7"/>
        <v>97000</v>
      </c>
      <c r="F77" s="91">
        <v>97000</v>
      </c>
      <c r="G77" s="91"/>
      <c r="H77" s="91"/>
      <c r="I77" s="90">
        <f t="shared" si="9"/>
        <v>97000</v>
      </c>
      <c r="J77" s="92">
        <v>97000</v>
      </c>
      <c r="K77" s="92"/>
      <c r="L77" s="92"/>
      <c r="M77" s="43">
        <f t="shared" si="39"/>
        <v>100</v>
      </c>
      <c r="N77" s="43">
        <f t="shared" si="40"/>
        <v>100</v>
      </c>
      <c r="O77" s="43"/>
      <c r="P77" s="43"/>
    </row>
    <row r="78" spans="1:16" s="51" customFormat="1" ht="56.25" x14ac:dyDescent="0.25">
      <c r="A78" s="19" t="s">
        <v>69</v>
      </c>
      <c r="B78" s="19" t="s">
        <v>242</v>
      </c>
      <c r="C78" s="19" t="s">
        <v>242</v>
      </c>
      <c r="D78" s="20" t="s">
        <v>262</v>
      </c>
      <c r="E78" s="88">
        <f t="shared" si="7"/>
        <v>100559423.14</v>
      </c>
      <c r="F78" s="89">
        <f>F79</f>
        <v>87947682.140000001</v>
      </c>
      <c r="G78" s="89">
        <f t="shared" ref="G78:L78" si="59">G79</f>
        <v>12611741</v>
      </c>
      <c r="H78" s="89">
        <f t="shared" si="59"/>
        <v>12555341</v>
      </c>
      <c r="I78" s="89">
        <f t="shared" si="59"/>
        <v>98056743.249999985</v>
      </c>
      <c r="J78" s="89">
        <f t="shared" si="59"/>
        <v>81090900.699999988</v>
      </c>
      <c r="K78" s="89">
        <f t="shared" si="59"/>
        <v>16965842.550000001</v>
      </c>
      <c r="L78" s="89">
        <f t="shared" si="59"/>
        <v>12038003.359999999</v>
      </c>
      <c r="M78" s="40">
        <f t="shared" si="3"/>
        <v>97.51124279371038</v>
      </c>
      <c r="N78" s="40">
        <f t="shared" si="4"/>
        <v>92.203567765339173</v>
      </c>
      <c r="O78" s="40">
        <f t="shared" ref="O78:O95" si="60">K78/G78*100</f>
        <v>134.52419098996722</v>
      </c>
      <c r="P78" s="40">
        <f t="shared" ref="P78:P95" si="61">L78/H78*100</f>
        <v>95.879541304373973</v>
      </c>
    </row>
    <row r="79" spans="1:16" s="44" customFormat="1" ht="56.25" x14ac:dyDescent="0.25">
      <c r="A79" s="19" t="s">
        <v>70</v>
      </c>
      <c r="B79" s="19" t="s">
        <v>242</v>
      </c>
      <c r="C79" s="19" t="s">
        <v>242</v>
      </c>
      <c r="D79" s="20" t="s">
        <v>262</v>
      </c>
      <c r="E79" s="88">
        <f t="shared" si="7"/>
        <v>100559423.14</v>
      </c>
      <c r="F79" s="89">
        <f>F80+F81+F82+F83+F84+F85+F86+F87+F88+F89+F90+F91+F92+F96+F97+F98</f>
        <v>87947682.140000001</v>
      </c>
      <c r="G79" s="89">
        <f>G80+G81+G82+G83+G84+G85+G86+G87+G88+G89+G90+G91+G92+G96+G97+G98+G93+G94+G95</f>
        <v>12611741</v>
      </c>
      <c r="H79" s="89">
        <f>H80+H81+H82+H83+H84+H85+H86+H87+H88+H89+H90+H91+H92+H96+H97+H98+H93+H94+H95</f>
        <v>12555341</v>
      </c>
      <c r="I79" s="89">
        <f>J79+K79</f>
        <v>98056743.249999985</v>
      </c>
      <c r="J79" s="89">
        <f>J80+J81+J82+J83+J84+J85+J86+J87+J88+J89+J90+J91+J92+J96+J97+J98+J93+J94+J95</f>
        <v>81090900.699999988</v>
      </c>
      <c r="K79" s="89">
        <f>K80+K81+K82+K83+K84+K85+K86+K87+K88+K89+K90+K91+K92+K96+K97+K98+K93+K94+K95</f>
        <v>16965842.550000001</v>
      </c>
      <c r="L79" s="89">
        <f>L80+L81+L82+L83+L84+L85+L86+L87+L88+L89+L90+L91+L92+L96+L97+L98+L93+L94+L95</f>
        <v>12038003.359999999</v>
      </c>
      <c r="M79" s="40">
        <f t="shared" si="3"/>
        <v>97.51124279371038</v>
      </c>
      <c r="N79" s="40">
        <f t="shared" si="4"/>
        <v>92.203567765339173</v>
      </c>
      <c r="O79" s="40">
        <f t="shared" si="60"/>
        <v>134.52419098996722</v>
      </c>
      <c r="P79" s="40">
        <f t="shared" si="61"/>
        <v>95.879541304373973</v>
      </c>
    </row>
    <row r="80" spans="1:16" s="47" customFormat="1" ht="56.25" x14ac:dyDescent="0.25">
      <c r="A80" s="21" t="s">
        <v>71</v>
      </c>
      <c r="B80" s="21" t="s">
        <v>57</v>
      </c>
      <c r="C80" s="21" t="s">
        <v>3</v>
      </c>
      <c r="D80" s="22" t="s">
        <v>259</v>
      </c>
      <c r="E80" s="90">
        <f t="shared" si="7"/>
        <v>14616900</v>
      </c>
      <c r="F80" s="91">
        <v>14216900</v>
      </c>
      <c r="G80" s="91">
        <v>400000</v>
      </c>
      <c r="H80" s="91">
        <v>400000</v>
      </c>
      <c r="I80" s="90">
        <f t="shared" si="9"/>
        <v>13812575.17</v>
      </c>
      <c r="J80" s="92">
        <v>13753115.17</v>
      </c>
      <c r="K80" s="92">
        <f>L80</f>
        <v>59460</v>
      </c>
      <c r="L80" s="92">
        <v>59460</v>
      </c>
      <c r="M80" s="43">
        <f t="shared" ref="M80:M98" si="62">I80/E80*100</f>
        <v>94.497295390951578</v>
      </c>
      <c r="N80" s="43">
        <f t="shared" ref="N80:N98" si="63">J80/F80*100</f>
        <v>96.737792134712905</v>
      </c>
      <c r="O80" s="43">
        <f t="shared" si="60"/>
        <v>14.865</v>
      </c>
      <c r="P80" s="43">
        <f t="shared" si="61"/>
        <v>14.865</v>
      </c>
    </row>
    <row r="81" spans="1:16" s="44" customFormat="1" ht="37.5" x14ac:dyDescent="0.25">
      <c r="A81" s="21" t="s">
        <v>166</v>
      </c>
      <c r="B81" s="21" t="s">
        <v>10</v>
      </c>
      <c r="C81" s="21" t="s">
        <v>6</v>
      </c>
      <c r="D81" s="22" t="s">
        <v>104</v>
      </c>
      <c r="E81" s="90">
        <f t="shared" si="7"/>
        <v>429000</v>
      </c>
      <c r="F81" s="91">
        <v>429000</v>
      </c>
      <c r="G81" s="91"/>
      <c r="H81" s="91"/>
      <c r="I81" s="90">
        <f t="shared" si="9"/>
        <v>272935.40000000002</v>
      </c>
      <c r="J81" s="92">
        <v>272935.40000000002</v>
      </c>
      <c r="K81" s="92"/>
      <c r="L81" s="92"/>
      <c r="M81" s="43">
        <f t="shared" si="62"/>
        <v>63.621305361305367</v>
      </c>
      <c r="N81" s="43">
        <f t="shared" si="63"/>
        <v>63.621305361305367</v>
      </c>
      <c r="O81" s="43"/>
      <c r="P81" s="43"/>
    </row>
    <row r="82" spans="1:16" s="44" customFormat="1" ht="37.5" x14ac:dyDescent="0.25">
      <c r="A82" s="21" t="s">
        <v>109</v>
      </c>
      <c r="B82" s="21" t="s">
        <v>34</v>
      </c>
      <c r="C82" s="21" t="s">
        <v>15</v>
      </c>
      <c r="D82" s="22" t="s">
        <v>108</v>
      </c>
      <c r="E82" s="90">
        <f t="shared" si="7"/>
        <v>3086000</v>
      </c>
      <c r="F82" s="91">
        <v>3086000</v>
      </c>
      <c r="G82" s="91"/>
      <c r="H82" s="91"/>
      <c r="I82" s="90">
        <f t="shared" si="9"/>
        <v>286279.7</v>
      </c>
      <c r="J82" s="92">
        <v>286279.7</v>
      </c>
      <c r="K82" s="92"/>
      <c r="L82" s="92"/>
      <c r="M82" s="43">
        <f t="shared" si="62"/>
        <v>9.276723914452365</v>
      </c>
      <c r="N82" s="43">
        <f t="shared" si="63"/>
        <v>9.276723914452365</v>
      </c>
      <c r="O82" s="43"/>
      <c r="P82" s="43"/>
    </row>
    <row r="83" spans="1:16" s="44" customFormat="1" ht="37.5" x14ac:dyDescent="0.25">
      <c r="A83" s="21" t="s">
        <v>110</v>
      </c>
      <c r="B83" s="21" t="s">
        <v>111</v>
      </c>
      <c r="C83" s="21" t="s">
        <v>35</v>
      </c>
      <c r="D83" s="22" t="s">
        <v>263</v>
      </c>
      <c r="E83" s="90">
        <f t="shared" si="7"/>
        <v>20000</v>
      </c>
      <c r="F83" s="91">
        <v>20000</v>
      </c>
      <c r="G83" s="91"/>
      <c r="H83" s="91"/>
      <c r="I83" s="90">
        <f t="shared" ref="I83:I169" si="64">J83+K83</f>
        <v>10629.45</v>
      </c>
      <c r="J83" s="92">
        <v>10629.45</v>
      </c>
      <c r="K83" s="92"/>
      <c r="L83" s="92"/>
      <c r="M83" s="43">
        <f t="shared" si="62"/>
        <v>53.14725</v>
      </c>
      <c r="N83" s="43">
        <f t="shared" si="63"/>
        <v>53.14725</v>
      </c>
      <c r="O83" s="43"/>
      <c r="P83" s="43"/>
    </row>
    <row r="84" spans="1:16" s="44" customFormat="1" ht="56.25" x14ac:dyDescent="0.25">
      <c r="A84" s="21" t="s">
        <v>175</v>
      </c>
      <c r="B84" s="21" t="s">
        <v>173</v>
      </c>
      <c r="C84" s="21" t="s">
        <v>35</v>
      </c>
      <c r="D84" s="22" t="s">
        <v>174</v>
      </c>
      <c r="E84" s="90">
        <f t="shared" ref="E84:E167" si="65">F84+G84</f>
        <v>296372</v>
      </c>
      <c r="F84" s="91">
        <v>296372</v>
      </c>
      <c r="G84" s="91"/>
      <c r="H84" s="91"/>
      <c r="I84" s="90">
        <f t="shared" si="64"/>
        <v>276650</v>
      </c>
      <c r="J84" s="92">
        <v>276650</v>
      </c>
      <c r="K84" s="92"/>
      <c r="L84" s="92"/>
      <c r="M84" s="43">
        <f t="shared" si="62"/>
        <v>93.345525218306719</v>
      </c>
      <c r="N84" s="43">
        <f t="shared" si="63"/>
        <v>93.345525218306719</v>
      </c>
      <c r="O84" s="43"/>
      <c r="P84" s="43"/>
    </row>
    <row r="85" spans="1:16" s="44" customFormat="1" ht="37.5" x14ac:dyDescent="0.25">
      <c r="A85" s="21" t="s">
        <v>176</v>
      </c>
      <c r="B85" s="21" t="s">
        <v>177</v>
      </c>
      <c r="C85" s="21" t="s">
        <v>15</v>
      </c>
      <c r="D85" s="22" t="s">
        <v>178</v>
      </c>
      <c r="E85" s="90">
        <f t="shared" si="65"/>
        <v>143455</v>
      </c>
      <c r="F85" s="91">
        <v>143455</v>
      </c>
      <c r="G85" s="91"/>
      <c r="H85" s="91"/>
      <c r="I85" s="90">
        <f t="shared" si="64"/>
        <v>127456</v>
      </c>
      <c r="J85" s="92">
        <v>127456</v>
      </c>
      <c r="K85" s="92"/>
      <c r="L85" s="92"/>
      <c r="M85" s="43">
        <f t="shared" si="62"/>
        <v>88.847373740894355</v>
      </c>
      <c r="N85" s="43">
        <f t="shared" si="63"/>
        <v>88.847373740894355</v>
      </c>
      <c r="O85" s="43"/>
      <c r="P85" s="43"/>
    </row>
    <row r="86" spans="1:16" s="47" customFormat="1" ht="75" x14ac:dyDescent="0.25">
      <c r="A86" s="21" t="s">
        <v>121</v>
      </c>
      <c r="B86" s="21" t="s">
        <v>120</v>
      </c>
      <c r="C86" s="21" t="s">
        <v>13</v>
      </c>
      <c r="D86" s="22" t="s">
        <v>264</v>
      </c>
      <c r="E86" s="90">
        <f t="shared" si="65"/>
        <v>16508304.140000001</v>
      </c>
      <c r="F86" s="91">
        <v>16363904.140000001</v>
      </c>
      <c r="G86" s="91">
        <f>88000+56400</f>
        <v>144400</v>
      </c>
      <c r="H86" s="91">
        <v>88000</v>
      </c>
      <c r="I86" s="90">
        <f t="shared" si="64"/>
        <v>15994346.34</v>
      </c>
      <c r="J86" s="92">
        <v>15994346.34</v>
      </c>
      <c r="K86" s="92"/>
      <c r="L86" s="92">
        <v>0</v>
      </c>
      <c r="M86" s="43">
        <f t="shared" si="62"/>
        <v>96.886671122355509</v>
      </c>
      <c r="N86" s="43">
        <f t="shared" si="63"/>
        <v>97.741628178469625</v>
      </c>
      <c r="O86" s="43">
        <f t="shared" si="60"/>
        <v>0</v>
      </c>
      <c r="P86" s="43">
        <f t="shared" si="61"/>
        <v>0</v>
      </c>
    </row>
    <row r="87" spans="1:16" s="44" customFormat="1" ht="37.5" x14ac:dyDescent="0.25">
      <c r="A87" s="21" t="s">
        <v>73</v>
      </c>
      <c r="B87" s="21" t="s">
        <v>72</v>
      </c>
      <c r="C87" s="21" t="s">
        <v>20</v>
      </c>
      <c r="D87" s="22" t="s">
        <v>265</v>
      </c>
      <c r="E87" s="90">
        <f t="shared" si="65"/>
        <v>7174900</v>
      </c>
      <c r="F87" s="91">
        <v>7114900</v>
      </c>
      <c r="G87" s="91">
        <v>60000</v>
      </c>
      <c r="H87" s="91">
        <v>60000</v>
      </c>
      <c r="I87" s="90">
        <f t="shared" si="64"/>
        <v>6977070.0099999998</v>
      </c>
      <c r="J87" s="92">
        <v>6917070.0099999998</v>
      </c>
      <c r="K87" s="92">
        <v>60000</v>
      </c>
      <c r="L87" s="92">
        <v>60000</v>
      </c>
      <c r="M87" s="43">
        <f t="shared" si="62"/>
        <v>97.242749167235772</v>
      </c>
      <c r="N87" s="43">
        <f t="shared" si="63"/>
        <v>97.219497252245276</v>
      </c>
      <c r="O87" s="43">
        <f t="shared" si="60"/>
        <v>100</v>
      </c>
      <c r="P87" s="43">
        <f t="shared" si="61"/>
        <v>100</v>
      </c>
    </row>
    <row r="88" spans="1:16" s="44" customFormat="1" ht="18.75" x14ac:dyDescent="0.25">
      <c r="A88" s="21" t="s">
        <v>266</v>
      </c>
      <c r="B88" s="21" t="s">
        <v>84</v>
      </c>
      <c r="C88" s="21" t="s">
        <v>20</v>
      </c>
      <c r="D88" s="22" t="s">
        <v>267</v>
      </c>
      <c r="E88" s="90">
        <f t="shared" si="65"/>
        <v>572200</v>
      </c>
      <c r="F88" s="91">
        <v>572200</v>
      </c>
      <c r="G88" s="91"/>
      <c r="H88" s="91"/>
      <c r="I88" s="90">
        <f t="shared" si="64"/>
        <v>548000</v>
      </c>
      <c r="J88" s="92">
        <v>548000</v>
      </c>
      <c r="K88" s="92"/>
      <c r="L88" s="92"/>
      <c r="M88" s="43">
        <f t="shared" si="62"/>
        <v>95.770709542118141</v>
      </c>
      <c r="N88" s="43">
        <f t="shared" si="63"/>
        <v>95.770709542118141</v>
      </c>
      <c r="O88" s="43"/>
      <c r="P88" s="43"/>
    </row>
    <row r="89" spans="1:16" s="44" customFormat="1" ht="112.5" x14ac:dyDescent="0.25">
      <c r="A89" s="21" t="s">
        <v>147</v>
      </c>
      <c r="B89" s="21" t="s">
        <v>148</v>
      </c>
      <c r="C89" s="21" t="s">
        <v>11</v>
      </c>
      <c r="D89" s="22" t="s">
        <v>268</v>
      </c>
      <c r="E89" s="90">
        <f t="shared" si="65"/>
        <v>2350000</v>
      </c>
      <c r="F89" s="91">
        <v>2350000</v>
      </c>
      <c r="G89" s="91"/>
      <c r="H89" s="91"/>
      <c r="I89" s="90">
        <f t="shared" si="64"/>
        <v>2332239.64</v>
      </c>
      <c r="J89" s="92">
        <v>2332239.64</v>
      </c>
      <c r="K89" s="98"/>
      <c r="L89" s="98"/>
      <c r="M89" s="43">
        <f t="shared" si="62"/>
        <v>99.244240000000005</v>
      </c>
      <c r="N89" s="43">
        <f t="shared" si="63"/>
        <v>99.244240000000005</v>
      </c>
      <c r="O89" s="43"/>
      <c r="P89" s="43"/>
    </row>
    <row r="90" spans="1:16" s="44" customFormat="1" ht="75" x14ac:dyDescent="0.25">
      <c r="A90" s="21" t="s">
        <v>179</v>
      </c>
      <c r="B90" s="21" t="s">
        <v>180</v>
      </c>
      <c r="C90" s="21" t="s">
        <v>11</v>
      </c>
      <c r="D90" s="22" t="s">
        <v>181</v>
      </c>
      <c r="E90" s="90">
        <f t="shared" si="65"/>
        <v>25921</v>
      </c>
      <c r="F90" s="91">
        <v>25921</v>
      </c>
      <c r="G90" s="91"/>
      <c r="H90" s="91"/>
      <c r="I90" s="90">
        <f t="shared" si="64"/>
        <v>24334.05</v>
      </c>
      <c r="J90" s="92">
        <v>24334.05</v>
      </c>
      <c r="K90" s="98"/>
      <c r="L90" s="98"/>
      <c r="M90" s="43">
        <f t="shared" si="62"/>
        <v>93.877743914200835</v>
      </c>
      <c r="N90" s="43">
        <f t="shared" si="63"/>
        <v>93.877743914200835</v>
      </c>
      <c r="O90" s="43"/>
      <c r="P90" s="43"/>
    </row>
    <row r="91" spans="1:16" s="44" customFormat="1" ht="126" customHeight="1" x14ac:dyDescent="0.25">
      <c r="A91" s="21" t="s">
        <v>149</v>
      </c>
      <c r="B91" s="21" t="s">
        <v>150</v>
      </c>
      <c r="C91" s="21" t="s">
        <v>30</v>
      </c>
      <c r="D91" s="22" t="s">
        <v>269</v>
      </c>
      <c r="E91" s="90">
        <f t="shared" si="65"/>
        <v>1500000</v>
      </c>
      <c r="F91" s="91">
        <v>1500000</v>
      </c>
      <c r="G91" s="91"/>
      <c r="H91" s="91"/>
      <c r="I91" s="90">
        <f t="shared" si="64"/>
        <v>1054990.58</v>
      </c>
      <c r="J91" s="92">
        <v>1054990.58</v>
      </c>
      <c r="K91" s="98"/>
      <c r="L91" s="98"/>
      <c r="M91" s="43">
        <f t="shared" si="62"/>
        <v>70.332705333333337</v>
      </c>
      <c r="N91" s="43">
        <f t="shared" si="63"/>
        <v>70.332705333333337</v>
      </c>
      <c r="O91" s="43"/>
      <c r="P91" s="43"/>
    </row>
    <row r="92" spans="1:16" s="44" customFormat="1" ht="84" customHeight="1" x14ac:dyDescent="0.25">
      <c r="A92" s="21" t="s">
        <v>151</v>
      </c>
      <c r="B92" s="21" t="s">
        <v>152</v>
      </c>
      <c r="C92" s="21" t="s">
        <v>15</v>
      </c>
      <c r="D92" s="22" t="s">
        <v>270</v>
      </c>
      <c r="E92" s="90">
        <f t="shared" si="65"/>
        <v>78000</v>
      </c>
      <c r="F92" s="91">
        <v>78000</v>
      </c>
      <c r="G92" s="91"/>
      <c r="H92" s="91"/>
      <c r="I92" s="90">
        <f t="shared" si="64"/>
        <v>73724.800000000003</v>
      </c>
      <c r="J92" s="92">
        <v>73724.800000000003</v>
      </c>
      <c r="K92" s="98"/>
      <c r="L92" s="98"/>
      <c r="M92" s="43">
        <f t="shared" si="62"/>
        <v>94.518974358974361</v>
      </c>
      <c r="N92" s="43">
        <f t="shared" si="63"/>
        <v>94.518974358974361</v>
      </c>
      <c r="O92" s="43"/>
      <c r="P92" s="43"/>
    </row>
    <row r="93" spans="1:16" s="44" customFormat="1" ht="409.5" x14ac:dyDescent="0.25">
      <c r="A93" s="32" t="s">
        <v>361</v>
      </c>
      <c r="B93" s="32" t="s">
        <v>362</v>
      </c>
      <c r="C93" s="32" t="s">
        <v>30</v>
      </c>
      <c r="D93" s="60" t="s">
        <v>379</v>
      </c>
      <c r="E93" s="90">
        <f t="shared" si="65"/>
        <v>3280161</v>
      </c>
      <c r="F93" s="91"/>
      <c r="G93" s="91">
        <v>3280161</v>
      </c>
      <c r="H93" s="91">
        <v>3280161</v>
      </c>
      <c r="I93" s="90">
        <f t="shared" si="64"/>
        <v>3280160.9</v>
      </c>
      <c r="J93" s="92"/>
      <c r="K93" s="98">
        <v>3280160.9</v>
      </c>
      <c r="L93" s="98">
        <v>3280160.9</v>
      </c>
      <c r="M93" s="43">
        <f t="shared" si="62"/>
        <v>99.999996951369155</v>
      </c>
      <c r="N93" s="43"/>
      <c r="O93" s="43">
        <f t="shared" si="60"/>
        <v>99.999996951369155</v>
      </c>
      <c r="P93" s="43">
        <f t="shared" si="61"/>
        <v>99.999996951369155</v>
      </c>
    </row>
    <row r="94" spans="1:16" s="44" customFormat="1" ht="409.5" x14ac:dyDescent="0.25">
      <c r="A94" s="32" t="s">
        <v>363</v>
      </c>
      <c r="B94" s="32" t="s">
        <v>364</v>
      </c>
      <c r="C94" s="32" t="s">
        <v>30</v>
      </c>
      <c r="D94" s="60" t="s">
        <v>365</v>
      </c>
      <c r="E94" s="90">
        <f t="shared" si="65"/>
        <v>6486648</v>
      </c>
      <c r="F94" s="91"/>
      <c r="G94" s="91">
        <f>H94</f>
        <v>6486648</v>
      </c>
      <c r="H94" s="91">
        <v>6486648</v>
      </c>
      <c r="I94" s="90">
        <f t="shared" si="64"/>
        <v>6430308.7999999998</v>
      </c>
      <c r="J94" s="92"/>
      <c r="K94" s="98">
        <v>6430308.7999999998</v>
      </c>
      <c r="L94" s="98">
        <v>6430308.7999999998</v>
      </c>
      <c r="M94" s="43">
        <f t="shared" si="62"/>
        <v>99.131458960005219</v>
      </c>
      <c r="N94" s="43"/>
      <c r="O94" s="43">
        <f t="shared" si="60"/>
        <v>99.131458960005219</v>
      </c>
      <c r="P94" s="43">
        <f t="shared" si="61"/>
        <v>99.131458960005219</v>
      </c>
    </row>
    <row r="95" spans="1:16" s="44" customFormat="1" ht="318.75" x14ac:dyDescent="0.25">
      <c r="A95" s="32" t="s">
        <v>366</v>
      </c>
      <c r="B95" s="32" t="s">
        <v>367</v>
      </c>
      <c r="C95" s="32" t="s">
        <v>30</v>
      </c>
      <c r="D95" s="60" t="s">
        <v>368</v>
      </c>
      <c r="E95" s="90">
        <f t="shared" si="65"/>
        <v>2240532</v>
      </c>
      <c r="F95" s="91"/>
      <c r="G95" s="91">
        <v>2240532</v>
      </c>
      <c r="H95" s="91">
        <v>2240532</v>
      </c>
      <c r="I95" s="90">
        <f t="shared" si="64"/>
        <v>2208073.66</v>
      </c>
      <c r="J95" s="92"/>
      <c r="K95" s="98">
        <v>2208073.66</v>
      </c>
      <c r="L95" s="98">
        <v>2208073.66</v>
      </c>
      <c r="M95" s="43">
        <f t="shared" si="62"/>
        <v>98.551311027916583</v>
      </c>
      <c r="N95" s="43"/>
      <c r="O95" s="43">
        <f t="shared" si="60"/>
        <v>98.551311027916583</v>
      </c>
      <c r="P95" s="43">
        <f t="shared" si="61"/>
        <v>98.551311027916583</v>
      </c>
    </row>
    <row r="96" spans="1:16" s="44" customFormat="1" ht="75" x14ac:dyDescent="0.25">
      <c r="A96" s="27" t="s">
        <v>295</v>
      </c>
      <c r="B96" s="25">
        <v>3230</v>
      </c>
      <c r="C96" s="25">
        <v>1070</v>
      </c>
      <c r="D96" s="22" t="s">
        <v>294</v>
      </c>
      <c r="E96" s="90">
        <f t="shared" si="65"/>
        <v>662800</v>
      </c>
      <c r="F96" s="91">
        <f>191000+471800</f>
        <v>662800</v>
      </c>
      <c r="G96" s="91">
        <v>0</v>
      </c>
      <c r="H96" s="91"/>
      <c r="I96" s="90">
        <f t="shared" si="64"/>
        <v>3714653.2199999997</v>
      </c>
      <c r="J96" s="92">
        <f>105622.05+463188.35</f>
        <v>568810.4</v>
      </c>
      <c r="K96" s="98">
        <v>3145842.82</v>
      </c>
      <c r="L96" s="98"/>
      <c r="M96" s="43">
        <f t="shared" si="62"/>
        <v>560.44858479179243</v>
      </c>
      <c r="N96" s="43">
        <f t="shared" ref="N96:N97" si="66">J96/F96*100</f>
        <v>85.819312009656016</v>
      </c>
      <c r="O96" s="43"/>
      <c r="P96" s="43"/>
    </row>
    <row r="97" spans="1:17" s="44" customFormat="1" ht="37.5" x14ac:dyDescent="0.25">
      <c r="A97" s="21" t="s">
        <v>157</v>
      </c>
      <c r="B97" s="21" t="s">
        <v>153</v>
      </c>
      <c r="C97" s="21" t="s">
        <v>4</v>
      </c>
      <c r="D97" s="22" t="s">
        <v>154</v>
      </c>
      <c r="E97" s="90">
        <f t="shared" si="65"/>
        <v>40968230</v>
      </c>
      <c r="F97" s="91">
        <f>39263830+1704400</f>
        <v>40968230</v>
      </c>
      <c r="G97" s="91">
        <v>0</v>
      </c>
      <c r="H97" s="91"/>
      <c r="I97" s="90">
        <f t="shared" si="64"/>
        <v>40536315.529999994</v>
      </c>
      <c r="J97" s="92">
        <f>37129630.01+1624689.15</f>
        <v>38754319.159999996</v>
      </c>
      <c r="K97" s="98">
        <v>1781996.37</v>
      </c>
      <c r="L97" s="98"/>
      <c r="M97" s="43">
        <f t="shared" si="62"/>
        <v>98.945733144927161</v>
      </c>
      <c r="N97" s="43">
        <f t="shared" si="66"/>
        <v>94.596030045720781</v>
      </c>
      <c r="O97" s="43"/>
      <c r="P97" s="43"/>
    </row>
    <row r="98" spans="1:17" s="44" customFormat="1" ht="56.25" x14ac:dyDescent="0.25">
      <c r="A98" s="21" t="s">
        <v>306</v>
      </c>
      <c r="B98" s="25">
        <v>8110</v>
      </c>
      <c r="C98" s="21" t="s">
        <v>167</v>
      </c>
      <c r="D98" s="22" t="s">
        <v>144</v>
      </c>
      <c r="E98" s="90">
        <f t="shared" si="65"/>
        <v>120000</v>
      </c>
      <c r="F98" s="91">
        <v>120000</v>
      </c>
      <c r="G98" s="91"/>
      <c r="H98" s="91"/>
      <c r="I98" s="90">
        <f t="shared" si="64"/>
        <v>96000</v>
      </c>
      <c r="J98" s="92">
        <v>96000</v>
      </c>
      <c r="K98" s="98"/>
      <c r="L98" s="98"/>
      <c r="M98" s="43">
        <f t="shared" si="62"/>
        <v>80</v>
      </c>
      <c r="N98" s="43">
        <f t="shared" si="63"/>
        <v>80</v>
      </c>
      <c r="O98" s="43"/>
      <c r="P98" s="43"/>
    </row>
    <row r="99" spans="1:17" s="44" customFormat="1" ht="56.25" x14ac:dyDescent="0.25">
      <c r="A99" s="64" t="s">
        <v>372</v>
      </c>
      <c r="B99" s="19" t="s">
        <v>242</v>
      </c>
      <c r="C99" s="19" t="s">
        <v>242</v>
      </c>
      <c r="D99" s="20" t="s">
        <v>373</v>
      </c>
      <c r="E99" s="88">
        <f t="shared" ref="E99" si="67">F99+G99</f>
        <v>2340100</v>
      </c>
      <c r="F99" s="89">
        <f>F100</f>
        <v>1305100</v>
      </c>
      <c r="G99" s="89">
        <f>G100</f>
        <v>1035000</v>
      </c>
      <c r="H99" s="89">
        <f>H100</f>
        <v>1035000</v>
      </c>
      <c r="I99" s="88">
        <f t="shared" ref="I99" si="68">J99+K99</f>
        <v>1332154.95</v>
      </c>
      <c r="J99" s="99">
        <f>J100</f>
        <v>1297154.95</v>
      </c>
      <c r="K99" s="89">
        <f t="shared" ref="K99:L99" si="69">K100+K104</f>
        <v>35000</v>
      </c>
      <c r="L99" s="89">
        <f t="shared" si="69"/>
        <v>35000</v>
      </c>
      <c r="M99" s="40">
        <f t="shared" ref="M99:M103" si="70">I99/E99*100</f>
        <v>56.927265928806456</v>
      </c>
      <c r="N99" s="40">
        <f t="shared" ref="N99:N103" si="71">J99/F99*100</f>
        <v>99.391230557045432</v>
      </c>
      <c r="O99" s="40">
        <f t="shared" ref="O99:O101" si="72">K99/G99*100</f>
        <v>3.3816425120772946</v>
      </c>
      <c r="P99" s="40">
        <f t="shared" ref="P99:P101" si="73">L99/H99*100</f>
        <v>3.3816425120772946</v>
      </c>
    </row>
    <row r="100" spans="1:17" s="44" customFormat="1" ht="56.25" x14ac:dyDescent="0.25">
      <c r="A100" s="64" t="s">
        <v>374</v>
      </c>
      <c r="B100" s="19" t="s">
        <v>242</v>
      </c>
      <c r="C100" s="19" t="s">
        <v>242</v>
      </c>
      <c r="D100" s="20" t="s">
        <v>373</v>
      </c>
      <c r="E100" s="89">
        <f>F100+G100</f>
        <v>2340100</v>
      </c>
      <c r="F100" s="89">
        <f>F101+F103+F102+F104</f>
        <v>1305100</v>
      </c>
      <c r="G100" s="89">
        <f>G101+G103+G102+G104</f>
        <v>1035000</v>
      </c>
      <c r="H100" s="89">
        <f>H101+H103+H102+H104</f>
        <v>1035000</v>
      </c>
      <c r="I100" s="89">
        <f>J100+K100</f>
        <v>1332154.95</v>
      </c>
      <c r="J100" s="89">
        <f t="shared" ref="J100:L100" si="74">J101+J103+J102+J104</f>
        <v>1297154.95</v>
      </c>
      <c r="K100" s="89">
        <f t="shared" si="74"/>
        <v>35000</v>
      </c>
      <c r="L100" s="89">
        <f t="shared" si="74"/>
        <v>35000</v>
      </c>
      <c r="M100" s="40">
        <f t="shared" si="70"/>
        <v>56.927265928806456</v>
      </c>
      <c r="N100" s="40">
        <f t="shared" si="71"/>
        <v>99.391230557045432</v>
      </c>
      <c r="O100" s="40">
        <f t="shared" si="72"/>
        <v>3.3816425120772946</v>
      </c>
      <c r="P100" s="40">
        <f t="shared" si="73"/>
        <v>3.3816425120772946</v>
      </c>
    </row>
    <row r="101" spans="1:17" s="44" customFormat="1" ht="56.25" x14ac:dyDescent="0.25">
      <c r="A101" s="27" t="s">
        <v>375</v>
      </c>
      <c r="B101" s="21" t="s">
        <v>57</v>
      </c>
      <c r="C101" s="21" t="s">
        <v>3</v>
      </c>
      <c r="D101" s="22" t="s">
        <v>259</v>
      </c>
      <c r="E101" s="90">
        <f t="shared" si="65"/>
        <v>1158200</v>
      </c>
      <c r="F101" s="91">
        <v>1123200</v>
      </c>
      <c r="G101" s="91">
        <f>H101</f>
        <v>35000</v>
      </c>
      <c r="H101" s="91">
        <v>35000</v>
      </c>
      <c r="I101" s="90">
        <f t="shared" si="64"/>
        <v>1157755.6399999999</v>
      </c>
      <c r="J101" s="92">
        <v>1122755.6399999999</v>
      </c>
      <c r="K101" s="98">
        <f>L101</f>
        <v>35000</v>
      </c>
      <c r="L101" s="98">
        <v>35000</v>
      </c>
      <c r="M101" s="43">
        <f t="shared" si="70"/>
        <v>99.96163356933171</v>
      </c>
      <c r="N101" s="43">
        <f t="shared" si="71"/>
        <v>99.96043803418803</v>
      </c>
      <c r="O101" s="43">
        <f t="shared" si="72"/>
        <v>100</v>
      </c>
      <c r="P101" s="43">
        <f t="shared" si="73"/>
        <v>100</v>
      </c>
    </row>
    <row r="102" spans="1:17" s="44" customFormat="1" ht="37.5" x14ac:dyDescent="0.25">
      <c r="A102" s="27" t="s">
        <v>399</v>
      </c>
      <c r="B102" s="27" t="s">
        <v>10</v>
      </c>
      <c r="C102" s="27" t="s">
        <v>6</v>
      </c>
      <c r="D102" s="22" t="s">
        <v>104</v>
      </c>
      <c r="E102" s="90">
        <f t="shared" ref="E102" si="75">F102+G102</f>
        <v>80000</v>
      </c>
      <c r="F102" s="91">
        <v>80000</v>
      </c>
      <c r="G102" s="91"/>
      <c r="H102" s="91"/>
      <c r="I102" s="90">
        <f t="shared" ref="I102" si="76">J102+K102</f>
        <v>80000</v>
      </c>
      <c r="J102" s="92">
        <v>80000</v>
      </c>
      <c r="K102" s="98"/>
      <c r="L102" s="98"/>
      <c r="M102" s="43">
        <f t="shared" ref="M102" si="77">I102/E102*100</f>
        <v>100</v>
      </c>
      <c r="N102" s="43">
        <f t="shared" ref="N102" si="78">J102/F102*100</f>
        <v>100</v>
      </c>
      <c r="O102" s="43"/>
      <c r="P102" s="43"/>
    </row>
    <row r="103" spans="1:17" s="44" customFormat="1" ht="37.5" x14ac:dyDescent="0.25">
      <c r="A103" s="27" t="s">
        <v>376</v>
      </c>
      <c r="B103" s="21" t="s">
        <v>36</v>
      </c>
      <c r="C103" s="21" t="s">
        <v>20</v>
      </c>
      <c r="D103" s="22" t="s">
        <v>45</v>
      </c>
      <c r="E103" s="90">
        <f t="shared" si="65"/>
        <v>101900</v>
      </c>
      <c r="F103" s="91">
        <v>101900</v>
      </c>
      <c r="G103" s="91"/>
      <c r="H103" s="91"/>
      <c r="I103" s="90">
        <f t="shared" si="64"/>
        <v>94399.31</v>
      </c>
      <c r="J103" s="92">
        <v>94399.31</v>
      </c>
      <c r="K103" s="98"/>
      <c r="L103" s="98"/>
      <c r="M103" s="43">
        <f t="shared" si="70"/>
        <v>92.639165848871443</v>
      </c>
      <c r="N103" s="43">
        <f t="shared" si="71"/>
        <v>92.639165848871443</v>
      </c>
      <c r="O103" s="43"/>
      <c r="P103" s="43"/>
    </row>
    <row r="104" spans="1:17" s="44" customFormat="1" ht="131.25" x14ac:dyDescent="0.25">
      <c r="A104" s="26" t="s">
        <v>412</v>
      </c>
      <c r="B104" s="26">
        <v>6083</v>
      </c>
      <c r="C104" s="26" t="s">
        <v>302</v>
      </c>
      <c r="D104" s="22" t="s">
        <v>322</v>
      </c>
      <c r="E104" s="90">
        <f>F104+G104</f>
        <v>1000000</v>
      </c>
      <c r="F104" s="90"/>
      <c r="G104" s="91">
        <v>1000000</v>
      </c>
      <c r="H104" s="91">
        <v>1000000</v>
      </c>
      <c r="I104" s="91"/>
      <c r="J104" s="90">
        <f t="shared" ref="J104" si="79">K104+L104</f>
        <v>0</v>
      </c>
      <c r="K104" s="92"/>
      <c r="L104" s="98"/>
      <c r="M104" s="48"/>
      <c r="N104" s="43"/>
      <c r="O104" s="43">
        <f t="shared" ref="O104" si="80">K104/G104*100</f>
        <v>0</v>
      </c>
      <c r="P104" s="43"/>
      <c r="Q104" s="43"/>
    </row>
    <row r="105" spans="1:17" s="42" customFormat="1" ht="37.5" x14ac:dyDescent="0.25">
      <c r="A105" s="19" t="s">
        <v>74</v>
      </c>
      <c r="B105" s="19" t="s">
        <v>242</v>
      </c>
      <c r="C105" s="19" t="s">
        <v>242</v>
      </c>
      <c r="D105" s="20" t="s">
        <v>271</v>
      </c>
      <c r="E105" s="88">
        <f t="shared" si="65"/>
        <v>51798300</v>
      </c>
      <c r="F105" s="89">
        <f>F106</f>
        <v>50380800</v>
      </c>
      <c r="G105" s="89">
        <f t="shared" ref="G105:H105" si="81">G106</f>
        <v>1417500</v>
      </c>
      <c r="H105" s="89">
        <f t="shared" si="81"/>
        <v>94000</v>
      </c>
      <c r="I105" s="88">
        <f t="shared" si="64"/>
        <v>46597055.349999994</v>
      </c>
      <c r="J105" s="99">
        <f>J106</f>
        <v>45798937.619999997</v>
      </c>
      <c r="K105" s="99">
        <f t="shared" ref="K105:L105" si="82">K106</f>
        <v>798117.73</v>
      </c>
      <c r="L105" s="99">
        <f t="shared" si="82"/>
        <v>94000</v>
      </c>
      <c r="M105" s="40">
        <f t="shared" ref="M105:M167" si="83">I105/E105*100</f>
        <v>89.958657620037712</v>
      </c>
      <c r="N105" s="40">
        <f t="shared" ref="N105:N157" si="84">J105/F105*100</f>
        <v>90.905538657583833</v>
      </c>
      <c r="O105" s="40">
        <f t="shared" ref="O105:O175" si="85">K105/G105*100</f>
        <v>56.30460176366843</v>
      </c>
      <c r="P105" s="40">
        <f t="shared" ref="P105:P174" si="86">L105/H105*100</f>
        <v>100</v>
      </c>
    </row>
    <row r="106" spans="1:17" s="42" customFormat="1" ht="37.5" x14ac:dyDescent="0.25">
      <c r="A106" s="19" t="s">
        <v>75</v>
      </c>
      <c r="B106" s="19" t="s">
        <v>242</v>
      </c>
      <c r="C106" s="19" t="s">
        <v>242</v>
      </c>
      <c r="D106" s="20" t="s">
        <v>271</v>
      </c>
      <c r="E106" s="88">
        <f t="shared" si="65"/>
        <v>51798300</v>
      </c>
      <c r="F106" s="89">
        <f>F107+F108+F109+F111+F112+F113+F114+F115+F110</f>
        <v>50380800</v>
      </c>
      <c r="G106" s="89">
        <f t="shared" ref="G106:L106" si="87">G107+G108+G109+G111+G112+G113+G114+G115+G110</f>
        <v>1417500</v>
      </c>
      <c r="H106" s="89">
        <f t="shared" si="87"/>
        <v>94000</v>
      </c>
      <c r="I106" s="89">
        <f t="shared" si="87"/>
        <v>46597055.350000009</v>
      </c>
      <c r="J106" s="89">
        <f t="shared" si="87"/>
        <v>45798937.619999997</v>
      </c>
      <c r="K106" s="89">
        <f t="shared" si="87"/>
        <v>798117.73</v>
      </c>
      <c r="L106" s="89">
        <f t="shared" si="87"/>
        <v>94000</v>
      </c>
      <c r="M106" s="40">
        <f t="shared" si="83"/>
        <v>89.958657620037741</v>
      </c>
      <c r="N106" s="40">
        <f t="shared" si="84"/>
        <v>90.905538657583833</v>
      </c>
      <c r="O106" s="40">
        <f t="shared" si="85"/>
        <v>56.30460176366843</v>
      </c>
      <c r="P106" s="40">
        <f t="shared" si="86"/>
        <v>100</v>
      </c>
    </row>
    <row r="107" spans="1:17" s="44" customFormat="1" ht="56.25" x14ac:dyDescent="0.25">
      <c r="A107" s="21" t="s">
        <v>76</v>
      </c>
      <c r="B107" s="21" t="s">
        <v>57</v>
      </c>
      <c r="C107" s="21" t="s">
        <v>3</v>
      </c>
      <c r="D107" s="22" t="s">
        <v>259</v>
      </c>
      <c r="E107" s="90">
        <f t="shared" si="65"/>
        <v>813600</v>
      </c>
      <c r="F107" s="91">
        <v>813600</v>
      </c>
      <c r="G107" s="91"/>
      <c r="H107" s="91"/>
      <c r="I107" s="90">
        <f t="shared" si="64"/>
        <v>812184.12</v>
      </c>
      <c r="J107" s="92">
        <v>812184.12</v>
      </c>
      <c r="K107" s="92"/>
      <c r="L107" s="92"/>
      <c r="M107" s="43">
        <f t="shared" si="83"/>
        <v>99.825973451327428</v>
      </c>
      <c r="N107" s="43">
        <f t="shared" si="84"/>
        <v>99.825973451327428</v>
      </c>
      <c r="O107" s="43"/>
      <c r="P107" s="43"/>
    </row>
    <row r="108" spans="1:17" s="44" customFormat="1" ht="37.5" x14ac:dyDescent="0.25">
      <c r="A108" s="21" t="s">
        <v>272</v>
      </c>
      <c r="B108" s="21" t="s">
        <v>10</v>
      </c>
      <c r="C108" s="21" t="s">
        <v>6</v>
      </c>
      <c r="D108" s="22" t="s">
        <v>104</v>
      </c>
      <c r="E108" s="90">
        <f t="shared" si="65"/>
        <v>350000</v>
      </c>
      <c r="F108" s="91">
        <v>350000</v>
      </c>
      <c r="G108" s="91"/>
      <c r="H108" s="91"/>
      <c r="I108" s="90">
        <f t="shared" si="64"/>
        <v>249904</v>
      </c>
      <c r="J108" s="98">
        <v>249904</v>
      </c>
      <c r="K108" s="92"/>
      <c r="L108" s="92"/>
      <c r="M108" s="43">
        <f t="shared" si="83"/>
        <v>71.401142857142858</v>
      </c>
      <c r="N108" s="43">
        <f t="shared" si="84"/>
        <v>71.401142857142858</v>
      </c>
      <c r="O108" s="43"/>
      <c r="P108" s="43"/>
    </row>
    <row r="109" spans="1:17" s="44" customFormat="1" ht="37.5" x14ac:dyDescent="0.25">
      <c r="A109" s="21" t="s">
        <v>219</v>
      </c>
      <c r="B109" s="21" t="s">
        <v>220</v>
      </c>
      <c r="C109" s="21" t="s">
        <v>17</v>
      </c>
      <c r="D109" s="22" t="s">
        <v>273</v>
      </c>
      <c r="E109" s="90">
        <f t="shared" si="65"/>
        <v>23593400</v>
      </c>
      <c r="F109" s="91">
        <v>22591900</v>
      </c>
      <c r="G109" s="91">
        <v>1001500</v>
      </c>
      <c r="H109" s="91"/>
      <c r="I109" s="90">
        <f t="shared" si="64"/>
        <v>21435877.289999999</v>
      </c>
      <c r="J109" s="98">
        <v>21116906.309999999</v>
      </c>
      <c r="K109" s="92">
        <v>318970.98</v>
      </c>
      <c r="L109" s="92"/>
      <c r="M109" s="43">
        <f t="shared" si="83"/>
        <v>90.85539722973374</v>
      </c>
      <c r="N109" s="43">
        <f t="shared" si="84"/>
        <v>93.471139257875606</v>
      </c>
      <c r="O109" s="43">
        <f t="shared" si="85"/>
        <v>31.849324013979029</v>
      </c>
      <c r="P109" s="43"/>
    </row>
    <row r="110" spans="1:17" s="44" customFormat="1" ht="93.75" x14ac:dyDescent="0.25">
      <c r="A110" s="25">
        <v>1013140</v>
      </c>
      <c r="B110" s="25">
        <v>3140</v>
      </c>
      <c r="C110" s="25">
        <v>1040</v>
      </c>
      <c r="D110" s="22" t="s">
        <v>320</v>
      </c>
      <c r="E110" s="90">
        <f t="shared" si="65"/>
        <v>120000</v>
      </c>
      <c r="F110" s="91">
        <v>120000</v>
      </c>
      <c r="G110" s="91"/>
      <c r="H110" s="91"/>
      <c r="I110" s="90">
        <f t="shared" si="64"/>
        <v>120000</v>
      </c>
      <c r="J110" s="98">
        <v>120000</v>
      </c>
      <c r="K110" s="92"/>
      <c r="L110" s="92"/>
      <c r="M110" s="43">
        <f t="shared" si="83"/>
        <v>100</v>
      </c>
      <c r="N110" s="43">
        <f t="shared" si="84"/>
        <v>100</v>
      </c>
      <c r="O110" s="43"/>
      <c r="P110" s="43"/>
    </row>
    <row r="111" spans="1:17" s="44" customFormat="1" ht="18.75" x14ac:dyDescent="0.25">
      <c r="A111" s="21" t="s">
        <v>78</v>
      </c>
      <c r="B111" s="21" t="s">
        <v>77</v>
      </c>
      <c r="C111" s="21" t="s">
        <v>38</v>
      </c>
      <c r="D111" s="22" t="s">
        <v>79</v>
      </c>
      <c r="E111" s="90">
        <f t="shared" si="65"/>
        <v>8424000</v>
      </c>
      <c r="F111" s="91">
        <v>8253000</v>
      </c>
      <c r="G111" s="91">
        <f>74000+97000</f>
        <v>171000</v>
      </c>
      <c r="H111" s="91">
        <v>74000</v>
      </c>
      <c r="I111" s="90">
        <f t="shared" si="64"/>
        <v>7585445.0800000001</v>
      </c>
      <c r="J111" s="92">
        <v>7446551.0800000001</v>
      </c>
      <c r="K111" s="92">
        <f>74000+64894</f>
        <v>138894</v>
      </c>
      <c r="L111" s="92">
        <v>74000</v>
      </c>
      <c r="M111" s="43">
        <f t="shared" si="83"/>
        <v>90.045644349477683</v>
      </c>
      <c r="N111" s="43">
        <f t="shared" si="84"/>
        <v>90.228414879437778</v>
      </c>
      <c r="O111" s="43">
        <f t="shared" si="85"/>
        <v>81.224561403508773</v>
      </c>
      <c r="P111" s="43">
        <f t="shared" si="86"/>
        <v>100</v>
      </c>
    </row>
    <row r="112" spans="1:17" s="44" customFormat="1" ht="18.75" x14ac:dyDescent="0.25">
      <c r="A112" s="21" t="s">
        <v>81</v>
      </c>
      <c r="B112" s="21" t="s">
        <v>80</v>
      </c>
      <c r="C112" s="21" t="s">
        <v>38</v>
      </c>
      <c r="D112" s="22" t="s">
        <v>274</v>
      </c>
      <c r="E112" s="90">
        <f t="shared" si="65"/>
        <v>4026800</v>
      </c>
      <c r="F112" s="91">
        <v>3986800</v>
      </c>
      <c r="G112" s="91">
        <v>40000</v>
      </c>
      <c r="H112" s="91"/>
      <c r="I112" s="90">
        <f t="shared" si="64"/>
        <v>3527755.66</v>
      </c>
      <c r="J112" s="92">
        <v>3471614.66</v>
      </c>
      <c r="K112" s="92">
        <f>37241+18900</f>
        <v>56141</v>
      </c>
      <c r="L112" s="92"/>
      <c r="M112" s="43">
        <f t="shared" si="83"/>
        <v>87.606925101817822</v>
      </c>
      <c r="N112" s="43">
        <f t="shared" si="84"/>
        <v>87.077722985853327</v>
      </c>
      <c r="O112" s="43">
        <f t="shared" si="85"/>
        <v>140.35249999999999</v>
      </c>
      <c r="P112" s="43"/>
    </row>
    <row r="113" spans="1:16" s="44" customFormat="1" ht="56.25" x14ac:dyDescent="0.25">
      <c r="A113" s="21" t="s">
        <v>82</v>
      </c>
      <c r="B113" s="21" t="s">
        <v>37</v>
      </c>
      <c r="C113" s="21" t="s">
        <v>39</v>
      </c>
      <c r="D113" s="22" t="s">
        <v>275</v>
      </c>
      <c r="E113" s="90">
        <f t="shared" si="65"/>
        <v>11898300</v>
      </c>
      <c r="F113" s="91">
        <v>11693300</v>
      </c>
      <c r="G113" s="91">
        <f>20000+185000</f>
        <v>205000</v>
      </c>
      <c r="H113" s="91">
        <v>20000</v>
      </c>
      <c r="I113" s="90">
        <f t="shared" si="64"/>
        <v>10445519.09</v>
      </c>
      <c r="J113" s="92">
        <v>10161407.34</v>
      </c>
      <c r="K113" s="92">
        <f>20000+130265.5+133846.25</f>
        <v>284111.75</v>
      </c>
      <c r="L113" s="92">
        <v>20000</v>
      </c>
      <c r="M113" s="43">
        <f t="shared" si="83"/>
        <v>87.79001277493424</v>
      </c>
      <c r="N113" s="43">
        <f t="shared" si="84"/>
        <v>86.899398287908454</v>
      </c>
      <c r="O113" s="43">
        <f t="shared" si="85"/>
        <v>138.59109756097561</v>
      </c>
      <c r="P113" s="43">
        <f t="shared" si="86"/>
        <v>100</v>
      </c>
    </row>
    <row r="114" spans="1:16" s="44" customFormat="1" ht="37.5" x14ac:dyDescent="0.25">
      <c r="A114" s="21" t="s">
        <v>158</v>
      </c>
      <c r="B114" s="21" t="s">
        <v>139</v>
      </c>
      <c r="C114" s="21" t="s">
        <v>40</v>
      </c>
      <c r="D114" s="22" t="s">
        <v>140</v>
      </c>
      <c r="E114" s="90">
        <f t="shared" si="65"/>
        <v>2137200</v>
      </c>
      <c r="F114" s="91">
        <v>2137200</v>
      </c>
      <c r="G114" s="91"/>
      <c r="H114" s="91"/>
      <c r="I114" s="90">
        <f t="shared" si="64"/>
        <v>2091539.11</v>
      </c>
      <c r="J114" s="92">
        <v>2091539.11</v>
      </c>
      <c r="K114" s="92"/>
      <c r="L114" s="92"/>
      <c r="M114" s="43">
        <f t="shared" si="83"/>
        <v>97.8635181545948</v>
      </c>
      <c r="N114" s="43">
        <f t="shared" si="84"/>
        <v>97.8635181545948</v>
      </c>
      <c r="O114" s="43"/>
      <c r="P114" s="43"/>
    </row>
    <row r="115" spans="1:16" s="44" customFormat="1" ht="18.75" x14ac:dyDescent="0.25">
      <c r="A115" s="21" t="s">
        <v>137</v>
      </c>
      <c r="B115" s="21" t="s">
        <v>138</v>
      </c>
      <c r="C115" s="21" t="s">
        <v>40</v>
      </c>
      <c r="D115" s="22" t="s">
        <v>141</v>
      </c>
      <c r="E115" s="90">
        <f t="shared" si="65"/>
        <v>435000</v>
      </c>
      <c r="F115" s="91">
        <v>435000</v>
      </c>
      <c r="G115" s="91"/>
      <c r="H115" s="91"/>
      <c r="I115" s="90">
        <f t="shared" si="64"/>
        <v>328831</v>
      </c>
      <c r="J115" s="92">
        <v>328831</v>
      </c>
      <c r="K115" s="92"/>
      <c r="L115" s="92"/>
      <c r="M115" s="43">
        <f t="shared" si="83"/>
        <v>75.593333333333334</v>
      </c>
      <c r="N115" s="43">
        <f t="shared" si="84"/>
        <v>75.593333333333334</v>
      </c>
      <c r="O115" s="43"/>
      <c r="P115" s="43"/>
    </row>
    <row r="116" spans="1:16" s="41" customFormat="1" ht="56.25" x14ac:dyDescent="0.25">
      <c r="A116" s="19" t="s">
        <v>24</v>
      </c>
      <c r="B116" s="19" t="s">
        <v>242</v>
      </c>
      <c r="C116" s="19" t="s">
        <v>242</v>
      </c>
      <c r="D116" s="20" t="s">
        <v>276</v>
      </c>
      <c r="E116" s="88">
        <f t="shared" si="65"/>
        <v>6842088</v>
      </c>
      <c r="F116" s="89">
        <f>F117</f>
        <v>6671088</v>
      </c>
      <c r="G116" s="99">
        <f>G117</f>
        <v>171000</v>
      </c>
      <c r="H116" s="99">
        <f>H117</f>
        <v>171000</v>
      </c>
      <c r="I116" s="88">
        <f t="shared" si="64"/>
        <v>6263081.7800000003</v>
      </c>
      <c r="J116" s="99">
        <f>J117</f>
        <v>5785350.29</v>
      </c>
      <c r="K116" s="99">
        <f>K117</f>
        <v>477731.49</v>
      </c>
      <c r="L116" s="99">
        <f>L117</f>
        <v>120950</v>
      </c>
      <c r="M116" s="40">
        <f t="shared" si="83"/>
        <v>91.537580048663514</v>
      </c>
      <c r="N116" s="40">
        <f t="shared" si="84"/>
        <v>86.722739828945436</v>
      </c>
      <c r="O116" s="40">
        <f t="shared" si="85"/>
        <v>279.37514035087719</v>
      </c>
      <c r="P116" s="40">
        <f t="shared" si="86"/>
        <v>70.73099415204679</v>
      </c>
    </row>
    <row r="117" spans="1:16" s="42" customFormat="1" ht="56.25" x14ac:dyDescent="0.25">
      <c r="A117" s="19" t="s">
        <v>25</v>
      </c>
      <c r="B117" s="19" t="s">
        <v>242</v>
      </c>
      <c r="C117" s="19" t="s">
        <v>242</v>
      </c>
      <c r="D117" s="20" t="s">
        <v>276</v>
      </c>
      <c r="E117" s="88">
        <f t="shared" si="65"/>
        <v>6842088</v>
      </c>
      <c r="F117" s="89">
        <f>F118+F119+F120+F121+F122+F124+F123</f>
        <v>6671088</v>
      </c>
      <c r="G117" s="89">
        <f t="shared" ref="G117:J117" si="88">G118+G119+G120+G121+G122+G124+G123</f>
        <v>171000</v>
      </c>
      <c r="H117" s="89">
        <f t="shared" si="88"/>
        <v>171000</v>
      </c>
      <c r="I117" s="89">
        <f t="shared" si="88"/>
        <v>6263081.7799999993</v>
      </c>
      <c r="J117" s="89">
        <f t="shared" si="88"/>
        <v>5785350.29</v>
      </c>
      <c r="K117" s="99">
        <f t="shared" ref="K117:L117" si="89">SUM(K118:K124)</f>
        <v>477731.49</v>
      </c>
      <c r="L117" s="99">
        <f t="shared" si="89"/>
        <v>120950</v>
      </c>
      <c r="M117" s="40">
        <f t="shared" si="83"/>
        <v>91.5375800486635</v>
      </c>
      <c r="N117" s="40">
        <f t="shared" si="84"/>
        <v>86.722739828945436</v>
      </c>
      <c r="O117" s="40">
        <f t="shared" si="85"/>
        <v>279.37514035087719</v>
      </c>
      <c r="P117" s="40">
        <f t="shared" si="86"/>
        <v>70.73099415204679</v>
      </c>
    </row>
    <row r="118" spans="1:16" s="44" customFormat="1" ht="56.25" x14ac:dyDescent="0.25">
      <c r="A118" s="21" t="s">
        <v>83</v>
      </c>
      <c r="B118" s="21" t="s">
        <v>57</v>
      </c>
      <c r="C118" s="21" t="s">
        <v>3</v>
      </c>
      <c r="D118" s="22" t="s">
        <v>259</v>
      </c>
      <c r="E118" s="90">
        <f t="shared" si="65"/>
        <v>2018200</v>
      </c>
      <c r="F118" s="91">
        <v>1847200</v>
      </c>
      <c r="G118" s="91">
        <f>H118</f>
        <v>171000</v>
      </c>
      <c r="H118" s="91">
        <v>171000</v>
      </c>
      <c r="I118" s="90">
        <f t="shared" si="64"/>
        <v>1887367.66</v>
      </c>
      <c r="J118" s="92">
        <v>1766417.66</v>
      </c>
      <c r="K118" s="92">
        <v>120950</v>
      </c>
      <c r="L118" s="92">
        <v>120950</v>
      </c>
      <c r="M118" s="43">
        <f t="shared" si="83"/>
        <v>93.51737488851451</v>
      </c>
      <c r="N118" s="43">
        <f t="shared" si="84"/>
        <v>95.626768081420522</v>
      </c>
      <c r="O118" s="43">
        <f t="shared" si="85"/>
        <v>70.73099415204679</v>
      </c>
      <c r="P118" s="43">
        <f t="shared" si="86"/>
        <v>70.73099415204679</v>
      </c>
    </row>
    <row r="119" spans="1:16" s="44" customFormat="1" ht="37.5" x14ac:dyDescent="0.25">
      <c r="A119" s="21" t="s">
        <v>277</v>
      </c>
      <c r="B119" s="21" t="s">
        <v>10</v>
      </c>
      <c r="C119" s="21" t="s">
        <v>6</v>
      </c>
      <c r="D119" s="22" t="s">
        <v>104</v>
      </c>
      <c r="E119" s="90">
        <f t="shared" si="65"/>
        <v>350000</v>
      </c>
      <c r="F119" s="91">
        <v>350000</v>
      </c>
      <c r="G119" s="91"/>
      <c r="H119" s="91"/>
      <c r="I119" s="90">
        <f t="shared" si="64"/>
        <v>274855.23</v>
      </c>
      <c r="J119" s="92">
        <v>274855.23</v>
      </c>
      <c r="K119" s="92"/>
      <c r="L119" s="92"/>
      <c r="M119" s="43">
        <f t="shared" si="83"/>
        <v>78.530065714285712</v>
      </c>
      <c r="N119" s="43">
        <f t="shared" si="84"/>
        <v>78.530065714285712</v>
      </c>
      <c r="O119" s="43"/>
      <c r="P119" s="43"/>
    </row>
    <row r="120" spans="1:16" s="44" customFormat="1" ht="18.75" x14ac:dyDescent="0.25">
      <c r="A120" s="21" t="s">
        <v>86</v>
      </c>
      <c r="B120" s="21" t="s">
        <v>85</v>
      </c>
      <c r="C120" s="21" t="s">
        <v>20</v>
      </c>
      <c r="D120" s="22" t="s">
        <v>50</v>
      </c>
      <c r="E120" s="90">
        <f t="shared" si="65"/>
        <v>1441800</v>
      </c>
      <c r="F120" s="91">
        <f>717500+724300</f>
        <v>1441800</v>
      </c>
      <c r="G120" s="91"/>
      <c r="H120" s="91"/>
      <c r="I120" s="90">
        <f t="shared" si="64"/>
        <v>1408800.0999999999</v>
      </c>
      <c r="J120" s="92">
        <f>407273.98+644744.63</f>
        <v>1052018.6099999999</v>
      </c>
      <c r="K120" s="92">
        <v>356781.49</v>
      </c>
      <c r="L120" s="92"/>
      <c r="M120" s="43">
        <f t="shared" si="83"/>
        <v>97.711201276182535</v>
      </c>
      <c r="N120" s="43">
        <f t="shared" si="84"/>
        <v>72.965640865584675</v>
      </c>
      <c r="O120" s="43"/>
      <c r="P120" s="43"/>
    </row>
    <row r="121" spans="1:16" s="44" customFormat="1" ht="37.5" x14ac:dyDescent="0.25">
      <c r="A121" s="21" t="s">
        <v>27</v>
      </c>
      <c r="B121" s="21" t="s">
        <v>26</v>
      </c>
      <c r="C121" s="21" t="s">
        <v>21</v>
      </c>
      <c r="D121" s="22" t="s">
        <v>44</v>
      </c>
      <c r="E121" s="90">
        <f t="shared" si="65"/>
        <v>1070000</v>
      </c>
      <c r="F121" s="91">
        <v>1070000</v>
      </c>
      <c r="G121" s="91"/>
      <c r="H121" s="91"/>
      <c r="I121" s="90">
        <f t="shared" si="64"/>
        <v>972354.91</v>
      </c>
      <c r="J121" s="92">
        <v>972354.91</v>
      </c>
      <c r="K121" s="92"/>
      <c r="L121" s="92"/>
      <c r="M121" s="43">
        <f t="shared" si="83"/>
        <v>90.874290654205609</v>
      </c>
      <c r="N121" s="43">
        <f t="shared" si="84"/>
        <v>90.874290654205609</v>
      </c>
      <c r="O121" s="43"/>
      <c r="P121" s="43"/>
    </row>
    <row r="122" spans="1:16" s="44" customFormat="1" ht="37.5" x14ac:dyDescent="0.25">
      <c r="A122" s="21" t="s">
        <v>46</v>
      </c>
      <c r="B122" s="21" t="s">
        <v>47</v>
      </c>
      <c r="C122" s="21" t="s">
        <v>21</v>
      </c>
      <c r="D122" s="22" t="s">
        <v>48</v>
      </c>
      <c r="E122" s="90">
        <f t="shared" si="65"/>
        <v>300000</v>
      </c>
      <c r="F122" s="91">
        <v>300000</v>
      </c>
      <c r="G122" s="91"/>
      <c r="H122" s="91"/>
      <c r="I122" s="90">
        <f t="shared" si="64"/>
        <v>283691.17</v>
      </c>
      <c r="J122" s="92">
        <v>283691.17</v>
      </c>
      <c r="K122" s="92"/>
      <c r="L122" s="92"/>
      <c r="M122" s="43">
        <f t="shared" si="83"/>
        <v>94.563723333333328</v>
      </c>
      <c r="N122" s="43">
        <f t="shared" si="84"/>
        <v>94.563723333333328</v>
      </c>
      <c r="O122" s="43"/>
      <c r="P122" s="43"/>
    </row>
    <row r="123" spans="1:16" s="44" customFormat="1" ht="56.25" x14ac:dyDescent="0.25">
      <c r="A123" s="32" t="s">
        <v>352</v>
      </c>
      <c r="B123" s="32" t="s">
        <v>353</v>
      </c>
      <c r="C123" s="32" t="s">
        <v>21</v>
      </c>
      <c r="D123" s="60" t="s">
        <v>354</v>
      </c>
      <c r="E123" s="90">
        <f t="shared" si="65"/>
        <v>98088</v>
      </c>
      <c r="F123" s="91">
        <v>98088</v>
      </c>
      <c r="G123" s="91"/>
      <c r="H123" s="91"/>
      <c r="I123" s="90">
        <f t="shared" si="64"/>
        <v>58852.800000000003</v>
      </c>
      <c r="J123" s="92">
        <v>58852.800000000003</v>
      </c>
      <c r="K123" s="92"/>
      <c r="L123" s="92"/>
      <c r="M123" s="43">
        <f t="shared" si="83"/>
        <v>60</v>
      </c>
      <c r="N123" s="43">
        <f t="shared" si="84"/>
        <v>60</v>
      </c>
      <c r="O123" s="43"/>
      <c r="P123" s="43"/>
    </row>
    <row r="124" spans="1:16" s="42" customFormat="1" ht="75" x14ac:dyDescent="0.25">
      <c r="A124" s="21" t="s">
        <v>51</v>
      </c>
      <c r="B124" s="21" t="s">
        <v>52</v>
      </c>
      <c r="C124" s="21" t="s">
        <v>21</v>
      </c>
      <c r="D124" s="22" t="s">
        <v>278</v>
      </c>
      <c r="E124" s="90">
        <f t="shared" si="65"/>
        <v>1564000</v>
      </c>
      <c r="F124" s="91">
        <v>1564000</v>
      </c>
      <c r="G124" s="91"/>
      <c r="H124" s="91"/>
      <c r="I124" s="90">
        <f t="shared" si="64"/>
        <v>1377159.91</v>
      </c>
      <c r="J124" s="92">
        <v>1377159.91</v>
      </c>
      <c r="K124" s="92"/>
      <c r="L124" s="92"/>
      <c r="M124" s="43">
        <f t="shared" si="83"/>
        <v>88.053702685421982</v>
      </c>
      <c r="N124" s="43">
        <f t="shared" si="84"/>
        <v>88.053702685421982</v>
      </c>
      <c r="O124" s="43"/>
      <c r="P124" s="43"/>
    </row>
    <row r="125" spans="1:16" s="42" customFormat="1" ht="56.25" x14ac:dyDescent="0.25">
      <c r="A125" s="19" t="s">
        <v>87</v>
      </c>
      <c r="B125" s="19" t="s">
        <v>242</v>
      </c>
      <c r="C125" s="19" t="s">
        <v>242</v>
      </c>
      <c r="D125" s="20" t="s">
        <v>279</v>
      </c>
      <c r="E125" s="88">
        <f t="shared" si="65"/>
        <v>242711866.68999997</v>
      </c>
      <c r="F125" s="89">
        <f>F126</f>
        <v>191553534.32999998</v>
      </c>
      <c r="G125" s="89">
        <f t="shared" ref="G125:H125" si="90">G126</f>
        <v>51158332.359999992</v>
      </c>
      <c r="H125" s="89">
        <f t="shared" si="90"/>
        <v>44370386.299999997</v>
      </c>
      <c r="I125" s="88">
        <f t="shared" si="64"/>
        <v>218503944.44</v>
      </c>
      <c r="J125" s="99">
        <f>J126</f>
        <v>181103218.31999999</v>
      </c>
      <c r="K125" s="99">
        <f t="shared" ref="K125:L125" si="91">K126</f>
        <v>37400726.119999997</v>
      </c>
      <c r="L125" s="99">
        <f t="shared" si="91"/>
        <v>33081949.710000001</v>
      </c>
      <c r="M125" s="40">
        <f t="shared" si="83"/>
        <v>90.026065647247819</v>
      </c>
      <c r="N125" s="40">
        <f t="shared" si="84"/>
        <v>94.54444103756569</v>
      </c>
      <c r="O125" s="40">
        <f t="shared" si="85"/>
        <v>73.107789864634285</v>
      </c>
      <c r="P125" s="40">
        <f t="shared" si="86"/>
        <v>74.558624498610698</v>
      </c>
    </row>
    <row r="126" spans="1:16" s="44" customFormat="1" ht="56.25" x14ac:dyDescent="0.25">
      <c r="A126" s="19" t="s">
        <v>88</v>
      </c>
      <c r="B126" s="19" t="s">
        <v>242</v>
      </c>
      <c r="C126" s="19" t="s">
        <v>242</v>
      </c>
      <c r="D126" s="20" t="s">
        <v>279</v>
      </c>
      <c r="E126" s="88">
        <f t="shared" si="65"/>
        <v>242711866.68999997</v>
      </c>
      <c r="F126" s="89">
        <f>SUM(F127:F152)</f>
        <v>191553534.32999998</v>
      </c>
      <c r="G126" s="89">
        <f t="shared" ref="G126:L126" si="92">SUM(G127:G152)</f>
        <v>51158332.359999992</v>
      </c>
      <c r="H126" s="89">
        <f t="shared" si="92"/>
        <v>44370386.299999997</v>
      </c>
      <c r="I126" s="89">
        <f t="shared" si="92"/>
        <v>218503944.44000003</v>
      </c>
      <c r="J126" s="89">
        <f t="shared" si="92"/>
        <v>181103218.31999999</v>
      </c>
      <c r="K126" s="89">
        <f t="shared" si="92"/>
        <v>37400726.119999997</v>
      </c>
      <c r="L126" s="89">
        <f t="shared" si="92"/>
        <v>33081949.710000001</v>
      </c>
      <c r="M126" s="40">
        <f t="shared" si="83"/>
        <v>90.026065647247833</v>
      </c>
      <c r="N126" s="40">
        <f t="shared" si="84"/>
        <v>94.54444103756569</v>
      </c>
      <c r="O126" s="40">
        <f t="shared" si="85"/>
        <v>73.107789864634285</v>
      </c>
      <c r="P126" s="40">
        <f t="shared" si="86"/>
        <v>74.558624498610698</v>
      </c>
    </row>
    <row r="127" spans="1:16" s="47" customFormat="1" ht="61.9" customHeight="1" x14ac:dyDescent="0.25">
      <c r="A127" s="21" t="s">
        <v>89</v>
      </c>
      <c r="B127" s="21" t="s">
        <v>57</v>
      </c>
      <c r="C127" s="21" t="s">
        <v>3</v>
      </c>
      <c r="D127" s="22" t="s">
        <v>259</v>
      </c>
      <c r="E127" s="90">
        <f t="shared" si="65"/>
        <v>3950760</v>
      </c>
      <c r="F127" s="91">
        <v>3750960</v>
      </c>
      <c r="G127" s="91">
        <v>199800</v>
      </c>
      <c r="H127" s="91">
        <v>199800</v>
      </c>
      <c r="I127" s="90">
        <f t="shared" si="64"/>
        <v>3590414.11</v>
      </c>
      <c r="J127" s="92">
        <v>3473198.83</v>
      </c>
      <c r="K127" s="92">
        <f>108000+9215.28</f>
        <v>117215.28</v>
      </c>
      <c r="L127" s="92">
        <v>108000</v>
      </c>
      <c r="M127" s="43">
        <f t="shared" si="83"/>
        <v>90.879074152821232</v>
      </c>
      <c r="N127" s="43">
        <f t="shared" si="84"/>
        <v>92.59493116428861</v>
      </c>
      <c r="O127" s="43">
        <f t="shared" si="85"/>
        <v>58.666306306306303</v>
      </c>
      <c r="P127" s="43">
        <f t="shared" si="86"/>
        <v>54.054054054054056</v>
      </c>
    </row>
    <row r="128" spans="1:16" s="44" customFormat="1" ht="56.25" x14ac:dyDescent="0.25">
      <c r="A128" s="21" t="s">
        <v>196</v>
      </c>
      <c r="B128" s="21" t="s">
        <v>113</v>
      </c>
      <c r="C128" s="21" t="s">
        <v>114</v>
      </c>
      <c r="D128" s="22" t="s">
        <v>115</v>
      </c>
      <c r="E128" s="90">
        <f t="shared" si="65"/>
        <v>25000</v>
      </c>
      <c r="F128" s="91">
        <v>25000</v>
      </c>
      <c r="G128" s="91"/>
      <c r="H128" s="91"/>
      <c r="I128" s="90">
        <f t="shared" si="64"/>
        <v>0</v>
      </c>
      <c r="J128" s="92">
        <v>0</v>
      </c>
      <c r="K128" s="92"/>
      <c r="L128" s="92"/>
      <c r="M128" s="43">
        <f t="shared" si="83"/>
        <v>0</v>
      </c>
      <c r="N128" s="43">
        <f t="shared" si="84"/>
        <v>0</v>
      </c>
      <c r="O128" s="43"/>
      <c r="P128" s="43"/>
    </row>
    <row r="129" spans="1:16" s="44" customFormat="1" ht="37.5" x14ac:dyDescent="0.25">
      <c r="A129" s="21" t="s">
        <v>280</v>
      </c>
      <c r="B129" s="21" t="s">
        <v>10</v>
      </c>
      <c r="C129" s="21" t="s">
        <v>6</v>
      </c>
      <c r="D129" s="22" t="s">
        <v>104</v>
      </c>
      <c r="E129" s="90">
        <f t="shared" si="65"/>
        <v>99000</v>
      </c>
      <c r="F129" s="91">
        <v>99000</v>
      </c>
      <c r="G129" s="91"/>
      <c r="H129" s="91"/>
      <c r="I129" s="90">
        <f t="shared" si="64"/>
        <v>44775</v>
      </c>
      <c r="J129" s="92">
        <v>44775</v>
      </c>
      <c r="K129" s="92"/>
      <c r="L129" s="92"/>
      <c r="M129" s="43">
        <f t="shared" si="83"/>
        <v>45.227272727272727</v>
      </c>
      <c r="N129" s="43">
        <f t="shared" si="84"/>
        <v>45.227272727272727</v>
      </c>
      <c r="O129" s="43"/>
      <c r="P129" s="43"/>
    </row>
    <row r="130" spans="1:16" s="44" customFormat="1" ht="37.5" x14ac:dyDescent="0.25">
      <c r="A130" s="21" t="s">
        <v>146</v>
      </c>
      <c r="B130" s="21" t="s">
        <v>145</v>
      </c>
      <c r="C130" s="21" t="s">
        <v>122</v>
      </c>
      <c r="D130" s="22" t="s">
        <v>123</v>
      </c>
      <c r="E130" s="90">
        <f t="shared" si="65"/>
        <v>30000</v>
      </c>
      <c r="F130" s="91">
        <v>30000</v>
      </c>
      <c r="G130" s="91"/>
      <c r="H130" s="91"/>
      <c r="I130" s="90">
        <f t="shared" si="64"/>
        <v>0</v>
      </c>
      <c r="J130" s="92">
        <v>0</v>
      </c>
      <c r="K130" s="92"/>
      <c r="L130" s="92"/>
      <c r="M130" s="43">
        <f t="shared" si="83"/>
        <v>0</v>
      </c>
      <c r="N130" s="43">
        <f t="shared" si="84"/>
        <v>0</v>
      </c>
      <c r="O130" s="43"/>
      <c r="P130" s="43"/>
    </row>
    <row r="131" spans="1:16" s="44" customFormat="1" ht="37.5" x14ac:dyDescent="0.25">
      <c r="A131" s="29">
        <v>1216011</v>
      </c>
      <c r="B131" s="29">
        <v>6011</v>
      </c>
      <c r="C131" s="26" t="s">
        <v>302</v>
      </c>
      <c r="D131" s="30" t="s">
        <v>101</v>
      </c>
      <c r="E131" s="90">
        <f t="shared" si="65"/>
        <v>15224040.16</v>
      </c>
      <c r="F131" s="91">
        <v>662593.01</v>
      </c>
      <c r="G131" s="91">
        <f>10270847.15+4290600</f>
        <v>14561447.15</v>
      </c>
      <c r="H131" s="91">
        <f>10270847.15+4290600</f>
        <v>14561447.15</v>
      </c>
      <c r="I131" s="90">
        <f t="shared" si="64"/>
        <v>7285553.0999999996</v>
      </c>
      <c r="J131" s="92">
        <v>49969.4</v>
      </c>
      <c r="K131" s="92">
        <f>4968167.8+2267415.9</f>
        <v>7235583.6999999993</v>
      </c>
      <c r="L131" s="92">
        <f>4968167.8+2267415.9</f>
        <v>7235583.6999999993</v>
      </c>
      <c r="M131" s="43">
        <f t="shared" si="83"/>
        <v>47.855582509183286</v>
      </c>
      <c r="N131" s="43">
        <f t="shared" si="84"/>
        <v>7.5414921748118049</v>
      </c>
      <c r="O131" s="43">
        <f t="shared" si="85"/>
        <v>49.690004197144646</v>
      </c>
      <c r="P131" s="43">
        <f t="shared" si="86"/>
        <v>49.690004197144646</v>
      </c>
    </row>
    <row r="132" spans="1:16" s="44" customFormat="1" ht="56.25" x14ac:dyDescent="0.25">
      <c r="A132" s="31" t="s">
        <v>130</v>
      </c>
      <c r="B132" s="31" t="s">
        <v>129</v>
      </c>
      <c r="C132" s="31" t="s">
        <v>9</v>
      </c>
      <c r="D132" s="30" t="s">
        <v>131</v>
      </c>
      <c r="E132" s="90">
        <f t="shared" si="65"/>
        <v>30000000</v>
      </c>
      <c r="F132" s="91">
        <v>30000000</v>
      </c>
      <c r="G132" s="91"/>
      <c r="H132" s="91"/>
      <c r="I132" s="90">
        <f t="shared" si="64"/>
        <v>29950179.77</v>
      </c>
      <c r="J132" s="92">
        <v>29950179.77</v>
      </c>
      <c r="K132" s="92"/>
      <c r="L132" s="92"/>
      <c r="M132" s="43">
        <f t="shared" si="83"/>
        <v>99.833932566666661</v>
      </c>
      <c r="N132" s="43">
        <f t="shared" si="84"/>
        <v>99.833932566666661</v>
      </c>
      <c r="O132" s="43"/>
      <c r="P132" s="43"/>
    </row>
    <row r="133" spans="1:16" s="44" customFormat="1" ht="37.5" x14ac:dyDescent="0.25">
      <c r="A133" s="29">
        <v>1216013</v>
      </c>
      <c r="B133" s="29">
        <v>6013</v>
      </c>
      <c r="C133" s="31" t="s">
        <v>9</v>
      </c>
      <c r="D133" s="30" t="s">
        <v>102</v>
      </c>
      <c r="E133" s="90">
        <f t="shared" si="65"/>
        <v>3874715.56</v>
      </c>
      <c r="F133" s="91">
        <v>3751991.56</v>
      </c>
      <c r="G133" s="91">
        <v>122724</v>
      </c>
      <c r="H133" s="91">
        <v>122724</v>
      </c>
      <c r="I133" s="90">
        <f t="shared" si="64"/>
        <v>3653652</v>
      </c>
      <c r="J133" s="92">
        <v>3530928</v>
      </c>
      <c r="K133" s="92">
        <v>122724</v>
      </c>
      <c r="L133" s="92">
        <v>122724</v>
      </c>
      <c r="M133" s="43">
        <f t="shared" si="83"/>
        <v>94.294715145490571</v>
      </c>
      <c r="N133" s="43">
        <f t="shared" si="84"/>
        <v>94.108100818862184</v>
      </c>
      <c r="O133" s="43">
        <f t="shared" si="85"/>
        <v>100</v>
      </c>
      <c r="P133" s="43">
        <f t="shared" si="86"/>
        <v>100</v>
      </c>
    </row>
    <row r="134" spans="1:16" s="44" customFormat="1" ht="37.5" x14ac:dyDescent="0.25">
      <c r="A134" s="21" t="s">
        <v>125</v>
      </c>
      <c r="B134" s="21" t="s">
        <v>124</v>
      </c>
      <c r="C134" s="21" t="s">
        <v>9</v>
      </c>
      <c r="D134" s="22" t="s">
        <v>126</v>
      </c>
      <c r="E134" s="90">
        <f t="shared" si="65"/>
        <v>1391959.38</v>
      </c>
      <c r="F134" s="91"/>
      <c r="G134" s="91">
        <v>1391959.38</v>
      </c>
      <c r="H134" s="91">
        <v>1391959.38</v>
      </c>
      <c r="I134" s="90">
        <f t="shared" si="64"/>
        <v>879174.89</v>
      </c>
      <c r="J134" s="92">
        <v>0</v>
      </c>
      <c r="K134" s="92">
        <v>879174.89</v>
      </c>
      <c r="L134" s="92">
        <v>879174.89</v>
      </c>
      <c r="M134" s="43">
        <f t="shared" si="83"/>
        <v>63.160958763035183</v>
      </c>
      <c r="N134" s="43"/>
      <c r="O134" s="43">
        <f t="shared" si="85"/>
        <v>63.160958763035183</v>
      </c>
      <c r="P134" s="43">
        <f t="shared" si="86"/>
        <v>63.160958763035183</v>
      </c>
    </row>
    <row r="135" spans="1:16" s="44" customFormat="1" ht="56.25" x14ac:dyDescent="0.25">
      <c r="A135" s="21" t="s">
        <v>160</v>
      </c>
      <c r="B135" s="21" t="s">
        <v>161</v>
      </c>
      <c r="C135" s="21" t="s">
        <v>9</v>
      </c>
      <c r="D135" s="22" t="s">
        <v>281</v>
      </c>
      <c r="E135" s="90">
        <f t="shared" si="65"/>
        <v>1080600</v>
      </c>
      <c r="F135" s="91">
        <v>1080600</v>
      </c>
      <c r="G135" s="91"/>
      <c r="H135" s="91"/>
      <c r="I135" s="90">
        <f t="shared" si="64"/>
        <v>1053204.74</v>
      </c>
      <c r="J135" s="92">
        <v>1053204.74</v>
      </c>
      <c r="K135" s="92"/>
      <c r="L135" s="92"/>
      <c r="M135" s="43">
        <f t="shared" si="83"/>
        <v>97.464810290579308</v>
      </c>
      <c r="N135" s="43">
        <f t="shared" si="84"/>
        <v>97.464810290579308</v>
      </c>
      <c r="O135" s="43"/>
      <c r="P135" s="43"/>
    </row>
    <row r="136" spans="1:16" s="44" customFormat="1" ht="75" x14ac:dyDescent="0.25">
      <c r="A136" s="25">
        <v>1216020</v>
      </c>
      <c r="B136" s="25">
        <v>6020</v>
      </c>
      <c r="C136" s="21" t="s">
        <v>9</v>
      </c>
      <c r="D136" s="22" t="s">
        <v>400</v>
      </c>
      <c r="E136" s="90">
        <f t="shared" ref="E136" si="93">F136+G136</f>
        <v>716890</v>
      </c>
      <c r="F136" s="91">
        <v>76900</v>
      </c>
      <c r="G136" s="91">
        <v>639990</v>
      </c>
      <c r="H136" s="91">
        <v>639990</v>
      </c>
      <c r="I136" s="90">
        <f t="shared" ref="I136" si="94">J136+K136</f>
        <v>176886</v>
      </c>
      <c r="J136" s="92">
        <v>76896</v>
      </c>
      <c r="K136" s="92">
        <v>99990</v>
      </c>
      <c r="L136" s="92">
        <v>99990</v>
      </c>
      <c r="M136" s="43">
        <f t="shared" ref="M136" si="95">I136/E136*100</f>
        <v>24.674078310479992</v>
      </c>
      <c r="N136" s="43">
        <f t="shared" ref="N136" si="96">J136/F136*100</f>
        <v>99.994798439531863</v>
      </c>
      <c r="O136" s="43">
        <f t="shared" ref="O136" si="97">K136/G136*100</f>
        <v>15.623681620025312</v>
      </c>
      <c r="P136" s="43">
        <f t="shared" ref="P136" si="98">L136/H136*100</f>
        <v>15.623681620025312</v>
      </c>
    </row>
    <row r="137" spans="1:16" s="47" customFormat="1" ht="18.75" x14ac:dyDescent="0.25">
      <c r="A137" s="21" t="s">
        <v>90</v>
      </c>
      <c r="B137" s="21" t="s">
        <v>41</v>
      </c>
      <c r="C137" s="21" t="s">
        <v>9</v>
      </c>
      <c r="D137" s="22" t="s">
        <v>251</v>
      </c>
      <c r="E137" s="90">
        <f t="shared" si="65"/>
        <v>72702758.400000006</v>
      </c>
      <c r="F137" s="91">
        <f>32259826.4+17886100+584000+20075000</f>
        <v>70804926.400000006</v>
      </c>
      <c r="G137" s="91">
        <f>1528853+98979+270000</f>
        <v>1897832</v>
      </c>
      <c r="H137" s="91">
        <f>1528853+98979+270000</f>
        <v>1897832</v>
      </c>
      <c r="I137" s="90">
        <f t="shared" si="64"/>
        <v>68241032.849999994</v>
      </c>
      <c r="J137" s="92">
        <f>31854860.18+17855056.58+575789.12+17156053.86</f>
        <v>67441759.739999995</v>
      </c>
      <c r="K137" s="92">
        <f>700294.11+98979</f>
        <v>799273.11</v>
      </c>
      <c r="L137" s="92">
        <f>700294.11+98979</f>
        <v>799273.11</v>
      </c>
      <c r="M137" s="43">
        <f t="shared" si="83"/>
        <v>93.863058777698299</v>
      </c>
      <c r="N137" s="43">
        <f t="shared" si="84"/>
        <v>95.250095112025974</v>
      </c>
      <c r="O137" s="43">
        <f t="shared" si="85"/>
        <v>42.115061290988876</v>
      </c>
      <c r="P137" s="43">
        <f t="shared" si="86"/>
        <v>42.115061290988876</v>
      </c>
    </row>
    <row r="138" spans="1:16" s="47" customFormat="1" ht="37.5" x14ac:dyDescent="0.25">
      <c r="A138" s="27" t="s">
        <v>323</v>
      </c>
      <c r="B138" s="27" t="s">
        <v>324</v>
      </c>
      <c r="C138" s="27" t="s">
        <v>132</v>
      </c>
      <c r="D138" s="22" t="s">
        <v>325</v>
      </c>
      <c r="E138" s="90">
        <f t="shared" si="65"/>
        <v>4543206.6400000006</v>
      </c>
      <c r="F138" s="91"/>
      <c r="G138" s="91">
        <f>300000+1096000+3147206.64</f>
        <v>4543206.6400000006</v>
      </c>
      <c r="H138" s="91">
        <f>300000+1096000+3147206.64</f>
        <v>4543206.6400000006</v>
      </c>
      <c r="I138" s="90">
        <f t="shared" si="64"/>
        <v>4444844.7300000004</v>
      </c>
      <c r="J138" s="92"/>
      <c r="K138" s="92">
        <f>297682.55+1079585.33+3067576.85</f>
        <v>4444844.7300000004</v>
      </c>
      <c r="L138" s="92">
        <f>297682.55+1079585.33+3067576.85</f>
        <v>4444844.7300000004</v>
      </c>
      <c r="M138" s="43">
        <f t="shared" si="83"/>
        <v>97.83496728645386</v>
      </c>
      <c r="N138" s="43"/>
      <c r="O138" s="43">
        <f t="shared" si="85"/>
        <v>97.83496728645386</v>
      </c>
      <c r="P138" s="43">
        <f t="shared" si="86"/>
        <v>97.83496728645386</v>
      </c>
    </row>
    <row r="139" spans="1:16" s="44" customFormat="1" ht="37.5" x14ac:dyDescent="0.25">
      <c r="A139" s="26">
        <v>1217370</v>
      </c>
      <c r="B139" s="26">
        <v>7370</v>
      </c>
      <c r="C139" s="26" t="s">
        <v>23</v>
      </c>
      <c r="D139" s="22" t="s">
        <v>128</v>
      </c>
      <c r="E139" s="90">
        <f t="shared" si="65"/>
        <v>100000</v>
      </c>
      <c r="F139" s="91">
        <v>100000</v>
      </c>
      <c r="G139" s="91"/>
      <c r="H139" s="91"/>
      <c r="I139" s="90">
        <f t="shared" si="64"/>
        <v>99700</v>
      </c>
      <c r="J139" s="92">
        <v>99700</v>
      </c>
      <c r="K139" s="92"/>
      <c r="L139" s="92"/>
      <c r="M139" s="43">
        <f t="shared" si="83"/>
        <v>99.7</v>
      </c>
      <c r="N139" s="43">
        <f t="shared" si="84"/>
        <v>99.7</v>
      </c>
      <c r="O139" s="43"/>
      <c r="P139" s="43"/>
    </row>
    <row r="140" spans="1:16" s="44" customFormat="1" ht="75" x14ac:dyDescent="0.25">
      <c r="A140" s="27" t="s">
        <v>401</v>
      </c>
      <c r="B140" s="27" t="s">
        <v>402</v>
      </c>
      <c r="C140" s="27" t="s">
        <v>23</v>
      </c>
      <c r="D140" s="22" t="s">
        <v>403</v>
      </c>
      <c r="E140" s="90">
        <f t="shared" ref="E140:E141" si="99">F140+G140</f>
        <v>418650</v>
      </c>
      <c r="F140" s="91">
        <v>418650</v>
      </c>
      <c r="G140" s="91"/>
      <c r="H140" s="91"/>
      <c r="I140" s="90">
        <f t="shared" ref="I140:I141" si="100">J140+K140</f>
        <v>297595.03000000003</v>
      </c>
      <c r="J140" s="92">
        <v>297595.03000000003</v>
      </c>
      <c r="K140" s="92"/>
      <c r="L140" s="92"/>
      <c r="M140" s="43">
        <f t="shared" ref="M140:M141" si="101">I140/E140*100</f>
        <v>71.084445240654489</v>
      </c>
      <c r="N140" s="43">
        <f t="shared" ref="N140:N141" si="102">J140/F140*100</f>
        <v>71.084445240654489</v>
      </c>
      <c r="O140" s="43"/>
      <c r="P140" s="43"/>
    </row>
    <row r="141" spans="1:16" s="44" customFormat="1" ht="93.75" x14ac:dyDescent="0.25">
      <c r="A141" s="27" t="s">
        <v>404</v>
      </c>
      <c r="B141" s="27" t="s">
        <v>405</v>
      </c>
      <c r="C141" s="27" t="s">
        <v>23</v>
      </c>
      <c r="D141" s="22" t="s">
        <v>406</v>
      </c>
      <c r="E141" s="90">
        <f t="shared" si="99"/>
        <v>130000</v>
      </c>
      <c r="F141" s="91">
        <v>130000</v>
      </c>
      <c r="G141" s="91"/>
      <c r="H141" s="91"/>
      <c r="I141" s="90">
        <f t="shared" si="100"/>
        <v>130000</v>
      </c>
      <c r="J141" s="92">
        <v>130000</v>
      </c>
      <c r="K141" s="92"/>
      <c r="L141" s="92"/>
      <c r="M141" s="43">
        <f t="shared" si="101"/>
        <v>100</v>
      </c>
      <c r="N141" s="43">
        <f t="shared" si="102"/>
        <v>100</v>
      </c>
      <c r="O141" s="43"/>
      <c r="P141" s="43"/>
    </row>
    <row r="142" spans="1:16" s="44" customFormat="1" ht="56.25" x14ac:dyDescent="0.25">
      <c r="A142" s="21" t="s">
        <v>127</v>
      </c>
      <c r="B142" s="21" t="s">
        <v>99</v>
      </c>
      <c r="C142" s="21" t="s">
        <v>42</v>
      </c>
      <c r="D142" s="22" t="s">
        <v>100</v>
      </c>
      <c r="E142" s="90">
        <f t="shared" si="65"/>
        <v>24000000</v>
      </c>
      <c r="F142" s="91">
        <v>24000000</v>
      </c>
      <c r="G142" s="91"/>
      <c r="H142" s="91"/>
      <c r="I142" s="90">
        <f t="shared" si="64"/>
        <v>23999998.800000001</v>
      </c>
      <c r="J142" s="92">
        <v>23999998.800000001</v>
      </c>
      <c r="K142" s="92"/>
      <c r="L142" s="92"/>
      <c r="M142" s="43">
        <f t="shared" si="83"/>
        <v>99.999995000000013</v>
      </c>
      <c r="N142" s="43">
        <f t="shared" si="84"/>
        <v>99.999995000000013</v>
      </c>
      <c r="O142" s="43"/>
      <c r="P142" s="43"/>
    </row>
    <row r="143" spans="1:16" s="44" customFormat="1" ht="18.75" x14ac:dyDescent="0.25">
      <c r="A143" s="25">
        <v>1217640</v>
      </c>
      <c r="B143" s="25">
        <v>7640</v>
      </c>
      <c r="C143" s="26" t="s">
        <v>7</v>
      </c>
      <c r="D143" s="22" t="s">
        <v>8</v>
      </c>
      <c r="E143" s="90">
        <f t="shared" si="65"/>
        <v>324089.55</v>
      </c>
      <c r="F143" s="91"/>
      <c r="G143" s="91">
        <v>324089.55</v>
      </c>
      <c r="H143" s="91">
        <v>324089.55</v>
      </c>
      <c r="I143" s="90">
        <f t="shared" si="64"/>
        <v>293519.15999999997</v>
      </c>
      <c r="J143" s="92"/>
      <c r="K143" s="92">
        <v>293519.15999999997</v>
      </c>
      <c r="L143" s="92">
        <v>293519.15999999997</v>
      </c>
      <c r="M143" s="43">
        <f t="shared" si="83"/>
        <v>90.567301537491716</v>
      </c>
      <c r="N143" s="43"/>
      <c r="O143" s="43">
        <f t="shared" si="85"/>
        <v>90.567301537491716</v>
      </c>
      <c r="P143" s="43">
        <f t="shared" si="86"/>
        <v>90.567301537491716</v>
      </c>
    </row>
    <row r="144" spans="1:16" s="44" customFormat="1" ht="37.5" x14ac:dyDescent="0.25">
      <c r="A144" s="25">
        <v>1217670</v>
      </c>
      <c r="B144" s="25">
        <v>7670</v>
      </c>
      <c r="C144" s="27" t="s">
        <v>23</v>
      </c>
      <c r="D144" s="22" t="s">
        <v>413</v>
      </c>
      <c r="E144" s="90">
        <f t="shared" ref="E144" si="103">F144+G144</f>
        <v>11896600</v>
      </c>
      <c r="F144" s="91"/>
      <c r="G144" s="91">
        <f>11376600+520000</f>
        <v>11896600</v>
      </c>
      <c r="H144" s="91">
        <f>11376600+520000</f>
        <v>11896600</v>
      </c>
      <c r="I144" s="90">
        <f t="shared" ref="I144" si="104">J144+K144</f>
        <v>11733310</v>
      </c>
      <c r="J144" s="92"/>
      <c r="K144" s="92">
        <f>11221310+512000</f>
        <v>11733310</v>
      </c>
      <c r="L144" s="92">
        <f>11221310+512000</f>
        <v>11733310</v>
      </c>
      <c r="M144" s="43">
        <f t="shared" ref="M144" si="105">I144/E144*100</f>
        <v>98.627422961182191</v>
      </c>
      <c r="N144" s="43"/>
      <c r="O144" s="43">
        <f t="shared" ref="O144:O146" si="106">K144/G144*100</f>
        <v>98.627422961182191</v>
      </c>
      <c r="P144" s="43">
        <f t="shared" ref="P144:P146" si="107">L144/H144*100</f>
        <v>98.627422961182191</v>
      </c>
    </row>
    <row r="145" spans="1:18" s="44" customFormat="1" ht="168.75" x14ac:dyDescent="0.25">
      <c r="A145" s="25">
        <v>1217691</v>
      </c>
      <c r="B145" s="25">
        <v>7691</v>
      </c>
      <c r="C145" s="26" t="s">
        <v>23</v>
      </c>
      <c r="D145" s="22" t="s">
        <v>163</v>
      </c>
      <c r="E145" s="90">
        <f t="shared" si="65"/>
        <v>2706272.26</v>
      </c>
      <c r="F145" s="91"/>
      <c r="G145" s="91">
        <v>2706272.26</v>
      </c>
      <c r="H145" s="91"/>
      <c r="I145" s="90">
        <f t="shared" si="64"/>
        <v>430001.19</v>
      </c>
      <c r="J145" s="92"/>
      <c r="K145" s="92">
        <v>430001.19</v>
      </c>
      <c r="L145" s="92"/>
      <c r="M145" s="43">
        <f t="shared" si="83"/>
        <v>15.889058774892073</v>
      </c>
      <c r="N145" s="43"/>
      <c r="O145" s="43">
        <f t="shared" si="106"/>
        <v>15.889058774892073</v>
      </c>
      <c r="P145" s="43"/>
    </row>
    <row r="146" spans="1:18" s="44" customFormat="1" ht="37.5" x14ac:dyDescent="0.25">
      <c r="A146" s="25">
        <v>1217693</v>
      </c>
      <c r="B146" s="21" t="s">
        <v>143</v>
      </c>
      <c r="C146" s="21" t="s">
        <v>23</v>
      </c>
      <c r="D146" s="22" t="s">
        <v>282</v>
      </c>
      <c r="E146" s="90">
        <f t="shared" si="65"/>
        <v>56870207</v>
      </c>
      <c r="F146" s="91">
        <f>9415357+210100+42133066</f>
        <v>51758523</v>
      </c>
      <c r="G146" s="91">
        <v>5111684</v>
      </c>
      <c r="H146" s="91">
        <v>5111684</v>
      </c>
      <c r="I146" s="90">
        <f t="shared" si="64"/>
        <v>52514529.680000007</v>
      </c>
      <c r="J146" s="92">
        <f>8739790.82+197849.6+38465220.06</f>
        <v>47402860.480000004</v>
      </c>
      <c r="K146" s="92">
        <v>5111669.2</v>
      </c>
      <c r="L146" s="92">
        <v>5111669.2</v>
      </c>
      <c r="M146" s="43">
        <f t="shared" si="83"/>
        <v>92.341020809015191</v>
      </c>
      <c r="N146" s="43">
        <f t="shared" si="84"/>
        <v>91.584646803000936</v>
      </c>
      <c r="O146" s="43">
        <f t="shared" si="106"/>
        <v>99.99971046723546</v>
      </c>
      <c r="P146" s="43">
        <f t="shared" si="107"/>
        <v>99.99971046723546</v>
      </c>
    </row>
    <row r="147" spans="1:18" s="44" customFormat="1" ht="75" x14ac:dyDescent="0.25">
      <c r="A147" s="25">
        <v>1217700</v>
      </c>
      <c r="B147" s="25">
        <v>7700</v>
      </c>
      <c r="C147" s="27" t="s">
        <v>6</v>
      </c>
      <c r="D147" s="22" t="s">
        <v>369</v>
      </c>
      <c r="E147" s="90">
        <f t="shared" si="65"/>
        <v>3514793.36</v>
      </c>
      <c r="F147" s="91"/>
      <c r="G147" s="91">
        <v>3514793.36</v>
      </c>
      <c r="H147" s="91"/>
      <c r="I147" s="90">
        <f t="shared" si="64"/>
        <v>3514793.36</v>
      </c>
      <c r="J147" s="92"/>
      <c r="K147" s="92">
        <v>3514793.36</v>
      </c>
      <c r="L147" s="92"/>
      <c r="M147" s="43">
        <f t="shared" si="83"/>
        <v>100</v>
      </c>
      <c r="N147" s="43"/>
      <c r="O147" s="43">
        <f t="shared" si="85"/>
        <v>100</v>
      </c>
      <c r="P147" s="43"/>
    </row>
    <row r="148" spans="1:18" s="42" customFormat="1" ht="56.25" x14ac:dyDescent="0.25">
      <c r="A148" s="25">
        <v>1218110</v>
      </c>
      <c r="B148" s="25">
        <v>8110</v>
      </c>
      <c r="C148" s="26" t="s">
        <v>5</v>
      </c>
      <c r="D148" s="22" t="s">
        <v>144</v>
      </c>
      <c r="E148" s="90">
        <f t="shared" si="65"/>
        <v>7976401.959999999</v>
      </c>
      <c r="F148" s="91">
        <f>4045059.36+200000+41300+265928</f>
        <v>4552287.3599999994</v>
      </c>
      <c r="G148" s="91">
        <f>840000+1414114.6+1170000</f>
        <v>3424114.6</v>
      </c>
      <c r="H148" s="91">
        <f>840000+1414114.6+1170000</f>
        <v>3424114.6</v>
      </c>
      <c r="I148" s="90">
        <f t="shared" si="64"/>
        <v>5636410.4499999993</v>
      </c>
      <c r="J148" s="98">
        <f>2967480.12+107842.01+41299.4+265928</f>
        <v>3382549.53</v>
      </c>
      <c r="K148" s="98">
        <f>839973.03+1413887.89</f>
        <v>2253860.92</v>
      </c>
      <c r="L148" s="98">
        <f>839973.03+1413887.89</f>
        <v>2253860.92</v>
      </c>
      <c r="M148" s="43">
        <f t="shared" si="83"/>
        <v>70.66357084642209</v>
      </c>
      <c r="N148" s="43">
        <f t="shared" si="84"/>
        <v>74.304393868492525</v>
      </c>
      <c r="O148" s="43">
        <f t="shared" si="85"/>
        <v>65.823174259412937</v>
      </c>
      <c r="P148" s="43">
        <f t="shared" si="86"/>
        <v>65.823174259412937</v>
      </c>
    </row>
    <row r="149" spans="1:18" s="42" customFormat="1" ht="18.75" x14ac:dyDescent="0.25">
      <c r="A149" s="25">
        <v>1218240</v>
      </c>
      <c r="B149" s="25">
        <v>8240</v>
      </c>
      <c r="C149" s="27" t="s">
        <v>167</v>
      </c>
      <c r="D149" s="28" t="s">
        <v>258</v>
      </c>
      <c r="E149" s="90">
        <f t="shared" si="65"/>
        <v>213903</v>
      </c>
      <c r="F149" s="91">
        <f>101403+112500</f>
        <v>213903</v>
      </c>
      <c r="G149" s="91"/>
      <c r="H149" s="91"/>
      <c r="I149" s="90">
        <f t="shared" si="64"/>
        <v>101403</v>
      </c>
      <c r="J149" s="98">
        <f>101403</f>
        <v>101403</v>
      </c>
      <c r="K149" s="98"/>
      <c r="L149" s="98"/>
      <c r="M149" s="43">
        <f t="shared" si="83"/>
        <v>47.406067236083643</v>
      </c>
      <c r="N149" s="43">
        <f t="shared" si="84"/>
        <v>47.406067236083643</v>
      </c>
      <c r="O149" s="43"/>
      <c r="P149" s="43"/>
    </row>
    <row r="150" spans="1:18" s="51" customFormat="1" ht="37.5" x14ac:dyDescent="0.25">
      <c r="A150" s="21" t="s">
        <v>136</v>
      </c>
      <c r="B150" s="21" t="s">
        <v>133</v>
      </c>
      <c r="C150" s="21" t="s">
        <v>43</v>
      </c>
      <c r="D150" s="22" t="s">
        <v>142</v>
      </c>
      <c r="E150" s="90">
        <f t="shared" si="65"/>
        <v>566880.43999999994</v>
      </c>
      <c r="F150" s="91"/>
      <c r="G150" s="91">
        <f>308982.11+257898.33</f>
        <v>566880.43999999994</v>
      </c>
      <c r="H150" s="91"/>
      <c r="I150" s="90">
        <f t="shared" si="64"/>
        <v>364766.58</v>
      </c>
      <c r="J150" s="98"/>
      <c r="K150" s="98">
        <f>306868.25+57898.33</f>
        <v>364766.58</v>
      </c>
      <c r="L150" s="101"/>
      <c r="M150" s="43">
        <f t="shared" si="83"/>
        <v>64.346298489325207</v>
      </c>
      <c r="N150" s="43"/>
      <c r="O150" s="43">
        <f t="shared" si="85"/>
        <v>64.346298489325207</v>
      </c>
      <c r="P150" s="43"/>
    </row>
    <row r="151" spans="1:18" s="51" customFormat="1" ht="75" x14ac:dyDescent="0.25">
      <c r="A151" s="25">
        <v>1218761</v>
      </c>
      <c r="B151" s="25">
        <v>8761</v>
      </c>
      <c r="C151" s="27" t="s">
        <v>43</v>
      </c>
      <c r="D151" s="22" t="s">
        <v>407</v>
      </c>
      <c r="E151" s="90">
        <f t="shared" ref="E151" si="108">F151+G151</f>
        <v>286938.98</v>
      </c>
      <c r="F151" s="91">
        <v>30000</v>
      </c>
      <c r="G151" s="91">
        <v>256938.98</v>
      </c>
      <c r="H151" s="91">
        <v>256938.98</v>
      </c>
      <c r="I151" s="90">
        <f t="shared" ref="I151" si="109">J151+K151</f>
        <v>0</v>
      </c>
      <c r="J151" s="98"/>
      <c r="K151" s="98"/>
      <c r="L151" s="98"/>
      <c r="M151" s="43">
        <f t="shared" ref="M151" si="110">I151/E151*100</f>
        <v>0</v>
      </c>
      <c r="N151" s="43">
        <f t="shared" ref="N151" si="111">J151/F151*100</f>
        <v>0</v>
      </c>
      <c r="O151" s="43">
        <f t="shared" ref="O151" si="112">K151/G151*100</f>
        <v>0</v>
      </c>
      <c r="P151" s="43">
        <f t="shared" ref="P151" si="113">L151/H151*100</f>
        <v>0</v>
      </c>
    </row>
    <row r="152" spans="1:18" s="51" customFormat="1" ht="56.25" x14ac:dyDescent="0.25">
      <c r="A152" s="25">
        <v>1218771</v>
      </c>
      <c r="B152" s="27">
        <v>8771</v>
      </c>
      <c r="C152" s="27" t="s">
        <v>135</v>
      </c>
      <c r="D152" s="22" t="s">
        <v>355</v>
      </c>
      <c r="E152" s="90">
        <f t="shared" si="65"/>
        <v>68200</v>
      </c>
      <c r="F152" s="91">
        <v>68200</v>
      </c>
      <c r="G152" s="91"/>
      <c r="H152" s="91"/>
      <c r="I152" s="90">
        <f t="shared" si="64"/>
        <v>68200</v>
      </c>
      <c r="J152" s="98">
        <v>68200</v>
      </c>
      <c r="K152" s="98"/>
      <c r="L152" s="101"/>
      <c r="M152" s="43">
        <f t="shared" si="83"/>
        <v>100</v>
      </c>
      <c r="N152" s="43">
        <f t="shared" si="84"/>
        <v>100</v>
      </c>
      <c r="O152" s="43"/>
      <c r="P152" s="43"/>
    </row>
    <row r="153" spans="1:18" s="46" customFormat="1" ht="56.25" x14ac:dyDescent="0.25">
      <c r="A153" s="19" t="s">
        <v>28</v>
      </c>
      <c r="B153" s="19" t="s">
        <v>242</v>
      </c>
      <c r="C153" s="19" t="s">
        <v>242</v>
      </c>
      <c r="D153" s="20" t="s">
        <v>283</v>
      </c>
      <c r="E153" s="88">
        <f t="shared" si="65"/>
        <v>224553978.85999998</v>
      </c>
      <c r="F153" s="89">
        <f>F154</f>
        <v>4656789.18</v>
      </c>
      <c r="G153" s="89">
        <f t="shared" ref="G153:L153" si="114">G154</f>
        <v>219897189.67999998</v>
      </c>
      <c r="H153" s="89">
        <f t="shared" si="114"/>
        <v>205772990.73999998</v>
      </c>
      <c r="I153" s="89">
        <f t="shared" si="114"/>
        <v>147403216.86000001</v>
      </c>
      <c r="J153" s="89">
        <f>J154</f>
        <v>4361567.16</v>
      </c>
      <c r="K153" s="89">
        <f t="shared" si="114"/>
        <v>143041649.69999999</v>
      </c>
      <c r="L153" s="89">
        <f t="shared" si="114"/>
        <v>142426305</v>
      </c>
      <c r="M153" s="40">
        <f t="shared" si="83"/>
        <v>65.642665344130805</v>
      </c>
      <c r="N153" s="40">
        <f t="shared" si="84"/>
        <v>93.660395422925291</v>
      </c>
      <c r="O153" s="40">
        <f t="shared" si="85"/>
        <v>65.049330511298422</v>
      </c>
      <c r="P153" s="40">
        <f t="shared" si="86"/>
        <v>69.215257302626128</v>
      </c>
      <c r="Q153" s="51"/>
      <c r="R153" s="56"/>
    </row>
    <row r="154" spans="1:18" s="46" customFormat="1" ht="56.25" x14ac:dyDescent="0.25">
      <c r="A154" s="19" t="s">
        <v>29</v>
      </c>
      <c r="B154" s="19" t="s">
        <v>242</v>
      </c>
      <c r="C154" s="19" t="s">
        <v>242</v>
      </c>
      <c r="D154" s="20" t="s">
        <v>283</v>
      </c>
      <c r="E154" s="88">
        <f t="shared" si="65"/>
        <v>224553978.85999998</v>
      </c>
      <c r="F154" s="89">
        <f t="shared" ref="F154:J154" si="115">SUM(F155:F175)</f>
        <v>4656789.18</v>
      </c>
      <c r="G154" s="89">
        <f>SUM(G155:G176)</f>
        <v>219897189.67999998</v>
      </c>
      <c r="H154" s="89">
        <f>SUM(H155:H176)</f>
        <v>205772990.73999998</v>
      </c>
      <c r="I154" s="89">
        <f>SUM(I155:I176)</f>
        <v>147403216.86000001</v>
      </c>
      <c r="J154" s="89">
        <f t="shared" si="115"/>
        <v>4361567.16</v>
      </c>
      <c r="K154" s="89">
        <f>SUM(K155:K176)</f>
        <v>143041649.69999999</v>
      </c>
      <c r="L154" s="89">
        <f>SUM(L155:L176)</f>
        <v>142426305</v>
      </c>
      <c r="M154" s="40">
        <f t="shared" si="83"/>
        <v>65.642665344130805</v>
      </c>
      <c r="N154" s="40">
        <f t="shared" si="84"/>
        <v>93.660395422925291</v>
      </c>
      <c r="O154" s="40">
        <f t="shared" si="85"/>
        <v>65.049330511298422</v>
      </c>
      <c r="P154" s="40">
        <f t="shared" si="86"/>
        <v>69.215257302626128</v>
      </c>
      <c r="Q154" s="51"/>
      <c r="R154" s="56"/>
    </row>
    <row r="155" spans="1:18" s="46" customFormat="1" ht="93.75" x14ac:dyDescent="0.25">
      <c r="A155" s="32" t="s">
        <v>303</v>
      </c>
      <c r="B155" s="32" t="s">
        <v>53</v>
      </c>
      <c r="C155" s="32" t="s">
        <v>3</v>
      </c>
      <c r="D155" s="57" t="s">
        <v>244</v>
      </c>
      <c r="E155" s="90">
        <f t="shared" si="65"/>
        <v>539029.42000000004</v>
      </c>
      <c r="F155" s="89"/>
      <c r="G155" s="91">
        <v>539029.42000000004</v>
      </c>
      <c r="H155" s="91">
        <v>539029.42000000004</v>
      </c>
      <c r="I155" s="90">
        <f t="shared" si="64"/>
        <v>538945.43999999994</v>
      </c>
      <c r="J155" s="92"/>
      <c r="K155" s="92">
        <v>538945.43999999994</v>
      </c>
      <c r="L155" s="92">
        <v>538945.43999999994</v>
      </c>
      <c r="M155" s="43">
        <f t="shared" si="83"/>
        <v>99.984420145379062</v>
      </c>
      <c r="N155" s="43"/>
      <c r="O155" s="43">
        <f t="shared" si="85"/>
        <v>99.984420145379062</v>
      </c>
      <c r="P155" s="43">
        <f t="shared" si="86"/>
        <v>99.984420145379062</v>
      </c>
      <c r="Q155" s="51"/>
      <c r="R155" s="56"/>
    </row>
    <row r="156" spans="1:18" s="46" customFormat="1" ht="56.25" x14ac:dyDescent="0.25">
      <c r="A156" s="21" t="s">
        <v>91</v>
      </c>
      <c r="B156" s="21" t="s">
        <v>57</v>
      </c>
      <c r="C156" s="21" t="s">
        <v>3</v>
      </c>
      <c r="D156" s="22" t="s">
        <v>259</v>
      </c>
      <c r="E156" s="90">
        <f t="shared" si="65"/>
        <v>3870800</v>
      </c>
      <c r="F156" s="91">
        <v>3870800</v>
      </c>
      <c r="G156" s="91"/>
      <c r="H156" s="91"/>
      <c r="I156" s="90">
        <f t="shared" si="64"/>
        <v>3604298.01</v>
      </c>
      <c r="J156" s="92">
        <v>3604298.01</v>
      </c>
      <c r="K156" s="92">
        <v>0</v>
      </c>
      <c r="L156" s="92">
        <v>0</v>
      </c>
      <c r="M156" s="43">
        <f t="shared" si="83"/>
        <v>93.115066911232816</v>
      </c>
      <c r="N156" s="43">
        <f t="shared" si="84"/>
        <v>93.115066911232816</v>
      </c>
      <c r="O156" s="43"/>
      <c r="P156" s="43"/>
      <c r="Q156" s="51"/>
      <c r="R156" s="56"/>
    </row>
    <row r="157" spans="1:18" s="46" customFormat="1" ht="37.5" x14ac:dyDescent="0.25">
      <c r="A157" s="21" t="s">
        <v>284</v>
      </c>
      <c r="B157" s="21" t="s">
        <v>10</v>
      </c>
      <c r="C157" s="21" t="s">
        <v>6</v>
      </c>
      <c r="D157" s="22" t="s">
        <v>104</v>
      </c>
      <c r="E157" s="90">
        <f t="shared" si="65"/>
        <v>230000</v>
      </c>
      <c r="F157" s="91">
        <v>230000</v>
      </c>
      <c r="G157" s="91"/>
      <c r="H157" s="91"/>
      <c r="I157" s="90">
        <f t="shared" si="64"/>
        <v>202380</v>
      </c>
      <c r="J157" s="92">
        <v>202380</v>
      </c>
      <c r="K157" s="92"/>
      <c r="L157" s="92"/>
      <c r="M157" s="43">
        <f t="shared" si="83"/>
        <v>87.991304347826087</v>
      </c>
      <c r="N157" s="43">
        <f t="shared" si="84"/>
        <v>87.991304347826087</v>
      </c>
      <c r="O157" s="43"/>
      <c r="P157" s="43"/>
      <c r="Q157" s="51"/>
      <c r="R157" s="56"/>
    </row>
    <row r="158" spans="1:18" s="46" customFormat="1" ht="37.5" x14ac:dyDescent="0.25">
      <c r="A158" s="25">
        <v>1512010</v>
      </c>
      <c r="B158" s="25">
        <v>2010</v>
      </c>
      <c r="C158" s="26" t="s">
        <v>32</v>
      </c>
      <c r="D158" s="22" t="s">
        <v>162</v>
      </c>
      <c r="E158" s="90">
        <f t="shared" si="65"/>
        <v>12254240.16</v>
      </c>
      <c r="F158" s="89"/>
      <c r="G158" s="91">
        <f>686000+11568240.16</f>
        <v>12254240.16</v>
      </c>
      <c r="H158" s="91">
        <f>686000+11568240.16</f>
        <v>12254240.16</v>
      </c>
      <c r="I158" s="90">
        <f t="shared" si="64"/>
        <v>10870577.360000001</v>
      </c>
      <c r="J158" s="92"/>
      <c r="K158" s="92">
        <f>507964.15+10362613.21</f>
        <v>10870577.360000001</v>
      </c>
      <c r="L158" s="92">
        <f>507964.15+10362613.21</f>
        <v>10870577.360000001</v>
      </c>
      <c r="M158" s="43">
        <f t="shared" si="83"/>
        <v>88.70870178865502</v>
      </c>
      <c r="N158" s="43"/>
      <c r="O158" s="43">
        <f t="shared" si="85"/>
        <v>88.70870178865502</v>
      </c>
      <c r="P158" s="43">
        <f t="shared" si="86"/>
        <v>88.70870178865502</v>
      </c>
      <c r="Q158" s="51"/>
      <c r="R158" s="56"/>
    </row>
    <row r="159" spans="1:18" s="46" customFormat="1" ht="56.25" x14ac:dyDescent="0.25">
      <c r="A159" s="27" t="s">
        <v>414</v>
      </c>
      <c r="B159" s="27" t="s">
        <v>415</v>
      </c>
      <c r="C159" s="27" t="s">
        <v>247</v>
      </c>
      <c r="D159" s="22" t="s">
        <v>248</v>
      </c>
      <c r="E159" s="90">
        <f t="shared" ref="E159" si="116">F159+G159</f>
        <v>450000</v>
      </c>
      <c r="F159" s="89"/>
      <c r="G159" s="91">
        <v>450000</v>
      </c>
      <c r="H159" s="91">
        <v>450000</v>
      </c>
      <c r="I159" s="90">
        <f t="shared" ref="I159" si="117">J159+K159</f>
        <v>443042.63</v>
      </c>
      <c r="J159" s="92"/>
      <c r="K159" s="92">
        <v>443042.63</v>
      </c>
      <c r="L159" s="92">
        <v>443042.63</v>
      </c>
      <c r="M159" s="43">
        <f t="shared" ref="M159" si="118">I159/E159*100</f>
        <v>98.453917777777775</v>
      </c>
      <c r="N159" s="43"/>
      <c r="O159" s="43">
        <f t="shared" ref="O159" si="119">K159/G159*100</f>
        <v>98.453917777777775</v>
      </c>
      <c r="P159" s="43">
        <f t="shared" ref="P159" si="120">L159/H159*100</f>
        <v>98.453917777777775</v>
      </c>
      <c r="Q159" s="51"/>
      <c r="R159" s="56"/>
    </row>
    <row r="160" spans="1:18" s="46" customFormat="1" ht="37.5" x14ac:dyDescent="0.25">
      <c r="A160" s="25">
        <v>1516011</v>
      </c>
      <c r="B160" s="25">
        <v>6011</v>
      </c>
      <c r="C160" s="26" t="s">
        <v>302</v>
      </c>
      <c r="D160" s="22" t="s">
        <v>101</v>
      </c>
      <c r="E160" s="90">
        <f t="shared" si="65"/>
        <v>8007811.7199999997</v>
      </c>
      <c r="F160" s="91"/>
      <c r="G160" s="91">
        <v>8007811.7199999997</v>
      </c>
      <c r="H160" s="91">
        <v>8007811.7199999997</v>
      </c>
      <c r="I160" s="90">
        <f t="shared" si="64"/>
        <v>7005255.71</v>
      </c>
      <c r="J160" s="92"/>
      <c r="K160" s="92">
        <v>7005255.71</v>
      </c>
      <c r="L160" s="92">
        <v>7005255.71</v>
      </c>
      <c r="M160" s="43">
        <f t="shared" si="83"/>
        <v>87.480274948322588</v>
      </c>
      <c r="N160" s="43"/>
      <c r="O160" s="43">
        <f t="shared" si="85"/>
        <v>87.480274948322588</v>
      </c>
      <c r="P160" s="43">
        <f t="shared" si="86"/>
        <v>87.480274948322588</v>
      </c>
      <c r="Q160" s="51"/>
      <c r="R160" s="56"/>
    </row>
    <row r="161" spans="1:18" s="46" customFormat="1" ht="56.25" x14ac:dyDescent="0.25">
      <c r="A161" s="21" t="s">
        <v>130</v>
      </c>
      <c r="B161" s="21" t="s">
        <v>129</v>
      </c>
      <c r="C161" s="21" t="s">
        <v>9</v>
      </c>
      <c r="D161" s="22" t="s">
        <v>131</v>
      </c>
      <c r="E161" s="90">
        <f t="shared" si="65"/>
        <v>18305250</v>
      </c>
      <c r="F161" s="91"/>
      <c r="G161" s="91">
        <v>18305250</v>
      </c>
      <c r="H161" s="91">
        <v>18305250</v>
      </c>
      <c r="I161" s="90">
        <f t="shared" si="64"/>
        <v>18213883.800000001</v>
      </c>
      <c r="J161" s="92"/>
      <c r="K161" s="92">
        <v>18213883.800000001</v>
      </c>
      <c r="L161" s="92">
        <v>18213883.800000001</v>
      </c>
      <c r="M161" s="43">
        <f t="shared" si="83"/>
        <v>99.500874339328888</v>
      </c>
      <c r="N161" s="43"/>
      <c r="O161" s="43">
        <f t="shared" si="85"/>
        <v>99.500874339328888</v>
      </c>
      <c r="P161" s="43">
        <f t="shared" si="86"/>
        <v>99.500874339328888</v>
      </c>
      <c r="Q161" s="51"/>
      <c r="R161" s="56"/>
    </row>
    <row r="162" spans="1:18" s="46" customFormat="1" ht="37.5" x14ac:dyDescent="0.25">
      <c r="A162" s="25">
        <v>1516013</v>
      </c>
      <c r="B162" s="25">
        <v>6013</v>
      </c>
      <c r="C162" s="27" t="s">
        <v>9</v>
      </c>
      <c r="D162" s="22" t="s">
        <v>102</v>
      </c>
      <c r="E162" s="90">
        <f t="shared" si="65"/>
        <v>27170100.75</v>
      </c>
      <c r="F162" s="91"/>
      <c r="G162" s="91">
        <f>25002214.75+2167886</f>
        <v>27170100.75</v>
      </c>
      <c r="H162" s="91">
        <f>25002214.75+2167886</f>
        <v>27170100.75</v>
      </c>
      <c r="I162" s="90">
        <f t="shared" si="64"/>
        <v>24067415</v>
      </c>
      <c r="J162" s="92"/>
      <c r="K162" s="92">
        <f>24041681.4+25733.6</f>
        <v>24067415</v>
      </c>
      <c r="L162" s="92">
        <f>K162</f>
        <v>24067415</v>
      </c>
      <c r="M162" s="43">
        <f t="shared" si="83"/>
        <v>88.580514372954624</v>
      </c>
      <c r="N162" s="43"/>
      <c r="O162" s="43">
        <f t="shared" si="85"/>
        <v>88.580514372954624</v>
      </c>
      <c r="P162" s="43">
        <f t="shared" si="86"/>
        <v>88.580514372954624</v>
      </c>
      <c r="Q162" s="51"/>
      <c r="R162" s="56"/>
    </row>
    <row r="163" spans="1:18" s="46" customFormat="1" ht="37.5" x14ac:dyDescent="0.25">
      <c r="A163" s="25">
        <v>1516015</v>
      </c>
      <c r="B163" s="21" t="s">
        <v>124</v>
      </c>
      <c r="C163" s="21" t="s">
        <v>9</v>
      </c>
      <c r="D163" s="22" t="s">
        <v>126</v>
      </c>
      <c r="E163" s="90">
        <f t="shared" si="65"/>
        <v>21668438.559999999</v>
      </c>
      <c r="F163" s="91"/>
      <c r="G163" s="91">
        <v>21668438.559999999</v>
      </c>
      <c r="H163" s="91">
        <v>21668438.559999999</v>
      </c>
      <c r="I163" s="90">
        <f t="shared" si="64"/>
        <v>4350226.4400000004</v>
      </c>
      <c r="J163" s="92"/>
      <c r="K163" s="92">
        <v>4350226.4400000004</v>
      </c>
      <c r="L163" s="92">
        <v>4350226.4400000004</v>
      </c>
      <c r="M163" s="43">
        <f t="shared" si="83"/>
        <v>20.076326348823912</v>
      </c>
      <c r="N163" s="43"/>
      <c r="O163" s="43">
        <f t="shared" si="85"/>
        <v>20.076326348823912</v>
      </c>
      <c r="P163" s="43">
        <f t="shared" si="86"/>
        <v>20.076326348823912</v>
      </c>
      <c r="Q163" s="51"/>
      <c r="R163" s="56"/>
    </row>
    <row r="164" spans="1:18" s="46" customFormat="1" ht="18.75" x14ac:dyDescent="0.25">
      <c r="A164" s="25">
        <v>1516030</v>
      </c>
      <c r="B164" s="25">
        <v>6030</v>
      </c>
      <c r="C164" s="21" t="s">
        <v>9</v>
      </c>
      <c r="D164" s="22" t="s">
        <v>251</v>
      </c>
      <c r="E164" s="90">
        <f t="shared" si="65"/>
        <v>8733898.0999999996</v>
      </c>
      <c r="F164" s="91"/>
      <c r="G164" s="91">
        <v>8733898.0999999996</v>
      </c>
      <c r="H164" s="91">
        <v>8733898.0999999996</v>
      </c>
      <c r="I164" s="90">
        <f t="shared" si="64"/>
        <v>8532105.0899999999</v>
      </c>
      <c r="J164" s="92"/>
      <c r="K164" s="92">
        <v>8532105.0899999999</v>
      </c>
      <c r="L164" s="92">
        <v>8532105.0899999999</v>
      </c>
      <c r="M164" s="43">
        <f t="shared" si="83"/>
        <v>97.689542427796354</v>
      </c>
      <c r="N164" s="43"/>
      <c r="O164" s="43">
        <f t="shared" si="85"/>
        <v>97.689542427796354</v>
      </c>
      <c r="P164" s="43">
        <f t="shared" si="86"/>
        <v>97.689542427796354</v>
      </c>
      <c r="Q164" s="51"/>
      <c r="R164" s="56"/>
    </row>
    <row r="165" spans="1:18" s="46" customFormat="1" ht="75" x14ac:dyDescent="0.25">
      <c r="A165" s="27" t="s">
        <v>326</v>
      </c>
      <c r="B165" s="27">
        <v>6050</v>
      </c>
      <c r="C165" s="27" t="s">
        <v>9</v>
      </c>
      <c r="D165" s="22" t="s">
        <v>327</v>
      </c>
      <c r="E165" s="90">
        <f t="shared" si="65"/>
        <v>555989.18000000005</v>
      </c>
      <c r="F165" s="91">
        <v>555989.18000000005</v>
      </c>
      <c r="G165" s="91"/>
      <c r="H165" s="91"/>
      <c r="I165" s="90">
        <f t="shared" si="64"/>
        <v>554889.15</v>
      </c>
      <c r="J165" s="92">
        <v>554889.15</v>
      </c>
      <c r="K165" s="92">
        <v>0</v>
      </c>
      <c r="L165" s="92">
        <v>0</v>
      </c>
      <c r="M165" s="43">
        <f t="shared" si="83"/>
        <v>99.802149027432506</v>
      </c>
      <c r="N165" s="43">
        <f t="shared" ref="N165" si="121">J165/F165*100</f>
        <v>99.802149027432506</v>
      </c>
      <c r="O165" s="43"/>
      <c r="P165" s="43"/>
      <c r="Q165" s="51"/>
      <c r="R165" s="56"/>
    </row>
    <row r="166" spans="1:18" s="46" customFormat="1" ht="37.5" x14ac:dyDescent="0.25">
      <c r="A166" s="25">
        <v>1517310</v>
      </c>
      <c r="B166" s="25">
        <v>7310</v>
      </c>
      <c r="C166" s="27" t="s">
        <v>132</v>
      </c>
      <c r="D166" s="22" t="s">
        <v>285</v>
      </c>
      <c r="E166" s="90">
        <f t="shared" si="65"/>
        <v>27592693</v>
      </c>
      <c r="F166" s="91"/>
      <c r="G166" s="91">
        <f t="shared" ref="G166:G171" si="122">H166</f>
        <v>27592693</v>
      </c>
      <c r="H166" s="91">
        <f>1447300+17055393+9090000</f>
        <v>27592693</v>
      </c>
      <c r="I166" s="90">
        <f t="shared" si="64"/>
        <v>20151864.039999999</v>
      </c>
      <c r="J166" s="92"/>
      <c r="K166" s="92">
        <f>L166</f>
        <v>20151864.039999999</v>
      </c>
      <c r="L166" s="92">
        <f>1430743.55+16871108.49+1850012</f>
        <v>20151864.039999999</v>
      </c>
      <c r="M166" s="43">
        <f t="shared" si="83"/>
        <v>73.033335455875942</v>
      </c>
      <c r="N166" s="43"/>
      <c r="O166" s="43">
        <f t="shared" si="85"/>
        <v>73.033335455875942</v>
      </c>
      <c r="P166" s="43">
        <f t="shared" si="86"/>
        <v>73.033335455875942</v>
      </c>
      <c r="Q166" s="51"/>
      <c r="R166" s="56"/>
    </row>
    <row r="167" spans="1:18" s="46" customFormat="1" ht="18.75" x14ac:dyDescent="0.25">
      <c r="A167" s="25">
        <v>1517321</v>
      </c>
      <c r="B167" s="25">
        <v>7321</v>
      </c>
      <c r="C167" s="27" t="s">
        <v>132</v>
      </c>
      <c r="D167" s="22" t="s">
        <v>286</v>
      </c>
      <c r="E167" s="90">
        <f t="shared" si="65"/>
        <v>835530.28</v>
      </c>
      <c r="F167" s="91"/>
      <c r="G167" s="91">
        <f t="shared" si="122"/>
        <v>835530.28</v>
      </c>
      <c r="H167" s="91">
        <v>835530.28</v>
      </c>
      <c r="I167" s="90">
        <f t="shared" si="64"/>
        <v>632871.19999999995</v>
      </c>
      <c r="J167" s="92"/>
      <c r="K167" s="92">
        <f>L167</f>
        <v>632871.19999999995</v>
      </c>
      <c r="L167" s="92">
        <v>632871.19999999995</v>
      </c>
      <c r="M167" s="43">
        <f t="shared" si="83"/>
        <v>75.744855111654346</v>
      </c>
      <c r="N167" s="43"/>
      <c r="O167" s="43">
        <f t="shared" si="85"/>
        <v>75.744855111654346</v>
      </c>
      <c r="P167" s="43">
        <f t="shared" si="86"/>
        <v>75.744855111654346</v>
      </c>
      <c r="Q167" s="51"/>
      <c r="R167" s="56"/>
    </row>
    <row r="168" spans="1:18" s="46" customFormat="1" ht="37.5" x14ac:dyDescent="0.25">
      <c r="A168" s="27" t="s">
        <v>416</v>
      </c>
      <c r="B168" s="27" t="s">
        <v>417</v>
      </c>
      <c r="C168" s="27" t="s">
        <v>23</v>
      </c>
      <c r="D168" s="22" t="s">
        <v>418</v>
      </c>
      <c r="E168" s="90">
        <f t="shared" ref="E168" si="123">F168+G168</f>
        <v>7661400</v>
      </c>
      <c r="F168" s="91"/>
      <c r="G168" s="91">
        <f t="shared" si="122"/>
        <v>7661400</v>
      </c>
      <c r="H168" s="91">
        <v>7661400</v>
      </c>
      <c r="I168" s="90">
        <f t="shared" ref="I168" si="124">J168+K168</f>
        <v>7411280.8700000001</v>
      </c>
      <c r="J168" s="92"/>
      <c r="K168" s="92">
        <f>L168</f>
        <v>7411280.8700000001</v>
      </c>
      <c r="L168" s="92">
        <v>7411280.8700000001</v>
      </c>
      <c r="M168" s="43">
        <f t="shared" ref="M168" si="125">I168/E168*100</f>
        <v>96.735333881536008</v>
      </c>
      <c r="N168" s="43"/>
      <c r="O168" s="43">
        <f t="shared" ref="O168" si="126">K168/G168*100</f>
        <v>96.735333881536008</v>
      </c>
      <c r="P168" s="43">
        <f t="shared" ref="P168" si="127">L168/H168*100</f>
        <v>96.735333881536008</v>
      </c>
      <c r="Q168" s="51"/>
      <c r="R168" s="56"/>
    </row>
    <row r="169" spans="1:18" s="46" customFormat="1" ht="37.5" x14ac:dyDescent="0.25">
      <c r="A169" s="25">
        <v>1517370</v>
      </c>
      <c r="B169" s="25">
        <v>7370</v>
      </c>
      <c r="C169" s="27" t="s">
        <v>23</v>
      </c>
      <c r="D169" s="22" t="s">
        <v>128</v>
      </c>
      <c r="E169" s="90">
        <f t="shared" ref="E169:E207" si="128">F169+G169</f>
        <v>9835474.7300000004</v>
      </c>
      <c r="F169" s="91"/>
      <c r="G169" s="91">
        <f t="shared" si="122"/>
        <v>9835474.7300000004</v>
      </c>
      <c r="H169" s="91">
        <f>245600+1639619.88+7950254.85</f>
        <v>9835474.7300000004</v>
      </c>
      <c r="I169" s="90">
        <f t="shared" si="64"/>
        <v>1734539.73</v>
      </c>
      <c r="J169" s="92">
        <v>0</v>
      </c>
      <c r="K169" s="92">
        <f>L169</f>
        <v>1734539.73</v>
      </c>
      <c r="L169" s="92">
        <f>245600+1203455.44+285484.29</f>
        <v>1734539.73</v>
      </c>
      <c r="M169" s="43">
        <f t="shared" ref="M169:M176" si="129">I169/E169*100</f>
        <v>17.635546606706598</v>
      </c>
      <c r="N169" s="43"/>
      <c r="O169" s="43">
        <f t="shared" si="85"/>
        <v>17.635546606706598</v>
      </c>
      <c r="P169" s="43">
        <f t="shared" si="86"/>
        <v>17.635546606706598</v>
      </c>
      <c r="Q169" s="51"/>
      <c r="R169" s="56"/>
    </row>
    <row r="170" spans="1:18" s="46" customFormat="1" ht="37.5" x14ac:dyDescent="0.25">
      <c r="A170" s="25">
        <v>1517390</v>
      </c>
      <c r="B170" s="25">
        <v>7390</v>
      </c>
      <c r="C170" s="27" t="s">
        <v>23</v>
      </c>
      <c r="D170" s="22" t="s">
        <v>287</v>
      </c>
      <c r="E170" s="90">
        <f t="shared" si="128"/>
        <v>385498.86</v>
      </c>
      <c r="F170" s="91"/>
      <c r="G170" s="91">
        <f t="shared" si="122"/>
        <v>385498.86</v>
      </c>
      <c r="H170" s="91">
        <v>385498.86</v>
      </c>
      <c r="I170" s="90">
        <f t="shared" ref="I170:I207" si="130">J170+K170</f>
        <v>385498.86</v>
      </c>
      <c r="J170" s="92"/>
      <c r="K170" s="92">
        <v>385498.86</v>
      </c>
      <c r="L170" s="92">
        <v>385498.86</v>
      </c>
      <c r="M170" s="43">
        <f t="shared" si="129"/>
        <v>100</v>
      </c>
      <c r="N170" s="43"/>
      <c r="O170" s="43">
        <f t="shared" si="85"/>
        <v>100</v>
      </c>
      <c r="P170" s="43">
        <f t="shared" si="86"/>
        <v>100</v>
      </c>
      <c r="Q170" s="51"/>
      <c r="R170" s="56"/>
    </row>
    <row r="171" spans="1:18" s="51" customFormat="1" ht="18.75" x14ac:dyDescent="0.25">
      <c r="A171" s="25">
        <v>1517640</v>
      </c>
      <c r="B171" s="25">
        <v>7640</v>
      </c>
      <c r="C171" s="27" t="s">
        <v>7</v>
      </c>
      <c r="D171" s="22" t="s">
        <v>8</v>
      </c>
      <c r="E171" s="90">
        <f t="shared" si="128"/>
        <v>17855043.949999999</v>
      </c>
      <c r="F171" s="91"/>
      <c r="G171" s="91">
        <f t="shared" si="122"/>
        <v>17855043.949999999</v>
      </c>
      <c r="H171" s="91">
        <v>17855043.949999999</v>
      </c>
      <c r="I171" s="90">
        <f t="shared" si="130"/>
        <v>9834244.5</v>
      </c>
      <c r="J171" s="98"/>
      <c r="K171" s="98">
        <f>L171</f>
        <v>9834244.5</v>
      </c>
      <c r="L171" s="98">
        <v>9834244.5</v>
      </c>
      <c r="M171" s="43">
        <f t="shared" si="129"/>
        <v>55.078243030591921</v>
      </c>
      <c r="N171" s="43"/>
      <c r="O171" s="43">
        <f t="shared" si="85"/>
        <v>55.078243030591921</v>
      </c>
      <c r="P171" s="43">
        <f t="shared" si="86"/>
        <v>55.078243030591921</v>
      </c>
      <c r="R171" s="56"/>
    </row>
    <row r="172" spans="1:18" s="51" customFormat="1" ht="168.75" x14ac:dyDescent="0.25">
      <c r="A172" s="25">
        <v>1517691</v>
      </c>
      <c r="B172" s="25">
        <v>7691</v>
      </c>
      <c r="C172" s="26" t="s">
        <v>23</v>
      </c>
      <c r="D172" s="22" t="s">
        <v>163</v>
      </c>
      <c r="E172" s="90">
        <f t="shared" si="128"/>
        <v>13342373.939999999</v>
      </c>
      <c r="F172" s="91"/>
      <c r="G172" s="91">
        <v>13342373.939999999</v>
      </c>
      <c r="H172" s="91"/>
      <c r="I172" s="90">
        <f t="shared" si="130"/>
        <v>0</v>
      </c>
      <c r="J172" s="98"/>
      <c r="K172" s="98">
        <v>0</v>
      </c>
      <c r="L172" s="98">
        <v>0</v>
      </c>
      <c r="M172" s="43">
        <f t="shared" si="129"/>
        <v>0</v>
      </c>
      <c r="N172" s="43"/>
      <c r="O172" s="43"/>
      <c r="P172" s="43"/>
      <c r="R172" s="56"/>
    </row>
    <row r="173" spans="1:18" s="46" customFormat="1" ht="56.25" x14ac:dyDescent="0.25">
      <c r="A173" s="26" t="s">
        <v>297</v>
      </c>
      <c r="B173" s="25">
        <v>8110</v>
      </c>
      <c r="C173" s="27" t="s">
        <v>5</v>
      </c>
      <c r="D173" s="22" t="s">
        <v>144</v>
      </c>
      <c r="E173" s="90">
        <f t="shared" si="128"/>
        <v>40274909.739999995</v>
      </c>
      <c r="F173" s="91"/>
      <c r="G173" s="91">
        <f>H173</f>
        <v>40274909.739999995</v>
      </c>
      <c r="H173" s="91">
        <f>7945700+32329209.74</f>
        <v>40274909.739999995</v>
      </c>
      <c r="I173" s="90">
        <f t="shared" si="130"/>
        <v>25245755.349999998</v>
      </c>
      <c r="J173" s="98"/>
      <c r="K173" s="98">
        <f>L173</f>
        <v>25245755.349999998</v>
      </c>
      <c r="L173" s="98">
        <f>22826.4+25222928.95</f>
        <v>25245755.349999998</v>
      </c>
      <c r="M173" s="43">
        <f t="shared" si="129"/>
        <v>62.683580206578512</v>
      </c>
      <c r="N173" s="43"/>
      <c r="O173" s="43">
        <f t="shared" si="85"/>
        <v>62.683580206578512</v>
      </c>
      <c r="P173" s="43">
        <f t="shared" si="86"/>
        <v>62.683580206578512</v>
      </c>
      <c r="Q173" s="51"/>
      <c r="R173" s="56"/>
    </row>
    <row r="174" spans="1:18" s="46" customFormat="1" ht="37.5" x14ac:dyDescent="0.25">
      <c r="A174" s="26" t="s">
        <v>308</v>
      </c>
      <c r="B174" s="25">
        <v>8311</v>
      </c>
      <c r="C174" s="27" t="s">
        <v>309</v>
      </c>
      <c r="D174" s="22" t="s">
        <v>310</v>
      </c>
      <c r="E174" s="90">
        <f t="shared" ref="E174" si="131">F174+G174</f>
        <v>42720</v>
      </c>
      <c r="F174" s="91"/>
      <c r="G174" s="91">
        <f>H174</f>
        <v>42720</v>
      </c>
      <c r="H174" s="91">
        <v>42720</v>
      </c>
      <c r="I174" s="90">
        <f t="shared" ref="I174" si="132">J174+K174</f>
        <v>42720</v>
      </c>
      <c r="J174" s="98"/>
      <c r="K174" s="98">
        <f>L174</f>
        <v>42720</v>
      </c>
      <c r="L174" s="98">
        <v>42720</v>
      </c>
      <c r="M174" s="43">
        <f t="shared" si="129"/>
        <v>100</v>
      </c>
      <c r="N174" s="43"/>
      <c r="O174" s="43">
        <f t="shared" si="85"/>
        <v>100</v>
      </c>
      <c r="P174" s="43">
        <f t="shared" si="86"/>
        <v>100</v>
      </c>
      <c r="Q174" s="51"/>
      <c r="R174" s="56"/>
    </row>
    <row r="175" spans="1:18" s="51" customFormat="1" ht="37.5" x14ac:dyDescent="0.25">
      <c r="A175" s="25">
        <v>1518340</v>
      </c>
      <c r="B175" s="21" t="s">
        <v>133</v>
      </c>
      <c r="C175" s="21" t="s">
        <v>43</v>
      </c>
      <c r="D175" s="22" t="s">
        <v>142</v>
      </c>
      <c r="E175" s="90">
        <f t="shared" si="128"/>
        <v>781825</v>
      </c>
      <c r="F175" s="91"/>
      <c r="G175" s="91">
        <v>781825</v>
      </c>
      <c r="H175" s="91"/>
      <c r="I175" s="90">
        <f t="shared" si="130"/>
        <v>615344.69999999995</v>
      </c>
      <c r="J175" s="92"/>
      <c r="K175" s="92">
        <v>615344.69999999995</v>
      </c>
      <c r="L175" s="92"/>
      <c r="M175" s="43">
        <f t="shared" si="129"/>
        <v>78.706193841332777</v>
      </c>
      <c r="N175" s="43"/>
      <c r="O175" s="43">
        <f t="shared" si="85"/>
        <v>78.706193841332777</v>
      </c>
      <c r="P175" s="43"/>
      <c r="R175" s="56"/>
    </row>
    <row r="176" spans="1:18" s="51" customFormat="1" ht="75" x14ac:dyDescent="0.25">
      <c r="A176" s="25">
        <v>1518742</v>
      </c>
      <c r="B176" s="27">
        <v>8742</v>
      </c>
      <c r="C176" s="27" t="s">
        <v>9</v>
      </c>
      <c r="D176" s="22" t="s">
        <v>370</v>
      </c>
      <c r="E176" s="90">
        <f t="shared" si="128"/>
        <v>4160951.47</v>
      </c>
      <c r="F176" s="91"/>
      <c r="G176" s="91">
        <f>H176</f>
        <v>4160951.47</v>
      </c>
      <c r="H176" s="91">
        <v>4160951.47</v>
      </c>
      <c r="I176" s="90">
        <f t="shared" si="130"/>
        <v>2966078.98</v>
      </c>
      <c r="J176" s="92"/>
      <c r="K176" s="92">
        <f>L176</f>
        <v>2966078.98</v>
      </c>
      <c r="L176" s="92">
        <v>2966078.98</v>
      </c>
      <c r="M176" s="43">
        <f t="shared" si="129"/>
        <v>71.283671568512659</v>
      </c>
      <c r="N176" s="43"/>
      <c r="O176" s="43">
        <f t="shared" ref="O176" si="133">K176/G176*100</f>
        <v>71.283671568512659</v>
      </c>
      <c r="P176" s="43">
        <f t="shared" ref="P176" si="134">L176/H176*100</f>
        <v>71.283671568512659</v>
      </c>
      <c r="R176" s="56"/>
    </row>
    <row r="177" spans="1:16" s="44" customFormat="1" ht="76.900000000000006" customHeight="1" x14ac:dyDescent="0.25">
      <c r="A177" s="19" t="s">
        <v>92</v>
      </c>
      <c r="B177" s="19" t="s">
        <v>242</v>
      </c>
      <c r="C177" s="19" t="s">
        <v>242</v>
      </c>
      <c r="D177" s="20" t="s">
        <v>288</v>
      </c>
      <c r="E177" s="88">
        <f t="shared" si="128"/>
        <v>25084050</v>
      </c>
      <c r="F177" s="89">
        <f>F178</f>
        <v>22958750</v>
      </c>
      <c r="G177" s="89">
        <f t="shared" ref="G177:H177" si="135">G178</f>
        <v>2125300</v>
      </c>
      <c r="H177" s="89">
        <f t="shared" si="135"/>
        <v>2125300</v>
      </c>
      <c r="I177" s="88">
        <f t="shared" si="130"/>
        <v>21374533.960000005</v>
      </c>
      <c r="J177" s="101">
        <f>J178</f>
        <v>19485126.730000004</v>
      </c>
      <c r="K177" s="101">
        <f>K178</f>
        <v>1889407.23</v>
      </c>
      <c r="L177" s="101">
        <f>L178</f>
        <v>1889407.23</v>
      </c>
      <c r="M177" s="40">
        <f t="shared" ref="M177:M222" si="136">I177/E177*100</f>
        <v>85.211654258383334</v>
      </c>
      <c r="N177" s="40">
        <f t="shared" ref="N177:N222" si="137">J177/F177*100</f>
        <v>84.870155082484914</v>
      </c>
      <c r="O177" s="40">
        <f t="shared" ref="O177:O184" si="138">K177/G177*100</f>
        <v>88.900730720368898</v>
      </c>
      <c r="P177" s="40">
        <f t="shared" ref="P177:P184" si="139">L177/H177*100</f>
        <v>88.900730720368898</v>
      </c>
    </row>
    <row r="178" spans="1:16" s="44" customFormat="1" ht="76.900000000000006" customHeight="1" x14ac:dyDescent="0.25">
      <c r="A178" s="19" t="s">
        <v>93</v>
      </c>
      <c r="B178" s="19" t="s">
        <v>242</v>
      </c>
      <c r="C178" s="19" t="s">
        <v>242</v>
      </c>
      <c r="D178" s="20" t="s">
        <v>288</v>
      </c>
      <c r="E178" s="88">
        <f t="shared" si="128"/>
        <v>25084050</v>
      </c>
      <c r="F178" s="89">
        <f t="shared" ref="F178:L178" si="140">SUM(F179:F186)</f>
        <v>22958750</v>
      </c>
      <c r="G178" s="89">
        <f t="shared" si="140"/>
        <v>2125300</v>
      </c>
      <c r="H178" s="89">
        <f t="shared" si="140"/>
        <v>2125300</v>
      </c>
      <c r="I178" s="89">
        <f t="shared" si="140"/>
        <v>21374533.960000001</v>
      </c>
      <c r="J178" s="89">
        <f t="shared" si="140"/>
        <v>19485126.730000004</v>
      </c>
      <c r="K178" s="89">
        <f t="shared" si="140"/>
        <v>1889407.23</v>
      </c>
      <c r="L178" s="89">
        <f t="shared" si="140"/>
        <v>1889407.23</v>
      </c>
      <c r="M178" s="40">
        <f t="shared" si="136"/>
        <v>85.211654258383319</v>
      </c>
      <c r="N178" s="40">
        <f t="shared" si="137"/>
        <v>84.870155082484914</v>
      </c>
      <c r="O178" s="40">
        <f t="shared" si="138"/>
        <v>88.900730720368898</v>
      </c>
      <c r="P178" s="40">
        <f t="shared" si="139"/>
        <v>88.900730720368898</v>
      </c>
    </row>
    <row r="179" spans="1:16" s="44" customFormat="1" ht="66" customHeight="1" x14ac:dyDescent="0.25">
      <c r="A179" s="21" t="s">
        <v>94</v>
      </c>
      <c r="B179" s="21" t="s">
        <v>57</v>
      </c>
      <c r="C179" s="21" t="s">
        <v>3</v>
      </c>
      <c r="D179" s="22" t="s">
        <v>259</v>
      </c>
      <c r="E179" s="90">
        <f t="shared" si="128"/>
        <v>3043300</v>
      </c>
      <c r="F179" s="91">
        <v>3013300</v>
      </c>
      <c r="G179" s="91">
        <v>30000</v>
      </c>
      <c r="H179" s="91">
        <v>30000</v>
      </c>
      <c r="I179" s="90">
        <f t="shared" si="130"/>
        <v>2968218.95</v>
      </c>
      <c r="J179" s="98">
        <v>2938218.95</v>
      </c>
      <c r="K179" s="98">
        <f>L179</f>
        <v>30000</v>
      </c>
      <c r="L179" s="98">
        <v>30000</v>
      </c>
      <c r="M179" s="43">
        <f t="shared" si="136"/>
        <v>97.532906713107494</v>
      </c>
      <c r="N179" s="43">
        <f t="shared" si="137"/>
        <v>97.508344671954333</v>
      </c>
      <c r="O179" s="43">
        <f t="shared" si="138"/>
        <v>100</v>
      </c>
      <c r="P179" s="43">
        <f t="shared" si="139"/>
        <v>100</v>
      </c>
    </row>
    <row r="180" spans="1:16" s="42" customFormat="1" ht="37.5" x14ac:dyDescent="0.25">
      <c r="A180" s="21" t="s">
        <v>103</v>
      </c>
      <c r="B180" s="21" t="s">
        <v>10</v>
      </c>
      <c r="C180" s="21" t="s">
        <v>6</v>
      </c>
      <c r="D180" s="22" t="s">
        <v>104</v>
      </c>
      <c r="E180" s="90">
        <f t="shared" si="128"/>
        <v>149000</v>
      </c>
      <c r="F180" s="91">
        <v>149000</v>
      </c>
      <c r="G180" s="91"/>
      <c r="H180" s="91"/>
      <c r="I180" s="90">
        <f t="shared" si="130"/>
        <v>30537.279999999999</v>
      </c>
      <c r="J180" s="98">
        <v>30537.279999999999</v>
      </c>
      <c r="K180" s="98"/>
      <c r="L180" s="98"/>
      <c r="M180" s="43">
        <f t="shared" si="136"/>
        <v>20.494818791946308</v>
      </c>
      <c r="N180" s="43">
        <f t="shared" si="137"/>
        <v>20.494818791946308</v>
      </c>
      <c r="O180" s="43"/>
      <c r="P180" s="43"/>
    </row>
    <row r="181" spans="1:16" s="42" customFormat="1" ht="56.25" x14ac:dyDescent="0.25">
      <c r="A181" s="21" t="s">
        <v>194</v>
      </c>
      <c r="B181" s="21" t="s">
        <v>161</v>
      </c>
      <c r="C181" s="21" t="s">
        <v>9</v>
      </c>
      <c r="D181" s="22" t="s">
        <v>281</v>
      </c>
      <c r="E181" s="90">
        <f t="shared" si="128"/>
        <v>130000</v>
      </c>
      <c r="F181" s="91">
        <v>130000</v>
      </c>
      <c r="G181" s="91"/>
      <c r="H181" s="91"/>
      <c r="I181" s="90">
        <f t="shared" si="130"/>
        <v>128437.21</v>
      </c>
      <c r="J181" s="98">
        <v>128437.21</v>
      </c>
      <c r="K181" s="98"/>
      <c r="L181" s="98"/>
      <c r="M181" s="43">
        <f t="shared" si="136"/>
        <v>98.797853846153856</v>
      </c>
      <c r="N181" s="43">
        <f t="shared" si="137"/>
        <v>98.797853846153856</v>
      </c>
      <c r="O181" s="43"/>
      <c r="P181" s="43"/>
    </row>
    <row r="182" spans="1:16" s="42" customFormat="1" ht="18.75" x14ac:dyDescent="0.25">
      <c r="A182" s="21" t="s">
        <v>328</v>
      </c>
      <c r="B182" s="21" t="s">
        <v>329</v>
      </c>
      <c r="C182" s="21" t="s">
        <v>330</v>
      </c>
      <c r="D182" s="22" t="s">
        <v>331</v>
      </c>
      <c r="E182" s="90">
        <f t="shared" si="128"/>
        <v>100000</v>
      </c>
      <c r="F182" s="91">
        <v>100000</v>
      </c>
      <c r="G182" s="91"/>
      <c r="H182" s="91"/>
      <c r="I182" s="90">
        <f t="shared" si="130"/>
        <v>94000</v>
      </c>
      <c r="J182" s="98">
        <v>94000</v>
      </c>
      <c r="K182" s="98"/>
      <c r="L182" s="98"/>
      <c r="M182" s="43">
        <f t="shared" si="136"/>
        <v>94</v>
      </c>
      <c r="N182" s="43">
        <f t="shared" si="137"/>
        <v>94</v>
      </c>
      <c r="O182" s="43"/>
      <c r="P182" s="43"/>
    </row>
    <row r="183" spans="1:16" s="42" customFormat="1" ht="37.5" x14ac:dyDescent="0.25">
      <c r="A183" s="25">
        <v>3117350</v>
      </c>
      <c r="B183" s="25">
        <v>7350</v>
      </c>
      <c r="C183" s="26" t="s">
        <v>132</v>
      </c>
      <c r="D183" s="22" t="s">
        <v>356</v>
      </c>
      <c r="E183" s="90">
        <f t="shared" si="128"/>
        <v>1500000</v>
      </c>
      <c r="F183" s="91">
        <v>1500000</v>
      </c>
      <c r="G183" s="91"/>
      <c r="H183" s="91"/>
      <c r="I183" s="90">
        <f t="shared" si="130"/>
        <v>1414343.89</v>
      </c>
      <c r="J183" s="98">
        <v>1414343.89</v>
      </c>
      <c r="K183" s="98"/>
      <c r="L183" s="98"/>
      <c r="M183" s="43">
        <f t="shared" si="136"/>
        <v>94.28959266666665</v>
      </c>
      <c r="N183" s="43">
        <f t="shared" si="137"/>
        <v>94.28959266666665</v>
      </c>
      <c r="O183" s="43"/>
      <c r="P183" s="43"/>
    </row>
    <row r="184" spans="1:16" s="44" customFormat="1" ht="37.5" x14ac:dyDescent="0.25">
      <c r="A184" s="21" t="s">
        <v>182</v>
      </c>
      <c r="B184" s="21" t="s">
        <v>143</v>
      </c>
      <c r="C184" s="21" t="s">
        <v>23</v>
      </c>
      <c r="D184" s="22" t="s">
        <v>282</v>
      </c>
      <c r="E184" s="90">
        <f t="shared" si="128"/>
        <v>19993150</v>
      </c>
      <c r="F184" s="91">
        <f>1453850+476400+230000+15737600</f>
        <v>17897850</v>
      </c>
      <c r="G184" s="91">
        <f>H184</f>
        <v>2095300</v>
      </c>
      <c r="H184" s="91">
        <f>85300+2010000</f>
        <v>2095300</v>
      </c>
      <c r="I184" s="90">
        <f t="shared" si="130"/>
        <v>16605988.82</v>
      </c>
      <c r="J184" s="98">
        <f>1452837.67+476332.69+218752.3+12598658.93</f>
        <v>14746581.59</v>
      </c>
      <c r="K184" s="98">
        <f>L184</f>
        <v>1859407.23</v>
      </c>
      <c r="L184" s="98">
        <f>85300+1774107.23</f>
        <v>1859407.23</v>
      </c>
      <c r="M184" s="43">
        <f t="shared" si="136"/>
        <v>83.0583915991227</v>
      </c>
      <c r="N184" s="43">
        <f t="shared" si="137"/>
        <v>82.393033744276551</v>
      </c>
      <c r="O184" s="43">
        <f t="shared" si="138"/>
        <v>88.741814060039133</v>
      </c>
      <c r="P184" s="43">
        <f t="shared" si="139"/>
        <v>88.741814060039133</v>
      </c>
    </row>
    <row r="185" spans="1:16" s="44" customFormat="1" ht="56.25" x14ac:dyDescent="0.25">
      <c r="A185" s="26" t="s">
        <v>307</v>
      </c>
      <c r="B185" s="25">
        <v>8110</v>
      </c>
      <c r="C185" s="27" t="s">
        <v>5</v>
      </c>
      <c r="D185" s="22" t="s">
        <v>144</v>
      </c>
      <c r="E185" s="90">
        <f t="shared" si="128"/>
        <v>38600</v>
      </c>
      <c r="F185" s="91">
        <f>20600+18000</f>
        <v>38600</v>
      </c>
      <c r="G185" s="91"/>
      <c r="H185" s="91"/>
      <c r="I185" s="90">
        <f t="shared" si="130"/>
        <v>23757.599999999999</v>
      </c>
      <c r="J185" s="98">
        <f>17076+6681.6</f>
        <v>23757.599999999999</v>
      </c>
      <c r="K185" s="98"/>
      <c r="L185" s="98"/>
      <c r="M185" s="43">
        <f t="shared" si="136"/>
        <v>61.548186528497403</v>
      </c>
      <c r="N185" s="43">
        <f t="shared" si="137"/>
        <v>61.548186528497403</v>
      </c>
      <c r="O185" s="43"/>
      <c r="P185" s="43"/>
    </row>
    <row r="186" spans="1:16" s="58" customFormat="1" ht="18.75" x14ac:dyDescent="0.25">
      <c r="A186" s="27" t="s">
        <v>296</v>
      </c>
      <c r="B186" s="27" t="s">
        <v>257</v>
      </c>
      <c r="C186" s="27" t="s">
        <v>167</v>
      </c>
      <c r="D186" s="28" t="s">
        <v>258</v>
      </c>
      <c r="E186" s="90">
        <f t="shared" si="128"/>
        <v>130000</v>
      </c>
      <c r="F186" s="91">
        <v>130000</v>
      </c>
      <c r="G186" s="91"/>
      <c r="H186" s="91"/>
      <c r="I186" s="90">
        <f t="shared" si="130"/>
        <v>109250.21</v>
      </c>
      <c r="J186" s="100">
        <v>109250.21</v>
      </c>
      <c r="K186" s="100"/>
      <c r="L186" s="100"/>
      <c r="M186" s="43">
        <f t="shared" si="136"/>
        <v>84.038623076923074</v>
      </c>
      <c r="N186" s="43">
        <f t="shared" si="137"/>
        <v>84.038623076923074</v>
      </c>
      <c r="O186" s="43"/>
      <c r="P186" s="43"/>
    </row>
    <row r="187" spans="1:16" s="58" customFormat="1" ht="56.25" x14ac:dyDescent="0.25">
      <c r="A187" s="19" t="s">
        <v>95</v>
      </c>
      <c r="B187" s="19" t="s">
        <v>242</v>
      </c>
      <c r="C187" s="19" t="s">
        <v>242</v>
      </c>
      <c r="D187" s="20" t="s">
        <v>289</v>
      </c>
      <c r="E187" s="88">
        <f t="shared" si="128"/>
        <v>108482560.55</v>
      </c>
      <c r="F187" s="89">
        <f>F188</f>
        <v>80912140.549999997</v>
      </c>
      <c r="G187" s="89">
        <f t="shared" ref="G187:H187" si="141">G188</f>
        <v>27570420</v>
      </c>
      <c r="H187" s="89">
        <f t="shared" si="141"/>
        <v>27570420</v>
      </c>
      <c r="I187" s="102">
        <f t="shared" si="130"/>
        <v>101558782.90000001</v>
      </c>
      <c r="J187" s="89">
        <f t="shared" ref="J187:L187" si="142">J188</f>
        <v>74153544.620000005</v>
      </c>
      <c r="K187" s="89">
        <f t="shared" si="142"/>
        <v>27405238.280000001</v>
      </c>
      <c r="L187" s="89">
        <f t="shared" si="142"/>
        <v>27404279.280000001</v>
      </c>
      <c r="M187" s="40">
        <f t="shared" si="136"/>
        <v>93.617612255004985</v>
      </c>
      <c r="N187" s="40">
        <f t="shared" si="137"/>
        <v>91.646994030736977</v>
      </c>
      <c r="O187" s="40">
        <f t="shared" ref="O187:P222" si="143">K187/G187*100</f>
        <v>99.400873399824889</v>
      </c>
      <c r="P187" s="40">
        <f t="shared" ref="P187:P222" si="144">L187/H187*100</f>
        <v>99.397395034243232</v>
      </c>
    </row>
    <row r="188" spans="1:16" s="58" customFormat="1" ht="56.25" x14ac:dyDescent="0.25">
      <c r="A188" s="19" t="s">
        <v>96</v>
      </c>
      <c r="B188" s="19" t="s">
        <v>242</v>
      </c>
      <c r="C188" s="19" t="s">
        <v>242</v>
      </c>
      <c r="D188" s="20" t="s">
        <v>289</v>
      </c>
      <c r="E188" s="88">
        <f t="shared" si="128"/>
        <v>108482560.55</v>
      </c>
      <c r="F188" s="89">
        <f>F189+F190+F191+F192+F193+F200</f>
        <v>80912140.549999997</v>
      </c>
      <c r="G188" s="89">
        <f>G189+G190+G191+G192+G193+G200</f>
        <v>27570420</v>
      </c>
      <c r="H188" s="89">
        <f>H189+H190+H191+H192+H193+H200</f>
        <v>27570420</v>
      </c>
      <c r="I188" s="102">
        <f t="shared" si="130"/>
        <v>101558782.90000001</v>
      </c>
      <c r="J188" s="89">
        <f>J189+J190+J191+J192+J193+J200</f>
        <v>74153544.620000005</v>
      </c>
      <c r="K188" s="89">
        <f>K189+K190+K191+K192+K193+K200</f>
        <v>27405238.280000001</v>
      </c>
      <c r="L188" s="89">
        <f>L189+L190+L191+L192+L193+L200</f>
        <v>27404279.280000001</v>
      </c>
      <c r="M188" s="40">
        <f t="shared" si="136"/>
        <v>93.617612255004985</v>
      </c>
      <c r="N188" s="40">
        <f t="shared" si="137"/>
        <v>91.646994030736977</v>
      </c>
      <c r="O188" s="40">
        <f t="shared" si="143"/>
        <v>99.400873399824889</v>
      </c>
      <c r="P188" s="40">
        <f t="shared" si="144"/>
        <v>99.397395034243232</v>
      </c>
    </row>
    <row r="189" spans="1:16" s="58" customFormat="1" ht="56.25" x14ac:dyDescent="0.25">
      <c r="A189" s="21" t="s">
        <v>97</v>
      </c>
      <c r="B189" s="21" t="s">
        <v>57</v>
      </c>
      <c r="C189" s="21" t="s">
        <v>3</v>
      </c>
      <c r="D189" s="22" t="s">
        <v>259</v>
      </c>
      <c r="E189" s="90">
        <f t="shared" si="128"/>
        <v>5142100</v>
      </c>
      <c r="F189" s="91">
        <v>5041600</v>
      </c>
      <c r="G189" s="91">
        <v>100500</v>
      </c>
      <c r="H189" s="91">
        <v>100500</v>
      </c>
      <c r="I189" s="90">
        <f t="shared" ref="I189" si="145">J189+K189</f>
        <v>5123511.6100000003</v>
      </c>
      <c r="J189" s="98">
        <v>5028372.6100000003</v>
      </c>
      <c r="K189" s="98">
        <f>94180+959</f>
        <v>95139</v>
      </c>
      <c r="L189" s="98">
        <v>94180</v>
      </c>
      <c r="M189" s="43">
        <f t="shared" si="136"/>
        <v>99.638505863363221</v>
      </c>
      <c r="N189" s="43">
        <f t="shared" si="137"/>
        <v>99.737635076166299</v>
      </c>
      <c r="O189" s="43">
        <f t="shared" ref="O189" si="146">K189/G189*100</f>
        <v>94.66567164179105</v>
      </c>
      <c r="P189" s="43">
        <f t="shared" si="144"/>
        <v>93.711442786069654</v>
      </c>
    </row>
    <row r="190" spans="1:16" s="44" customFormat="1" ht="37.5" x14ac:dyDescent="0.25">
      <c r="A190" s="21" t="s">
        <v>105</v>
      </c>
      <c r="B190" s="21" t="s">
        <v>10</v>
      </c>
      <c r="C190" s="21" t="s">
        <v>6</v>
      </c>
      <c r="D190" s="22" t="s">
        <v>104</v>
      </c>
      <c r="E190" s="90">
        <f t="shared" si="128"/>
        <v>44500</v>
      </c>
      <c r="F190" s="91">
        <v>44500</v>
      </c>
      <c r="G190" s="91"/>
      <c r="H190" s="91"/>
      <c r="I190" s="90">
        <f t="shared" si="130"/>
        <v>44408</v>
      </c>
      <c r="J190" s="98">
        <v>44408</v>
      </c>
      <c r="K190" s="98"/>
      <c r="L190" s="98"/>
      <c r="M190" s="43">
        <f t="shared" si="136"/>
        <v>99.79325842696629</v>
      </c>
      <c r="N190" s="43">
        <f t="shared" si="137"/>
        <v>99.79325842696629</v>
      </c>
      <c r="O190" s="43"/>
      <c r="P190" s="43"/>
    </row>
    <row r="191" spans="1:16" s="44" customFormat="1" ht="18.75" x14ac:dyDescent="0.25">
      <c r="A191" s="21" t="s">
        <v>221</v>
      </c>
      <c r="B191" s="21" t="s">
        <v>222</v>
      </c>
      <c r="C191" s="21" t="s">
        <v>6</v>
      </c>
      <c r="D191" s="22" t="s">
        <v>290</v>
      </c>
      <c r="E191" s="90">
        <f t="shared" si="128"/>
        <v>6715561.5499999998</v>
      </c>
      <c r="F191" s="91">
        <v>6715561.5499999998</v>
      </c>
      <c r="G191" s="91"/>
      <c r="H191" s="91"/>
      <c r="I191" s="90">
        <f t="shared" si="130"/>
        <v>0</v>
      </c>
      <c r="J191" s="98">
        <v>0</v>
      </c>
      <c r="K191" s="98"/>
      <c r="L191" s="98"/>
      <c r="M191" s="43">
        <f t="shared" si="136"/>
        <v>0</v>
      </c>
      <c r="N191" s="43">
        <f t="shared" si="137"/>
        <v>0</v>
      </c>
      <c r="O191" s="43"/>
      <c r="P191" s="43"/>
    </row>
    <row r="192" spans="1:16" s="58" customFormat="1" ht="18.75" x14ac:dyDescent="0.25">
      <c r="A192" s="21" t="s">
        <v>107</v>
      </c>
      <c r="B192" s="21" t="s">
        <v>106</v>
      </c>
      <c r="C192" s="21" t="s">
        <v>10</v>
      </c>
      <c r="D192" s="22" t="s">
        <v>2</v>
      </c>
      <c r="E192" s="90">
        <f t="shared" si="128"/>
        <v>10294700</v>
      </c>
      <c r="F192" s="91">
        <v>10294700</v>
      </c>
      <c r="G192" s="91"/>
      <c r="H192" s="91"/>
      <c r="I192" s="90">
        <f t="shared" si="130"/>
        <v>10294700</v>
      </c>
      <c r="J192" s="98">
        <v>10294700</v>
      </c>
      <c r="K192" s="100"/>
      <c r="L192" s="100"/>
      <c r="M192" s="43">
        <f t="shared" si="136"/>
        <v>100</v>
      </c>
      <c r="N192" s="43">
        <f t="shared" si="137"/>
        <v>100</v>
      </c>
      <c r="O192" s="43"/>
      <c r="P192" s="43"/>
    </row>
    <row r="193" spans="1:16" s="58" customFormat="1" ht="18.75" x14ac:dyDescent="0.25">
      <c r="A193" s="25">
        <v>3719770</v>
      </c>
      <c r="B193" s="33">
        <v>9770</v>
      </c>
      <c r="C193" s="27" t="s">
        <v>10</v>
      </c>
      <c r="D193" s="59" t="s">
        <v>165</v>
      </c>
      <c r="E193" s="90">
        <f t="shared" si="128"/>
        <v>36120000</v>
      </c>
      <c r="F193" s="91">
        <v>35120000</v>
      </c>
      <c r="G193" s="91">
        <v>1000000</v>
      </c>
      <c r="H193" s="91">
        <v>1000000</v>
      </c>
      <c r="I193" s="90">
        <f t="shared" si="130"/>
        <v>36120000</v>
      </c>
      <c r="J193" s="98">
        <v>35120000</v>
      </c>
      <c r="K193" s="98">
        <f>K195+K196</f>
        <v>1000000</v>
      </c>
      <c r="L193" s="98">
        <v>1000000</v>
      </c>
      <c r="M193" s="43">
        <f t="shared" si="136"/>
        <v>100</v>
      </c>
      <c r="N193" s="43">
        <f t="shared" si="137"/>
        <v>100</v>
      </c>
      <c r="O193" s="43">
        <f t="shared" ref="O193" si="147">K193/G193*100</f>
        <v>100</v>
      </c>
      <c r="P193" s="43">
        <f t="shared" ref="P193" si="148">L193/H193*100</f>
        <v>100</v>
      </c>
    </row>
    <row r="194" spans="1:16" s="58" customFormat="1" ht="18.75" x14ac:dyDescent="0.25">
      <c r="A194" s="21"/>
      <c r="B194" s="33"/>
      <c r="C194" s="27"/>
      <c r="D194" s="22" t="s">
        <v>420</v>
      </c>
      <c r="E194" s="90">
        <f t="shared" si="128"/>
        <v>0</v>
      </c>
      <c r="F194" s="91"/>
      <c r="G194" s="91"/>
      <c r="H194" s="91"/>
      <c r="I194" s="93"/>
      <c r="J194" s="100"/>
      <c r="K194" s="100"/>
      <c r="L194" s="100"/>
      <c r="M194" s="43"/>
      <c r="N194" s="43"/>
      <c r="O194" s="43"/>
      <c r="P194" s="43"/>
    </row>
    <row r="195" spans="1:16" s="77" customFormat="1" ht="168.6" customHeight="1" x14ac:dyDescent="0.25">
      <c r="A195" s="23"/>
      <c r="B195" s="23"/>
      <c r="C195" s="34"/>
      <c r="D195" s="24" t="s">
        <v>421</v>
      </c>
      <c r="E195" s="103">
        <f t="shared" si="128"/>
        <v>2420000</v>
      </c>
      <c r="F195" s="104">
        <v>1420000</v>
      </c>
      <c r="G195" s="104">
        <v>1000000</v>
      </c>
      <c r="H195" s="104">
        <v>1000000</v>
      </c>
      <c r="I195" s="103">
        <f t="shared" si="130"/>
        <v>2420000</v>
      </c>
      <c r="J195" s="104">
        <f>980000+440000</f>
        <v>1420000</v>
      </c>
      <c r="K195" s="104">
        <v>1000000</v>
      </c>
      <c r="L195" s="104">
        <v>1000000</v>
      </c>
      <c r="M195" s="76">
        <f t="shared" si="136"/>
        <v>100</v>
      </c>
      <c r="N195" s="76">
        <f t="shared" si="137"/>
        <v>100</v>
      </c>
      <c r="O195" s="76">
        <f t="shared" ref="O195" si="149">K195/G195*100</f>
        <v>100</v>
      </c>
      <c r="P195" s="76">
        <f t="shared" ref="P195" si="150">L195/H195*100</f>
        <v>100</v>
      </c>
    </row>
    <row r="196" spans="1:16" s="77" customFormat="1" ht="37.5" x14ac:dyDescent="0.25">
      <c r="A196" s="23"/>
      <c r="B196" s="23"/>
      <c r="C196" s="34"/>
      <c r="D196" s="24" t="s">
        <v>332</v>
      </c>
      <c r="E196" s="103">
        <f t="shared" si="128"/>
        <v>200000</v>
      </c>
      <c r="F196" s="104">
        <v>200000</v>
      </c>
      <c r="G196" s="104"/>
      <c r="H196" s="104"/>
      <c r="I196" s="103">
        <f t="shared" si="130"/>
        <v>200000</v>
      </c>
      <c r="J196" s="104">
        <v>200000</v>
      </c>
      <c r="K196" s="104"/>
      <c r="L196" s="104"/>
      <c r="M196" s="76">
        <f t="shared" si="136"/>
        <v>100</v>
      </c>
      <c r="N196" s="76">
        <f t="shared" si="137"/>
        <v>100</v>
      </c>
      <c r="O196" s="76"/>
      <c r="P196" s="76"/>
    </row>
    <row r="197" spans="1:16" s="77" customFormat="1" ht="37.5" x14ac:dyDescent="0.25">
      <c r="A197" s="23"/>
      <c r="B197" s="23"/>
      <c r="C197" s="34"/>
      <c r="D197" s="24" t="s">
        <v>357</v>
      </c>
      <c r="E197" s="103">
        <f t="shared" si="128"/>
        <v>500000</v>
      </c>
      <c r="F197" s="104">
        <v>500000</v>
      </c>
      <c r="G197" s="104"/>
      <c r="H197" s="104"/>
      <c r="I197" s="103">
        <f t="shared" si="130"/>
        <v>500000</v>
      </c>
      <c r="J197" s="104">
        <v>500000</v>
      </c>
      <c r="K197" s="104"/>
      <c r="L197" s="104"/>
      <c r="M197" s="76">
        <f t="shared" si="136"/>
        <v>100</v>
      </c>
      <c r="N197" s="76">
        <f t="shared" si="137"/>
        <v>100</v>
      </c>
      <c r="O197" s="76"/>
      <c r="P197" s="76"/>
    </row>
    <row r="198" spans="1:16" s="77" customFormat="1" ht="37.5" x14ac:dyDescent="0.25">
      <c r="A198" s="23"/>
      <c r="B198" s="23"/>
      <c r="C198" s="34"/>
      <c r="D198" s="24" t="s">
        <v>358</v>
      </c>
      <c r="E198" s="103">
        <f t="shared" si="128"/>
        <v>200000</v>
      </c>
      <c r="F198" s="104">
        <v>200000</v>
      </c>
      <c r="G198" s="104"/>
      <c r="H198" s="104"/>
      <c r="I198" s="103">
        <f t="shared" si="130"/>
        <v>200000</v>
      </c>
      <c r="J198" s="104">
        <v>200000</v>
      </c>
      <c r="K198" s="104"/>
      <c r="L198" s="104"/>
      <c r="M198" s="76">
        <f t="shared" si="136"/>
        <v>100</v>
      </c>
      <c r="N198" s="76">
        <f t="shared" si="137"/>
        <v>100</v>
      </c>
      <c r="O198" s="76"/>
      <c r="P198" s="76"/>
    </row>
    <row r="199" spans="1:16" s="77" customFormat="1" ht="37.5" x14ac:dyDescent="0.25">
      <c r="A199" s="23"/>
      <c r="B199" s="23"/>
      <c r="C199" s="34"/>
      <c r="D199" s="24" t="s">
        <v>377</v>
      </c>
      <c r="E199" s="103">
        <f t="shared" si="128"/>
        <v>32800000</v>
      </c>
      <c r="F199" s="104">
        <f>18000000+14800000</f>
        <v>32800000</v>
      </c>
      <c r="G199" s="104"/>
      <c r="H199" s="104"/>
      <c r="I199" s="103">
        <f t="shared" si="130"/>
        <v>32800000</v>
      </c>
      <c r="J199" s="104">
        <f>18000000+14800000</f>
        <v>32800000</v>
      </c>
      <c r="K199" s="104"/>
      <c r="L199" s="104"/>
      <c r="M199" s="76">
        <f t="shared" si="136"/>
        <v>100</v>
      </c>
      <c r="N199" s="76">
        <f t="shared" si="137"/>
        <v>100</v>
      </c>
      <c r="O199" s="76"/>
      <c r="P199" s="76"/>
    </row>
    <row r="200" spans="1:16" s="77" customFormat="1" ht="75" x14ac:dyDescent="0.25">
      <c r="A200" s="25">
        <v>3719800</v>
      </c>
      <c r="B200" s="25">
        <v>9800</v>
      </c>
      <c r="C200" s="27" t="s">
        <v>10</v>
      </c>
      <c r="D200" s="22" t="s">
        <v>241</v>
      </c>
      <c r="E200" s="105">
        <f t="shared" si="128"/>
        <v>50165699</v>
      </c>
      <c r="F200" s="106">
        <v>23695779</v>
      </c>
      <c r="G200" s="106">
        <v>26469920</v>
      </c>
      <c r="H200" s="106">
        <v>26469920</v>
      </c>
      <c r="I200" s="106">
        <f>SUM(I202:I210)</f>
        <v>49976163.280000001</v>
      </c>
      <c r="J200" s="106">
        <v>23666064.010000002</v>
      </c>
      <c r="K200" s="106">
        <f>SUM(K202:K210)</f>
        <v>26310099.280000001</v>
      </c>
      <c r="L200" s="106">
        <f>SUM(L202:L210)</f>
        <v>26310099.280000001</v>
      </c>
      <c r="M200" s="76">
        <f t="shared" si="136"/>
        <v>99.622180645783487</v>
      </c>
      <c r="N200" s="76">
        <f t="shared" si="137"/>
        <v>99.874597961096782</v>
      </c>
      <c r="O200" s="76">
        <f t="shared" si="143"/>
        <v>99.396217593404131</v>
      </c>
      <c r="P200" s="76">
        <f t="shared" si="143"/>
        <v>99.396217593404131</v>
      </c>
    </row>
    <row r="201" spans="1:16" s="77" customFormat="1" ht="18.75" x14ac:dyDescent="0.25">
      <c r="A201" s="25"/>
      <c r="B201" s="25"/>
      <c r="C201" s="27"/>
      <c r="D201" s="22" t="s">
        <v>164</v>
      </c>
      <c r="E201" s="105"/>
      <c r="F201" s="106"/>
      <c r="G201" s="106"/>
      <c r="H201" s="106"/>
      <c r="I201" s="103"/>
      <c r="J201" s="104"/>
      <c r="K201" s="104"/>
      <c r="L201" s="104"/>
      <c r="M201" s="76"/>
      <c r="N201" s="76"/>
      <c r="O201" s="76"/>
      <c r="P201" s="76"/>
    </row>
    <row r="202" spans="1:16" s="77" customFormat="1" ht="75" x14ac:dyDescent="0.25">
      <c r="A202" s="25"/>
      <c r="B202" s="25"/>
      <c r="C202" s="27"/>
      <c r="D202" s="78" t="s">
        <v>291</v>
      </c>
      <c r="E202" s="103">
        <f t="shared" si="128"/>
        <v>2212000</v>
      </c>
      <c r="F202" s="104">
        <v>1846750</v>
      </c>
      <c r="G202" s="104">
        <v>365250</v>
      </c>
      <c r="H202" s="104">
        <v>365250</v>
      </c>
      <c r="I202" s="103">
        <f t="shared" si="130"/>
        <v>2211749.4</v>
      </c>
      <c r="J202" s="104">
        <v>1846499.4</v>
      </c>
      <c r="K202" s="104">
        <v>365250</v>
      </c>
      <c r="L202" s="104">
        <v>365250</v>
      </c>
      <c r="M202" s="76">
        <f t="shared" si="136"/>
        <v>99.988670886075951</v>
      </c>
      <c r="N202" s="76">
        <f t="shared" si="137"/>
        <v>99.98643021524299</v>
      </c>
      <c r="O202" s="76">
        <f t="shared" si="143"/>
        <v>100</v>
      </c>
      <c r="P202" s="76">
        <f t="shared" si="144"/>
        <v>100</v>
      </c>
    </row>
    <row r="203" spans="1:16" s="79" customFormat="1" ht="116.45" customHeight="1" x14ac:dyDescent="0.25">
      <c r="A203" s="35"/>
      <c r="B203" s="35"/>
      <c r="C203" s="34"/>
      <c r="D203" s="23" t="s">
        <v>333</v>
      </c>
      <c r="E203" s="103">
        <f t="shared" si="128"/>
        <v>31629199</v>
      </c>
      <c r="F203" s="104">
        <v>17009889</v>
      </c>
      <c r="G203" s="104">
        <v>14619310</v>
      </c>
      <c r="H203" s="104">
        <v>14619310</v>
      </c>
      <c r="I203" s="103">
        <f t="shared" si="130"/>
        <v>31539941</v>
      </c>
      <c r="J203" s="104">
        <v>16997001</v>
      </c>
      <c r="K203" s="104">
        <v>14542940</v>
      </c>
      <c r="L203" s="104">
        <v>14542940</v>
      </c>
      <c r="M203" s="76">
        <f t="shared" si="136"/>
        <v>99.717798734011566</v>
      </c>
      <c r="N203" s="76">
        <f t="shared" si="137"/>
        <v>99.924232309805191</v>
      </c>
      <c r="O203" s="76">
        <f t="shared" si="143"/>
        <v>99.477608724351569</v>
      </c>
      <c r="P203" s="76">
        <f t="shared" si="144"/>
        <v>99.477608724351569</v>
      </c>
    </row>
    <row r="204" spans="1:16" s="79" customFormat="1" ht="75.75" customHeight="1" x14ac:dyDescent="0.25">
      <c r="A204" s="35"/>
      <c r="B204" s="35"/>
      <c r="C204" s="34"/>
      <c r="D204" s="24" t="s">
        <v>334</v>
      </c>
      <c r="E204" s="103">
        <f t="shared" si="128"/>
        <v>255000</v>
      </c>
      <c r="F204" s="104">
        <v>255000</v>
      </c>
      <c r="G204" s="104"/>
      <c r="H204" s="104"/>
      <c r="I204" s="103">
        <f t="shared" si="130"/>
        <v>255000</v>
      </c>
      <c r="J204" s="104">
        <v>255000</v>
      </c>
      <c r="K204" s="104"/>
      <c r="L204" s="104"/>
      <c r="M204" s="76">
        <f t="shared" si="136"/>
        <v>100</v>
      </c>
      <c r="N204" s="76">
        <f t="shared" si="137"/>
        <v>100</v>
      </c>
      <c r="O204" s="76"/>
      <c r="P204" s="76"/>
    </row>
    <row r="205" spans="1:16" s="79" customFormat="1" ht="93" customHeight="1" x14ac:dyDescent="0.25">
      <c r="A205" s="35"/>
      <c r="B205" s="35"/>
      <c r="C205" s="34"/>
      <c r="D205" s="24" t="s">
        <v>335</v>
      </c>
      <c r="E205" s="103">
        <f t="shared" si="128"/>
        <v>4090000</v>
      </c>
      <c r="F205" s="104">
        <v>1965000</v>
      </c>
      <c r="G205" s="104">
        <v>2125000</v>
      </c>
      <c r="H205" s="104">
        <v>2125000</v>
      </c>
      <c r="I205" s="103">
        <f t="shared" si="130"/>
        <v>4013169.6</v>
      </c>
      <c r="J205" s="104">
        <v>1964579.6</v>
      </c>
      <c r="K205" s="104">
        <v>2048590</v>
      </c>
      <c r="L205" s="104">
        <v>2048590</v>
      </c>
      <c r="M205" s="76">
        <f t="shared" si="136"/>
        <v>98.121506112469433</v>
      </c>
      <c r="N205" s="76">
        <f t="shared" si="137"/>
        <v>99.978605597964375</v>
      </c>
      <c r="O205" s="76">
        <f t="shared" si="143"/>
        <v>96.40423529411764</v>
      </c>
      <c r="P205" s="76">
        <f t="shared" si="144"/>
        <v>96.40423529411764</v>
      </c>
    </row>
    <row r="206" spans="1:16" s="80" customFormat="1" ht="71.25" customHeight="1" x14ac:dyDescent="0.25">
      <c r="A206" s="35"/>
      <c r="B206" s="35"/>
      <c r="C206" s="34"/>
      <c r="D206" s="24" t="s">
        <v>336</v>
      </c>
      <c r="E206" s="103">
        <f t="shared" si="128"/>
        <v>1029500</v>
      </c>
      <c r="F206" s="104"/>
      <c r="G206" s="104">
        <v>1029500</v>
      </c>
      <c r="H206" s="104">
        <v>1029500</v>
      </c>
      <c r="I206" s="103">
        <f t="shared" si="130"/>
        <v>1029500</v>
      </c>
      <c r="J206" s="104"/>
      <c r="K206" s="104">
        <v>1029500</v>
      </c>
      <c r="L206" s="104">
        <v>1029500</v>
      </c>
      <c r="M206" s="76">
        <f t="shared" si="136"/>
        <v>100</v>
      </c>
      <c r="N206" s="76"/>
      <c r="O206" s="76">
        <f t="shared" si="143"/>
        <v>100</v>
      </c>
      <c r="P206" s="76">
        <f t="shared" si="144"/>
        <v>100</v>
      </c>
    </row>
    <row r="207" spans="1:16" s="80" customFormat="1" ht="81" customHeight="1" x14ac:dyDescent="0.25">
      <c r="A207" s="35"/>
      <c r="B207" s="35"/>
      <c r="C207" s="34"/>
      <c r="D207" s="24" t="s">
        <v>359</v>
      </c>
      <c r="E207" s="103">
        <f t="shared" si="128"/>
        <v>500000</v>
      </c>
      <c r="F207" s="104">
        <v>119140</v>
      </c>
      <c r="G207" s="104">
        <v>380860</v>
      </c>
      <c r="H207" s="104">
        <v>380860</v>
      </c>
      <c r="I207" s="103">
        <f t="shared" si="130"/>
        <v>476803.28</v>
      </c>
      <c r="J207" s="104">
        <v>102984</v>
      </c>
      <c r="K207" s="104">
        <v>373819.28</v>
      </c>
      <c r="L207" s="104">
        <v>373819.28</v>
      </c>
      <c r="M207" s="76">
        <f t="shared" si="136"/>
        <v>95.360656000000006</v>
      </c>
      <c r="N207" s="76">
        <f t="shared" si="137"/>
        <v>86.439482961222097</v>
      </c>
      <c r="O207" s="76">
        <f t="shared" si="143"/>
        <v>98.15136270545608</v>
      </c>
      <c r="P207" s="76">
        <f t="shared" si="144"/>
        <v>98.15136270545608</v>
      </c>
    </row>
    <row r="208" spans="1:16" s="80" customFormat="1" ht="149.25" customHeight="1" x14ac:dyDescent="0.25">
      <c r="A208" s="35"/>
      <c r="B208" s="35"/>
      <c r="C208" s="34"/>
      <c r="D208" s="24" t="s">
        <v>360</v>
      </c>
      <c r="E208" s="103">
        <f t="shared" ref="E208:E210" si="151">F208+G208</f>
        <v>4000000</v>
      </c>
      <c r="F208" s="104">
        <v>2500000</v>
      </c>
      <c r="G208" s="104">
        <v>1500000</v>
      </c>
      <c r="H208" s="104">
        <v>1500000</v>
      </c>
      <c r="I208" s="103">
        <f t="shared" ref="I208:I210" si="152">J208+K208</f>
        <v>4000000</v>
      </c>
      <c r="J208" s="104">
        <v>2500000</v>
      </c>
      <c r="K208" s="104">
        <v>1500000</v>
      </c>
      <c r="L208" s="104">
        <v>1500000</v>
      </c>
      <c r="M208" s="76">
        <f t="shared" ref="M208:M210" si="153">I208/E208*100</f>
        <v>100</v>
      </c>
      <c r="N208" s="76">
        <f t="shared" si="137"/>
        <v>100</v>
      </c>
      <c r="O208" s="76">
        <f t="shared" ref="O208:O209" si="154">K208/G208*100</f>
        <v>100</v>
      </c>
      <c r="P208" s="76">
        <f t="shared" si="144"/>
        <v>100</v>
      </c>
    </row>
    <row r="209" spans="1:16" s="80" customFormat="1" ht="121.5" customHeight="1" x14ac:dyDescent="0.25">
      <c r="A209" s="35"/>
      <c r="B209" s="35"/>
      <c r="C209" s="34"/>
      <c r="D209" s="24" t="s">
        <v>409</v>
      </c>
      <c r="E209" s="103">
        <f t="shared" si="151"/>
        <v>5000000</v>
      </c>
      <c r="F209" s="104"/>
      <c r="G209" s="104">
        <v>5000000</v>
      </c>
      <c r="H209" s="104">
        <v>5000000</v>
      </c>
      <c r="I209" s="103">
        <f t="shared" si="152"/>
        <v>5000000</v>
      </c>
      <c r="J209" s="104"/>
      <c r="K209" s="104">
        <v>5000000</v>
      </c>
      <c r="L209" s="104">
        <v>5000000</v>
      </c>
      <c r="M209" s="76">
        <f t="shared" si="153"/>
        <v>100</v>
      </c>
      <c r="N209" s="76"/>
      <c r="O209" s="76">
        <f t="shared" si="154"/>
        <v>100</v>
      </c>
      <c r="P209" s="76">
        <f t="shared" si="144"/>
        <v>100</v>
      </c>
    </row>
    <row r="210" spans="1:16" s="80" customFormat="1" ht="112.5" customHeight="1" x14ac:dyDescent="0.25">
      <c r="A210" s="35"/>
      <c r="B210" s="35"/>
      <c r="C210" s="34"/>
      <c r="D210" s="24" t="s">
        <v>408</v>
      </c>
      <c r="E210" s="103">
        <f t="shared" si="151"/>
        <v>1450000</v>
      </c>
      <c r="F210" s="104"/>
      <c r="G210" s="104">
        <v>1450000</v>
      </c>
      <c r="H210" s="104">
        <v>1450000</v>
      </c>
      <c r="I210" s="103">
        <f t="shared" si="152"/>
        <v>1450000</v>
      </c>
      <c r="J210" s="104"/>
      <c r="K210" s="104">
        <v>1450000</v>
      </c>
      <c r="L210" s="104">
        <v>1450000</v>
      </c>
      <c r="M210" s="76">
        <f t="shared" si="153"/>
        <v>100</v>
      </c>
      <c r="N210" s="76"/>
      <c r="O210" s="76">
        <f t="shared" si="143"/>
        <v>100</v>
      </c>
      <c r="P210" s="76">
        <f t="shared" si="144"/>
        <v>100</v>
      </c>
    </row>
    <row r="211" spans="1:16" s="80" customFormat="1" ht="18.75" x14ac:dyDescent="0.25">
      <c r="A211" s="36" t="s">
        <v>292</v>
      </c>
      <c r="B211" s="19" t="s">
        <v>292</v>
      </c>
      <c r="C211" s="19" t="s">
        <v>292</v>
      </c>
      <c r="D211" s="19" t="s">
        <v>293</v>
      </c>
      <c r="E211" s="107">
        <f>F211+G211</f>
        <v>1338870778.2399998</v>
      </c>
      <c r="F211" s="107">
        <f t="shared" ref="F211:L211" si="155">F16+F48+F78+F105+F116+F125+F153+F177+F187+F99</f>
        <v>993681200.19999993</v>
      </c>
      <c r="G211" s="107">
        <f t="shared" si="155"/>
        <v>345189578.03999996</v>
      </c>
      <c r="H211" s="107">
        <f t="shared" si="155"/>
        <v>316851765.03999996</v>
      </c>
      <c r="I211" s="107">
        <f t="shared" si="155"/>
        <v>1153966212.4100001</v>
      </c>
      <c r="J211" s="107">
        <f t="shared" si="155"/>
        <v>911415961.11000013</v>
      </c>
      <c r="K211" s="107">
        <f t="shared" si="155"/>
        <v>242550251.29999998</v>
      </c>
      <c r="L211" s="107">
        <f t="shared" si="155"/>
        <v>223311719.83999997</v>
      </c>
      <c r="M211" s="81">
        <f t="shared" si="136"/>
        <v>86.189513668147697</v>
      </c>
      <c r="N211" s="81">
        <f t="shared" si="137"/>
        <v>91.721163782363789</v>
      </c>
      <c r="O211" s="81">
        <f t="shared" si="143"/>
        <v>70.265809494368241</v>
      </c>
      <c r="P211" s="81">
        <f t="shared" si="144"/>
        <v>70.478294420044875</v>
      </c>
    </row>
    <row r="212" spans="1:16" s="80" customFormat="1" ht="18.75" x14ac:dyDescent="0.25">
      <c r="A212" s="82"/>
      <c r="B212" s="82"/>
      <c r="C212" s="83" t="s">
        <v>227</v>
      </c>
      <c r="D212" s="84" t="s">
        <v>228</v>
      </c>
      <c r="E212" s="106">
        <f>F212+G212</f>
        <v>109608758.42</v>
      </c>
      <c r="F212" s="106">
        <f>F18+F23+F24+F50+F51+F80+F81+F107+F108+F127+F156+F157+F179+F180+F189+F190+F118+F119+F128+F129+F101+F102</f>
        <v>106754029</v>
      </c>
      <c r="G212" s="106">
        <f>G18+G23+G24+G50+G51+G80+G81+G107+G108+G127+G156+G157+G179+G180+G189+G190+G118+G119+G128+G129+G155+G101</f>
        <v>2854729.42</v>
      </c>
      <c r="H212" s="106">
        <f>H18+H23+H24+H50+H51+H80+H81+H107+H108+H127+H156+H157+H179+H180+H189+H190+H118+H119+H128+H129+H155+H101</f>
        <v>2714229.42</v>
      </c>
      <c r="I212" s="105">
        <f>J212+K212</f>
        <v>101382885.45000002</v>
      </c>
      <c r="J212" s="106">
        <f>J18+J23+J24+J50+J51+J80+J81+J107+J108+J127+J156+J157+J179+J180+J189+J190+J118+J119+J128+J129+J101+J102</f>
        <v>99079885.520000026</v>
      </c>
      <c r="K212" s="106">
        <f>K18+K23+K24+K50+K51+K80+K81+K107+K108+K127+K156+K157+K179+K180+K189+K190+K118+K119+K128+K129+K155+K101</f>
        <v>2302999.9299999997</v>
      </c>
      <c r="L212" s="106">
        <f>L18+L23+L24+L50+L51+L80+L81+L107+L108+L127+L156+L157+L179+L180+L189+L190+L118+L119+L128+L129+L155+L101</f>
        <v>1919267.3199999998</v>
      </c>
      <c r="M212" s="76">
        <f t="shared" si="136"/>
        <v>92.49524117545424</v>
      </c>
      <c r="N212" s="76">
        <f t="shared" si="137"/>
        <v>92.811378126065875</v>
      </c>
      <c r="O212" s="76">
        <f t="shared" si="143"/>
        <v>80.673142395400816</v>
      </c>
      <c r="P212" s="76">
        <f t="shared" si="144"/>
        <v>70.711315184255866</v>
      </c>
    </row>
    <row r="213" spans="1:16" s="80" customFormat="1" ht="18.75" x14ac:dyDescent="0.25">
      <c r="A213" s="82"/>
      <c r="B213" s="82"/>
      <c r="C213" s="83" t="s">
        <v>229</v>
      </c>
      <c r="D213" s="84" t="s">
        <v>230</v>
      </c>
      <c r="E213" s="106">
        <f t="shared" ref="E213:E221" si="156">F213+G213</f>
        <v>392847749.70999998</v>
      </c>
      <c r="F213" s="106">
        <f>F52+F53+F54+F55+F56+F57+F58+F59+F60+F61+F62+F63+F109+F66+F70+F71</f>
        <v>379011096.70999998</v>
      </c>
      <c r="G213" s="106">
        <f>G52+G53+G54+G55+G56+G57+G58+G59+G60+G61+G62+G63+G109+G71</f>
        <v>13836653</v>
      </c>
      <c r="H213" s="106">
        <f>H52+H53+H54+H55+H56+H57+H58+H59+H60+H61+H62+H63+H109</f>
        <v>7125885</v>
      </c>
      <c r="I213" s="105">
        <f t="shared" ref="I213:I221" si="157">J213+K213</f>
        <v>361220507.24000001</v>
      </c>
      <c r="J213" s="106">
        <f>J52+J53+J54+J55+J56+J57+J58+J59+J60+J61+J62+J63+J109+J66+J70+J71</f>
        <v>349753282.35000002</v>
      </c>
      <c r="K213" s="106">
        <f>K52+K53+K54+K55+K56+K57+K58+K59+K60+K61+K62+K63+K109+K71</f>
        <v>11467224.890000001</v>
      </c>
      <c r="L213" s="106">
        <f>L52+L53+L54+L55+L56+L57+L58+L59+L60+L61+L62+L63+L109</f>
        <v>3207099.3000000003</v>
      </c>
      <c r="M213" s="76">
        <f t="shared" ref="M213:M221" si="158">I213/E213*100</f>
        <v>91.949236697079925</v>
      </c>
      <c r="N213" s="76">
        <f t="shared" ref="N213:N221" si="159">J213/F213*100</f>
        <v>92.280486082341127</v>
      </c>
      <c r="O213" s="76">
        <f t="shared" ref="O213:O221" si="160">K213/G213*100</f>
        <v>82.87571344023732</v>
      </c>
      <c r="P213" s="76">
        <f t="shared" ref="P213:P221" si="161">L213/H213*100</f>
        <v>45.006329740095445</v>
      </c>
    </row>
    <row r="214" spans="1:16" s="80" customFormat="1" ht="18.75" x14ac:dyDescent="0.25">
      <c r="A214" s="82"/>
      <c r="B214" s="82"/>
      <c r="C214" s="83" t="s">
        <v>231</v>
      </c>
      <c r="D214" s="84" t="s">
        <v>232</v>
      </c>
      <c r="E214" s="106">
        <f t="shared" si="156"/>
        <v>63649540.159999996</v>
      </c>
      <c r="F214" s="106">
        <f>F25+F26+F27+F28+F158</f>
        <v>45547999.999999993</v>
      </c>
      <c r="G214" s="106">
        <f>G25+G26+G27+G28+G158+G159</f>
        <v>18101540.16</v>
      </c>
      <c r="H214" s="106">
        <f>H25+H26+H27+H28+H158+H159</f>
        <v>18101540.16</v>
      </c>
      <c r="I214" s="105">
        <f t="shared" si="157"/>
        <v>53977379.520000003</v>
      </c>
      <c r="J214" s="106">
        <f>J25+J26+J27+J28+J158</f>
        <v>42467568.030000001</v>
      </c>
      <c r="K214" s="106">
        <f>K25+K26+K27+K28+K158+K159</f>
        <v>11509811.490000002</v>
      </c>
      <c r="L214" s="106">
        <f>L25+L26+L27+L28+L158+L159</f>
        <v>11509811.490000002</v>
      </c>
      <c r="M214" s="76">
        <f t="shared" si="158"/>
        <v>84.804036893767886</v>
      </c>
      <c r="N214" s="76">
        <f t="shared" si="159"/>
        <v>93.23695448757357</v>
      </c>
      <c r="O214" s="76">
        <f t="shared" si="160"/>
        <v>63.584708197559259</v>
      </c>
      <c r="P214" s="76">
        <f t="shared" si="161"/>
        <v>63.584708197559259</v>
      </c>
    </row>
    <row r="215" spans="1:16" s="80" customFormat="1" ht="37.5" x14ac:dyDescent="0.25">
      <c r="A215" s="82"/>
      <c r="B215" s="82"/>
      <c r="C215" s="83" t="s">
        <v>233</v>
      </c>
      <c r="D215" s="84" t="s">
        <v>234</v>
      </c>
      <c r="E215" s="106">
        <f t="shared" si="156"/>
        <v>103937223.14</v>
      </c>
      <c r="F215" s="106">
        <f>F30+F29+F73+F82+F83+F84+F85+F86+F87+F88+F89+F90+F91+F92+F96+F97+F120+F130+F72+F110+F103</f>
        <v>91725482.140000001</v>
      </c>
      <c r="G215" s="106">
        <f>G30+G29+G73+G82+G83+G84+G85+G86+G87+G88+G89+G90+G91+G92+G96+G97+G120+G130+G72+G110+G103+G94+G95+G93</f>
        <v>12211741</v>
      </c>
      <c r="H215" s="106">
        <f>H30+H29+H73+H82+H83+H84+H85+H86+H87+H88+H89+H90+H91+H92+H96+H97+H120+H130+H72+H110+H103+H94+H95+H93</f>
        <v>12155341</v>
      </c>
      <c r="I215" s="105">
        <f t="shared" si="157"/>
        <v>99279193.559999973</v>
      </c>
      <c r="J215" s="106">
        <f>J30+J29+J73+J82+J83+J84+J85+J86+J87+J88+J89+J90+J91+J92+J96+J97+J120+J130+J72+J110+J103</f>
        <v>82016029.519999981</v>
      </c>
      <c r="K215" s="106">
        <f>K30+K29+K73+K82+K83+K84+K85+K86+K87+K88+K89+K90+K91+K92+K96+K97+K120+K130+K72+K110+K103+K94+K95+K93</f>
        <v>17263164.039999999</v>
      </c>
      <c r="L215" s="106">
        <f>L30+L29+L73+L82+L83+L84+L85+L86+L87+L88+L89+L90+L91+L92+L96+L97+L120+L130+L72+L110+L103+L94+L95+L93</f>
        <v>11978543.360000001</v>
      </c>
      <c r="M215" s="76">
        <f t="shared" si="158"/>
        <v>95.518420216282067</v>
      </c>
      <c r="N215" s="76">
        <f t="shared" si="159"/>
        <v>89.414661669283419</v>
      </c>
      <c r="O215" s="76">
        <f t="shared" si="160"/>
        <v>141.36529787194144</v>
      </c>
      <c r="P215" s="76">
        <f t="shared" si="161"/>
        <v>98.545514765895931</v>
      </c>
    </row>
    <row r="216" spans="1:16" s="80" customFormat="1" ht="18.75" x14ac:dyDescent="0.25">
      <c r="A216" s="82"/>
      <c r="B216" s="82"/>
      <c r="C216" s="83" t="s">
        <v>235</v>
      </c>
      <c r="D216" s="84" t="s">
        <v>236</v>
      </c>
      <c r="E216" s="106">
        <f t="shared" si="156"/>
        <v>26921300</v>
      </c>
      <c r="F216" s="106">
        <f t="shared" ref="F216:K216" si="162">F111+F112+F113+F114+F115</f>
        <v>26505300</v>
      </c>
      <c r="G216" s="106">
        <f t="shared" si="162"/>
        <v>416000</v>
      </c>
      <c r="H216" s="106">
        <f t="shared" si="162"/>
        <v>94000</v>
      </c>
      <c r="I216" s="105">
        <f t="shared" si="157"/>
        <v>23979089.939999998</v>
      </c>
      <c r="J216" s="106">
        <f t="shared" si="162"/>
        <v>23499943.189999998</v>
      </c>
      <c r="K216" s="106">
        <f t="shared" si="162"/>
        <v>479146.75</v>
      </c>
      <c r="L216" s="106">
        <f t="shared" ref="L216" si="163">L111+L112+L113+L114+L115</f>
        <v>94000</v>
      </c>
      <c r="M216" s="76">
        <f t="shared" si="158"/>
        <v>89.071069896327444</v>
      </c>
      <c r="N216" s="76">
        <f t="shared" si="159"/>
        <v>88.661298645931183</v>
      </c>
      <c r="O216" s="76">
        <f t="shared" si="160"/>
        <v>115.17950721153846</v>
      </c>
      <c r="P216" s="76">
        <f t="shared" si="161"/>
        <v>100</v>
      </c>
    </row>
    <row r="217" spans="1:16" s="80" customFormat="1" ht="18.75" x14ac:dyDescent="0.25">
      <c r="A217" s="82"/>
      <c r="B217" s="82"/>
      <c r="C217" s="83" t="s">
        <v>237</v>
      </c>
      <c r="D217" s="84" t="s">
        <v>238</v>
      </c>
      <c r="E217" s="106">
        <f t="shared" si="156"/>
        <v>12964560.289999999</v>
      </c>
      <c r="F217" s="106">
        <f>F74+F121+F122+F124+F123</f>
        <v>12964560.289999999</v>
      </c>
      <c r="G217" s="106"/>
      <c r="H217" s="106"/>
      <c r="I217" s="105">
        <f t="shared" si="157"/>
        <v>11424491.640000001</v>
      </c>
      <c r="J217" s="106">
        <f>J74+J121+J122+J124+J123</f>
        <v>11424491.640000001</v>
      </c>
      <c r="K217" s="106"/>
      <c r="L217" s="106"/>
      <c r="M217" s="76">
        <f t="shared" si="158"/>
        <v>88.120934180946307</v>
      </c>
      <c r="N217" s="76">
        <f t="shared" si="159"/>
        <v>88.120934180946307</v>
      </c>
      <c r="O217" s="76"/>
      <c r="P217" s="76"/>
    </row>
    <row r="218" spans="1:16" s="80" customFormat="1" ht="18.75" x14ac:dyDescent="0.25">
      <c r="A218" s="82"/>
      <c r="B218" s="82"/>
      <c r="C218" s="83" t="s">
        <v>239</v>
      </c>
      <c r="D218" s="84" t="s">
        <v>240</v>
      </c>
      <c r="E218" s="106">
        <f>F218+G218</f>
        <v>219807651.81</v>
      </c>
      <c r="F218" s="106">
        <f>F31+F131+F132+F133+F134+F135+F137+F160+F162+F163+F164+F181+F161+F165+F136</f>
        <v>116199300.15000001</v>
      </c>
      <c r="G218" s="106">
        <f>G31+G131+G132+G133+G134+G135+G137+G160+G162+G163+G164+G181+G161+G165+G104+G136</f>
        <v>103608351.66</v>
      </c>
      <c r="H218" s="106">
        <f>H31+H131+H132+H133+H134+H135+H137+H160+H162+H163+H164+H181+H161+H165+H104+H136</f>
        <v>103608351.66</v>
      </c>
      <c r="I218" s="105">
        <f t="shared" si="157"/>
        <v>181602343.72999999</v>
      </c>
      <c r="J218" s="106">
        <f>J31+J131+J132+J133+J134+J135+J137+J160+J162+J163+J164+J181+J161+J165+J136</f>
        <v>110188200.41</v>
      </c>
      <c r="K218" s="106">
        <f>K31+K131+K132+K133+K134+K135+K137+K160+K162+K163+K164+K181+K161+K165+K104+K136</f>
        <v>71414143.319999993</v>
      </c>
      <c r="L218" s="106">
        <f>L31+L131+L132+L133+L134+L135+L137+L160+L162+L163+L164+L181+L161+L165+L104+L136</f>
        <v>71414143.319999993</v>
      </c>
      <c r="M218" s="76">
        <f t="shared" si="158"/>
        <v>82.618754276568879</v>
      </c>
      <c r="N218" s="76">
        <f t="shared" si="159"/>
        <v>94.826905383904744</v>
      </c>
      <c r="O218" s="76">
        <f t="shared" si="160"/>
        <v>68.927014256873647</v>
      </c>
      <c r="P218" s="76">
        <f t="shared" si="161"/>
        <v>68.927014256873647</v>
      </c>
    </row>
    <row r="219" spans="1:16" s="80" customFormat="1" ht="18.75" x14ac:dyDescent="0.25">
      <c r="A219" s="82"/>
      <c r="B219" s="82"/>
      <c r="C219" s="83" t="s">
        <v>337</v>
      </c>
      <c r="D219" s="84" t="s">
        <v>338</v>
      </c>
      <c r="E219" s="106">
        <f t="shared" si="156"/>
        <v>208219193.56999999</v>
      </c>
      <c r="F219" s="106">
        <f>F139+F166+F167+F169+F170+F37+F39+F138+F182+F142+F41+F143+F145+F146+F172+F184+F183+F36+F38+F75+F140+F141</f>
        <v>98485583</v>
      </c>
      <c r="G219" s="106">
        <f>G139+G166+G167+G169+G170+G37+G39+G138+G182+G142+G41+G143+G145+G146+G172+G184+G183+G171+G147+G168+G144+G40+G75</f>
        <v>109733610.56999999</v>
      </c>
      <c r="H219" s="106">
        <f>H139+H166+H167+H169+H170+H37+H39+H138+H182+H142+H41+H143+H145+H146+H172+H184+H183+H171+H147+H168+H144+H40+H75</f>
        <v>90170171.010000005</v>
      </c>
      <c r="I219" s="105">
        <f t="shared" si="157"/>
        <v>158069856.86000001</v>
      </c>
      <c r="J219" s="106">
        <f>J139+J166+J167+J169+J170+J37+J39+J138+J182+J142+J41+J143+J145+J146+J172+J184+J183+J36+J38+J75+J140+J141</f>
        <v>90178362.790000007</v>
      </c>
      <c r="K219" s="106">
        <f>K139+K166+K167+K169+K170+K37+K39+K138+K182+K142+K41+K143+K145+K146+K172+K184+K183+K171+K147+K168+K144+K40+K75</f>
        <v>67891494.069999993</v>
      </c>
      <c r="L219" s="106">
        <f>L139+L166+L167+L169+L170+L37+L39+L138+L182+L142+L41+L143+L145+L146+L172+L184+L183+L171+L147+L168+L144+L40+L75</f>
        <v>63946699.519999996</v>
      </c>
      <c r="M219" s="76">
        <f t="shared" si="158"/>
        <v>75.915122976815979</v>
      </c>
      <c r="N219" s="76">
        <f t="shared" si="159"/>
        <v>91.565039311388347</v>
      </c>
      <c r="O219" s="76">
        <f t="shared" si="160"/>
        <v>61.869370484890261</v>
      </c>
      <c r="P219" s="76">
        <f t="shared" si="161"/>
        <v>70.91779776363984</v>
      </c>
    </row>
    <row r="220" spans="1:16" s="80" customFormat="1" ht="18.75" x14ac:dyDescent="0.25">
      <c r="A220" s="82"/>
      <c r="B220" s="82"/>
      <c r="C220" s="83" t="s">
        <v>340</v>
      </c>
      <c r="D220" s="84" t="s">
        <v>339</v>
      </c>
      <c r="E220" s="106">
        <f t="shared" si="156"/>
        <v>104334402.13999999</v>
      </c>
      <c r="F220" s="106">
        <f>F42+F76+F148+F173+F98+F185+F43+F44+F45+F186+F149+F77+F47+F150+F175+F191+F152+F46+F151</f>
        <v>47377369.909999996</v>
      </c>
      <c r="G220" s="106">
        <f>G42+G76+G148+G173+G98+G185+G43+G44+G45+G186+G149+G77+G47+G150+G175+G191+G152+G174+G176+G46+G151</f>
        <v>56957032.229999989</v>
      </c>
      <c r="H220" s="106">
        <f>H42+H76+H148+H173+H98+H185+H43+H44+H45+H186+H149+H77+H47+H150+H175+H191+H152+H174+H176+H46+H151</f>
        <v>55412326.789999992</v>
      </c>
      <c r="I220" s="105">
        <f t="shared" si="157"/>
        <v>66639601.18</v>
      </c>
      <c r="J220" s="106">
        <f>J42+J76+J148+J173+J98+J185+J43+J44+J45+J186+J149+J77+J47+J150+J175+J191+J152+J46+J151</f>
        <v>33727433.650000006</v>
      </c>
      <c r="K220" s="106">
        <f>K42+K76+K148+K173+K98+K185+K43+K44+K45+K186+K149+K77+K47+K150+K175+K191+K152+K174+K176+K46+K151</f>
        <v>32912167.529999994</v>
      </c>
      <c r="L220" s="106">
        <f>L42+L76+L148+L173+L98+L185+L43+L44+L45+L186+L149+L77+L47+L150+L175+L191+L152+L174+L176+L46+L151</f>
        <v>31932056.249999996</v>
      </c>
      <c r="M220" s="76">
        <f t="shared" si="158"/>
        <v>63.871167911213377</v>
      </c>
      <c r="N220" s="76">
        <f t="shared" si="159"/>
        <v>71.188910895792716</v>
      </c>
      <c r="O220" s="76">
        <f t="shared" si="160"/>
        <v>57.784203708325833</v>
      </c>
      <c r="P220" s="76">
        <f t="shared" si="161"/>
        <v>57.626268557563307</v>
      </c>
    </row>
    <row r="221" spans="1:16" s="80" customFormat="1" ht="18.75" x14ac:dyDescent="0.25">
      <c r="A221" s="85"/>
      <c r="B221" s="85"/>
      <c r="C221" s="83" t="s">
        <v>341</v>
      </c>
      <c r="D221" s="21" t="s">
        <v>342</v>
      </c>
      <c r="E221" s="106">
        <f t="shared" si="156"/>
        <v>96580399</v>
      </c>
      <c r="F221" s="106">
        <f>F192+F193+F200</f>
        <v>69110479</v>
      </c>
      <c r="G221" s="106">
        <f>G192+G193+G200</f>
        <v>27469920</v>
      </c>
      <c r="H221" s="106">
        <f>H192+H193+H200</f>
        <v>27469920</v>
      </c>
      <c r="I221" s="105">
        <f t="shared" si="157"/>
        <v>96390863.290000007</v>
      </c>
      <c r="J221" s="106">
        <f>J192+J193+J200</f>
        <v>69080764.010000005</v>
      </c>
      <c r="K221" s="106">
        <f t="shared" ref="K221" si="164">K192+K193+K200</f>
        <v>27310099.280000001</v>
      </c>
      <c r="L221" s="106">
        <f>L192+L193+L200</f>
        <v>27310099.280000001</v>
      </c>
      <c r="M221" s="76">
        <f t="shared" si="158"/>
        <v>99.803753440695559</v>
      </c>
      <c r="N221" s="76">
        <f t="shared" si="159"/>
        <v>99.957003640504354</v>
      </c>
      <c r="O221" s="76">
        <f t="shared" si="160"/>
        <v>99.418197359147754</v>
      </c>
      <c r="P221" s="76">
        <f t="shared" si="161"/>
        <v>99.418197359147754</v>
      </c>
    </row>
    <row r="222" spans="1:16" s="87" customFormat="1" ht="20.25" x14ac:dyDescent="0.3">
      <c r="A222" s="39"/>
      <c r="B222" s="39"/>
      <c r="C222" s="39"/>
      <c r="D222" s="39" t="s">
        <v>1</v>
      </c>
      <c r="E222" s="108">
        <f>F222+G222</f>
        <v>1338870778.2399998</v>
      </c>
      <c r="F222" s="108">
        <f>SUM(F212:F221)</f>
        <v>993681200.19999993</v>
      </c>
      <c r="G222" s="108">
        <f t="shared" ref="G222:L222" si="165">SUM(G212:G221)</f>
        <v>345189578.03999996</v>
      </c>
      <c r="H222" s="108">
        <f t="shared" si="165"/>
        <v>316851765.03999996</v>
      </c>
      <c r="I222" s="108">
        <f>SUM(I212:I221)</f>
        <v>1153966212.4100001</v>
      </c>
      <c r="J222" s="108">
        <f t="shared" si="165"/>
        <v>911415961.11000001</v>
      </c>
      <c r="K222" s="108">
        <f t="shared" si="165"/>
        <v>242550251.29999998</v>
      </c>
      <c r="L222" s="108">
        <f t="shared" si="165"/>
        <v>223311719.84</v>
      </c>
      <c r="M222" s="86">
        <f t="shared" si="136"/>
        <v>86.189513668147697</v>
      </c>
      <c r="N222" s="86">
        <f t="shared" si="137"/>
        <v>91.721163782363774</v>
      </c>
      <c r="O222" s="86">
        <f t="shared" si="143"/>
        <v>70.265809494368241</v>
      </c>
      <c r="P222" s="86">
        <f t="shared" si="144"/>
        <v>70.478294420044875</v>
      </c>
    </row>
    <row r="223" spans="1:16" s="2" customFormat="1" ht="18.75" x14ac:dyDescent="0.3">
      <c r="A223" s="37"/>
      <c r="B223" s="37"/>
      <c r="C223" s="37"/>
      <c r="D223" s="17"/>
      <c r="E223" s="17"/>
      <c r="F223" s="18"/>
      <c r="G223" s="17"/>
      <c r="H223" s="17"/>
      <c r="I223" s="17"/>
      <c r="J223" s="17"/>
      <c r="K223" s="17"/>
      <c r="L223" s="17"/>
      <c r="M223" s="17"/>
      <c r="N223" s="17"/>
      <c r="O223" s="17"/>
      <c r="P223" s="17"/>
    </row>
    <row r="224" spans="1:16" s="2" customFormat="1" ht="18.75" x14ac:dyDescent="0.3">
      <c r="A224" s="37"/>
      <c r="B224" s="37"/>
      <c r="C224" s="37"/>
      <c r="D224" s="17"/>
      <c r="E224" s="18" t="s">
        <v>304</v>
      </c>
      <c r="F224" s="18"/>
      <c r="G224" s="18"/>
      <c r="H224" s="18">
        <f>H211-H222</f>
        <v>0</v>
      </c>
      <c r="I224" s="18"/>
      <c r="J224" s="18" t="s">
        <v>305</v>
      </c>
      <c r="K224" s="18"/>
      <c r="L224" s="18"/>
      <c r="M224" s="18"/>
      <c r="N224" s="18"/>
      <c r="O224" s="18"/>
      <c r="P224" s="18"/>
    </row>
    <row r="225" spans="1:16" s="2" customFormat="1" ht="18.75" x14ac:dyDescent="0.3">
      <c r="A225" s="37"/>
      <c r="B225" s="37"/>
      <c r="C225" s="37"/>
      <c r="D225" s="17"/>
      <c r="E225" s="18">
        <f>E222-E211</f>
        <v>0</v>
      </c>
      <c r="F225" s="18">
        <f>F222-F211</f>
        <v>0</v>
      </c>
      <c r="G225" s="18">
        <f>G222-G211</f>
        <v>0</v>
      </c>
      <c r="H225" s="18">
        <f>H222-H211</f>
        <v>0</v>
      </c>
      <c r="I225" s="18"/>
      <c r="J225" s="18">
        <f>J222-J211</f>
        <v>0</v>
      </c>
      <c r="K225" s="18"/>
      <c r="L225" s="18"/>
      <c r="M225" s="18">
        <f>M222-M211</f>
        <v>0</v>
      </c>
      <c r="N225" s="18">
        <f>N222-N211</f>
        <v>0</v>
      </c>
      <c r="O225" s="18">
        <f>O222-O211</f>
        <v>0</v>
      </c>
      <c r="P225" s="18">
        <f>P222-P211</f>
        <v>0</v>
      </c>
    </row>
    <row r="226" spans="1:16" x14ac:dyDescent="0.25">
      <c r="A226" s="10"/>
      <c r="B226" s="10"/>
      <c r="C226" s="10"/>
      <c r="D226" s="9"/>
      <c r="E226" s="9"/>
      <c r="H226" s="9"/>
      <c r="K226" s="68"/>
      <c r="L226" s="9"/>
      <c r="M226" s="9"/>
      <c r="N226" s="9"/>
      <c r="O226" s="9"/>
      <c r="P226" s="9"/>
    </row>
    <row r="227" spans="1:16" x14ac:dyDescent="0.25">
      <c r="A227" s="10"/>
      <c r="B227" s="10"/>
      <c r="C227" s="10"/>
      <c r="D227" s="9"/>
      <c r="E227" s="9"/>
      <c r="H227" s="9"/>
      <c r="I227" s="38"/>
      <c r="L227" s="9"/>
      <c r="M227" s="9"/>
      <c r="N227" s="9"/>
      <c r="O227" s="9"/>
      <c r="P227" s="9"/>
    </row>
    <row r="228" spans="1:16" ht="18.75" x14ac:dyDescent="0.3">
      <c r="A228" s="10"/>
      <c r="B228" s="10"/>
      <c r="C228" s="10"/>
      <c r="D228" s="9"/>
      <c r="E228" s="9"/>
      <c r="G228" s="66"/>
      <c r="H228" s="9"/>
      <c r="K228" s="69"/>
      <c r="L228" s="9"/>
      <c r="M228" s="9"/>
      <c r="N228" s="9"/>
      <c r="O228" s="9"/>
      <c r="P228" s="9"/>
    </row>
    <row r="229" spans="1:16" x14ac:dyDescent="0.25">
      <c r="A229" s="10"/>
      <c r="B229" s="10"/>
      <c r="C229" s="10"/>
      <c r="D229" s="9"/>
      <c r="E229" s="9"/>
      <c r="G229" s="67"/>
      <c r="H229" s="9"/>
      <c r="K229" s="68"/>
      <c r="L229" s="9"/>
      <c r="M229" s="9"/>
      <c r="N229" s="9"/>
      <c r="O229" s="9"/>
      <c r="P229" s="9"/>
    </row>
    <row r="230" spans="1:16" x14ac:dyDescent="0.25">
      <c r="G230" s="68"/>
      <c r="H230" s="9"/>
      <c r="K230" s="68"/>
      <c r="L230" s="9"/>
    </row>
  </sheetData>
  <customSheetViews>
    <customSheetView guid="{22648713-93C4-4BCC-9593-E6D578C36006}" scale="72" showPageBreaks="1" fitToPage="1" printArea="1" hiddenRows="1" view="pageBreakPreview">
      <pane xSplit="4" ySplit="12" topLeftCell="E91" activePane="bottomRight" state="frozen"/>
      <selection pane="bottomRight" activeCell="E99" sqref="E99"/>
      <rowBreaks count="2" manualBreakCount="2">
        <brk id="70" max="15" man="1"/>
        <brk id="98" max="15" man="1"/>
      </rowBreaks>
      <pageMargins left="0.39370078740157483" right="0.15748031496062992" top="0.15748031496062992" bottom="0.11811023622047245" header="0.15748031496062992" footer="0.11811023622047245"/>
      <pageSetup paperSize="9" scale="45" fitToHeight="15" orientation="landscape" r:id="rId1"/>
    </customSheetView>
  </customSheetViews>
  <mergeCells count="28">
    <mergeCell ref="A6:P6"/>
    <mergeCell ref="G13:G14"/>
    <mergeCell ref="O13:O14"/>
    <mergeCell ref="G12:H12"/>
    <mergeCell ref="J12:J14"/>
    <mergeCell ref="A10:A14"/>
    <mergeCell ref="M10:P10"/>
    <mergeCell ref="M11:M14"/>
    <mergeCell ref="N11:P11"/>
    <mergeCell ref="F11:H11"/>
    <mergeCell ref="E11:E14"/>
    <mergeCell ref="E10:H10"/>
    <mergeCell ref="M1:O1"/>
    <mergeCell ref="M2:O2"/>
    <mergeCell ref="M3:O3"/>
    <mergeCell ref="M4:O4"/>
    <mergeCell ref="B10:B14"/>
    <mergeCell ref="C10:C14"/>
    <mergeCell ref="D10:D14"/>
    <mergeCell ref="F12:F14"/>
    <mergeCell ref="K12:L12"/>
    <mergeCell ref="J11:L11"/>
    <mergeCell ref="I10:L10"/>
    <mergeCell ref="I11:I14"/>
    <mergeCell ref="N12:N14"/>
    <mergeCell ref="O12:P12"/>
    <mergeCell ref="K13:K14"/>
    <mergeCell ref="A5:P5"/>
  </mergeCells>
  <pageMargins left="0.39370078740157483" right="0.39370078740157483" top="0.59055118110236227" bottom="0.59055118110236227" header="0.15748031496062992" footer="0.11811023622047245"/>
  <pageSetup paperSize="9" scale="39" fitToHeight="15" orientation="landscape" r:id="rId2"/>
  <headerFooter differentFirst="1" alignWithMargins="0">
    <oddHeader>&amp;C&amp;P</oddHeader>
  </headerFooter>
  <rowBreaks count="1" manualBreakCount="1">
    <brk id="21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220FU7</cp:lastModifiedBy>
  <cp:lastPrinted>2024-01-05T06:33:49Z</cp:lastPrinted>
  <dcterms:created xsi:type="dcterms:W3CDTF">2012-12-15T07:44:03Z</dcterms:created>
  <dcterms:modified xsi:type="dcterms:W3CDTF">2024-01-09T08:47:56Z</dcterms:modified>
</cp:coreProperties>
</file>