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3\ВИКОНАННЯ\2023 РІК\"/>
    </mc:Choice>
  </mc:AlternateContent>
  <bookViews>
    <workbookView xWindow="120" yWindow="60" windowWidth="19320" windowHeight="10128"/>
  </bookViews>
  <sheets>
    <sheet name="2023" sheetId="1" r:id="rId1"/>
  </sheets>
  <definedNames>
    <definedName name="Z_02AC496F_F7D9_465B_9A66_D319977CD4A2_.wvu.PrintArea" localSheetId="0" hidden="1">'2023'!$A$1:$H$8</definedName>
    <definedName name="Z_02AC496F_F7D9_465B_9A66_D319977CD4A2_.wvu.PrintTitles" localSheetId="0" hidden="1">'2023'!$7:$8</definedName>
    <definedName name="Z_6174BFC3_8EFC_491A_B8A3_28DB8186A904_.wvu.PrintArea" localSheetId="0" hidden="1">'2023'!$A$1:$H$8</definedName>
    <definedName name="Z_6174BFC3_8EFC_491A_B8A3_28DB8186A904_.wvu.PrintTitles" localSheetId="0" hidden="1">'2023'!$7:$8</definedName>
    <definedName name="Z_71B4C162_96A9_4CA7_B3F0_0C57B820C4BA_.wvu.PrintArea" localSheetId="0" hidden="1">'2023'!$A$1:$H$8</definedName>
    <definedName name="Z_71B4C162_96A9_4CA7_B3F0_0C57B820C4BA_.wvu.PrintTitles" localSheetId="0" hidden="1">'2023'!$7:$8</definedName>
    <definedName name="Z_9D5EF3DD_3431_45D7_BCA1_2268CCD9FD10_.wvu.PrintArea" localSheetId="0" hidden="1">'2023'!$A$1:$H$8</definedName>
    <definedName name="Z_9D5EF3DD_3431_45D7_BCA1_2268CCD9FD10_.wvu.PrintTitles" localSheetId="0" hidden="1">'2023'!$7:$8</definedName>
    <definedName name="_xlnm.Print_Titles" localSheetId="0">'2023'!$7:$8</definedName>
    <definedName name="_xlnm.Print_Area" localSheetId="0">'2023'!$A$1:$H$286</definedName>
  </definedNames>
  <calcPr calcId="152511"/>
  <customWorkbookViews>
    <customWorkbookView name="220FU1 - Личное представление" guid="{02AC496F-F7D9-465B-9A66-D319977CD4A2}" mergeInterval="0" personalView="1" maximized="1" xWindow="-8" yWindow="-8" windowWidth="1936" windowHeight="1056" activeSheetId="1"/>
    <customWorkbookView name="220FU3 - Личное представление" guid="{9D5EF3DD-3431-45D7-BCA1-2268CCD9FD10}" mergeInterval="0" personalView="1" maximized="1" xWindow="-8" yWindow="-8" windowWidth="1382" windowHeight="744" activeSheetId="1"/>
    <customWorkbookView name="220FU5 - Личное представление" guid="{71B4C162-96A9-4CA7-B3F0-0C57B820C4BA}" mergeInterval="0" personalView="1" maximized="1" xWindow="-8" yWindow="-8" windowWidth="1936" windowHeight="1056" activeSheetId="1"/>
    <customWorkbookView name="220FU6 - Личное представление" guid="{6174BFC3-8EFC-491A-B8A3-28DB8186A904}" mergeInterval="0" personalView="1" maximized="1" xWindow="-8" yWindow="-8" windowWidth="1616" windowHeight="876" activeSheetId="1"/>
  </customWorkbookViews>
</workbook>
</file>

<file path=xl/calcChain.xml><?xml version="1.0" encoding="utf-8"?>
<calcChain xmlns="http://schemas.openxmlformats.org/spreadsheetml/2006/main">
  <c r="G269" i="1" l="1"/>
  <c r="G118" i="1" l="1"/>
  <c r="G27" i="1"/>
  <c r="F129" i="1" l="1"/>
  <c r="H228" i="1"/>
  <c r="H231" i="1"/>
  <c r="H233" i="1"/>
  <c r="H234" i="1"/>
  <c r="H235" i="1"/>
  <c r="H240" i="1"/>
  <c r="H241" i="1"/>
  <c r="H242" i="1"/>
  <c r="H243" i="1"/>
  <c r="H245" i="1"/>
  <c r="H252" i="1"/>
  <c r="H259" i="1"/>
  <c r="H264" i="1"/>
  <c r="H268" i="1"/>
  <c r="H273" i="1"/>
  <c r="H275" i="1"/>
  <c r="H278" i="1"/>
  <c r="H279" i="1"/>
  <c r="H282" i="1"/>
  <c r="H14" i="1"/>
  <c r="H15" i="1"/>
  <c r="H16" i="1"/>
  <c r="H18" i="1"/>
  <c r="H19" i="1"/>
  <c r="H20" i="1"/>
  <c r="H21" i="1"/>
  <c r="H22" i="1"/>
  <c r="H24" i="1"/>
  <c r="H25" i="1"/>
  <c r="H28" i="1"/>
  <c r="H34" i="1"/>
  <c r="H36" i="1"/>
  <c r="H37" i="1"/>
  <c r="H38" i="1"/>
  <c r="H42" i="1"/>
  <c r="H43" i="1"/>
  <c r="H45" i="1"/>
  <c r="H47" i="1"/>
  <c r="H50" i="1"/>
  <c r="H51" i="1"/>
  <c r="H54" i="1"/>
  <c r="H55" i="1"/>
  <c r="H61" i="1"/>
  <c r="H63" i="1"/>
  <c r="H64" i="1"/>
  <c r="H66" i="1"/>
  <c r="H68" i="1"/>
  <c r="H69" i="1"/>
  <c r="H70" i="1"/>
  <c r="H71" i="1"/>
  <c r="H72" i="1"/>
  <c r="H73" i="1"/>
  <c r="H74" i="1"/>
  <c r="H75" i="1"/>
  <c r="H76" i="1"/>
  <c r="H77" i="1"/>
  <c r="H80" i="1"/>
  <c r="H81" i="1"/>
  <c r="H95" i="1"/>
  <c r="H96" i="1"/>
  <c r="H100" i="1"/>
  <c r="H101" i="1"/>
  <c r="H112" i="1"/>
  <c r="H113" i="1"/>
  <c r="H119" i="1"/>
  <c r="H120" i="1"/>
  <c r="H124" i="1"/>
  <c r="H127" i="1"/>
  <c r="H132" i="1"/>
  <c r="H133" i="1"/>
  <c r="H134" i="1"/>
  <c r="H137" i="1"/>
  <c r="H142" i="1"/>
  <c r="H143" i="1"/>
  <c r="H144" i="1"/>
  <c r="H145" i="1"/>
  <c r="H146" i="1"/>
  <c r="H147" i="1"/>
  <c r="H148" i="1"/>
  <c r="H149" i="1"/>
  <c r="H150" i="1"/>
  <c r="H151" i="1"/>
  <c r="H152" i="1"/>
  <c r="H153" i="1"/>
  <c r="H154" i="1"/>
  <c r="H156" i="1"/>
  <c r="H158" i="1"/>
  <c r="H159" i="1"/>
  <c r="H160" i="1"/>
  <c r="H161" i="1"/>
  <c r="H163" i="1"/>
  <c r="H165" i="1"/>
  <c r="H166" i="1"/>
  <c r="H167" i="1"/>
  <c r="H168" i="1"/>
  <c r="H169" i="1"/>
  <c r="H170" i="1"/>
  <c r="H174" i="1"/>
  <c r="H187" i="1"/>
  <c r="H188" i="1"/>
  <c r="H189" i="1"/>
  <c r="H190" i="1"/>
  <c r="H191" i="1"/>
  <c r="H192" i="1"/>
  <c r="H194" i="1"/>
  <c r="H195" i="1"/>
  <c r="H199" i="1"/>
  <c r="H200" i="1"/>
  <c r="H201" i="1"/>
  <c r="H203" i="1"/>
  <c r="H208" i="1"/>
  <c r="H210" i="1"/>
  <c r="H211" i="1"/>
  <c r="H212" i="1"/>
  <c r="H220" i="1"/>
  <c r="H225" i="1"/>
  <c r="H227" i="1"/>
  <c r="G267" i="1"/>
  <c r="G266" i="1" s="1"/>
  <c r="G193" i="1"/>
  <c r="G172" i="1"/>
  <c r="G131" i="1"/>
  <c r="G123" i="1"/>
  <c r="G121" i="1"/>
  <c r="G117" i="1"/>
  <c r="G115" i="1"/>
  <c r="G114" i="1" s="1"/>
  <c r="G108" i="1"/>
  <c r="G105" i="1"/>
  <c r="G93" i="1"/>
  <c r="G92" i="1" s="1"/>
  <c r="G57" i="1"/>
  <c r="G56" i="1" s="1"/>
  <c r="G53" i="1"/>
  <c r="G52" i="1" s="1"/>
  <c r="G49" i="1"/>
  <c r="G48" i="1" s="1"/>
  <c r="G41" i="1"/>
  <c r="G40" i="1" s="1"/>
  <c r="G32" i="1"/>
  <c r="G30" i="1" s="1"/>
  <c r="G29" i="1" s="1"/>
  <c r="G23" i="1"/>
  <c r="G17" i="1"/>
  <c r="G12" i="1"/>
  <c r="G11" i="1" l="1"/>
  <c r="G10" i="1" s="1"/>
  <c r="H254" i="1"/>
  <c r="H263" i="1"/>
  <c r="H239" i="1"/>
  <c r="G219" i="1"/>
  <c r="H41" i="1"/>
  <c r="G256" i="1"/>
  <c r="G236" i="1"/>
  <c r="G135" i="1"/>
  <c r="G175" i="1"/>
  <c r="G229" i="1"/>
  <c r="G99" i="1"/>
  <c r="G197" i="1"/>
  <c r="G82" i="1"/>
  <c r="G274" i="1"/>
  <c r="F281" i="1"/>
  <c r="H281" i="1" s="1"/>
  <c r="F280" i="1"/>
  <c r="H280" i="1" s="1"/>
  <c r="F277" i="1"/>
  <c r="H277" i="1" s="1"/>
  <c r="F276" i="1"/>
  <c r="H276" i="1" s="1"/>
  <c r="F272" i="1"/>
  <c r="H272" i="1" s="1"/>
  <c r="F269" i="1"/>
  <c r="H269" i="1" s="1"/>
  <c r="F267" i="1"/>
  <c r="F266" i="1" s="1"/>
  <c r="H266" i="1" s="1"/>
  <c r="F265" i="1"/>
  <c r="H265" i="1" s="1"/>
  <c r="F263" i="1"/>
  <c r="F262" i="1"/>
  <c r="H262" i="1" s="1"/>
  <c r="F261" i="1"/>
  <c r="H261" i="1" s="1"/>
  <c r="F260" i="1"/>
  <c r="H260" i="1" s="1"/>
  <c r="F258" i="1"/>
  <c r="H258" i="1" s="1"/>
  <c r="F257" i="1"/>
  <c r="H257" i="1" s="1"/>
  <c r="F255" i="1"/>
  <c r="H255" i="1" s="1"/>
  <c r="F254" i="1"/>
  <c r="F253" i="1"/>
  <c r="H253" i="1" s="1"/>
  <c r="F251" i="1"/>
  <c r="H251" i="1" s="1"/>
  <c r="F250" i="1"/>
  <c r="H250" i="1" s="1"/>
  <c r="F249" i="1"/>
  <c r="H249" i="1" s="1"/>
  <c r="F248" i="1"/>
  <c r="H248" i="1" s="1"/>
  <c r="F247" i="1"/>
  <c r="H247" i="1" s="1"/>
  <c r="F246" i="1"/>
  <c r="H246" i="1" s="1"/>
  <c r="F244" i="1"/>
  <c r="H244" i="1" s="1"/>
  <c r="F239" i="1"/>
  <c r="F238" i="1"/>
  <c r="H238" i="1" s="1"/>
  <c r="F237" i="1"/>
  <c r="H237" i="1" s="1"/>
  <c r="F232" i="1"/>
  <c r="H232" i="1" s="1"/>
  <c r="F230" i="1"/>
  <c r="H230" i="1" s="1"/>
  <c r="F226" i="1"/>
  <c r="H226" i="1" s="1"/>
  <c r="F224" i="1"/>
  <c r="H224" i="1" s="1"/>
  <c r="F223" i="1"/>
  <c r="H223" i="1" s="1"/>
  <c r="F222" i="1"/>
  <c r="H222" i="1" s="1"/>
  <c r="F221" i="1"/>
  <c r="H221" i="1" s="1"/>
  <c r="F219" i="1"/>
  <c r="F218" i="1"/>
  <c r="H218" i="1" s="1"/>
  <c r="F217" i="1"/>
  <c r="H217" i="1" s="1"/>
  <c r="F216" i="1"/>
  <c r="H216" i="1" s="1"/>
  <c r="F215" i="1"/>
  <c r="H215" i="1" s="1"/>
  <c r="F214" i="1"/>
  <c r="H214" i="1" s="1"/>
  <c r="F213" i="1"/>
  <c r="H213" i="1" s="1"/>
  <c r="F209" i="1"/>
  <c r="H209" i="1" s="1"/>
  <c r="F207" i="1"/>
  <c r="H207" i="1" s="1"/>
  <c r="F206" i="1"/>
  <c r="H206" i="1" s="1"/>
  <c r="F205" i="1"/>
  <c r="H205" i="1" s="1"/>
  <c r="F204" i="1"/>
  <c r="H204" i="1" s="1"/>
  <c r="F202" i="1"/>
  <c r="H202" i="1" s="1"/>
  <c r="F198" i="1"/>
  <c r="H198" i="1" s="1"/>
  <c r="F196" i="1"/>
  <c r="F186" i="1"/>
  <c r="H186" i="1" s="1"/>
  <c r="F185" i="1"/>
  <c r="H185" i="1" s="1"/>
  <c r="F184" i="1"/>
  <c r="H184" i="1" s="1"/>
  <c r="F183" i="1"/>
  <c r="H183" i="1" s="1"/>
  <c r="F182" i="1"/>
  <c r="H182" i="1" s="1"/>
  <c r="F181" i="1"/>
  <c r="H181" i="1" s="1"/>
  <c r="F180" i="1"/>
  <c r="H180" i="1" s="1"/>
  <c r="F179" i="1"/>
  <c r="H179" i="1" s="1"/>
  <c r="F178" i="1"/>
  <c r="H178" i="1" s="1"/>
  <c r="F177" i="1"/>
  <c r="F176" i="1"/>
  <c r="H176" i="1" s="1"/>
  <c r="F173" i="1"/>
  <c r="F171" i="1"/>
  <c r="H171" i="1" s="1"/>
  <c r="F164" i="1"/>
  <c r="H164" i="1" s="1"/>
  <c r="F162" i="1"/>
  <c r="H162" i="1" s="1"/>
  <c r="F157" i="1"/>
  <c r="H157" i="1" s="1"/>
  <c r="F155" i="1"/>
  <c r="H155" i="1" s="1"/>
  <c r="F141" i="1"/>
  <c r="H141" i="1" s="1"/>
  <c r="F140" i="1"/>
  <c r="H140" i="1" s="1"/>
  <c r="F139" i="1"/>
  <c r="H139" i="1" s="1"/>
  <c r="F138" i="1"/>
  <c r="H138" i="1" s="1"/>
  <c r="F136" i="1"/>
  <c r="H136" i="1" s="1"/>
  <c r="F131" i="1"/>
  <c r="H131" i="1" s="1"/>
  <c r="F130" i="1"/>
  <c r="H130" i="1" s="1"/>
  <c r="F126" i="1"/>
  <c r="H126" i="1" s="1"/>
  <c r="F125" i="1"/>
  <c r="H125" i="1" s="1"/>
  <c r="F122" i="1"/>
  <c r="H122" i="1" s="1"/>
  <c r="F118" i="1"/>
  <c r="F116" i="1"/>
  <c r="H116" i="1" s="1"/>
  <c r="F115" i="1"/>
  <c r="H115" i="1" s="1"/>
  <c r="F111" i="1"/>
  <c r="H111" i="1" s="1"/>
  <c r="F110" i="1"/>
  <c r="H110" i="1" s="1"/>
  <c r="F109" i="1"/>
  <c r="F107" i="1"/>
  <c r="F106" i="1"/>
  <c r="H106" i="1" s="1"/>
  <c r="F104" i="1"/>
  <c r="H104" i="1" s="1"/>
  <c r="F103" i="1"/>
  <c r="H103" i="1" s="1"/>
  <c r="F102" i="1"/>
  <c r="H102" i="1" s="1"/>
  <c r="F98" i="1"/>
  <c r="H98" i="1" s="1"/>
  <c r="F97" i="1"/>
  <c r="H97" i="1" s="1"/>
  <c r="F94" i="1"/>
  <c r="F91" i="1"/>
  <c r="H91" i="1" s="1"/>
  <c r="F90" i="1"/>
  <c r="H90" i="1" s="1"/>
  <c r="F89" i="1"/>
  <c r="H89" i="1" s="1"/>
  <c r="F88" i="1"/>
  <c r="H88" i="1" s="1"/>
  <c r="F87" i="1"/>
  <c r="H87" i="1" s="1"/>
  <c r="F86" i="1"/>
  <c r="H86" i="1" s="1"/>
  <c r="F85" i="1"/>
  <c r="H85" i="1" s="1"/>
  <c r="F84" i="1"/>
  <c r="H84" i="1" s="1"/>
  <c r="F83" i="1"/>
  <c r="H83" i="1" s="1"/>
  <c r="F79" i="1"/>
  <c r="H79" i="1" s="1"/>
  <c r="F78" i="1"/>
  <c r="H78" i="1" s="1"/>
  <c r="F67" i="1"/>
  <c r="H67" i="1" s="1"/>
  <c r="F65" i="1"/>
  <c r="H65" i="1" s="1"/>
  <c r="F58" i="1"/>
  <c r="F53" i="1"/>
  <c r="H53" i="1" s="1"/>
  <c r="F49" i="1"/>
  <c r="F48" i="1" s="1"/>
  <c r="H48" i="1" s="1"/>
  <c r="F46" i="1"/>
  <c r="H46" i="1" s="1"/>
  <c r="F44" i="1"/>
  <c r="H44" i="1" s="1"/>
  <c r="F41" i="1"/>
  <c r="F40" i="1" s="1"/>
  <c r="H40" i="1" s="1"/>
  <c r="F39" i="1"/>
  <c r="H39" i="1" s="1"/>
  <c r="F35" i="1"/>
  <c r="H35" i="1" s="1"/>
  <c r="F33" i="1"/>
  <c r="H33" i="1" s="1"/>
  <c r="F31" i="1"/>
  <c r="H31" i="1" s="1"/>
  <c r="F27" i="1"/>
  <c r="H27" i="1" s="1"/>
  <c r="F26" i="1"/>
  <c r="H26" i="1" s="1"/>
  <c r="F23" i="1"/>
  <c r="H23" i="1" s="1"/>
  <c r="F17" i="1"/>
  <c r="H17" i="1" s="1"/>
  <c r="F13" i="1"/>
  <c r="G129" i="1" l="1"/>
  <c r="G128" i="1" s="1"/>
  <c r="F105" i="1"/>
  <c r="H105" i="1" s="1"/>
  <c r="H107" i="1"/>
  <c r="F121" i="1"/>
  <c r="H121" i="1" s="1"/>
  <c r="F172" i="1"/>
  <c r="H172" i="1" s="1"/>
  <c r="H173" i="1"/>
  <c r="H197" i="1"/>
  <c r="F32" i="1"/>
  <c r="F52" i="1"/>
  <c r="H52" i="1" s="1"/>
  <c r="F93" i="1"/>
  <c r="H94" i="1"/>
  <c r="F108" i="1"/>
  <c r="H108" i="1" s="1"/>
  <c r="H109" i="1"/>
  <c r="F229" i="1"/>
  <c r="F12" i="1"/>
  <c r="H13" i="1"/>
  <c r="F57" i="1"/>
  <c r="H58" i="1"/>
  <c r="F114" i="1"/>
  <c r="H114" i="1" s="1"/>
  <c r="F193" i="1"/>
  <c r="H193" i="1" s="1"/>
  <c r="H196" i="1"/>
  <c r="H267" i="1"/>
  <c r="G271" i="1"/>
  <c r="H49" i="1"/>
  <c r="F175" i="1"/>
  <c r="H175" i="1" s="1"/>
  <c r="H177" i="1"/>
  <c r="H229" i="1"/>
  <c r="H256" i="1"/>
  <c r="F117" i="1"/>
  <c r="H117" i="1" s="1"/>
  <c r="H118" i="1"/>
  <c r="H219" i="1"/>
  <c r="G62" i="1"/>
  <c r="H62" i="1" s="1"/>
  <c r="H82" i="1"/>
  <c r="F99" i="1"/>
  <c r="H99" i="1" s="1"/>
  <c r="F197" i="1"/>
  <c r="F274" i="1"/>
  <c r="F271" i="1" s="1"/>
  <c r="F270" i="1" s="1"/>
  <c r="F82" i="1"/>
  <c r="F62" i="1" s="1"/>
  <c r="F135" i="1"/>
  <c r="H135" i="1" s="1"/>
  <c r="F256" i="1"/>
  <c r="F123" i="1"/>
  <c r="H123" i="1" s="1"/>
  <c r="F236" i="1"/>
  <c r="H236" i="1" s="1"/>
  <c r="F11" i="1" l="1"/>
  <c r="H12" i="1"/>
  <c r="F30" i="1"/>
  <c r="H32" i="1"/>
  <c r="F128" i="1"/>
  <c r="H128" i="1" s="1"/>
  <c r="F60" i="1"/>
  <c r="F59" i="1" s="1"/>
  <c r="H274" i="1"/>
  <c r="G270" i="1"/>
  <c r="H270" i="1" s="1"/>
  <c r="H271" i="1"/>
  <c r="F56" i="1"/>
  <c r="H56" i="1" s="1"/>
  <c r="H57" i="1"/>
  <c r="F92" i="1"/>
  <c r="H92" i="1" s="1"/>
  <c r="H93" i="1"/>
  <c r="G60" i="1"/>
  <c r="H60" i="1" s="1"/>
  <c r="F29" i="1" l="1"/>
  <c r="H29" i="1" s="1"/>
  <c r="H30" i="1"/>
  <c r="H129" i="1"/>
  <c r="F10" i="1"/>
  <c r="H11" i="1"/>
  <c r="G59" i="1"/>
  <c r="G283" i="1" s="1"/>
  <c r="H10" i="1" l="1"/>
  <c r="F283" i="1"/>
  <c r="H283" i="1" s="1"/>
  <c r="H59" i="1"/>
</calcChain>
</file>

<file path=xl/sharedStrings.xml><?xml version="1.0" encoding="utf-8"?>
<sst xmlns="http://schemas.openxmlformats.org/spreadsheetml/2006/main" count="544" uniqueCount="386">
  <si>
    <t>% виконання</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</si>
  <si>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</si>
  <si>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</si>
  <si>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</si>
  <si>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</si>
  <si>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0600000</t>
  </si>
  <si>
    <t>0610000</t>
  </si>
  <si>
    <t>3700000</t>
  </si>
  <si>
    <t>3710000</t>
  </si>
  <si>
    <t>0180</t>
  </si>
  <si>
    <t>ВСЬОГО</t>
  </si>
  <si>
    <t>(код бюджету)</t>
  </si>
  <si>
    <t>0200000</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</si>
  <si>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</si>
  <si>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</si>
  <si>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</si>
  <si>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</si>
  <si>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</si>
  <si>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</si>
  <si>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0731</t>
  </si>
  <si>
    <t>Багатопрофільна стаціонарна медична допомога населенню</t>
  </si>
  <si>
    <t>6030</t>
  </si>
  <si>
    <t>0620</t>
  </si>
  <si>
    <t>Організація благоустрою населених пунктів</t>
  </si>
  <si>
    <t>0490</t>
  </si>
  <si>
    <t>0611021</t>
  </si>
  <si>
    <t>1021</t>
  </si>
  <si>
    <t>0921</t>
  </si>
  <si>
    <t>Капітальні видатки разом, в т.ч.:</t>
  </si>
  <si>
    <t>0610</t>
  </si>
  <si>
    <t>1200000</t>
  </si>
  <si>
    <t>1210000</t>
  </si>
  <si>
    <t>Експлуатація та технічне обслуговування житлового фонду</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</si>
  <si>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</si>
  <si>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</si>
  <si>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</si>
  <si>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</si>
  <si>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</si>
  <si>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</si>
  <si>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</si>
  <si>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</si>
  <si>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1216030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</si>
  <si>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</si>
  <si>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</si>
  <si>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</si>
  <si>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</si>
  <si>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</si>
  <si>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0470</t>
  </si>
  <si>
    <t>Заходи з енергозбереження</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</si>
  <si>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</si>
  <si>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</si>
  <si>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</si>
  <si>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</si>
  <si>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1500000</t>
  </si>
  <si>
    <t>1510000</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</si>
  <si>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</si>
  <si>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0443</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</si>
  <si>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</si>
  <si>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покрівлі багатоквартирного будинку за адресою: м.Чорноморськ вул.Корабельна, 4б</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</si>
  <si>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</si>
  <si>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</si>
  <si>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</si>
  <si>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</si>
  <si>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</si>
  <si>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</si>
  <si>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(ремонт вхідних груп, ремонт відмостки) за адресою: м.Чорноморськ, вул.В.Шума, 15</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</si>
  <si>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</si>
  <si>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</si>
  <si>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</si>
  <si>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за адресою: м.Чорноморськ, вул.1 Травня, 13</t>
  </si>
  <si>
    <t>Капітальний ремонт (заміна вікон) в багатоквартирному будинку за адресою: Одеська область, Одеський район, м.Чорноморськ, вул.Парусна, 13/1 (ЖБК "Квант-1")</t>
  </si>
  <si>
    <t>Капітальний ремонт (заміна) ліфтів за адресою: м. Чорноморськ, вул.Парусна, 16</t>
  </si>
  <si>
    <t>Капітальний ремонт (заміна) ліфтів за адресою: м. Чорноморськ, пр.Миру, 28</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</si>
  <si>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</si>
  <si>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</si>
  <si>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Капітальний ремонт (заміна вікон) у багатоквартирному будинку за адресою: м.Чорноморськ, вул.Олександрійська, 18 А</t>
  </si>
  <si>
    <t>Виконавчий комітет Чорноморської  міської ради  Одеського району Одеської області</t>
  </si>
  <si>
    <t>1516011</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</si>
  <si>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</si>
  <si>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</si>
  <si>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</si>
  <si>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1518110</t>
  </si>
  <si>
    <t>8110</t>
  </si>
  <si>
    <t>Заходи із запобігання та ліквідації надзвичайних ситуацій та наслідків стихійного лиха</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</si>
  <si>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</si>
  <si>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Субвенція з місцевого бюджету державному бюджету на виконання програм соціально-економічного розвитку регіонів</t>
  </si>
  <si>
    <t>Начальник фінансового управління</t>
  </si>
  <si>
    <t>Ольга ЯКОВЕНКО</t>
  </si>
  <si>
    <t>0320</t>
  </si>
  <si>
    <t>1000000</t>
  </si>
  <si>
    <t>1010000</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</si>
  <si>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</si>
  <si>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Міська цільова соціальна програма розвитку цивільного захисту Чорноморської міської територіальної громади на 2021-2025 роки</t>
  </si>
  <si>
    <t>1100000</t>
  </si>
  <si>
    <t>Вiддiл молодi та спорту Чорноморської мiської ради Одеського району Одеської областi</t>
  </si>
  <si>
    <t>1110000</t>
  </si>
  <si>
    <t>1110160</t>
  </si>
  <si>
    <t>0160</t>
  </si>
  <si>
    <t>Керівництво і управління у відповідній сфері у містах (місті Києві), селищах, селах, територіальних громадах</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</si>
  <si>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</si>
  <si>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0212010</t>
  </si>
  <si>
    <t>2010</t>
  </si>
  <si>
    <t/>
  </si>
  <si>
    <t>Управління освiти Чорноморської мiської ради Одеського району Одеської областi</t>
  </si>
  <si>
    <t>Надання загальної середньої освіти закладами загальної середньої освіти за рахунок коштів місцевого бюджету</t>
  </si>
  <si>
    <t>0800000</t>
  </si>
  <si>
    <t>Управлiння соцiальної полiтики Чорноморської мiської ради Одеського району Одеської областi</t>
  </si>
  <si>
    <t>0810000</t>
  </si>
  <si>
    <t>0810160</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</si>
  <si>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</si>
  <si>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</si>
  <si>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</si>
  <si>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</si>
  <si>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</si>
  <si>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</si>
  <si>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</si>
  <si>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</si>
  <si>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</si>
  <si>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</si>
  <si>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Вiддiл культури Чорноморської мiської ради Одеського району Одеської областi</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</si>
  <si>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</si>
  <si>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</si>
  <si>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</si>
  <si>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</si>
  <si>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</si>
  <si>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</si>
  <si>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</si>
  <si>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</si>
  <si>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Вiддiл комунального господарства та благоустрою Чорноморської мiської ради Одеського району Одеської областi</t>
  </si>
  <si>
    <t>1210160</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</si>
  <si>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</si>
  <si>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</si>
  <si>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</si>
  <si>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</si>
  <si>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</si>
  <si>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</si>
  <si>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Видатки з благоустрою - придбання техніки з обслуговування об'єктів благоустрою - фонтанів</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</si>
  <si>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</si>
  <si>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</si>
  <si>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Управлiння капiтального будiвництва Чорноморської мiської ради Одеського району Одеської областi</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</si>
  <si>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</si>
  <si>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6011</t>
  </si>
  <si>
    <t>Капітальний ремонт електромереж та заміна ВРЩ в багатоквартирному  будинку за адресою: м.Чорноморськ,  вул.Праці, 3</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</si>
  <si>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</si>
  <si>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</si>
  <si>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</si>
  <si>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</si>
  <si>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1516013</t>
  </si>
  <si>
    <t>6013</t>
  </si>
  <si>
    <t>1516015</t>
  </si>
  <si>
    <t>1516030</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</si>
  <si>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</si>
  <si>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1517370</t>
  </si>
  <si>
    <t>7370</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</si>
  <si>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</si>
  <si>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</si>
  <si>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</si>
  <si>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1517640</t>
  </si>
  <si>
    <t>7640</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</si>
  <si>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</si>
  <si>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</si>
  <si>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</si>
  <si>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</si>
  <si>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</si>
  <si>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</si>
  <si>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</si>
  <si>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3100000</t>
  </si>
  <si>
    <t>Управлiння комунальної власностi та земельних вiдносин Чорноморської мiської ради Одеського району Одеської областi</t>
  </si>
  <si>
    <t>3110000</t>
  </si>
  <si>
    <t>3110160</t>
  </si>
  <si>
    <t>3117693</t>
  </si>
  <si>
    <t>7693</t>
  </si>
  <si>
    <t>Інші заходи, пов'язані з економічною діяльністю</t>
  </si>
  <si>
    <t>Фiнансове управлiння Чорноморської мiської ради Одеського району Одеської областi</t>
  </si>
  <si>
    <t>3719800</t>
  </si>
  <si>
    <t>9800</t>
  </si>
  <si>
    <t>Додаток 6</t>
  </si>
  <si>
    <t>до рішення Чорноморської міської ради</t>
  </si>
  <si>
    <t>0218210</t>
  </si>
  <si>
    <t>2100</t>
  </si>
  <si>
    <t>0722</t>
  </si>
  <si>
    <t>0380</t>
  </si>
  <si>
    <t>0212100</t>
  </si>
  <si>
    <t>Муніципальні формування з охорони громадського порядку</t>
  </si>
  <si>
    <t>Стоматологічна допомога населенню</t>
  </si>
  <si>
    <t>0813221</t>
  </si>
  <si>
    <t>0813222</t>
  </si>
  <si>
    <t>0813223</t>
  </si>
  <si>
    <t>3221</t>
  </si>
  <si>
    <t>3222</t>
  </si>
  <si>
    <t>3223</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</si>
  <si>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</si>
  <si>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</si>
  <si>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</si>
  <si>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</si>
  <si>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в багатоквартирному будинку за адресою: м.Чорноморськ, вул.Парусна, 3-Б (ОСББ "Фієста")</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</si>
  <si>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</si>
  <si>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</si>
  <si>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Придбання засувки Д 600 мм з обгумованим клином для заміни на водогоні Д 700 мм</t>
  </si>
  <si>
    <t>Придбання засувок Д 500 мм з обгумованим клином для заміни на водопровідних мережах</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</si>
  <si>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</si>
  <si>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</si>
  <si>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</si>
  <si>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</si>
  <si>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</si>
  <si>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</si>
  <si>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</si>
  <si>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</si>
  <si>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</si>
  <si>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</si>
  <si>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</si>
  <si>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</si>
  <si>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</si>
  <si>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</si>
  <si>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 xml:space="preserve">Міська цільова програма фінансової підтримки Іллічівського міського суду Одеської області на 2023 рік </t>
  </si>
  <si>
    <t>Виконавчий комітет</t>
  </si>
  <si>
    <t>Бурлачобалківська сільська адміністрація</t>
  </si>
  <si>
    <t>0212111</t>
  </si>
  <si>
    <t>2111</t>
  </si>
  <si>
    <t>0726</t>
  </si>
  <si>
    <t>Первинна медична допомога населенню, що надається центрами первинної медичної (медико-санітарної) допомоги</t>
  </si>
  <si>
    <t>8210</t>
  </si>
  <si>
    <t>0611010</t>
  </si>
  <si>
    <t>1010</t>
  </si>
  <si>
    <t>0910</t>
  </si>
  <si>
    <t>Надання дошкільної освіти</t>
  </si>
  <si>
    <t>0990</t>
  </si>
  <si>
    <t>0618110</t>
  </si>
  <si>
    <t>1060</t>
  </si>
  <si>
    <t>0900000</t>
  </si>
  <si>
    <t>Служба у справах дітей Чорноморської мiської ради Одеського району Одеської областi</t>
  </si>
  <si>
    <t>0910000</t>
  </si>
  <si>
    <t>0910160</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</si>
  <si>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</si>
  <si>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</si>
  <si>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</si>
  <si>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 xml:space="preserve">Капітальний ремонт житлового фонду </t>
  </si>
  <si>
    <t>Капітальний ремонт ліфту під'їзду № 1 житлового будинку за адресою: Одеська область, Одеський район, м.Чорноморськ, вул.Лазурна, 5 (ОСББ "ЛАЗУРНА 5")</t>
  </si>
  <si>
    <t>Реконструкція каналізаційного трубопроводу Д150 мм за адресою: Одеська область, Одеський район, м.Чорноморськ, вул.Корабельна, 10</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</si>
  <si>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</si>
  <si>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</si>
  <si>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Придбання витратоміру Д 500 мм для встановлення на вузлі обліку води в с. В. Дальник,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</si>
  <si>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</si>
  <si>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</si>
  <si>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</si>
  <si>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</si>
  <si>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</si>
  <si>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Капітальний ремонт (заміна вікон та дверей) у багатоквартирному будинку за адресою: м.Чорноморськ, вул. Парусна, 6</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</si>
  <si>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</si>
  <si>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</si>
  <si>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Найменування робіт</t>
  </si>
  <si>
    <t>Малодолинська сільська адміністрація</t>
  </si>
  <si>
    <t>Олександрівська селищна адміністрація</t>
  </si>
  <si>
    <t>Придбання медичного та іншого обладнання для реабілітаційного відділення КНП "Чорноморська лікарня"</t>
  </si>
  <si>
    <t xml:space="preserve">Реконструкція частини приміщення акушерського відділення КНП "Чорноморська лікарня" Чорноморської міської ради Одеського району Одеської області за адресою: м.Чорноморськ, вул.В.Шума, 4 </t>
  </si>
  <si>
    <t xml:space="preserve">Реконструкція приміщення дитячого відділення КНП "Чорноморська лікарня" Чорноморської міської ради Одеського району Одеської області за адресою: м.Чорноморськ, вул.В.Шума, 4 </t>
  </si>
  <si>
    <t>0216030</t>
  </si>
  <si>
    <t>0218230</t>
  </si>
  <si>
    <t>8230</t>
  </si>
  <si>
    <t>Інші заходи громадського порядку та безпеки</t>
  </si>
  <si>
    <t>0218240</t>
  </si>
  <si>
    <t>8240</t>
  </si>
  <si>
    <t>Заходи та роботи з територіальної оборони</t>
  </si>
  <si>
    <t>Реконструкція системи пожежної сигналізації (СПС), системи оповіщення про пожежу та управління евакуацією людей на об'єкті "Технічне переоснащення системи протипожежного захисту - системи пожежної сигналізації і системи оповіщення про пожежу та управління евакуацією людей загальноосвітньої школи" за адресою: Одеська область, Одеський район, м.Чорноморськ, с.Малодолинське, вул.Зелена, 2</t>
  </si>
  <si>
    <t>Реконструкція системи пожежної сигналізації, системи оповіщення про пожежу та управління евакуацією людей на об’єкті: «Технічне переоснащення системи протипожежного захисту: установка системи пожежної сигналізації і системи оповіщення про пожежу та управління евакуацією людей Чорноморської загальноосвітньої школи №7 Чорноморської міської ради, за адресою: Одеська область. Одеський район, м. Чорноморську проспект Миру, 43-А</t>
  </si>
  <si>
    <t>0611070</t>
  </si>
  <si>
    <t>1070</t>
  </si>
  <si>
    <t>0960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</si>
  <si>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</si>
  <si>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</si>
  <si>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</si>
  <si>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</si>
  <si>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0617372</t>
  </si>
  <si>
    <t>7372</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</si>
  <si>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</si>
  <si>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0916083</t>
  </si>
  <si>
    <t>Реконструкція систем центрального опалення в багатоквартирних будинках за адресами: м. Чорноморськ, вул. Данченка, 3-Б</t>
  </si>
  <si>
    <t>Реконструкція систем центрального опалення в багатоквартирних будинках за адресами: м. Чорноморськ, вул. 1 Травня, 2</t>
  </si>
  <si>
    <t>Капітальний ремонт системи протипожежної безпеки багатоквартирного будинку підвищеної поверховості за адресою: м.Чорноморськ, проспект Миру, 35-Б  (розробка проектно-кошторисної документації)</t>
  </si>
  <si>
    <t>Капітальний ремонт системи протипожежної безпеки багатоквартирного будинку підвищеної поверховості за адресою: м.Чорноморськ, проспект Миру, 35-Г  (розробка проектно-кошторисної документації)</t>
  </si>
  <si>
    <t>Капітальний ремонт мереж водопостачання багатоквартирного житлового будинку за адресою: м.Чорноморськ, вул.Олександрійська, 20</t>
  </si>
  <si>
    <t>Капітальний ремонт мереж водопостачання багатоквартирного житлового будинку за адресою: м.Чорноморськ, вул.Олександрійська, 22</t>
  </si>
  <si>
    <t>Капітальний ремонт мереж водопостачання багатоквартирного житлового будинку за адресою: м.Чорноморськ, вул.Олександрійська, 24</t>
  </si>
  <si>
    <t>Придбання обладнання для ремонту внутрішньобудинкових електричних мереж в багатоквартирних будинках</t>
  </si>
  <si>
    <t>Капітальний ремонт фасаду житлового будинку за адресою: Одеська область, Одеський район, м.Чорноморськ, вул.Паркова, 22-А (ОСББ "Паркова - 22-А"). Коригування</t>
  </si>
  <si>
    <t>Капітальний ремонт покрівлі житлового будинку за адресою: Одеська область, Одеський район, м.Чорноморськ, вул.1 Травня, 10-Б (ОСББ "Будинки АББО"). Коригування</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</si>
  <si>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 Коригування</t>
  </si>
  <si>
    <t>1216013</t>
  </si>
  <si>
    <t>Капітальні видаткм</t>
  </si>
  <si>
    <t>Капітальний ремонт (заміна) ліфту у 3му під'їзді житлового будинку за адресою: Одеська область, Одеський район, м.Чорноморськ, пр. Миру, 30 (ОСББ "Мирний 30")</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</si>
  <si>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</si>
  <si>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</si>
  <si>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</si>
  <si>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</si>
  <si>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7310</t>
  </si>
  <si>
    <t>Будівництво об'єктів житлово-комунального господарства</t>
  </si>
  <si>
    <t>Придбання матеріалів та обладнання в рамках реалізації демо-проєкту "Технічне переобладнання системи очищення каналізаційних стічних вод міста Чорноморськ Одеського району Одеської області" (співфінансування)</t>
  </si>
  <si>
    <t>Будівництво колектора зливової каналізації довжиною 925м від вул.Данченка до вул. 1-го Травня в м.Чорноморськ Одеської області (коригування проєкту)</t>
  </si>
  <si>
    <t>Реконструкція магістральної теплової камери МК-32 на перехресті вулиць 1 Травня - Середня в м.Чорноморськ Одеської області</t>
  </si>
  <si>
    <t>Реконструкція ГКНС, що розташована за адресою: Одеська область, Одеський район, м.Чорноморськ, вул.Паркова, 23 (проектні роботи)</t>
  </si>
  <si>
    <t>Будівництво зливної станції рідких відходів за адресою: Одеська область, Одеський район, Дальницька сільська рада, комплекс будівель і споруд № 2 (за межами населеного пункту) (проектні роботи)</t>
  </si>
  <si>
    <t>7670</t>
  </si>
  <si>
    <t>Внески до статутного капіталу суб'єктів господарювання</t>
  </si>
  <si>
    <t>Придбання спеціалізованої техніки КП "МУЖКГ"</t>
  </si>
  <si>
    <t>Капітальні трансферти на поповнення статутного капіталу на оновлення основних засобів КП "МУЖКГ"</t>
  </si>
  <si>
    <t>Придбання спеціалізованої техніки КП "Зеленгосп"</t>
  </si>
  <si>
    <t>Фінансова підтримка КП "Чорноморськводоканал"</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</si>
  <si>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</si>
  <si>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1218761</t>
  </si>
  <si>
    <t>8761</t>
  </si>
  <si>
    <t>0540</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</si>
  <si>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</si>
  <si>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</si>
  <si>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1512111</t>
  </si>
  <si>
    <t>Капітальний ремонт вбиральні відділення сімейної медицини поліклініки № 1 КНП "Чорноморський міський центр первинної медико-санітарної допомоги", розташованої за адресою: Одеська область, Одеський район, м.Чорноморськ, селище Олександрівка, вулиця Перемоги, 64</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</si>
  <si>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</si>
  <si>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вимощення) за адресою: м.Чорноморськ, вул.Данченка, 22</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</si>
  <si>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</si>
  <si>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</si>
  <si>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</si>
  <si>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</si>
  <si>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</si>
  <si>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</si>
  <si>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</si>
  <si>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</si>
  <si>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</si>
  <si>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</si>
  <si>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t>Капітальний ремонт мереж електропостачання багатоквартирного житлового будинку за адресою: м.Чорноморськ, вул.Паркова, 36</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</si>
  <si>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</si>
  <si>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</si>
  <si>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</si>
  <si>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</si>
  <si>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12</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</si>
  <si>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16</t>
  </si>
  <si>
    <t>Капітальний ремонт багатоквартирного будинку (ремонт вимощення) за адресою: м.Чорноморськ, вул.Шевченка, 13</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</si>
  <si>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</si>
  <si>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</si>
  <si>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</si>
  <si>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</si>
  <si>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 xml:space="preserve">Капітальний ремонт магістральної теплової мережі на ділянці по вул.Торговій (р-н ринку "Ранковий") в м.Чорноморськ Одеської області. Коригування </t>
  </si>
  <si>
    <t>Придбання затворів (засувок) з демонтажними вставками для заміни на водогонах</t>
  </si>
  <si>
    <t>Придбання насосу для заміни на ГКНС м.Чорноморська</t>
  </si>
  <si>
    <t xml:space="preserve">Реконструкція водопровідної мережі по вул. Затишна в смт. Олександрівка,  м. Чорноморськ, Одеського району, Одеської області </t>
  </si>
  <si>
    <t>Реконструкція водопровідної мережі по вул. Єдності в смт. Олександрівка,  м. Чорноморськ, Одеського району, Одеської області</t>
  </si>
  <si>
    <t>Реконструкція водопровідної мережі по вул. Набережній в смт. Олександрівка,  м. Чорноморськ, Одеського району, Одеської області</t>
  </si>
  <si>
    <t>Капітальний ремонт первинного відстійника на каналізаційних очисних спорудах м.Чорноморська за адресою: Одеська область, Одеський район, Дальницька сільська рада, комплекс будівель і споруд № 2 (за межами населеного пункту)</t>
  </si>
  <si>
    <t>Капітальний ремонт приймальної камери та лотків на каналізаційних очисних спорудах м.Чорноморська, що розташовані за адресою: Одеська область, Одеський район, Дальницька сільська рада, комплекс будівель та споруд №2 (за межами населеного пункту)</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</si>
  <si>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</si>
  <si>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</si>
  <si>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</si>
  <si>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</si>
  <si>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</si>
  <si>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Реконструкція каналізаційних очисних споруд м.Чорноморська за адресою: Одеська обл., Овідіопольський район, Дальницька сільська рада, комплекс будівель та споруд № 2 (за межами населеного пункту)/Придбання мулошкребу для заміни на первинному відстійнику КОС</t>
  </si>
  <si>
    <t xml:space="preserve">Реконструкція вводу водопроводу на НС по вул.Парусній, 5-А в м.Чорноморську  Одеського району Одеської області </t>
  </si>
  <si>
    <t>Реконструкція мереж водопроводу, що проходить по пр.Мира від будинку №12 до будинку №18 (перемичка через дорогу) у м.Чорноморську Одеського району Одеської області</t>
  </si>
  <si>
    <t>Будівництво (буріння) артезіанської свердловини на території котельні № 2 за адресою: м.Чорноморськ, вул.Садова, 1</t>
  </si>
  <si>
    <t>Будівництво (буріння) артезіанської свердловини за адресою: Одеська область, Одеський район, с.Малодолинське, вул.Вишнева, 1-н</t>
  </si>
  <si>
    <t>Капітальний ремонт ділянки водогону Dn 700мм, що розташований за адресою: Одеська область, Одеський район, м.Чорноморськ, перехрестя вул. Перемоги - вул. Транспортної</t>
  </si>
  <si>
    <t>Реконструкція напірного каналізаційного колектору за адресою: Одеська область, Одеський район, м.Чорноморськ, від вул.Космонавтів, 59Г в с.Малодолинське до вул.Світла, 51 в смт.Олександрівка (проектні роботи, проведення експертизи проекту)</t>
  </si>
  <si>
    <t>Реконструкція  каналізаційного трубопроводу Д 160 мм за адресою: Одеська область, Одеський район, м.Чорноморськ, вул.Хантадзе, 2</t>
  </si>
  <si>
    <t>Реконструкція існуючого стадіону за адресою: Одеська область, Одеський район, місто Чорноморськ, вулиця Набережна, 2</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</si>
  <si>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</si>
  <si>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</si>
  <si>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t>Капітальний ремонт (заміна вікон) в багатоквартирному будинку за адресою: м.Чорноморськ, проспект Миру, 3</t>
  </si>
  <si>
    <t>Капітальний ремонт (заміна вікон) в багатоквартирному будинку за адресою: м.Чорноморськ, проспект Миру, 3а</t>
  </si>
  <si>
    <t>Капітальний ремонт (заміна вікон) в багатоквартирному будинку за адресою: м.Чорноморськ, проспект Миру, 5а</t>
  </si>
  <si>
    <t>Капітальний ремонт (заміна вікон) в багатоквартирному будинку за адресою: м.Чорноморськ, проспект Миру, 7</t>
  </si>
  <si>
    <t>Капітальний ремонт (заміна вікон) в багатоквартирному  будинку за адресою: м.Чорноморськ, вул. 1 Травня, 17 (2-5п.)</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</si>
  <si>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</si>
  <si>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3710160</t>
  </si>
  <si>
    <t>3719770</t>
  </si>
  <si>
    <t>9770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</si>
  <si>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</si>
  <si>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 / Капітальні видатки</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</si>
  <si>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</si>
  <si>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</si>
  <si>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r>
      <t xml:space="preserve">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 / </t>
    </r>
    <r>
      <rPr>
        <i/>
        <sz val="12"/>
        <rFont val="Times New Roman"/>
        <family val="1"/>
        <charset val="204"/>
      </rPr>
      <t>Капітальні видатки</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</si>
  <si>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2"/>
        <color theme="1"/>
        <rFont val="Times New Roman"/>
        <family val="1"/>
        <charset val="204"/>
      </rPr>
      <t>вул.Данченка, 3-Б (розробка проектно-кошторисної документації)</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</si>
  <si>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2"/>
        <color theme="1"/>
        <rFont val="Times New Roman"/>
        <family val="1"/>
        <charset val="204"/>
      </rPr>
      <t>вул.1 Травня, 2  (розробка проектно-кошторисної документації)</t>
    </r>
  </si>
  <si>
    <r>
      <t>Капітальний ремонт багатоквартирного будинку (внутрішньобудинкових мереж) за адресою: м.Чорноморсь</t>
    </r>
    <r>
      <rPr>
        <sz val="12"/>
        <rFont val="Times New Roman"/>
        <family val="1"/>
        <charset val="204"/>
      </rPr>
      <t>к, вул.Парусна, 4а</t>
    </r>
  </si>
  <si>
    <r>
      <t>Реконструкція ділянки каналізаційного колектора Dn 200 мм за адресою: від вул.Данченка, 5 до пр-ту Миру, 11 в м.Чорноморську  Одеського району  Одеської області</t>
    </r>
    <r>
      <rPr>
        <sz val="12"/>
        <color rgb="FFFF0000"/>
        <rFont val="Times New Roman"/>
        <family val="1"/>
        <charset val="204"/>
      </rPr>
      <t xml:space="preserve"> </t>
    </r>
  </si>
  <si>
    <r>
      <t>Капітальний ремонт (заміна вікон) в багатоквартирному будинку за адресою: м.Чорноморськ, вул.Корабельн</t>
    </r>
    <r>
      <rPr>
        <sz val="12"/>
        <rFont val="Times New Roman"/>
        <family val="1"/>
        <charset val="204"/>
      </rPr>
      <t>а, 3</t>
    </r>
  </si>
  <si>
    <t>від                          2024 №                       - VІII</t>
  </si>
  <si>
    <t>Затверджено розписом на звітний рік з урахуванням змін, грн</t>
  </si>
  <si>
    <t>Виконано за звітний період (рік), грн</t>
  </si>
  <si>
    <t xml:space="preserve">Звіт про використання коштів бюджету розвитку у складі бюджету Чорноморської міської територіальної громади  за 2023 рік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</si>
</sst>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_-* #,##0.00_р_._-;\-* #,##0.00_р_._-;_-* &quot;-&quot;??_р_._-;_-@_-"/>
    <numFmt numFmtId="166" formatCode="0.0%"/>
  </numFmts>
  <fonts count="23">
    <font>
      <sz val="11"/>
      <color theme="1"/>
      <name val="Calibri"/>
      <family val="2"/>
      <charset val="204"/>
      <scheme val="minor"/>
    </font>
    <font>
      <sz val="10"/>
      <name val="Arial Cyr"/>
      <charset val="204"/>
    </font>
    <font>
      <b/>
      <sz val="12"/>
      <name val="Times New Roman"/>
      <family val="1"/>
      <charset val="204"/>
    </font>
    <font>
      <sz val="12"/>
      <name val="Times New Roman"/>
      <family val="1"/>
      <charset val="204"/>
    </font>
    <font>
      <sz val="10"/>
      <color theme="1"/>
      <name val="Calibri"/>
      <family val="2"/>
      <charset val="204"/>
      <scheme val="minor"/>
    </font>
    <font>
      <sz val="11"/>
      <color indexed="8"/>
      <name val="Calibri"/>
      <family val="2"/>
      <charset val="204"/>
    </font>
    <font>
      <sz val="13"/>
      <color indexed="12"/>
      <name val="Times New Roman"/>
      <family val="1"/>
    </font>
    <font>
      <sz val="14"/>
      <name val="Times New Roman"/>
      <family val="1"/>
      <charset val="204"/>
    </font>
    <font>
      <b/>
      <sz val="16"/>
      <name val="Times New Roman"/>
      <family val="1"/>
      <charset val="204"/>
    </font>
    <font>
      <sz val="16"/>
      <name val="Times New Roman"/>
      <family val="1"/>
      <charset val="204"/>
    </font>
    <font>
      <u/>
      <sz val="10"/>
      <color indexed="12"/>
      <name val="Arial Cyr"/>
      <charset val="204"/>
    </font>
    <font>
      <b/>
      <sz val="10"/>
      <name val="Times New Roman"/>
      <family val="1"/>
    </font>
    <font>
      <sz val="10"/>
      <name val="Times New Roman"/>
      <family val="1"/>
    </font>
    <font>
      <sz val="10"/>
      <color theme="1"/>
      <name val="Times New Roman"/>
      <family val="1"/>
      <charset val="204"/>
    </font>
    <font>
      <sz val="10"/>
      <color rgb="FF000000"/>
      <name val="Arimo"/>
    </font>
    <font>
      <sz val="11"/>
      <color theme="1"/>
      <name val="Calibri"/>
      <family val="2"/>
      <scheme val="minor"/>
    </font>
    <font>
      <sz val="11"/>
      <color theme="1"/>
      <name val="Calibri"/>
      <family val="2"/>
      <charset val="204"/>
      <scheme val="minor"/>
    </font>
    <font>
      <sz val="12"/>
      <name val="Arial Cyr"/>
      <charset val="204"/>
    </font>
    <font>
      <sz val="10"/>
      <name val="Helv"/>
      <charset val="204"/>
    </font>
    <font>
      <sz val="12"/>
      <color theme="1"/>
      <name val="Times New Roman"/>
      <family val="1"/>
      <charset val="204"/>
    </font>
    <font>
      <i/>
      <sz val="12"/>
      <name val="Times New Roman"/>
      <family val="1"/>
      <charset val="204"/>
    </font>
    <font>
      <i/>
      <sz val="12"/>
      <color theme="1"/>
      <name val="Times New Roman"/>
      <family val="1"/>
      <charset val="204"/>
    </font>
    <font>
      <sz val="12"/>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C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2">
    <xf numFmtId="0" fontId="0" fillId="0" borderId="0"/>
    <xf numFmtId="0" fontId="1" fillId="0" borderId="0"/>
    <xf numFmtId="165" fontId="1" fillId="0" borderId="0" applyFont="0" applyFill="0" applyBorder="0" applyAlignment="0" applyProtection="0"/>
    <xf numFmtId="0" fontId="4" fillId="0" borderId="0"/>
    <xf numFmtId="0" fontId="5" fillId="0" borderId="0"/>
    <xf numFmtId="0" fontId="10" fillId="0" borderId="0" applyNumberFormat="0" applyFill="0" applyBorder="0" applyAlignment="0" applyProtection="0">
      <alignment vertical="top"/>
      <protection locked="0"/>
    </xf>
    <xf numFmtId="0" fontId="1" fillId="0" borderId="0"/>
    <xf numFmtId="0" fontId="14" fillId="0" borderId="0"/>
    <xf numFmtId="0" fontId="15" fillId="0" borderId="0"/>
    <xf numFmtId="9" fontId="16" fillId="0" borderId="0" applyFont="0" applyFill="0" applyBorder="0" applyAlignment="0" applyProtection="0"/>
    <xf numFmtId="164" fontId="16" fillId="0" borderId="0" applyFont="0" applyFill="0" applyBorder="0" applyAlignment="0" applyProtection="0"/>
    <xf numFmtId="0" fontId="18" fillId="0" borderId="0"/>
  </cellStyleXfs>
  <cellXfs count="87">
    <xf numFmtId="0" fontId="0" fillId="0" borderId="0" xfId="0"/>
    <xf numFmtId="0" fontId="7" fillId="2" borderId="0" xfId="0" applyFont="1" applyFill="1"/>
    <xf numFmtId="0" fontId="7" fillId="2" borderId="0" xfId="0" applyFont="1" applyFill="1" applyAlignment="1">
      <alignment horizontal="center"/>
    </xf>
    <xf numFmtId="0" fontId="7" fillId="2" borderId="0" xfId="0" applyFont="1" applyFill="1" applyAlignment="1">
      <alignment horizontal="left" vertical="center"/>
    </xf>
    <xf numFmtId="0" fontId="9" fillId="2" borderId="0" xfId="0" applyFont="1" applyFill="1"/>
    <xf numFmtId="0" fontId="8" fillId="2" borderId="0" xfId="0" applyFont="1" applyFill="1" applyAlignment="1">
      <alignment horizontal="center" vertical="center" wrapText="1"/>
    </xf>
    <xf numFmtId="0" fontId="12" fillId="0" borderId="5" xfId="5" applyFont="1" applyBorder="1" applyAlignment="1" applyProtection="1">
      <alignment horizontal="left"/>
    </xf>
    <xf numFmtId="0" fontId="11" fillId="0" borderId="0" xfId="5" applyFont="1" applyAlignment="1" applyProtection="1">
      <alignment horizontal="center"/>
    </xf>
    <xf numFmtId="9" fontId="6" fillId="2" borderId="0" xfId="9" applyFont="1" applyFill="1" applyAlignment="1">
      <alignment horizontal="left"/>
    </xf>
    <xf numFmtId="9" fontId="7" fillId="2" borderId="0" xfId="9" applyFont="1" applyFill="1"/>
    <xf numFmtId="9" fontId="7" fillId="2" borderId="0" xfId="9" applyFont="1" applyFill="1" applyAlignment="1">
      <alignment horizontal="center"/>
    </xf>
    <xf numFmtId="9" fontId="7" fillId="2" borderId="0" xfId="9" applyFont="1" applyFill="1" applyAlignment="1">
      <alignment horizontal="left" vertical="center"/>
    </xf>
    <xf numFmtId="9" fontId="7" fillId="2" borderId="0" xfId="9" applyFont="1" applyFill="1" applyAlignment="1"/>
    <xf numFmtId="9" fontId="7" fillId="2" borderId="0" xfId="9" applyFont="1" applyFill="1" applyAlignment="1">
      <alignment wrapText="1"/>
    </xf>
    <xf numFmtId="49" fontId="2" fillId="2" borderId="1" xfId="0" applyNumberFormat="1" applyFont="1" applyFill="1" applyBorder="1" applyAlignment="1">
      <alignment horizontal="center"/>
    </xf>
    <xf numFmtId="0" fontId="3" fillId="2" borderId="0" xfId="0" applyFont="1" applyFill="1"/>
    <xf numFmtId="49" fontId="3" fillId="2" borderId="1" xfId="0" applyNumberFormat="1" applyFont="1" applyFill="1" applyBorder="1" applyAlignment="1">
      <alignment horizontal="center"/>
    </xf>
    <xf numFmtId="49" fontId="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1" xfId="0" quotePrefix="1" applyFont="1" applyFill="1" applyBorder="1" applyAlignment="1">
      <alignment vertical="center" wrapText="1"/>
    </xf>
    <xf numFmtId="0" fontId="3" fillId="2" borderId="1" xfId="0" applyFont="1" applyFill="1" applyBorder="1" applyAlignment="1">
      <alignment horizontal="left" vertical="center" wrapText="1"/>
    </xf>
    <xf numFmtId="49" fontId="20" fillId="2" borderId="1" xfId="0" applyNumberFormat="1" applyFont="1" applyFill="1" applyBorder="1" applyAlignment="1">
      <alignment horizontal="center" vertical="center"/>
    </xf>
    <xf numFmtId="0" fontId="21" fillId="2" borderId="1" xfId="0" applyFont="1" applyFill="1" applyBorder="1" applyAlignment="1">
      <alignment horizontal="center" vertical="center" wrapText="1"/>
    </xf>
    <xf numFmtId="0" fontId="21" fillId="2" borderId="1" xfId="0" quotePrefix="1" applyFont="1" applyFill="1" applyBorder="1" applyAlignment="1">
      <alignment vertical="center" wrapText="1"/>
    </xf>
    <xf numFmtId="0" fontId="20" fillId="2" borderId="1" xfId="0" applyFont="1" applyFill="1" applyBorder="1" applyAlignment="1">
      <alignment horizontal="left" vertical="center" wrapText="1"/>
    </xf>
    <xf numFmtId="49" fontId="19" fillId="2" borderId="1" xfId="0" applyNumberFormat="1" applyFont="1" applyFill="1" applyBorder="1" applyAlignment="1">
      <alignment horizontal="center" vertical="center" wrapText="1"/>
    </xf>
    <xf numFmtId="0" fontId="3" fillId="2" borderId="1" xfId="0" quotePrefix="1" applyFont="1" applyFill="1" applyBorder="1" applyAlignment="1">
      <alignment horizontal="left" vertical="center" wrapText="1"/>
    </xf>
    <xf numFmtId="49" fontId="2" fillId="2" borderId="1" xfId="0" applyNumberFormat="1" applyFont="1" applyFill="1" applyBorder="1" applyAlignment="1">
      <alignment horizontal="center" vertical="center"/>
    </xf>
    <xf numFmtId="0" fontId="2" fillId="2" borderId="1" xfId="4" applyFont="1" applyFill="1" applyBorder="1" applyAlignment="1">
      <alignment horizontal="center" vertical="center" wrapText="1"/>
    </xf>
    <xf numFmtId="0" fontId="3" fillId="2" borderId="1" xfId="4" applyFont="1" applyFill="1" applyBorder="1" applyAlignment="1">
      <alignment horizontal="left" vertical="center" wrapText="1"/>
    </xf>
    <xf numFmtId="49" fontId="21" fillId="2" borderId="1" xfId="0" applyNumberFormat="1" applyFont="1" applyFill="1" applyBorder="1" applyAlignment="1">
      <alignment horizontal="center" vertical="center" wrapText="1"/>
    </xf>
    <xf numFmtId="0" fontId="3" fillId="2" borderId="4" xfId="0" quotePrefix="1" applyFont="1" applyFill="1" applyBorder="1" applyAlignment="1">
      <alignment horizontal="left" vertical="center" wrapText="1"/>
    </xf>
    <xf numFmtId="4" fontId="3" fillId="2" borderId="0" xfId="0" applyNumberFormat="1" applyFont="1" applyFill="1"/>
    <xf numFmtId="0" fontId="19" fillId="0" borderId="6" xfId="0" quotePrefix="1" applyFont="1" applyBorder="1" applyAlignment="1">
      <alignment vertical="center" wrapText="1"/>
    </xf>
    <xf numFmtId="0" fontId="20" fillId="2" borderId="1" xfId="0" quotePrefix="1" applyFont="1" applyFill="1" applyBorder="1" applyAlignment="1">
      <alignment horizontal="left" vertical="center" wrapText="1"/>
    </xf>
    <xf numFmtId="0" fontId="19" fillId="2" borderId="1" xfId="0" applyFont="1" applyFill="1" applyBorder="1" applyAlignment="1">
      <alignment vertical="center" wrapText="1"/>
    </xf>
    <xf numFmtId="0" fontId="3" fillId="2" borderId="6" xfId="0" applyFont="1" applyFill="1" applyBorder="1" applyAlignment="1">
      <alignment horizontal="center" vertical="center" wrapText="1"/>
    </xf>
    <xf numFmtId="0" fontId="19" fillId="0" borderId="1" xfId="0" applyFont="1" applyBorder="1" applyAlignment="1">
      <alignment vertical="center" wrapText="1"/>
    </xf>
    <xf numFmtId="49" fontId="19" fillId="2" borderId="1" xfId="0" applyNumberFormat="1" applyFont="1" applyFill="1" applyBorder="1" applyAlignment="1">
      <alignment vertical="center" wrapText="1"/>
    </xf>
    <xf numFmtId="0" fontId="20" fillId="2" borderId="6" xfId="0" applyFont="1" applyFill="1" applyBorder="1" applyAlignment="1">
      <alignment horizontal="center" vertical="center" wrapText="1"/>
    </xf>
    <xf numFmtId="49" fontId="21" fillId="2" borderId="1" xfId="0" applyNumberFormat="1" applyFont="1" applyFill="1" applyBorder="1" applyAlignment="1">
      <alignment vertical="center" wrapText="1"/>
    </xf>
    <xf numFmtId="0" fontId="21" fillId="0" borderId="1" xfId="0" applyFont="1" applyBorder="1" applyAlignment="1">
      <alignment vertical="center" wrapText="1"/>
    </xf>
    <xf numFmtId="0" fontId="3" fillId="3" borderId="0" xfId="0" applyFont="1" applyFill="1"/>
    <xf numFmtId="0" fontId="19" fillId="2" borderId="1" xfId="0" applyFont="1" applyFill="1" applyBorder="1" applyAlignment="1">
      <alignment wrapText="1"/>
    </xf>
    <xf numFmtId="1" fontId="3" fillId="2" borderId="1" xfId="11" applyNumberFormat="1" applyFont="1" applyFill="1" applyBorder="1" applyAlignment="1">
      <alignment horizontal="left" vertical="top" wrapText="1"/>
    </xf>
    <xf numFmtId="0" fontId="3" fillId="2" borderId="1" xfId="0" quotePrefix="1" applyFont="1" applyFill="1" applyBorder="1" applyAlignment="1">
      <alignment vertical="center" wrapText="1"/>
    </xf>
    <xf numFmtId="0" fontId="2" fillId="2" borderId="1" xfId="4" applyFont="1" applyFill="1" applyBorder="1" applyAlignment="1">
      <alignment horizontal="center" wrapText="1"/>
    </xf>
    <xf numFmtId="0" fontId="19" fillId="2" borderId="1" xfId="0" quotePrefix="1" applyFont="1" applyFill="1" applyBorder="1" applyAlignment="1">
      <alignment horizontal="left" vertical="center" wrapText="1"/>
    </xf>
    <xf numFmtId="0" fontId="19" fillId="2" borderId="1" xfId="0" quotePrefix="1" applyFont="1" applyFill="1" applyBorder="1" applyAlignment="1">
      <alignment wrapText="1"/>
    </xf>
    <xf numFmtId="0" fontId="19" fillId="2" borderId="6" xfId="0" quotePrefix="1" applyFont="1" applyFill="1" applyBorder="1" applyAlignment="1">
      <alignment horizontal="left" vertical="center" wrapText="1"/>
    </xf>
    <xf numFmtId="0" fontId="20" fillId="2" borderId="3" xfId="0" applyFont="1" applyFill="1" applyBorder="1" applyAlignment="1">
      <alignment horizontal="left" vertical="center" wrapText="1"/>
    </xf>
    <xf numFmtId="0" fontId="19" fillId="2" borderId="1" xfId="0" quotePrefix="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horizontal="left" wrapText="1"/>
    </xf>
    <xf numFmtId="4" fontId="2" fillId="2" borderId="1" xfId="0" applyNumberFormat="1" applyFont="1" applyFill="1" applyBorder="1" applyAlignment="1">
      <alignment horizontal="center" vertical="center"/>
    </xf>
    <xf numFmtId="9" fontId="3" fillId="2" borderId="0" xfId="9" applyFont="1" applyFill="1" applyAlignment="1"/>
    <xf numFmtId="0" fontId="9"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9" fontId="13" fillId="0" borderId="0" xfId="9" applyFont="1" applyAlignment="1">
      <alignment horizontal="center"/>
    </xf>
    <xf numFmtId="166" fontId="2"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20" fillId="2" borderId="1" xfId="0" applyNumberFormat="1" applyFont="1" applyFill="1" applyBorder="1" applyAlignment="1">
      <alignment horizontal="center" vertical="center" wrapText="1"/>
    </xf>
    <xf numFmtId="0" fontId="2" fillId="2" borderId="3" xfId="4" applyFont="1" applyFill="1" applyBorder="1" applyAlignment="1">
      <alignment horizontal="center" vertical="center" wrapText="1"/>
    </xf>
    <xf numFmtId="0" fontId="2" fillId="2" borderId="4" xfId="4"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 fillId="2" borderId="3" xfId="4" applyFont="1" applyFill="1" applyBorder="1" applyAlignment="1">
      <alignment horizontal="center" wrapText="1"/>
    </xf>
    <xf numFmtId="0" fontId="2" fillId="2" borderId="4" xfId="4" applyFont="1" applyFill="1" applyBorder="1" applyAlignment="1">
      <alignment horizontal="center" wrapText="1"/>
    </xf>
    <xf numFmtId="0" fontId="2" fillId="2" borderId="1" xfId="4" applyFont="1" applyFill="1" applyBorder="1" applyAlignment="1">
      <alignment horizontal="center" wrapText="1"/>
    </xf>
    <xf numFmtId="0" fontId="3" fillId="2" borderId="3" xfId="4" applyFont="1" applyFill="1" applyBorder="1" applyAlignment="1">
      <alignment horizontal="left" wrapText="1"/>
    </xf>
    <xf numFmtId="0" fontId="3" fillId="2" borderId="4" xfId="4" applyFont="1" applyFill="1" applyBorder="1" applyAlignment="1">
      <alignment horizontal="left" wrapText="1"/>
    </xf>
    <xf numFmtId="0" fontId="3" fillId="2" borderId="3" xfId="3" applyFont="1" applyFill="1" applyBorder="1" applyAlignment="1">
      <alignment horizontal="left" vertical="center" wrapText="1"/>
    </xf>
    <xf numFmtId="0" fontId="3" fillId="2" borderId="4" xfId="3" applyFont="1" applyFill="1" applyBorder="1" applyAlignment="1">
      <alignment horizontal="left" vertical="center" wrapText="1"/>
    </xf>
    <xf numFmtId="0" fontId="11" fillId="0" borderId="0" xfId="5" applyFont="1" applyAlignment="1" applyProtection="1">
      <alignment horizontal="left"/>
    </xf>
    <xf numFmtId="0" fontId="2" fillId="2" borderId="0" xfId="0" applyFont="1" applyFill="1" applyAlignment="1">
      <alignment horizontal="center" vertical="center" wrapText="1"/>
    </xf>
    <xf numFmtId="9" fontId="13" fillId="0" borderId="0" xfId="9" applyFont="1" applyAlignment="1">
      <alignment horizontal="left"/>
    </xf>
    <xf numFmtId="0" fontId="17" fillId="0" borderId="6" xfId="0" applyFont="1" applyBorder="1"/>
    <xf numFmtId="3" fontId="2"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3" fontId="20" fillId="2" borderId="1" xfId="0" applyNumberFormat="1" applyFont="1" applyFill="1" applyBorder="1" applyAlignment="1">
      <alignment horizontal="center" vertical="center" wrapText="1"/>
    </xf>
    <xf numFmtId="3" fontId="3" fillId="2" borderId="1" xfId="4" applyNumberFormat="1" applyFont="1" applyFill="1" applyBorder="1" applyAlignment="1">
      <alignment horizontal="center" vertical="center" wrapText="1"/>
    </xf>
    <xf numFmtId="3" fontId="21" fillId="2" borderId="1" xfId="0" applyNumberFormat="1" applyFont="1" applyFill="1" applyBorder="1" applyAlignment="1">
      <alignment horizontal="center" vertical="center"/>
    </xf>
    <xf numFmtId="3" fontId="19" fillId="2" borderId="1" xfId="0" applyNumberFormat="1" applyFont="1" applyFill="1" applyBorder="1" applyAlignment="1">
      <alignment horizontal="center" vertical="center"/>
    </xf>
    <xf numFmtId="3" fontId="19" fillId="2" borderId="1" xfId="10" applyNumberFormat="1" applyFont="1" applyFill="1" applyBorder="1" applyAlignment="1">
      <alignment horizontal="center" vertical="center"/>
    </xf>
    <xf numFmtId="3" fontId="19" fillId="2" borderId="1" xfId="0" applyNumberFormat="1" applyFont="1" applyFill="1" applyBorder="1" applyAlignment="1">
      <alignment horizontal="center" vertical="center" wrapText="1"/>
    </xf>
    <xf numFmtId="3" fontId="19" fillId="2" borderId="1" xfId="10" applyNumberFormat="1" applyFont="1" applyFill="1" applyBorder="1" applyAlignment="1">
      <alignment horizontal="center" vertical="center" wrapText="1"/>
    </xf>
  </cellXfs>
  <cellStyles count="12">
    <cellStyle name="Відсотковий" xfId="9" builtinId="5"/>
    <cellStyle name="Гіперпосилання" xfId="5" builtinId="8"/>
    <cellStyle name="Звичайний" xfId="0" builtinId="0"/>
    <cellStyle name="Обычный 10" xfId="7"/>
    <cellStyle name="Обычный 2" xfId="1"/>
    <cellStyle name="Обычный 2 2" xfId="6"/>
    <cellStyle name="Обычный 3" xfId="3"/>
    <cellStyle name="Обычный 9" xfId="8"/>
    <cellStyle name="Обычный_дод 3" xfId="4"/>
    <cellStyle name="Обычный_Лист1" xfId="11"/>
    <cellStyle name="Финансовый 2" xfId="2"/>
    <cellStyle name="Фінансовий" xfId="10"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5"/>
  <sheetViews>
    <sheetView tabSelected="1" view="pageBreakPreview" zoomScale="80" zoomScaleNormal="90" zoomScaleSheetLayoutView="80" workbookViewId="0">
      <selection activeCell="F10" sqref="F10:G282"/>
    </sheetView>
  </sheetViews>
  <sheetFormatPr defaultColWidth="9.109375" defaultRowHeight="18"/>
  <cols>
    <col min="1" max="1" width="15.88671875" style="2" customWidth="1"/>
    <col min="2" max="2" width="14.88671875" style="1" customWidth="1"/>
    <col min="3" max="3" width="16" style="1" customWidth="1"/>
    <col min="4" max="4" width="50" style="1" customWidth="1"/>
    <col min="5" max="5" width="55.5546875" style="3" customWidth="1"/>
    <col min="6" max="7" width="21.6640625" style="1" customWidth="1"/>
    <col min="8" max="8" width="16.21875" style="2" customWidth="1"/>
    <col min="9" max="9" width="24" style="1" customWidth="1"/>
    <col min="10" max="10" width="18.44140625" style="1" bestFit="1" customWidth="1"/>
    <col min="11" max="11" width="16.88671875" style="1" bestFit="1" customWidth="1"/>
    <col min="12" max="12" width="15.5546875" style="1" bestFit="1" customWidth="1"/>
    <col min="13" max="16384" width="9.109375" style="1"/>
  </cols>
  <sheetData>
    <row r="1" spans="1:8" s="9" customFormat="1">
      <c r="A1" s="8"/>
      <c r="D1" s="10"/>
      <c r="E1" s="11"/>
      <c r="F1" s="12"/>
      <c r="G1" s="76" t="s">
        <v>176</v>
      </c>
      <c r="H1" s="76"/>
    </row>
    <row r="2" spans="1:8" s="9" customFormat="1">
      <c r="A2" s="8"/>
      <c r="D2" s="10"/>
      <c r="E2" s="11"/>
      <c r="F2" s="13"/>
      <c r="G2" s="56" t="s">
        <v>177</v>
      </c>
      <c r="H2" s="59"/>
    </row>
    <row r="3" spans="1:8" s="9" customFormat="1">
      <c r="A3" s="8"/>
      <c r="D3" s="10"/>
      <c r="E3" s="11"/>
      <c r="G3" s="76" t="s">
        <v>382</v>
      </c>
      <c r="H3" s="76"/>
    </row>
    <row r="4" spans="1:8" s="4" customFormat="1" ht="21">
      <c r="A4" s="75" t="s">
        <v>385</v>
      </c>
      <c r="B4" s="75"/>
      <c r="C4" s="75"/>
      <c r="D4" s="75"/>
      <c r="E4" s="75"/>
      <c r="F4" s="75"/>
      <c r="G4" s="75"/>
      <c r="H4" s="75"/>
    </row>
    <row r="5" spans="1:8" s="4" customFormat="1" ht="21">
      <c r="A5" s="74">
        <v>1558900000</v>
      </c>
      <c r="B5" s="74"/>
      <c r="C5" s="5"/>
      <c r="D5" s="5"/>
      <c r="E5" s="5"/>
      <c r="F5" s="5"/>
      <c r="G5" s="5"/>
      <c r="H5" s="57"/>
    </row>
    <row r="6" spans="1:8" s="4" customFormat="1" ht="21">
      <c r="A6" s="6" t="s">
        <v>11</v>
      </c>
      <c r="B6" s="7"/>
      <c r="C6" s="5"/>
      <c r="D6" s="5"/>
      <c r="E6" s="5"/>
      <c r="F6" s="5"/>
      <c r="G6" s="5"/>
      <c r="H6" s="57"/>
    </row>
    <row r="7" spans="1:8" ht="59.4" customHeight="1">
      <c r="A7" s="65" t="s">
        <v>1</v>
      </c>
      <c r="B7" s="65" t="s">
        <v>2</v>
      </c>
      <c r="C7" s="65" t="s">
        <v>3</v>
      </c>
      <c r="D7" s="65" t="s">
        <v>4</v>
      </c>
      <c r="E7" s="65" t="s">
        <v>250</v>
      </c>
      <c r="F7" s="65" t="s">
        <v>383</v>
      </c>
      <c r="G7" s="65" t="s">
        <v>384</v>
      </c>
      <c r="H7" s="65" t="s">
        <v>0</v>
      </c>
    </row>
    <row r="8" spans="1:8" ht="47.4" customHeight="1">
      <c r="A8" s="77"/>
      <c r="B8" s="77"/>
      <c r="C8" s="77"/>
      <c r="D8" s="66"/>
      <c r="E8" s="66"/>
      <c r="F8" s="66"/>
      <c r="G8" s="66"/>
      <c r="H8" s="66"/>
    </row>
    <row r="9" spans="1:8">
      <c r="A9" s="36">
        <v>1</v>
      </c>
      <c r="B9" s="36">
        <v>2</v>
      </c>
      <c r="C9" s="36">
        <v>3</v>
      </c>
      <c r="D9" s="58">
        <v>4</v>
      </c>
      <c r="E9" s="58">
        <v>5</v>
      </c>
      <c r="F9" s="58">
        <v>6</v>
      </c>
      <c r="G9" s="58">
        <v>7</v>
      </c>
      <c r="H9" s="58">
        <v>8</v>
      </c>
    </row>
    <row r="10" spans="1:8" s="15" customFormat="1" ht="15.6">
      <c r="A10" s="14" t="s">
        <v>12</v>
      </c>
      <c r="B10" s="14"/>
      <c r="C10" s="14"/>
      <c r="D10" s="67" t="s">
        <v>76</v>
      </c>
      <c r="E10" s="68"/>
      <c r="F10" s="78">
        <f t="shared" ref="F10:G10" si="0">F11</f>
        <v>9497792</v>
      </c>
      <c r="G10" s="78">
        <f t="shared" si="0"/>
        <v>2661075.96</v>
      </c>
      <c r="H10" s="60">
        <f>G10/F10</f>
        <v>0.28017837830097775</v>
      </c>
    </row>
    <row r="11" spans="1:8" s="15" customFormat="1" ht="15.6">
      <c r="A11" s="14" t="s">
        <v>13</v>
      </c>
      <c r="B11" s="16"/>
      <c r="C11" s="16"/>
      <c r="D11" s="67" t="s">
        <v>76</v>
      </c>
      <c r="E11" s="68"/>
      <c r="F11" s="78">
        <f>F12+F17+F21+F22+F23+F26+F27+F28</f>
        <v>9497792</v>
      </c>
      <c r="G11" s="78">
        <f>G12+G17+G21+G22+G23+G26+G27+G28</f>
        <v>2661075.96</v>
      </c>
      <c r="H11" s="60">
        <f t="shared" ref="H11:H74" si="1">G11/F11</f>
        <v>0.28017837830097775</v>
      </c>
    </row>
    <row r="12" spans="1:8" s="15" customFormat="1" ht="78">
      <c r="A12" s="17" t="s">
        <v>14</v>
      </c>
      <c r="B12" s="17" t="s">
        <v>15</v>
      </c>
      <c r="C12" s="18" t="s">
        <v>16</v>
      </c>
      <c r="D12" s="19" t="s">
        <v>17</v>
      </c>
      <c r="E12" s="20" t="s">
        <v>28</v>
      </c>
      <c r="F12" s="79">
        <f>F13+F14+F15+F16</f>
        <v>1238900</v>
      </c>
      <c r="G12" s="79">
        <f>G13+G14+G15+G16</f>
        <v>932731.88</v>
      </c>
      <c r="H12" s="61">
        <f t="shared" si="1"/>
        <v>0.7528709984663815</v>
      </c>
    </row>
    <row r="13" spans="1:8" s="15" customFormat="1" ht="15.6">
      <c r="A13" s="21"/>
      <c r="B13" s="21"/>
      <c r="C13" s="22"/>
      <c r="D13" s="23"/>
      <c r="E13" s="24" t="s">
        <v>215</v>
      </c>
      <c r="F13" s="80">
        <f>490000+554000</f>
        <v>1044000</v>
      </c>
      <c r="G13" s="80">
        <v>759882.88</v>
      </c>
      <c r="H13" s="62">
        <f t="shared" si="1"/>
        <v>0.72785716475095785</v>
      </c>
    </row>
    <row r="14" spans="1:8" s="15" customFormat="1" ht="15.6">
      <c r="A14" s="21"/>
      <c r="B14" s="21"/>
      <c r="C14" s="21"/>
      <c r="D14" s="24"/>
      <c r="E14" s="24" t="s">
        <v>216</v>
      </c>
      <c r="F14" s="80">
        <v>100000</v>
      </c>
      <c r="G14" s="80">
        <v>82590</v>
      </c>
      <c r="H14" s="62">
        <f t="shared" si="1"/>
        <v>0.82589999999999997</v>
      </c>
    </row>
    <row r="15" spans="1:8" s="15" customFormat="1" ht="15.6">
      <c r="A15" s="21"/>
      <c r="B15" s="21"/>
      <c r="C15" s="21"/>
      <c r="D15" s="24"/>
      <c r="E15" s="24" t="s">
        <v>251</v>
      </c>
      <c r="F15" s="80">
        <v>45000</v>
      </c>
      <c r="G15" s="80">
        <v>40360</v>
      </c>
      <c r="H15" s="62">
        <f t="shared" si="1"/>
        <v>0.89688888888888885</v>
      </c>
    </row>
    <row r="16" spans="1:8" s="15" customFormat="1" ht="15.6">
      <c r="A16" s="21"/>
      <c r="B16" s="21"/>
      <c r="C16" s="21"/>
      <c r="D16" s="24"/>
      <c r="E16" s="24" t="s">
        <v>252</v>
      </c>
      <c r="F16" s="80">
        <v>49900</v>
      </c>
      <c r="G16" s="80">
        <v>49899</v>
      </c>
      <c r="H16" s="62">
        <f t="shared" si="1"/>
        <v>0.99997995991983968</v>
      </c>
    </row>
    <row r="17" spans="1:8" s="15" customFormat="1" ht="31.2">
      <c r="A17" s="17" t="s">
        <v>100</v>
      </c>
      <c r="B17" s="17" t="s">
        <v>101</v>
      </c>
      <c r="C17" s="25" t="s">
        <v>19</v>
      </c>
      <c r="D17" s="19" t="s">
        <v>20</v>
      </c>
      <c r="E17" s="26" t="s">
        <v>28</v>
      </c>
      <c r="F17" s="79">
        <f>F18+F19+F20</f>
        <v>5300000</v>
      </c>
      <c r="G17" s="79">
        <f>G18+G19+G20</f>
        <v>99991.5</v>
      </c>
      <c r="H17" s="61">
        <f t="shared" si="1"/>
        <v>1.8866320754716982E-2</v>
      </c>
    </row>
    <row r="18" spans="1:8" s="15" customFormat="1" ht="46.8">
      <c r="A18" s="17"/>
      <c r="B18" s="17"/>
      <c r="C18" s="25"/>
      <c r="D18" s="19"/>
      <c r="E18" s="26" t="s">
        <v>253</v>
      </c>
      <c r="F18" s="79">
        <v>4500000</v>
      </c>
      <c r="G18" s="79">
        <v>99991.5</v>
      </c>
      <c r="H18" s="61">
        <f t="shared" si="1"/>
        <v>2.2220333333333335E-2</v>
      </c>
    </row>
    <row r="19" spans="1:8" s="15" customFormat="1" ht="78">
      <c r="A19" s="27"/>
      <c r="B19" s="17"/>
      <c r="C19" s="17"/>
      <c r="D19" s="28"/>
      <c r="E19" s="29" t="s">
        <v>254</v>
      </c>
      <c r="F19" s="79">
        <v>400000</v>
      </c>
      <c r="G19" s="79"/>
      <c r="H19" s="61">
        <f t="shared" si="1"/>
        <v>0</v>
      </c>
    </row>
    <row r="20" spans="1:8" s="15" customFormat="1" ht="62.4">
      <c r="A20" s="27"/>
      <c r="B20" s="17"/>
      <c r="C20" s="17"/>
      <c r="D20" s="28"/>
      <c r="E20" s="29" t="s">
        <v>255</v>
      </c>
      <c r="F20" s="79">
        <v>400000</v>
      </c>
      <c r="G20" s="79"/>
      <c r="H20" s="61">
        <f t="shared" si="1"/>
        <v>0</v>
      </c>
    </row>
    <row r="21" spans="1:8" s="15" customFormat="1" ht="15.6">
      <c r="A21" s="17" t="s">
        <v>182</v>
      </c>
      <c r="B21" s="17" t="s">
        <v>179</v>
      </c>
      <c r="C21" s="25" t="s">
        <v>180</v>
      </c>
      <c r="D21" s="19" t="s">
        <v>184</v>
      </c>
      <c r="E21" s="26" t="s">
        <v>18</v>
      </c>
      <c r="F21" s="79">
        <v>27300</v>
      </c>
      <c r="G21" s="79">
        <v>27300</v>
      </c>
      <c r="H21" s="61">
        <f t="shared" si="1"/>
        <v>1</v>
      </c>
    </row>
    <row r="22" spans="1:8" s="15" customFormat="1" ht="46.8">
      <c r="A22" s="17" t="s">
        <v>217</v>
      </c>
      <c r="B22" s="17" t="s">
        <v>218</v>
      </c>
      <c r="C22" s="25" t="s">
        <v>219</v>
      </c>
      <c r="D22" s="19" t="s">
        <v>220</v>
      </c>
      <c r="E22" s="26" t="s">
        <v>18</v>
      </c>
      <c r="F22" s="79">
        <v>70000</v>
      </c>
      <c r="G22" s="79">
        <v>68900</v>
      </c>
      <c r="H22" s="61">
        <f t="shared" si="1"/>
        <v>0.98428571428571432</v>
      </c>
    </row>
    <row r="23" spans="1:8" s="15" customFormat="1" ht="15.6">
      <c r="A23" s="17" t="s">
        <v>256</v>
      </c>
      <c r="B23" s="17" t="s">
        <v>21</v>
      </c>
      <c r="C23" s="18" t="s">
        <v>22</v>
      </c>
      <c r="D23" s="19" t="s">
        <v>23</v>
      </c>
      <c r="E23" s="26" t="s">
        <v>28</v>
      </c>
      <c r="F23" s="79">
        <f>F24+F25</f>
        <v>108900</v>
      </c>
      <c r="G23" s="79">
        <f>G24+G25</f>
        <v>108511.58</v>
      </c>
      <c r="H23" s="61">
        <f t="shared" si="1"/>
        <v>0.99643324150596879</v>
      </c>
    </row>
    <row r="24" spans="1:8" s="15" customFormat="1" ht="15.6">
      <c r="A24" s="21"/>
      <c r="B24" s="21"/>
      <c r="C24" s="30"/>
      <c r="D24" s="23"/>
      <c r="E24" s="24" t="s">
        <v>251</v>
      </c>
      <c r="F24" s="80">
        <v>50000</v>
      </c>
      <c r="G24" s="80">
        <v>49669.16</v>
      </c>
      <c r="H24" s="62">
        <f t="shared" si="1"/>
        <v>0.99338320000000002</v>
      </c>
    </row>
    <row r="25" spans="1:8" s="15" customFormat="1" ht="15.6">
      <c r="A25" s="17"/>
      <c r="B25" s="17"/>
      <c r="C25" s="25"/>
      <c r="D25" s="19"/>
      <c r="E25" s="24" t="s">
        <v>216</v>
      </c>
      <c r="F25" s="80">
        <v>58900</v>
      </c>
      <c r="G25" s="80">
        <v>58842.42</v>
      </c>
      <c r="H25" s="62">
        <f t="shared" si="1"/>
        <v>0.99902241086587429</v>
      </c>
    </row>
    <row r="26" spans="1:8" s="15" customFormat="1" ht="31.2">
      <c r="A26" s="17" t="s">
        <v>178</v>
      </c>
      <c r="B26" s="17" t="s">
        <v>221</v>
      </c>
      <c r="C26" s="25" t="s">
        <v>181</v>
      </c>
      <c r="D26" s="19" t="s">
        <v>183</v>
      </c>
      <c r="E26" s="26" t="s">
        <v>18</v>
      </c>
      <c r="F26" s="79">
        <f>1300000-250000-106000-73880</f>
        <v>870120</v>
      </c>
      <c r="G26" s="79">
        <v>870120</v>
      </c>
      <c r="H26" s="61">
        <f t="shared" si="1"/>
        <v>1</v>
      </c>
    </row>
    <row r="27" spans="1:8" s="15" customFormat="1" ht="15.6">
      <c r="A27" s="17" t="s">
        <v>257</v>
      </c>
      <c r="B27" s="17" t="s">
        <v>258</v>
      </c>
      <c r="C27" s="25" t="s">
        <v>181</v>
      </c>
      <c r="D27" s="19" t="s">
        <v>259</v>
      </c>
      <c r="E27" s="26" t="s">
        <v>18</v>
      </c>
      <c r="F27" s="79">
        <f>101232+188700+193640</f>
        <v>483572</v>
      </c>
      <c r="G27" s="79">
        <f>289881+193640</f>
        <v>483521</v>
      </c>
      <c r="H27" s="61">
        <f t="shared" si="1"/>
        <v>0.99989453483659108</v>
      </c>
    </row>
    <row r="28" spans="1:8" s="15" customFormat="1" ht="62.4">
      <c r="A28" s="17" t="s">
        <v>260</v>
      </c>
      <c r="B28" s="17" t="s">
        <v>261</v>
      </c>
      <c r="C28" s="25" t="s">
        <v>181</v>
      </c>
      <c r="D28" s="19" t="s">
        <v>262</v>
      </c>
      <c r="E28" s="31" t="s">
        <v>376</v>
      </c>
      <c r="F28" s="79">
        <v>1399000</v>
      </c>
      <c r="G28" s="79">
        <v>70000</v>
      </c>
      <c r="H28" s="61">
        <f t="shared" si="1"/>
        <v>5.0035739814152963E-2</v>
      </c>
    </row>
    <row r="29" spans="1:8" s="15" customFormat="1" ht="15.6">
      <c r="A29" s="14" t="s">
        <v>5</v>
      </c>
      <c r="B29" s="16" t="s">
        <v>102</v>
      </c>
      <c r="C29" s="16" t="s">
        <v>102</v>
      </c>
      <c r="D29" s="67" t="s">
        <v>103</v>
      </c>
      <c r="E29" s="68"/>
      <c r="F29" s="78">
        <f>F30</f>
        <v>11909535</v>
      </c>
      <c r="G29" s="78">
        <f>G30</f>
        <v>3490749.3000000003</v>
      </c>
      <c r="H29" s="60">
        <f t="shared" si="1"/>
        <v>0.29310542351149732</v>
      </c>
    </row>
    <row r="30" spans="1:8" s="15" customFormat="1" ht="15.6">
      <c r="A30" s="14" t="s">
        <v>6</v>
      </c>
      <c r="B30" s="16" t="s">
        <v>102</v>
      </c>
      <c r="C30" s="16" t="s">
        <v>102</v>
      </c>
      <c r="D30" s="67" t="s">
        <v>103</v>
      </c>
      <c r="E30" s="68"/>
      <c r="F30" s="78">
        <f>F31+F32+F36+F37+F38+F39</f>
        <v>11909535</v>
      </c>
      <c r="G30" s="78">
        <f>G31+G32+G36+G37+G38+G39</f>
        <v>3490749.3000000003</v>
      </c>
      <c r="H30" s="60">
        <f t="shared" si="1"/>
        <v>0.29310542351149732</v>
      </c>
    </row>
    <row r="31" spans="1:8" s="15" customFormat="1" ht="15.6">
      <c r="A31" s="17" t="s">
        <v>222</v>
      </c>
      <c r="B31" s="17" t="s">
        <v>223</v>
      </c>
      <c r="C31" s="18" t="s">
        <v>224</v>
      </c>
      <c r="D31" s="19" t="s">
        <v>225</v>
      </c>
      <c r="E31" s="26" t="s">
        <v>18</v>
      </c>
      <c r="F31" s="79">
        <f>1600000+1120000+150000+1650000+1500000+1650000-2600000-300000-3200000</f>
        <v>1570000</v>
      </c>
      <c r="G31" s="79">
        <v>780510.39</v>
      </c>
      <c r="H31" s="61">
        <f t="shared" si="1"/>
        <v>0.49714037579617837</v>
      </c>
    </row>
    <row r="32" spans="1:8" s="15" customFormat="1" ht="46.8">
      <c r="A32" s="17" t="s">
        <v>25</v>
      </c>
      <c r="B32" s="17" t="s">
        <v>26</v>
      </c>
      <c r="C32" s="18" t="s">
        <v>27</v>
      </c>
      <c r="D32" s="19" t="s">
        <v>104</v>
      </c>
      <c r="E32" s="26" t="s">
        <v>28</v>
      </c>
      <c r="F32" s="79">
        <f>F33+F34+F35</f>
        <v>5441885</v>
      </c>
      <c r="G32" s="79">
        <f>G33+G34+G35</f>
        <v>2426588.91</v>
      </c>
      <c r="H32" s="61">
        <f t="shared" si="1"/>
        <v>0.44590962690317787</v>
      </c>
    </row>
    <row r="33" spans="1:8" s="15" customFormat="1" ht="124.8">
      <c r="A33" s="17"/>
      <c r="B33" s="17"/>
      <c r="C33" s="18"/>
      <c r="D33" s="19"/>
      <c r="E33" s="26" t="s">
        <v>263</v>
      </c>
      <c r="F33" s="79">
        <f>1486596+450000-1349039</f>
        <v>587557</v>
      </c>
      <c r="G33" s="79">
        <v>587556.62</v>
      </c>
      <c r="H33" s="61">
        <f t="shared" si="1"/>
        <v>0.9999993532542375</v>
      </c>
    </row>
    <row r="34" spans="1:8" s="15" customFormat="1" ht="156">
      <c r="A34" s="17"/>
      <c r="B34" s="17"/>
      <c r="C34" s="18"/>
      <c r="D34" s="19"/>
      <c r="E34" s="26" t="s">
        <v>264</v>
      </c>
      <c r="F34" s="79">
        <v>1145000</v>
      </c>
      <c r="G34" s="79">
        <v>1144906.98</v>
      </c>
      <c r="H34" s="61">
        <f t="shared" si="1"/>
        <v>0.99991875982532752</v>
      </c>
    </row>
    <row r="35" spans="1:8" s="15" customFormat="1" ht="15.6">
      <c r="A35" s="17"/>
      <c r="B35" s="17"/>
      <c r="C35" s="18"/>
      <c r="D35" s="19"/>
      <c r="E35" s="26" t="s">
        <v>18</v>
      </c>
      <c r="F35" s="79">
        <f>7932000+1700000+3300000-4500000-4722672</f>
        <v>3709328</v>
      </c>
      <c r="G35" s="79">
        <v>694125.31</v>
      </c>
      <c r="H35" s="61">
        <f t="shared" si="1"/>
        <v>0.18712966607428624</v>
      </c>
    </row>
    <row r="36" spans="1:8" s="15" customFormat="1" ht="46.8">
      <c r="A36" s="17" t="s">
        <v>265</v>
      </c>
      <c r="B36" s="17" t="s">
        <v>266</v>
      </c>
      <c r="C36" s="25" t="s">
        <v>267</v>
      </c>
      <c r="D36" s="19" t="s">
        <v>268</v>
      </c>
      <c r="E36" s="26" t="s">
        <v>18</v>
      </c>
      <c r="F36" s="79">
        <v>73500</v>
      </c>
      <c r="G36" s="79"/>
      <c r="H36" s="61">
        <f t="shared" si="1"/>
        <v>0</v>
      </c>
    </row>
    <row r="37" spans="1:8" s="15" customFormat="1" ht="31.2">
      <c r="A37" s="17" t="s">
        <v>269</v>
      </c>
      <c r="B37" s="17" t="s">
        <v>270</v>
      </c>
      <c r="C37" s="25" t="s">
        <v>226</v>
      </c>
      <c r="D37" s="19" t="s">
        <v>271</v>
      </c>
      <c r="E37" s="26" t="s">
        <v>18</v>
      </c>
      <c r="F37" s="79">
        <v>40500</v>
      </c>
      <c r="G37" s="79"/>
      <c r="H37" s="61">
        <f t="shared" si="1"/>
        <v>0</v>
      </c>
    </row>
    <row r="38" spans="1:8" s="15" customFormat="1" ht="62.4">
      <c r="A38" s="17" t="s">
        <v>272</v>
      </c>
      <c r="B38" s="17" t="s">
        <v>273</v>
      </c>
      <c r="C38" s="25" t="s">
        <v>24</v>
      </c>
      <c r="D38" s="19" t="s">
        <v>274</v>
      </c>
      <c r="E38" s="26" t="s">
        <v>18</v>
      </c>
      <c r="F38" s="79">
        <v>283650</v>
      </c>
      <c r="G38" s="79">
        <v>283650</v>
      </c>
      <c r="H38" s="61">
        <f t="shared" si="1"/>
        <v>1</v>
      </c>
    </row>
    <row r="39" spans="1:8" s="15" customFormat="1" ht="31.2">
      <c r="A39" s="17" t="s">
        <v>227</v>
      </c>
      <c r="B39" s="17">
        <v>8110</v>
      </c>
      <c r="C39" s="18" t="s">
        <v>88</v>
      </c>
      <c r="D39" s="19" t="s">
        <v>83</v>
      </c>
      <c r="E39" s="26" t="s">
        <v>18</v>
      </c>
      <c r="F39" s="79">
        <f>1000000+3500000</f>
        <v>4500000</v>
      </c>
      <c r="G39" s="79"/>
      <c r="H39" s="61">
        <f t="shared" si="1"/>
        <v>0</v>
      </c>
    </row>
    <row r="40" spans="1:8" s="15" customFormat="1" ht="15.6">
      <c r="A40" s="14" t="s">
        <v>105</v>
      </c>
      <c r="B40" s="16" t="s">
        <v>102</v>
      </c>
      <c r="C40" s="16" t="s">
        <v>102</v>
      </c>
      <c r="D40" s="67" t="s">
        <v>106</v>
      </c>
      <c r="E40" s="68"/>
      <c r="F40" s="78">
        <f>F41</f>
        <v>12555341</v>
      </c>
      <c r="G40" s="78">
        <f>G41</f>
        <v>12038003.359999999</v>
      </c>
      <c r="H40" s="60">
        <f t="shared" si="1"/>
        <v>0.95879541304373972</v>
      </c>
    </row>
    <row r="41" spans="1:8" s="15" customFormat="1" ht="15.6">
      <c r="A41" s="14" t="s">
        <v>107</v>
      </c>
      <c r="B41" s="16" t="s">
        <v>102</v>
      </c>
      <c r="C41" s="16" t="s">
        <v>102</v>
      </c>
      <c r="D41" s="67" t="s">
        <v>106</v>
      </c>
      <c r="E41" s="68"/>
      <c r="F41" s="78">
        <f>F42+F43+F44+F45+F46+F47</f>
        <v>12555341</v>
      </c>
      <c r="G41" s="78">
        <f>G42+G43+G44+G45+G46+G47</f>
        <v>12038003.359999999</v>
      </c>
      <c r="H41" s="60">
        <f t="shared" si="1"/>
        <v>0.95879541304373972</v>
      </c>
    </row>
    <row r="42" spans="1:8" s="15" customFormat="1" ht="46.8">
      <c r="A42" s="17" t="s">
        <v>108</v>
      </c>
      <c r="B42" s="17" t="s">
        <v>97</v>
      </c>
      <c r="C42" s="18" t="s">
        <v>16</v>
      </c>
      <c r="D42" s="19" t="s">
        <v>98</v>
      </c>
      <c r="E42" s="26" t="s">
        <v>18</v>
      </c>
      <c r="F42" s="79">
        <v>400000</v>
      </c>
      <c r="G42" s="79">
        <v>59460</v>
      </c>
      <c r="H42" s="61">
        <f t="shared" si="1"/>
        <v>0.14865</v>
      </c>
    </row>
    <row r="43" spans="1:8" s="15" customFormat="1" ht="62.4">
      <c r="A43" s="17" t="s">
        <v>109</v>
      </c>
      <c r="B43" s="17" t="s">
        <v>110</v>
      </c>
      <c r="C43" s="18" t="s">
        <v>111</v>
      </c>
      <c r="D43" s="19" t="s">
        <v>112</v>
      </c>
      <c r="E43" s="26" t="s">
        <v>18</v>
      </c>
      <c r="F43" s="79">
        <v>88000</v>
      </c>
      <c r="G43" s="79"/>
      <c r="H43" s="61">
        <f t="shared" si="1"/>
        <v>0</v>
      </c>
    </row>
    <row r="44" spans="1:8" s="15" customFormat="1" ht="31.2">
      <c r="A44" s="17" t="s">
        <v>113</v>
      </c>
      <c r="B44" s="17" t="s">
        <v>114</v>
      </c>
      <c r="C44" s="18" t="s">
        <v>115</v>
      </c>
      <c r="D44" s="19" t="s">
        <v>116</v>
      </c>
      <c r="E44" s="26" t="s">
        <v>18</v>
      </c>
      <c r="F44" s="79">
        <f>84500-24500</f>
        <v>60000</v>
      </c>
      <c r="G44" s="79">
        <v>60000</v>
      </c>
      <c r="H44" s="61">
        <f t="shared" si="1"/>
        <v>1</v>
      </c>
    </row>
    <row r="45" spans="1:8" s="15" customFormat="1" ht="145.80000000000001" customHeight="1">
      <c r="A45" s="17" t="s">
        <v>185</v>
      </c>
      <c r="B45" s="17" t="s">
        <v>188</v>
      </c>
      <c r="C45" s="17" t="s">
        <v>228</v>
      </c>
      <c r="D45" s="70" t="s">
        <v>191</v>
      </c>
      <c r="E45" s="71"/>
      <c r="F45" s="81">
        <v>3280161</v>
      </c>
      <c r="G45" s="81">
        <v>3280160.9</v>
      </c>
      <c r="H45" s="61">
        <f t="shared" si="1"/>
        <v>0.99999996951369152</v>
      </c>
    </row>
    <row r="46" spans="1:8" s="15" customFormat="1" ht="145.80000000000001" customHeight="1">
      <c r="A46" s="17" t="s">
        <v>186</v>
      </c>
      <c r="B46" s="17" t="s">
        <v>189</v>
      </c>
      <c r="C46" s="17" t="s">
        <v>228</v>
      </c>
      <c r="D46" s="70" t="s">
        <v>192</v>
      </c>
      <c r="E46" s="71"/>
      <c r="F46" s="81">
        <f>2353300+4133348</f>
        <v>6486648</v>
      </c>
      <c r="G46" s="81">
        <v>6430308.7999999998</v>
      </c>
      <c r="H46" s="61">
        <f t="shared" si="1"/>
        <v>0.99131458960005225</v>
      </c>
    </row>
    <row r="47" spans="1:8" s="15" customFormat="1" ht="99" customHeight="1">
      <c r="A47" s="17" t="s">
        <v>187</v>
      </c>
      <c r="B47" s="17" t="s">
        <v>190</v>
      </c>
      <c r="C47" s="17" t="s">
        <v>228</v>
      </c>
      <c r="D47" s="72" t="s">
        <v>193</v>
      </c>
      <c r="E47" s="73"/>
      <c r="F47" s="81">
        <v>2240532</v>
      </c>
      <c r="G47" s="81">
        <v>2208073.66</v>
      </c>
      <c r="H47" s="61">
        <f t="shared" si="1"/>
        <v>0.98551311027916588</v>
      </c>
    </row>
    <row r="48" spans="1:8" s="15" customFormat="1" ht="15.6">
      <c r="A48" s="14" t="s">
        <v>229</v>
      </c>
      <c r="B48" s="16" t="s">
        <v>102</v>
      </c>
      <c r="C48" s="16" t="s">
        <v>102</v>
      </c>
      <c r="D48" s="67" t="s">
        <v>230</v>
      </c>
      <c r="E48" s="68"/>
      <c r="F48" s="78">
        <f>F49</f>
        <v>1035000</v>
      </c>
      <c r="G48" s="78">
        <f>G49</f>
        <v>35000</v>
      </c>
      <c r="H48" s="61">
        <f t="shared" si="1"/>
        <v>3.3816425120772944E-2</v>
      </c>
    </row>
    <row r="49" spans="1:10" s="15" customFormat="1" ht="15.6">
      <c r="A49" s="14" t="s">
        <v>231</v>
      </c>
      <c r="B49" s="16" t="s">
        <v>102</v>
      </c>
      <c r="C49" s="16" t="s">
        <v>102</v>
      </c>
      <c r="D49" s="67" t="s">
        <v>230</v>
      </c>
      <c r="E49" s="68"/>
      <c r="F49" s="78">
        <f>F50+F51</f>
        <v>1035000</v>
      </c>
      <c r="G49" s="78">
        <f>G50+G51</f>
        <v>35000</v>
      </c>
      <c r="H49" s="61">
        <f t="shared" si="1"/>
        <v>3.3816425120772944E-2</v>
      </c>
      <c r="J49" s="32"/>
    </row>
    <row r="50" spans="1:10" s="15" customFormat="1" ht="46.8">
      <c r="A50" s="17" t="s">
        <v>232</v>
      </c>
      <c r="B50" s="17" t="s">
        <v>97</v>
      </c>
      <c r="C50" s="18" t="s">
        <v>16</v>
      </c>
      <c r="D50" s="19" t="s">
        <v>98</v>
      </c>
      <c r="E50" s="26" t="s">
        <v>18</v>
      </c>
      <c r="F50" s="79">
        <v>35000</v>
      </c>
      <c r="G50" s="79">
        <v>35000</v>
      </c>
      <c r="H50" s="61">
        <f t="shared" si="1"/>
        <v>1</v>
      </c>
    </row>
    <row r="51" spans="1:10" s="15" customFormat="1" ht="93.6">
      <c r="A51" s="17" t="s">
        <v>275</v>
      </c>
      <c r="B51" s="17">
        <v>6083</v>
      </c>
      <c r="C51" s="18" t="s">
        <v>29</v>
      </c>
      <c r="D51" s="19" t="s">
        <v>117</v>
      </c>
      <c r="E51" s="26" t="s">
        <v>118</v>
      </c>
      <c r="F51" s="79">
        <v>1000000</v>
      </c>
      <c r="G51" s="79"/>
      <c r="H51" s="61">
        <f t="shared" si="1"/>
        <v>0</v>
      </c>
    </row>
    <row r="52" spans="1:10" s="15" customFormat="1" ht="15.6">
      <c r="A52" s="14" t="s">
        <v>89</v>
      </c>
      <c r="B52" s="16" t="s">
        <v>102</v>
      </c>
      <c r="C52" s="16" t="s">
        <v>102</v>
      </c>
      <c r="D52" s="67" t="s">
        <v>119</v>
      </c>
      <c r="E52" s="68"/>
      <c r="F52" s="78">
        <f>F53</f>
        <v>94000</v>
      </c>
      <c r="G52" s="78">
        <f>G53</f>
        <v>94000</v>
      </c>
      <c r="H52" s="60">
        <f t="shared" si="1"/>
        <v>1</v>
      </c>
      <c r="J52" s="32"/>
    </row>
    <row r="53" spans="1:10" s="15" customFormat="1" ht="15.6">
      <c r="A53" s="14" t="s">
        <v>90</v>
      </c>
      <c r="B53" s="16" t="s">
        <v>102</v>
      </c>
      <c r="C53" s="16" t="s">
        <v>102</v>
      </c>
      <c r="D53" s="67" t="s">
        <v>119</v>
      </c>
      <c r="E53" s="68"/>
      <c r="F53" s="78">
        <f>F54+F55</f>
        <v>94000</v>
      </c>
      <c r="G53" s="78">
        <f>G54+G55</f>
        <v>94000</v>
      </c>
      <c r="H53" s="60">
        <f t="shared" si="1"/>
        <v>1</v>
      </c>
    </row>
    <row r="54" spans="1:10" s="15" customFormat="1" ht="15.6">
      <c r="A54" s="17" t="s">
        <v>120</v>
      </c>
      <c r="B54" s="17" t="s">
        <v>121</v>
      </c>
      <c r="C54" s="18" t="s">
        <v>122</v>
      </c>
      <c r="D54" s="19" t="s">
        <v>123</v>
      </c>
      <c r="E54" s="26" t="s">
        <v>18</v>
      </c>
      <c r="F54" s="79">
        <v>74000</v>
      </c>
      <c r="G54" s="79">
        <v>74000</v>
      </c>
      <c r="H54" s="61">
        <f t="shared" si="1"/>
        <v>1</v>
      </c>
    </row>
    <row r="55" spans="1:10" s="15" customFormat="1" ht="46.8">
      <c r="A55" s="17" t="s">
        <v>124</v>
      </c>
      <c r="B55" s="17" t="s">
        <v>125</v>
      </c>
      <c r="C55" s="18" t="s">
        <v>126</v>
      </c>
      <c r="D55" s="19" t="s">
        <v>127</v>
      </c>
      <c r="E55" s="26" t="s">
        <v>18</v>
      </c>
      <c r="F55" s="79">
        <v>20000</v>
      </c>
      <c r="G55" s="79">
        <v>20000</v>
      </c>
      <c r="H55" s="61">
        <f t="shared" si="1"/>
        <v>1</v>
      </c>
    </row>
    <row r="56" spans="1:10" s="15" customFormat="1" ht="15.6">
      <c r="A56" s="14" t="s">
        <v>93</v>
      </c>
      <c r="B56" s="16" t="s">
        <v>102</v>
      </c>
      <c r="C56" s="16" t="s">
        <v>102</v>
      </c>
      <c r="D56" s="67" t="s">
        <v>94</v>
      </c>
      <c r="E56" s="68"/>
      <c r="F56" s="78">
        <f>F57</f>
        <v>171000</v>
      </c>
      <c r="G56" s="78">
        <f>G57</f>
        <v>120950</v>
      </c>
      <c r="H56" s="60">
        <f t="shared" si="1"/>
        <v>0.70730994152046789</v>
      </c>
    </row>
    <row r="57" spans="1:10" s="15" customFormat="1" ht="15.6">
      <c r="A57" s="14" t="s">
        <v>95</v>
      </c>
      <c r="B57" s="16" t="s">
        <v>102</v>
      </c>
      <c r="C57" s="16" t="s">
        <v>102</v>
      </c>
      <c r="D57" s="67" t="s">
        <v>94</v>
      </c>
      <c r="E57" s="68"/>
      <c r="F57" s="78">
        <f>F58</f>
        <v>171000</v>
      </c>
      <c r="G57" s="78">
        <f>G58</f>
        <v>120950</v>
      </c>
      <c r="H57" s="60">
        <f t="shared" si="1"/>
        <v>0.70730994152046789</v>
      </c>
    </row>
    <row r="58" spans="1:10" s="15" customFormat="1" ht="46.8">
      <c r="A58" s="17" t="s">
        <v>96</v>
      </c>
      <c r="B58" s="17" t="s">
        <v>97</v>
      </c>
      <c r="C58" s="18" t="s">
        <v>16</v>
      </c>
      <c r="D58" s="19" t="s">
        <v>98</v>
      </c>
      <c r="E58" s="26" t="s">
        <v>18</v>
      </c>
      <c r="F58" s="79">
        <f>50000+121000</f>
        <v>171000</v>
      </c>
      <c r="G58" s="79">
        <v>120950</v>
      </c>
      <c r="H58" s="61">
        <f t="shared" si="1"/>
        <v>0.70730994152046789</v>
      </c>
    </row>
    <row r="59" spans="1:10" s="15" customFormat="1" ht="15.6">
      <c r="A59" s="14" t="s">
        <v>30</v>
      </c>
      <c r="B59" s="16" t="s">
        <v>102</v>
      </c>
      <c r="C59" s="16" t="s">
        <v>102</v>
      </c>
      <c r="D59" s="67" t="s">
        <v>128</v>
      </c>
      <c r="E59" s="68"/>
      <c r="F59" s="78">
        <f>F60</f>
        <v>44370386.299999997</v>
      </c>
      <c r="G59" s="78">
        <f>G60</f>
        <v>33081949.710000001</v>
      </c>
      <c r="H59" s="60">
        <f t="shared" si="1"/>
        <v>0.74558624498610693</v>
      </c>
    </row>
    <row r="60" spans="1:10" s="15" customFormat="1" ht="15.6">
      <c r="A60" s="14" t="s">
        <v>31</v>
      </c>
      <c r="B60" s="16" t="s">
        <v>102</v>
      </c>
      <c r="C60" s="16" t="s">
        <v>102</v>
      </c>
      <c r="D60" s="67" t="s">
        <v>128</v>
      </c>
      <c r="E60" s="68"/>
      <c r="F60" s="78">
        <f>F61+F62+F91+F92+F98+F99+F108+F114+F117+F121+F123+F127</f>
        <v>44370386.299999997</v>
      </c>
      <c r="G60" s="78">
        <f>G61+G62+G91+G92+G98+G99+G108+G114+G117+G121+G123+G127</f>
        <v>33081949.710000001</v>
      </c>
      <c r="H60" s="60">
        <f t="shared" si="1"/>
        <v>0.74558624498610693</v>
      </c>
    </row>
    <row r="61" spans="1:10" s="15" customFormat="1" ht="46.8">
      <c r="A61" s="17" t="s">
        <v>129</v>
      </c>
      <c r="B61" s="17" t="s">
        <v>97</v>
      </c>
      <c r="C61" s="18" t="s">
        <v>16</v>
      </c>
      <c r="D61" s="19" t="s">
        <v>98</v>
      </c>
      <c r="E61" s="26" t="s">
        <v>18</v>
      </c>
      <c r="F61" s="79">
        <v>199800</v>
      </c>
      <c r="G61" s="79">
        <v>108000</v>
      </c>
      <c r="H61" s="61">
        <f t="shared" si="1"/>
        <v>0.54054054054054057</v>
      </c>
    </row>
    <row r="62" spans="1:10" s="15" customFormat="1" ht="31.2">
      <c r="A62" s="17">
        <v>1216011</v>
      </c>
      <c r="B62" s="17">
        <v>6011</v>
      </c>
      <c r="C62" s="18" t="s">
        <v>29</v>
      </c>
      <c r="D62" s="19" t="s">
        <v>32</v>
      </c>
      <c r="E62" s="26" t="s">
        <v>28</v>
      </c>
      <c r="F62" s="79">
        <f>SUM(F63:F82)</f>
        <v>14561447.15</v>
      </c>
      <c r="G62" s="79">
        <f>SUM(G63:G82)</f>
        <v>7235583.7000000002</v>
      </c>
      <c r="H62" s="61">
        <f t="shared" si="1"/>
        <v>0.49690004197144649</v>
      </c>
    </row>
    <row r="63" spans="1:10" s="15" customFormat="1" ht="171.6">
      <c r="A63" s="17"/>
      <c r="B63" s="17"/>
      <c r="C63" s="18"/>
      <c r="D63" s="19"/>
      <c r="E63" s="26" t="s">
        <v>130</v>
      </c>
      <c r="F63" s="79">
        <v>598000</v>
      </c>
      <c r="G63" s="79">
        <v>272826.13</v>
      </c>
      <c r="H63" s="61">
        <f t="shared" si="1"/>
        <v>0.45623098662207356</v>
      </c>
    </row>
    <row r="64" spans="1:10" s="15" customFormat="1" ht="62.4">
      <c r="A64" s="17"/>
      <c r="B64" s="17"/>
      <c r="C64" s="18"/>
      <c r="D64" s="19"/>
      <c r="E64" s="26" t="s">
        <v>377</v>
      </c>
      <c r="F64" s="79">
        <v>911100</v>
      </c>
      <c r="G64" s="79">
        <v>128544.56</v>
      </c>
      <c r="H64" s="61">
        <f t="shared" si="1"/>
        <v>0.14108721325869827</v>
      </c>
    </row>
    <row r="65" spans="1:10" s="15" customFormat="1" ht="46.8">
      <c r="A65" s="17"/>
      <c r="B65" s="17"/>
      <c r="C65" s="18"/>
      <c r="D65" s="19"/>
      <c r="E65" s="26" t="s">
        <v>276</v>
      </c>
      <c r="F65" s="79">
        <f>62500+7000</f>
        <v>69500</v>
      </c>
      <c r="G65" s="79">
        <v>55536</v>
      </c>
      <c r="H65" s="61">
        <f t="shared" si="1"/>
        <v>0.79907913669064745</v>
      </c>
    </row>
    <row r="66" spans="1:10" s="15" customFormat="1" ht="62.4">
      <c r="A66" s="17"/>
      <c r="B66" s="17"/>
      <c r="C66" s="18"/>
      <c r="D66" s="19"/>
      <c r="E66" s="26" t="s">
        <v>378</v>
      </c>
      <c r="F66" s="79">
        <v>911100</v>
      </c>
      <c r="G66" s="79">
        <v>164198.71</v>
      </c>
      <c r="H66" s="61">
        <f t="shared" si="1"/>
        <v>0.18022029414992866</v>
      </c>
    </row>
    <row r="67" spans="1:10" s="15" customFormat="1" ht="46.8">
      <c r="A67" s="17"/>
      <c r="B67" s="17"/>
      <c r="C67" s="18"/>
      <c r="D67" s="19"/>
      <c r="E67" s="26" t="s">
        <v>277</v>
      </c>
      <c r="F67" s="79">
        <f>62500+7000</f>
        <v>69500</v>
      </c>
      <c r="G67" s="79">
        <v>55536</v>
      </c>
      <c r="H67" s="61">
        <f t="shared" si="1"/>
        <v>0.79907913669064745</v>
      </c>
    </row>
    <row r="68" spans="1:10" s="15" customFormat="1" ht="46.8">
      <c r="A68" s="17"/>
      <c r="B68" s="17"/>
      <c r="C68" s="18"/>
      <c r="D68" s="19"/>
      <c r="E68" s="26" t="s">
        <v>35</v>
      </c>
      <c r="F68" s="79">
        <v>550000</v>
      </c>
      <c r="G68" s="79">
        <v>494123.8</v>
      </c>
      <c r="H68" s="61">
        <f t="shared" si="1"/>
        <v>0.89840690909090903</v>
      </c>
    </row>
    <row r="69" spans="1:10" s="15" customFormat="1" ht="46.8">
      <c r="A69" s="17"/>
      <c r="B69" s="17"/>
      <c r="C69" s="18"/>
      <c r="D69" s="19"/>
      <c r="E69" s="19" t="s">
        <v>233</v>
      </c>
      <c r="F69" s="79">
        <v>48000</v>
      </c>
      <c r="G69" s="79">
        <v>37800</v>
      </c>
      <c r="H69" s="61">
        <f t="shared" si="1"/>
        <v>0.78749999999999998</v>
      </c>
    </row>
    <row r="70" spans="1:10" s="15" customFormat="1" ht="46.8">
      <c r="A70" s="17"/>
      <c r="B70" s="17"/>
      <c r="C70" s="18"/>
      <c r="D70" s="19"/>
      <c r="E70" s="19" t="s">
        <v>234</v>
      </c>
      <c r="F70" s="79">
        <v>1452000</v>
      </c>
      <c r="G70" s="79">
        <v>1320641.6599999999</v>
      </c>
      <c r="H70" s="61">
        <f t="shared" si="1"/>
        <v>0.90953282369146005</v>
      </c>
    </row>
    <row r="71" spans="1:10" s="15" customFormat="1" ht="62.4">
      <c r="A71" s="17"/>
      <c r="B71" s="17"/>
      <c r="C71" s="18"/>
      <c r="D71" s="19"/>
      <c r="E71" s="19" t="s">
        <v>278</v>
      </c>
      <c r="F71" s="79">
        <v>685700</v>
      </c>
      <c r="G71" s="79">
        <v>152069.46</v>
      </c>
      <c r="H71" s="61">
        <f t="shared" si="1"/>
        <v>0.22177258276214087</v>
      </c>
    </row>
    <row r="72" spans="1:10" s="15" customFormat="1" ht="62.4">
      <c r="A72" s="17"/>
      <c r="B72" s="17"/>
      <c r="C72" s="18"/>
      <c r="D72" s="19"/>
      <c r="E72" s="19" t="s">
        <v>279</v>
      </c>
      <c r="F72" s="79">
        <v>685700</v>
      </c>
      <c r="G72" s="79">
        <v>152069.46</v>
      </c>
      <c r="H72" s="61">
        <f t="shared" si="1"/>
        <v>0.22177258276214087</v>
      </c>
    </row>
    <row r="73" spans="1:10" s="15" customFormat="1" ht="46.8">
      <c r="A73" s="17"/>
      <c r="B73" s="17"/>
      <c r="C73" s="18"/>
      <c r="D73" s="19"/>
      <c r="E73" s="26" t="s">
        <v>34</v>
      </c>
      <c r="F73" s="79">
        <v>100000</v>
      </c>
      <c r="G73" s="79"/>
      <c r="H73" s="61">
        <f t="shared" si="1"/>
        <v>0</v>
      </c>
    </row>
    <row r="74" spans="1:10" s="15" customFormat="1" ht="46.8">
      <c r="A74" s="17"/>
      <c r="B74" s="17"/>
      <c r="C74" s="18"/>
      <c r="D74" s="19"/>
      <c r="E74" s="33" t="s">
        <v>280</v>
      </c>
      <c r="F74" s="79">
        <v>83938</v>
      </c>
      <c r="G74" s="79">
        <v>81094.97</v>
      </c>
      <c r="H74" s="61">
        <f t="shared" si="1"/>
        <v>0.96612940503705114</v>
      </c>
    </row>
    <row r="75" spans="1:10" s="15" customFormat="1" ht="46.8">
      <c r="A75" s="17"/>
      <c r="B75" s="17"/>
      <c r="C75" s="18"/>
      <c r="D75" s="19"/>
      <c r="E75" s="33" t="s">
        <v>281</v>
      </c>
      <c r="F75" s="79">
        <v>85297</v>
      </c>
      <c r="G75" s="79">
        <v>85246.79</v>
      </c>
      <c r="H75" s="61">
        <f t="shared" ref="H75:H138" si="2">G75/F75</f>
        <v>0.9994113509267617</v>
      </c>
      <c r="J75" s="32"/>
    </row>
    <row r="76" spans="1:10" s="15" customFormat="1" ht="46.8">
      <c r="A76" s="17"/>
      <c r="B76" s="17"/>
      <c r="C76" s="18"/>
      <c r="D76" s="19"/>
      <c r="E76" s="33" t="s">
        <v>282</v>
      </c>
      <c r="F76" s="79">
        <v>73615</v>
      </c>
      <c r="G76" s="79">
        <v>67448.17</v>
      </c>
      <c r="H76" s="61">
        <f t="shared" si="2"/>
        <v>0.9162286218841269</v>
      </c>
    </row>
    <row r="77" spans="1:10" s="15" customFormat="1" ht="46.8">
      <c r="A77" s="17"/>
      <c r="B77" s="17"/>
      <c r="C77" s="18"/>
      <c r="D77" s="19"/>
      <c r="E77" s="19" t="s">
        <v>235</v>
      </c>
      <c r="F77" s="79">
        <v>800000</v>
      </c>
      <c r="G77" s="79">
        <v>649355.15</v>
      </c>
      <c r="H77" s="61">
        <f t="shared" si="2"/>
        <v>0.81169393750000007</v>
      </c>
    </row>
    <row r="78" spans="1:10" s="15" customFormat="1" ht="15.6">
      <c r="A78" s="17"/>
      <c r="B78" s="17"/>
      <c r="C78" s="18"/>
      <c r="D78" s="19"/>
      <c r="E78" s="26" t="s">
        <v>36</v>
      </c>
      <c r="F78" s="79">
        <f>230600+400000</f>
        <v>630600</v>
      </c>
      <c r="G78" s="79">
        <v>105571.72</v>
      </c>
      <c r="H78" s="61">
        <f t="shared" si="2"/>
        <v>0.16741471614335554</v>
      </c>
    </row>
    <row r="79" spans="1:10" s="15" customFormat="1" ht="15.6">
      <c r="A79" s="17"/>
      <c r="B79" s="17"/>
      <c r="C79" s="18"/>
      <c r="D79" s="19"/>
      <c r="E79" s="26" t="s">
        <v>236</v>
      </c>
      <c r="F79" s="79">
        <f>3000000+210000-200000-200000-100000</f>
        <v>2710000</v>
      </c>
      <c r="G79" s="79">
        <v>1413177.7</v>
      </c>
      <c r="H79" s="61">
        <f t="shared" si="2"/>
        <v>0.52146778597785981</v>
      </c>
    </row>
    <row r="80" spans="1:10" s="15" customFormat="1" ht="15.6">
      <c r="A80" s="17"/>
      <c r="B80" s="17"/>
      <c r="C80" s="18"/>
      <c r="D80" s="19"/>
      <c r="E80" s="26" t="s">
        <v>36</v>
      </c>
      <c r="F80" s="79">
        <v>600000</v>
      </c>
      <c r="G80" s="79">
        <v>254542.68</v>
      </c>
      <c r="H80" s="61">
        <f t="shared" si="2"/>
        <v>0.4242378</v>
      </c>
    </row>
    <row r="81" spans="1:9" s="15" customFormat="1" ht="46.8">
      <c r="A81" s="17"/>
      <c r="B81" s="17"/>
      <c r="C81" s="18"/>
      <c r="D81" s="19"/>
      <c r="E81" s="26" t="s">
        <v>283</v>
      </c>
      <c r="F81" s="79">
        <v>500000</v>
      </c>
      <c r="G81" s="79"/>
      <c r="H81" s="61">
        <f t="shared" si="2"/>
        <v>0</v>
      </c>
      <c r="I81" s="32"/>
    </row>
    <row r="82" spans="1:9" s="15" customFormat="1" ht="78">
      <c r="A82" s="17"/>
      <c r="B82" s="17"/>
      <c r="C82" s="18"/>
      <c r="D82" s="19"/>
      <c r="E82" s="26" t="s">
        <v>131</v>
      </c>
      <c r="F82" s="79">
        <f>SUM(F83:F90)</f>
        <v>2997397.15</v>
      </c>
      <c r="G82" s="79">
        <f>SUM(G83:G90)</f>
        <v>1745800.7400000002</v>
      </c>
      <c r="H82" s="61">
        <f t="shared" si="2"/>
        <v>0.58243891370884915</v>
      </c>
    </row>
    <row r="83" spans="1:9" s="15" customFormat="1" ht="62.4">
      <c r="A83" s="21"/>
      <c r="B83" s="21"/>
      <c r="C83" s="22"/>
      <c r="D83" s="23"/>
      <c r="E83" s="34" t="s">
        <v>132</v>
      </c>
      <c r="F83" s="80">
        <f>152934.75+19116.85</f>
        <v>172051.6</v>
      </c>
      <c r="G83" s="80">
        <v>171907.43</v>
      </c>
      <c r="H83" s="62">
        <f t="shared" si="2"/>
        <v>0.99916205370946853</v>
      </c>
    </row>
    <row r="84" spans="1:9" s="15" customFormat="1" ht="62.4">
      <c r="A84" s="21"/>
      <c r="B84" s="21"/>
      <c r="C84" s="22"/>
      <c r="D84" s="23"/>
      <c r="E84" s="34" t="s">
        <v>284</v>
      </c>
      <c r="F84" s="80">
        <f>373727.2+46715.9+562017.23</f>
        <v>982460.33000000007</v>
      </c>
      <c r="G84" s="80">
        <v>9246.6</v>
      </c>
      <c r="H84" s="62">
        <f t="shared" si="2"/>
        <v>9.4116777213793454E-3</v>
      </c>
    </row>
    <row r="85" spans="1:9" s="15" customFormat="1" ht="78">
      <c r="A85" s="21"/>
      <c r="B85" s="21"/>
      <c r="C85" s="22"/>
      <c r="D85" s="23"/>
      <c r="E85" s="34" t="s">
        <v>133</v>
      </c>
      <c r="F85" s="80">
        <f>40000+5000</f>
        <v>45000</v>
      </c>
      <c r="G85" s="80"/>
      <c r="H85" s="62">
        <f t="shared" si="2"/>
        <v>0</v>
      </c>
    </row>
    <row r="86" spans="1:9" s="15" customFormat="1" ht="62.4">
      <c r="A86" s="21"/>
      <c r="B86" s="21"/>
      <c r="C86" s="22"/>
      <c r="D86" s="23"/>
      <c r="E86" s="34" t="s">
        <v>66</v>
      </c>
      <c r="F86" s="80">
        <f>400000+50000</f>
        <v>450000</v>
      </c>
      <c r="G86" s="80">
        <v>449997.88</v>
      </c>
      <c r="H86" s="62">
        <f t="shared" si="2"/>
        <v>0.99999528888888889</v>
      </c>
    </row>
    <row r="87" spans="1:9" s="15" customFormat="1" ht="62.4">
      <c r="A87" s="21"/>
      <c r="B87" s="21"/>
      <c r="C87" s="22"/>
      <c r="D87" s="23"/>
      <c r="E87" s="34" t="s">
        <v>194</v>
      </c>
      <c r="F87" s="80">
        <f>378000-28524.96</f>
        <v>349475.04</v>
      </c>
      <c r="G87" s="80">
        <v>349466.4</v>
      </c>
      <c r="H87" s="62">
        <f t="shared" si="2"/>
        <v>0.99997527720434642</v>
      </c>
    </row>
    <row r="88" spans="1:9" s="15" customFormat="1" ht="62.4">
      <c r="A88" s="21"/>
      <c r="B88" s="21"/>
      <c r="C88" s="22"/>
      <c r="D88" s="23"/>
      <c r="E88" s="34" t="s">
        <v>67</v>
      </c>
      <c r="F88" s="80">
        <f>27337.22+3417.16</f>
        <v>30754.38</v>
      </c>
      <c r="G88" s="80"/>
      <c r="H88" s="62">
        <f t="shared" si="2"/>
        <v>0</v>
      </c>
    </row>
    <row r="89" spans="1:9" s="15" customFormat="1" ht="62.4">
      <c r="A89" s="21"/>
      <c r="B89" s="21"/>
      <c r="C89" s="22"/>
      <c r="D89" s="23"/>
      <c r="E89" s="34" t="s">
        <v>285</v>
      </c>
      <c r="F89" s="80">
        <f>379444.8+47430.6+1451585.7-1869200</f>
        <v>9261.0999999998603</v>
      </c>
      <c r="G89" s="80"/>
      <c r="H89" s="62">
        <f t="shared" si="2"/>
        <v>0</v>
      </c>
    </row>
    <row r="90" spans="1:9" s="15" customFormat="1" ht="62.4">
      <c r="A90" s="21"/>
      <c r="B90" s="21"/>
      <c r="C90" s="22"/>
      <c r="D90" s="23"/>
      <c r="E90" s="34" t="s">
        <v>286</v>
      </c>
      <c r="F90" s="80">
        <f>375515.2+46939.4+535940.1</f>
        <v>958394.7</v>
      </c>
      <c r="G90" s="80">
        <v>765182.43</v>
      </c>
      <c r="H90" s="62">
        <f t="shared" si="2"/>
        <v>0.79840010592713007</v>
      </c>
    </row>
    <row r="91" spans="1:9" s="15" customFormat="1" ht="31.2">
      <c r="A91" s="17" t="s">
        <v>287</v>
      </c>
      <c r="B91" s="17" t="s">
        <v>148</v>
      </c>
      <c r="C91" s="18" t="s">
        <v>22</v>
      </c>
      <c r="D91" s="19" t="s">
        <v>37</v>
      </c>
      <c r="E91" s="26" t="s">
        <v>288</v>
      </c>
      <c r="F91" s="79">
        <f>122724</f>
        <v>122724</v>
      </c>
      <c r="G91" s="79">
        <v>122724</v>
      </c>
      <c r="H91" s="61">
        <f t="shared" si="2"/>
        <v>1</v>
      </c>
    </row>
    <row r="92" spans="1:9" s="15" customFormat="1" ht="31.2">
      <c r="A92" s="17" t="s">
        <v>38</v>
      </c>
      <c r="B92" s="17" t="s">
        <v>39</v>
      </c>
      <c r="C92" s="18" t="s">
        <v>22</v>
      </c>
      <c r="D92" s="19" t="s">
        <v>40</v>
      </c>
      <c r="E92" s="26" t="s">
        <v>28</v>
      </c>
      <c r="F92" s="79">
        <f>F93</f>
        <v>1391959.38</v>
      </c>
      <c r="G92" s="79">
        <f>G93</f>
        <v>879174.89</v>
      </c>
      <c r="H92" s="61">
        <f t="shared" si="2"/>
        <v>0.6316095876303518</v>
      </c>
    </row>
    <row r="93" spans="1:9" s="15" customFormat="1" ht="78">
      <c r="A93" s="17"/>
      <c r="B93" s="17"/>
      <c r="C93" s="18"/>
      <c r="D93" s="19"/>
      <c r="E93" s="26" t="s">
        <v>131</v>
      </c>
      <c r="F93" s="79">
        <f>F94+F95+F96+F97</f>
        <v>1391959.38</v>
      </c>
      <c r="G93" s="79">
        <f>G94+G95+G96+G97</f>
        <v>879174.89</v>
      </c>
      <c r="H93" s="61">
        <f t="shared" si="2"/>
        <v>0.6316095876303518</v>
      </c>
    </row>
    <row r="94" spans="1:9" s="15" customFormat="1" ht="62.4">
      <c r="A94" s="21"/>
      <c r="B94" s="21"/>
      <c r="C94" s="21"/>
      <c r="D94" s="24"/>
      <c r="E94" s="23" t="s">
        <v>237</v>
      </c>
      <c r="F94" s="82">
        <f>382905.94+44644.06</f>
        <v>427550</v>
      </c>
      <c r="G94" s="82">
        <v>427536.7</v>
      </c>
      <c r="H94" s="62">
        <f t="shared" si="2"/>
        <v>0.99996889252718979</v>
      </c>
    </row>
    <row r="95" spans="1:9" s="15" customFormat="1" ht="62.4">
      <c r="A95" s="21"/>
      <c r="B95" s="21"/>
      <c r="C95" s="21"/>
      <c r="D95" s="24"/>
      <c r="E95" s="23" t="s">
        <v>289</v>
      </c>
      <c r="F95" s="82">
        <v>495000</v>
      </c>
      <c r="G95" s="82">
        <v>29380.34</v>
      </c>
      <c r="H95" s="62">
        <f t="shared" si="2"/>
        <v>5.9354222222222225E-2</v>
      </c>
    </row>
    <row r="96" spans="1:9" s="15" customFormat="1" ht="46.8">
      <c r="A96" s="21"/>
      <c r="B96" s="21"/>
      <c r="C96" s="21"/>
      <c r="D96" s="24"/>
      <c r="E96" s="23" t="s">
        <v>195</v>
      </c>
      <c r="F96" s="82">
        <v>45000</v>
      </c>
      <c r="G96" s="82"/>
      <c r="H96" s="62">
        <f t="shared" si="2"/>
        <v>0</v>
      </c>
    </row>
    <row r="97" spans="1:10" s="15" customFormat="1" ht="46.8">
      <c r="A97" s="21"/>
      <c r="B97" s="21"/>
      <c r="C97" s="21"/>
      <c r="D97" s="24"/>
      <c r="E97" s="23" t="s">
        <v>68</v>
      </c>
      <c r="F97" s="82">
        <f>377779.54+46629.84</f>
        <v>424409.38</v>
      </c>
      <c r="G97" s="82">
        <v>422257.85</v>
      </c>
      <c r="H97" s="62">
        <f t="shared" si="2"/>
        <v>0.99493053145997845</v>
      </c>
    </row>
    <row r="98" spans="1:10" s="15" customFormat="1" ht="62.4">
      <c r="A98" s="17" t="s">
        <v>290</v>
      </c>
      <c r="B98" s="17" t="s">
        <v>291</v>
      </c>
      <c r="C98" s="17" t="s">
        <v>22</v>
      </c>
      <c r="D98" s="26" t="s">
        <v>292</v>
      </c>
      <c r="E98" s="19" t="s">
        <v>18</v>
      </c>
      <c r="F98" s="83">
        <f>540000+99990</f>
        <v>639990</v>
      </c>
      <c r="G98" s="83">
        <v>99990</v>
      </c>
      <c r="H98" s="61">
        <f t="shared" si="2"/>
        <v>0.15623681620025312</v>
      </c>
    </row>
    <row r="99" spans="1:10" s="15" customFormat="1" ht="15.6">
      <c r="A99" s="17" t="s">
        <v>41</v>
      </c>
      <c r="B99" s="17" t="s">
        <v>21</v>
      </c>
      <c r="C99" s="18" t="s">
        <v>22</v>
      </c>
      <c r="D99" s="19" t="s">
        <v>23</v>
      </c>
      <c r="E99" s="26" t="s">
        <v>28</v>
      </c>
      <c r="F99" s="79">
        <f>F100+F101+F102+F103+F104+F105</f>
        <v>1897832</v>
      </c>
      <c r="G99" s="79">
        <f>G100+G101+G102+G103+G104+G105</f>
        <v>799273.11</v>
      </c>
      <c r="H99" s="61">
        <f t="shared" si="2"/>
        <v>0.42115061290988876</v>
      </c>
    </row>
    <row r="100" spans="1:10" s="15" customFormat="1" ht="62.4">
      <c r="A100" s="21"/>
      <c r="B100" s="21"/>
      <c r="C100" s="21"/>
      <c r="D100" s="24"/>
      <c r="E100" s="35" t="s">
        <v>46</v>
      </c>
      <c r="F100" s="83">
        <v>220000</v>
      </c>
      <c r="G100" s="83"/>
      <c r="H100" s="61">
        <f t="shared" si="2"/>
        <v>0</v>
      </c>
    </row>
    <row r="101" spans="1:10" s="15" customFormat="1" ht="46.8">
      <c r="A101" s="21"/>
      <c r="B101" s="21"/>
      <c r="C101" s="21"/>
      <c r="D101" s="24"/>
      <c r="E101" s="35" t="s">
        <v>69</v>
      </c>
      <c r="F101" s="83">
        <v>50000</v>
      </c>
      <c r="G101" s="83"/>
      <c r="H101" s="61">
        <f t="shared" si="2"/>
        <v>0</v>
      </c>
      <c r="J101" s="32"/>
    </row>
    <row r="102" spans="1:10" s="15" customFormat="1" ht="46.8">
      <c r="A102" s="21"/>
      <c r="B102" s="21"/>
      <c r="C102" s="21"/>
      <c r="D102" s="24"/>
      <c r="E102" s="26" t="s">
        <v>134</v>
      </c>
      <c r="F102" s="79">
        <f>741099.08+49800+48600</f>
        <v>839499.08</v>
      </c>
      <c r="G102" s="79">
        <v>35564</v>
      </c>
      <c r="H102" s="61">
        <f t="shared" si="2"/>
        <v>4.2363357920535187E-2</v>
      </c>
    </row>
    <row r="103" spans="1:10" s="15" customFormat="1" ht="31.2">
      <c r="A103" s="17"/>
      <c r="B103" s="17"/>
      <c r="C103" s="17"/>
      <c r="D103" s="20"/>
      <c r="E103" s="19" t="s">
        <v>136</v>
      </c>
      <c r="F103" s="83">
        <f>100800-1821</f>
        <v>98979</v>
      </c>
      <c r="G103" s="83">
        <v>98979</v>
      </c>
      <c r="H103" s="61">
        <f t="shared" si="2"/>
        <v>1</v>
      </c>
    </row>
    <row r="104" spans="1:10" s="15" customFormat="1" ht="62.4">
      <c r="A104" s="17"/>
      <c r="B104" s="17"/>
      <c r="C104" s="17"/>
      <c r="D104" s="20"/>
      <c r="E104" s="19" t="s">
        <v>196</v>
      </c>
      <c r="F104" s="83">
        <f>261000-14000</f>
        <v>247000</v>
      </c>
      <c r="G104" s="83">
        <v>241838.59</v>
      </c>
      <c r="H104" s="61">
        <f t="shared" si="2"/>
        <v>0.97910360323886636</v>
      </c>
    </row>
    <row r="105" spans="1:10" s="15" customFormat="1" ht="78">
      <c r="A105" s="21"/>
      <c r="B105" s="21"/>
      <c r="C105" s="21"/>
      <c r="D105" s="24"/>
      <c r="E105" s="26" t="s">
        <v>131</v>
      </c>
      <c r="F105" s="79">
        <f>F106+F107</f>
        <v>442353.91999999998</v>
      </c>
      <c r="G105" s="79">
        <f>G106+G107</f>
        <v>422891.52000000002</v>
      </c>
      <c r="H105" s="61">
        <f t="shared" si="2"/>
        <v>0.95600265054732647</v>
      </c>
    </row>
    <row r="106" spans="1:10" s="15" customFormat="1" ht="62.4">
      <c r="A106" s="21"/>
      <c r="B106" s="21"/>
      <c r="C106" s="21"/>
      <c r="D106" s="24"/>
      <c r="E106" s="23" t="s">
        <v>135</v>
      </c>
      <c r="F106" s="82">
        <f>34555.23+33444.77</f>
        <v>68000</v>
      </c>
      <c r="G106" s="82">
        <v>65160</v>
      </c>
      <c r="H106" s="62">
        <f t="shared" si="2"/>
        <v>0.95823529411764707</v>
      </c>
    </row>
    <row r="107" spans="1:10" s="15" customFormat="1" ht="62.4">
      <c r="A107" s="21"/>
      <c r="B107" s="21"/>
      <c r="C107" s="21"/>
      <c r="D107" s="24"/>
      <c r="E107" s="23" t="s">
        <v>293</v>
      </c>
      <c r="F107" s="82">
        <f>189169.08+194830.92-9646.08</f>
        <v>374353.91999999998</v>
      </c>
      <c r="G107" s="82">
        <v>357731.52</v>
      </c>
      <c r="H107" s="62">
        <f t="shared" si="2"/>
        <v>0.95559709913014945</v>
      </c>
    </row>
    <row r="108" spans="1:10" s="15" customFormat="1" ht="31.2">
      <c r="A108" s="36">
        <v>1217310</v>
      </c>
      <c r="B108" s="25" t="s">
        <v>294</v>
      </c>
      <c r="C108" s="25" t="s">
        <v>56</v>
      </c>
      <c r="D108" s="26" t="s">
        <v>295</v>
      </c>
      <c r="E108" s="20" t="s">
        <v>28</v>
      </c>
      <c r="F108" s="79">
        <f>F109+F110+F111+F112+F113</f>
        <v>4543206.6400000006</v>
      </c>
      <c r="G108" s="79">
        <f>G109+G110+G111+G112+G113</f>
        <v>4444844.7300000004</v>
      </c>
      <c r="H108" s="61">
        <f t="shared" si="2"/>
        <v>0.97834967286453867</v>
      </c>
    </row>
    <row r="109" spans="1:10" s="15" customFormat="1" ht="78">
      <c r="A109" s="36"/>
      <c r="B109" s="25"/>
      <c r="C109" s="25"/>
      <c r="D109" s="26"/>
      <c r="E109" s="20" t="s">
        <v>296</v>
      </c>
      <c r="F109" s="79">
        <f>2100000+85206.64</f>
        <v>2185206.64</v>
      </c>
      <c r="G109" s="79">
        <v>2185206.64</v>
      </c>
      <c r="H109" s="61">
        <f t="shared" si="2"/>
        <v>1</v>
      </c>
    </row>
    <row r="110" spans="1:10" s="15" customFormat="1" ht="62.4">
      <c r="A110" s="36"/>
      <c r="B110" s="25"/>
      <c r="C110" s="25"/>
      <c r="D110" s="26"/>
      <c r="E110" s="20" t="s">
        <v>297</v>
      </c>
      <c r="F110" s="79">
        <f>225000+75000</f>
        <v>300000</v>
      </c>
      <c r="G110" s="79">
        <v>297682.55</v>
      </c>
      <c r="H110" s="61">
        <f t="shared" si="2"/>
        <v>0.9922751666666666</v>
      </c>
    </row>
    <row r="111" spans="1:10" s="15" customFormat="1" ht="46.8">
      <c r="A111" s="36"/>
      <c r="B111" s="25"/>
      <c r="C111" s="25"/>
      <c r="D111" s="26"/>
      <c r="E111" s="20" t="s">
        <v>298</v>
      </c>
      <c r="F111" s="79">
        <f>1150000+350000-735000+331000</f>
        <v>1096000</v>
      </c>
      <c r="G111" s="79">
        <v>1079585.33</v>
      </c>
      <c r="H111" s="61">
        <f t="shared" si="2"/>
        <v>0.98502311131386866</v>
      </c>
    </row>
    <row r="112" spans="1:10" s="15" customFormat="1" ht="46.8">
      <c r="A112" s="36"/>
      <c r="B112" s="25"/>
      <c r="C112" s="25"/>
      <c r="D112" s="26"/>
      <c r="E112" s="37" t="s">
        <v>299</v>
      </c>
      <c r="F112" s="79">
        <v>582000</v>
      </c>
      <c r="G112" s="79">
        <v>531160.57999999996</v>
      </c>
      <c r="H112" s="61">
        <f t="shared" si="2"/>
        <v>0.91264704467353941</v>
      </c>
    </row>
    <row r="113" spans="1:8" s="15" customFormat="1" ht="62.4">
      <c r="A113" s="36"/>
      <c r="B113" s="25"/>
      <c r="C113" s="25"/>
      <c r="D113" s="26"/>
      <c r="E113" s="37" t="s">
        <v>300</v>
      </c>
      <c r="F113" s="79">
        <v>380000</v>
      </c>
      <c r="G113" s="79">
        <v>351209.63</v>
      </c>
      <c r="H113" s="61">
        <f t="shared" si="2"/>
        <v>0.92423586842105265</v>
      </c>
    </row>
    <row r="114" spans="1:8" s="15" customFormat="1" ht="15.6">
      <c r="A114" s="17">
        <v>1217640</v>
      </c>
      <c r="B114" s="18">
        <v>7640</v>
      </c>
      <c r="C114" s="19" t="s">
        <v>47</v>
      </c>
      <c r="D114" s="26" t="s">
        <v>48</v>
      </c>
      <c r="E114" s="26" t="s">
        <v>28</v>
      </c>
      <c r="F114" s="79">
        <f>F115</f>
        <v>324089.55</v>
      </c>
      <c r="G114" s="79">
        <f>G115</f>
        <v>293519.15999999997</v>
      </c>
      <c r="H114" s="61">
        <f t="shared" si="2"/>
        <v>0.90567301537491718</v>
      </c>
    </row>
    <row r="115" spans="1:8" s="15" customFormat="1" ht="78">
      <c r="A115" s="21"/>
      <c r="B115" s="21"/>
      <c r="C115" s="21"/>
      <c r="D115" s="24"/>
      <c r="E115" s="26" t="s">
        <v>131</v>
      </c>
      <c r="F115" s="79">
        <f>F116</f>
        <v>324089.55</v>
      </c>
      <c r="G115" s="79">
        <f>G116</f>
        <v>293519.15999999997</v>
      </c>
      <c r="H115" s="61">
        <f t="shared" si="2"/>
        <v>0.90567301537491718</v>
      </c>
    </row>
    <row r="116" spans="1:8" s="15" customFormat="1" ht="62.4">
      <c r="A116" s="21"/>
      <c r="B116" s="21"/>
      <c r="C116" s="21"/>
      <c r="D116" s="24"/>
      <c r="E116" s="34" t="s">
        <v>70</v>
      </c>
      <c r="F116" s="80">
        <f>24079.6+300009.95</f>
        <v>324089.55</v>
      </c>
      <c r="G116" s="80">
        <v>293519.15999999997</v>
      </c>
      <c r="H116" s="62">
        <f t="shared" si="2"/>
        <v>0.90567301537491718</v>
      </c>
    </row>
    <row r="117" spans="1:8" s="15" customFormat="1" ht="31.2">
      <c r="A117" s="36">
        <v>1217670</v>
      </c>
      <c r="B117" s="25" t="s">
        <v>301</v>
      </c>
      <c r="C117" s="38" t="s">
        <v>24</v>
      </c>
      <c r="D117" s="19" t="s">
        <v>302</v>
      </c>
      <c r="E117" s="37" t="s">
        <v>28</v>
      </c>
      <c r="F117" s="79">
        <f>F118+F119+F120</f>
        <v>11896600</v>
      </c>
      <c r="G117" s="79">
        <f>G118+G119+G120</f>
        <v>11733310</v>
      </c>
      <c r="H117" s="61">
        <f t="shared" si="2"/>
        <v>0.98627422961182187</v>
      </c>
    </row>
    <row r="118" spans="1:8" s="15" customFormat="1" ht="15.6">
      <c r="A118" s="39"/>
      <c r="B118" s="30"/>
      <c r="C118" s="40"/>
      <c r="D118" s="23"/>
      <c r="E118" s="41" t="s">
        <v>303</v>
      </c>
      <c r="F118" s="80">
        <f>9446600</f>
        <v>9446600</v>
      </c>
      <c r="G118" s="80">
        <f>2164990+226320+6900000</f>
        <v>9291310</v>
      </c>
      <c r="H118" s="62">
        <f t="shared" si="2"/>
        <v>0.98356128130756038</v>
      </c>
    </row>
    <row r="119" spans="1:8" s="15" customFormat="1" ht="31.2">
      <c r="A119" s="39"/>
      <c r="B119" s="30"/>
      <c r="C119" s="40"/>
      <c r="D119" s="23"/>
      <c r="E119" s="41" t="s">
        <v>304</v>
      </c>
      <c r="F119" s="80">
        <v>1930000</v>
      </c>
      <c r="G119" s="80">
        <v>1930000</v>
      </c>
      <c r="H119" s="62">
        <f t="shared" si="2"/>
        <v>1</v>
      </c>
    </row>
    <row r="120" spans="1:8" s="15" customFormat="1" ht="15.6">
      <c r="A120" s="39"/>
      <c r="B120" s="30"/>
      <c r="C120" s="40"/>
      <c r="D120" s="23"/>
      <c r="E120" s="41" t="s">
        <v>305</v>
      </c>
      <c r="F120" s="80">
        <v>520000</v>
      </c>
      <c r="G120" s="80">
        <v>512000</v>
      </c>
      <c r="H120" s="62">
        <f t="shared" si="2"/>
        <v>0.98461538461538467</v>
      </c>
    </row>
    <row r="121" spans="1:8" s="15" customFormat="1" ht="15.6">
      <c r="A121" s="36">
        <v>1217693</v>
      </c>
      <c r="B121" s="25" t="s">
        <v>171</v>
      </c>
      <c r="C121" s="38" t="s">
        <v>24</v>
      </c>
      <c r="D121" s="19" t="s">
        <v>172</v>
      </c>
      <c r="E121" s="37" t="s">
        <v>28</v>
      </c>
      <c r="F121" s="79">
        <f>F122</f>
        <v>5111684</v>
      </c>
      <c r="G121" s="79">
        <f>G122</f>
        <v>5111669.2</v>
      </c>
      <c r="H121" s="61">
        <f t="shared" si="2"/>
        <v>0.99999710467235459</v>
      </c>
    </row>
    <row r="122" spans="1:8" s="15" customFormat="1" ht="15.6">
      <c r="A122" s="39"/>
      <c r="B122" s="30"/>
      <c r="C122" s="40"/>
      <c r="D122" s="23"/>
      <c r="E122" s="41" t="s">
        <v>306</v>
      </c>
      <c r="F122" s="80">
        <f>5111684</f>
        <v>5111684</v>
      </c>
      <c r="G122" s="80">
        <v>5111669.2</v>
      </c>
      <c r="H122" s="62">
        <f t="shared" si="2"/>
        <v>0.99999710467235459</v>
      </c>
    </row>
    <row r="123" spans="1:8" s="15" customFormat="1" ht="31.2">
      <c r="A123" s="17">
        <v>1218110</v>
      </c>
      <c r="B123" s="18">
        <v>8110</v>
      </c>
      <c r="C123" s="19" t="s">
        <v>88</v>
      </c>
      <c r="D123" s="26" t="s">
        <v>83</v>
      </c>
      <c r="E123" s="26" t="s">
        <v>28</v>
      </c>
      <c r="F123" s="79">
        <f>F124+F125+F126</f>
        <v>3424114.6</v>
      </c>
      <c r="G123" s="79">
        <f>G124+G125+G126</f>
        <v>2253860.92</v>
      </c>
      <c r="H123" s="61">
        <f t="shared" si="2"/>
        <v>0.65823174259412931</v>
      </c>
    </row>
    <row r="124" spans="1:8" s="15" customFormat="1" ht="124.8">
      <c r="A124" s="17"/>
      <c r="B124" s="17"/>
      <c r="C124" s="17"/>
      <c r="D124" s="20"/>
      <c r="E124" s="20" t="s">
        <v>137</v>
      </c>
      <c r="F124" s="79">
        <v>1170000</v>
      </c>
      <c r="G124" s="79"/>
      <c r="H124" s="61">
        <f t="shared" si="2"/>
        <v>0</v>
      </c>
    </row>
    <row r="125" spans="1:8" s="15" customFormat="1" ht="62.4">
      <c r="A125" s="17"/>
      <c r="B125" s="17"/>
      <c r="C125" s="17"/>
      <c r="D125" s="20"/>
      <c r="E125" s="20" t="s">
        <v>138</v>
      </c>
      <c r="F125" s="79">
        <f>2639114.6-1150000</f>
        <v>1489114.6</v>
      </c>
      <c r="G125" s="79">
        <v>1488887.89</v>
      </c>
      <c r="H125" s="61">
        <f t="shared" si="2"/>
        <v>0.99984775516941393</v>
      </c>
    </row>
    <row r="126" spans="1:8" s="15" customFormat="1" ht="62.4">
      <c r="A126" s="17"/>
      <c r="B126" s="17"/>
      <c r="C126" s="17"/>
      <c r="D126" s="20"/>
      <c r="E126" s="20" t="s">
        <v>307</v>
      </c>
      <c r="F126" s="79">
        <f>1500000-404000-331000</f>
        <v>765000</v>
      </c>
      <c r="G126" s="79">
        <v>764973.03</v>
      </c>
      <c r="H126" s="61">
        <f t="shared" si="2"/>
        <v>0.99996474509803923</v>
      </c>
    </row>
    <row r="127" spans="1:8" s="15" customFormat="1" ht="62.4">
      <c r="A127" s="17" t="s">
        <v>308</v>
      </c>
      <c r="B127" s="17" t="s">
        <v>309</v>
      </c>
      <c r="C127" s="17" t="s">
        <v>310</v>
      </c>
      <c r="D127" s="20" t="s">
        <v>311</v>
      </c>
      <c r="E127" s="20" t="s">
        <v>18</v>
      </c>
      <c r="F127" s="79">
        <v>256938.98</v>
      </c>
      <c r="G127" s="79"/>
      <c r="H127" s="61">
        <f t="shared" si="2"/>
        <v>0</v>
      </c>
    </row>
    <row r="128" spans="1:8" s="15" customFormat="1" ht="15.6">
      <c r="A128" s="14" t="s">
        <v>53</v>
      </c>
      <c r="B128" s="16" t="s">
        <v>102</v>
      </c>
      <c r="C128" s="16" t="s">
        <v>102</v>
      </c>
      <c r="D128" s="69" t="s">
        <v>139</v>
      </c>
      <c r="E128" s="69"/>
      <c r="F128" s="78">
        <f>F129</f>
        <v>176966780.82999998</v>
      </c>
      <c r="G128" s="78">
        <f>G129</f>
        <v>126693546.49999999</v>
      </c>
      <c r="H128" s="60">
        <f t="shared" si="2"/>
        <v>0.71591711114249124</v>
      </c>
    </row>
    <row r="129" spans="1:8" s="15" customFormat="1" ht="15.6">
      <c r="A129" s="14" t="s">
        <v>54</v>
      </c>
      <c r="B129" s="16" t="s">
        <v>102</v>
      </c>
      <c r="C129" s="16" t="s">
        <v>102</v>
      </c>
      <c r="D129" s="67" t="s">
        <v>139</v>
      </c>
      <c r="E129" s="68"/>
      <c r="F129" s="78">
        <f>F130+F131+F134+F135+F172+F175+F193+F197+F219+F229+F236+F256+F265</f>
        <v>176966780.82999998</v>
      </c>
      <c r="G129" s="78">
        <f>G130+G131+G134+G135+G172+G175+G193+G197+G219+G229+G236+G256+G265</f>
        <v>126693546.49999999</v>
      </c>
      <c r="H129" s="60">
        <f t="shared" si="2"/>
        <v>0.71591711114249124</v>
      </c>
    </row>
    <row r="130" spans="1:8" s="15" customFormat="1" ht="78">
      <c r="A130" s="17">
        <v>1510150</v>
      </c>
      <c r="B130" s="18">
        <v>150</v>
      </c>
      <c r="C130" s="19" t="s">
        <v>16</v>
      </c>
      <c r="D130" s="26" t="s">
        <v>17</v>
      </c>
      <c r="E130" s="26" t="s">
        <v>59</v>
      </c>
      <c r="F130" s="79">
        <f>550229.42-11200</f>
        <v>539029.42000000004</v>
      </c>
      <c r="G130" s="79">
        <v>538945.43999999994</v>
      </c>
      <c r="H130" s="61">
        <f t="shared" si="2"/>
        <v>0.9998442014537906</v>
      </c>
    </row>
    <row r="131" spans="1:8" s="15" customFormat="1" ht="31.2">
      <c r="A131" s="17">
        <v>1512010</v>
      </c>
      <c r="B131" s="18">
        <v>2010</v>
      </c>
      <c r="C131" s="19" t="s">
        <v>19</v>
      </c>
      <c r="D131" s="26" t="s">
        <v>20</v>
      </c>
      <c r="E131" s="26" t="s">
        <v>28</v>
      </c>
      <c r="F131" s="79">
        <f>F132+F133</f>
        <v>12254240.16</v>
      </c>
      <c r="G131" s="79">
        <f>G132+G133</f>
        <v>10870577.360000001</v>
      </c>
      <c r="H131" s="61">
        <f t="shared" si="2"/>
        <v>0.8870870178865502</v>
      </c>
    </row>
    <row r="132" spans="1:8" s="15" customFormat="1" ht="109.2">
      <c r="A132" s="17"/>
      <c r="B132" s="18"/>
      <c r="C132" s="19"/>
      <c r="D132" s="26"/>
      <c r="E132" s="26" t="s">
        <v>140</v>
      </c>
      <c r="F132" s="79">
        <v>11568240.16</v>
      </c>
      <c r="G132" s="79">
        <v>10362613.210000001</v>
      </c>
      <c r="H132" s="61">
        <f t="shared" si="2"/>
        <v>0.8957813000659558</v>
      </c>
    </row>
    <row r="133" spans="1:8" s="15" customFormat="1" ht="124.8">
      <c r="A133" s="17"/>
      <c r="B133" s="18"/>
      <c r="C133" s="19"/>
      <c r="D133" s="26"/>
      <c r="E133" s="26" t="s">
        <v>312</v>
      </c>
      <c r="F133" s="79">
        <v>686000</v>
      </c>
      <c r="G133" s="79">
        <v>507964.15</v>
      </c>
      <c r="H133" s="61">
        <f t="shared" si="2"/>
        <v>0.7404725218658893</v>
      </c>
    </row>
    <row r="134" spans="1:8" s="15" customFormat="1" ht="93.6">
      <c r="A134" s="17" t="s">
        <v>313</v>
      </c>
      <c r="B134" s="18">
        <v>2111</v>
      </c>
      <c r="C134" s="26" t="s">
        <v>219</v>
      </c>
      <c r="D134" s="26" t="s">
        <v>220</v>
      </c>
      <c r="E134" s="26" t="s">
        <v>314</v>
      </c>
      <c r="F134" s="79">
        <v>450000</v>
      </c>
      <c r="G134" s="79">
        <v>443042.63</v>
      </c>
      <c r="H134" s="61">
        <f t="shared" si="2"/>
        <v>0.98453917777777777</v>
      </c>
    </row>
    <row r="135" spans="1:8" s="42" customFormat="1" ht="31.2">
      <c r="A135" s="17" t="s">
        <v>77</v>
      </c>
      <c r="B135" s="18" t="s">
        <v>141</v>
      </c>
      <c r="C135" s="19" t="s">
        <v>29</v>
      </c>
      <c r="D135" s="26" t="s">
        <v>32</v>
      </c>
      <c r="E135" s="26" t="s">
        <v>28</v>
      </c>
      <c r="F135" s="79">
        <f>SUM(F136:F171)</f>
        <v>8007811.7199999997</v>
      </c>
      <c r="G135" s="79">
        <f>SUM(G136:G171)</f>
        <v>7005255.7100000009</v>
      </c>
      <c r="H135" s="61">
        <f t="shared" si="2"/>
        <v>0.87480274948322601</v>
      </c>
    </row>
    <row r="136" spans="1:8" s="42" customFormat="1" ht="62.4">
      <c r="A136" s="17"/>
      <c r="B136" s="18"/>
      <c r="C136" s="19"/>
      <c r="D136" s="26"/>
      <c r="E136" s="43" t="s">
        <v>315</v>
      </c>
      <c r="F136" s="79">
        <f>50000-554.73</f>
        <v>49445.27</v>
      </c>
      <c r="G136" s="79">
        <v>38884.71</v>
      </c>
      <c r="H136" s="61">
        <f t="shared" si="2"/>
        <v>0.78641920652875397</v>
      </c>
    </row>
    <row r="137" spans="1:8" s="42" customFormat="1" ht="46.8">
      <c r="A137" s="21"/>
      <c r="B137" s="21"/>
      <c r="C137" s="21"/>
      <c r="D137" s="24"/>
      <c r="E137" s="19" t="s">
        <v>316</v>
      </c>
      <c r="F137" s="84">
        <v>50000</v>
      </c>
      <c r="G137" s="84">
        <v>49939.4</v>
      </c>
      <c r="H137" s="61">
        <f t="shared" si="2"/>
        <v>0.99878800000000001</v>
      </c>
    </row>
    <row r="138" spans="1:8" s="42" customFormat="1" ht="46.8">
      <c r="A138" s="21"/>
      <c r="B138" s="21"/>
      <c r="C138" s="21"/>
      <c r="D138" s="24"/>
      <c r="E138" s="43" t="s">
        <v>58</v>
      </c>
      <c r="F138" s="84">
        <f>1521966.3-39885.24</f>
        <v>1482081.06</v>
      </c>
      <c r="G138" s="84">
        <v>1482081.06</v>
      </c>
      <c r="H138" s="61">
        <f t="shared" si="2"/>
        <v>1</v>
      </c>
    </row>
    <row r="139" spans="1:8" s="42" customFormat="1" ht="46.8">
      <c r="A139" s="21"/>
      <c r="B139" s="21"/>
      <c r="C139" s="21"/>
      <c r="D139" s="24"/>
      <c r="E139" s="43" t="s">
        <v>78</v>
      </c>
      <c r="F139" s="84">
        <f>195577.45-16436.15</f>
        <v>179141.30000000002</v>
      </c>
      <c r="G139" s="84">
        <v>179141.3</v>
      </c>
      <c r="H139" s="61">
        <f t="shared" ref="H139:H202" si="3">G139/F139</f>
        <v>0.99999999999999989</v>
      </c>
    </row>
    <row r="140" spans="1:8" s="42" customFormat="1" ht="46.8">
      <c r="A140" s="21"/>
      <c r="B140" s="21"/>
      <c r="C140" s="21"/>
      <c r="D140" s="24"/>
      <c r="E140" s="43" t="s">
        <v>62</v>
      </c>
      <c r="F140" s="84">
        <f>128577+159861.37</f>
        <v>288438.37</v>
      </c>
      <c r="G140" s="84"/>
      <c r="H140" s="61">
        <f t="shared" si="3"/>
        <v>0</v>
      </c>
    </row>
    <row r="141" spans="1:8" s="42" customFormat="1" ht="46.8">
      <c r="A141" s="21"/>
      <c r="B141" s="21"/>
      <c r="C141" s="21"/>
      <c r="D141" s="24"/>
      <c r="E141" s="43" t="s">
        <v>33</v>
      </c>
      <c r="F141" s="84">
        <f>371069+260282.07+254815.94</f>
        <v>886167.01</v>
      </c>
      <c r="G141" s="84">
        <v>864352.12</v>
      </c>
      <c r="H141" s="61">
        <f t="shared" si="3"/>
        <v>0.97538286829251297</v>
      </c>
    </row>
    <row r="142" spans="1:8" s="42" customFormat="1" ht="62.4">
      <c r="A142" s="21"/>
      <c r="B142" s="21"/>
      <c r="C142" s="21"/>
      <c r="D142" s="24"/>
      <c r="E142" s="44" t="s">
        <v>317</v>
      </c>
      <c r="F142" s="84">
        <v>73246.070000000007</v>
      </c>
      <c r="G142" s="84">
        <v>73159.92</v>
      </c>
      <c r="H142" s="61">
        <f t="shared" si="3"/>
        <v>0.99882382768113009</v>
      </c>
    </row>
    <row r="143" spans="1:8" s="42" customFormat="1" ht="46.8">
      <c r="A143" s="21"/>
      <c r="B143" s="21"/>
      <c r="C143" s="21"/>
      <c r="D143" s="24"/>
      <c r="E143" s="44" t="s">
        <v>318</v>
      </c>
      <c r="F143" s="84">
        <v>61159.98</v>
      </c>
      <c r="G143" s="84">
        <v>61088.18</v>
      </c>
      <c r="H143" s="61">
        <f t="shared" si="3"/>
        <v>0.99882602970112155</v>
      </c>
    </row>
    <row r="144" spans="1:8" s="15" customFormat="1" ht="62.4">
      <c r="A144" s="21"/>
      <c r="B144" s="21"/>
      <c r="C144" s="21"/>
      <c r="D144" s="24"/>
      <c r="E144" s="44" t="s">
        <v>319</v>
      </c>
      <c r="F144" s="84">
        <v>61931.54</v>
      </c>
      <c r="G144" s="84">
        <v>61858.85</v>
      </c>
      <c r="H144" s="61">
        <f t="shared" si="3"/>
        <v>0.99882628463622891</v>
      </c>
    </row>
    <row r="145" spans="1:8" s="15" customFormat="1" ht="62.4">
      <c r="A145" s="21"/>
      <c r="B145" s="21"/>
      <c r="C145" s="21"/>
      <c r="D145" s="24"/>
      <c r="E145" s="44" t="s">
        <v>57</v>
      </c>
      <c r="F145" s="84">
        <v>250000</v>
      </c>
      <c r="G145" s="84"/>
      <c r="H145" s="61">
        <f t="shared" si="3"/>
        <v>0</v>
      </c>
    </row>
    <row r="146" spans="1:8" s="15" customFormat="1" ht="62.4">
      <c r="A146" s="21"/>
      <c r="B146" s="21"/>
      <c r="C146" s="21"/>
      <c r="D146" s="24"/>
      <c r="E146" s="44" t="s">
        <v>320</v>
      </c>
      <c r="F146" s="84">
        <v>129255.31</v>
      </c>
      <c r="G146" s="84">
        <v>129102.88</v>
      </c>
      <c r="H146" s="61">
        <f t="shared" si="3"/>
        <v>0.99882070608936691</v>
      </c>
    </row>
    <row r="147" spans="1:8" s="15" customFormat="1" ht="46.8">
      <c r="A147" s="21"/>
      <c r="B147" s="21"/>
      <c r="C147" s="21"/>
      <c r="D147" s="24"/>
      <c r="E147" s="43" t="s">
        <v>321</v>
      </c>
      <c r="F147" s="84">
        <v>212865.41</v>
      </c>
      <c r="G147" s="84">
        <v>212580.71</v>
      </c>
      <c r="H147" s="61">
        <f t="shared" si="3"/>
        <v>0.9986625351671744</v>
      </c>
    </row>
    <row r="148" spans="1:8" s="15" customFormat="1" ht="62.4">
      <c r="A148" s="21"/>
      <c r="B148" s="21"/>
      <c r="C148" s="21"/>
      <c r="D148" s="24"/>
      <c r="E148" s="43" t="s">
        <v>322</v>
      </c>
      <c r="F148" s="84">
        <v>97680</v>
      </c>
      <c r="G148" s="84">
        <v>97553.68</v>
      </c>
      <c r="H148" s="61">
        <f t="shared" si="3"/>
        <v>0.9987067977067976</v>
      </c>
    </row>
    <row r="149" spans="1:8" s="15" customFormat="1" ht="62.4">
      <c r="A149" s="21"/>
      <c r="B149" s="21"/>
      <c r="C149" s="21"/>
      <c r="D149" s="24"/>
      <c r="E149" s="43" t="s">
        <v>323</v>
      </c>
      <c r="F149" s="84">
        <v>88900</v>
      </c>
      <c r="G149" s="84">
        <v>87868.14</v>
      </c>
      <c r="H149" s="61">
        <f t="shared" si="3"/>
        <v>0.98839302587176603</v>
      </c>
    </row>
    <row r="150" spans="1:8" s="15" customFormat="1" ht="46.8">
      <c r="A150" s="21"/>
      <c r="B150" s="21"/>
      <c r="C150" s="21"/>
      <c r="D150" s="24"/>
      <c r="E150" s="43" t="s">
        <v>324</v>
      </c>
      <c r="F150" s="84">
        <v>133035.41</v>
      </c>
      <c r="G150" s="84">
        <v>132878.70000000001</v>
      </c>
      <c r="H150" s="61">
        <f t="shared" si="3"/>
        <v>0.99882204294330368</v>
      </c>
    </row>
    <row r="151" spans="1:8" s="15" customFormat="1" ht="46.8">
      <c r="A151" s="21"/>
      <c r="B151" s="21"/>
      <c r="C151" s="21"/>
      <c r="D151" s="24"/>
      <c r="E151" s="43" t="s">
        <v>325</v>
      </c>
      <c r="F151" s="84">
        <v>257340.7</v>
      </c>
      <c r="G151" s="84">
        <v>246529.11</v>
      </c>
      <c r="H151" s="61">
        <f t="shared" si="3"/>
        <v>0.95798725191934264</v>
      </c>
    </row>
    <row r="152" spans="1:8" s="15" customFormat="1" ht="46.8">
      <c r="A152" s="21"/>
      <c r="B152" s="21"/>
      <c r="C152" s="21"/>
      <c r="D152" s="24"/>
      <c r="E152" s="19" t="s">
        <v>326</v>
      </c>
      <c r="F152" s="84">
        <v>352761</v>
      </c>
      <c r="G152" s="84">
        <v>352644.47</v>
      </c>
      <c r="H152" s="61">
        <f t="shared" si="3"/>
        <v>0.99966966302964322</v>
      </c>
    </row>
    <row r="153" spans="1:8" s="15" customFormat="1" ht="46.8">
      <c r="A153" s="21"/>
      <c r="B153" s="21"/>
      <c r="C153" s="21"/>
      <c r="D153" s="24"/>
      <c r="E153" s="19" t="s">
        <v>327</v>
      </c>
      <c r="F153" s="84">
        <v>300000</v>
      </c>
      <c r="G153" s="84">
        <v>254856.1</v>
      </c>
      <c r="H153" s="61">
        <f t="shared" si="3"/>
        <v>0.84952033333333332</v>
      </c>
    </row>
    <row r="154" spans="1:8" s="15" customFormat="1" ht="46.8">
      <c r="A154" s="21"/>
      <c r="B154" s="21"/>
      <c r="C154" s="21"/>
      <c r="D154" s="24"/>
      <c r="E154" s="43" t="s">
        <v>379</v>
      </c>
      <c r="F154" s="84">
        <v>68062.539999999994</v>
      </c>
      <c r="G154" s="84"/>
      <c r="H154" s="61">
        <f t="shared" si="3"/>
        <v>0</v>
      </c>
    </row>
    <row r="155" spans="1:8" s="15" customFormat="1" ht="46.8">
      <c r="A155" s="21"/>
      <c r="B155" s="21"/>
      <c r="C155" s="21"/>
      <c r="D155" s="24"/>
      <c r="E155" s="43" t="s">
        <v>63</v>
      </c>
      <c r="F155" s="84">
        <f>92033+96808.06</f>
        <v>188841.06</v>
      </c>
      <c r="G155" s="84">
        <v>188615.86</v>
      </c>
      <c r="H155" s="61">
        <f t="shared" si="3"/>
        <v>0.99880746274141852</v>
      </c>
    </row>
    <row r="156" spans="1:8" s="15" customFormat="1" ht="62.4">
      <c r="A156" s="21"/>
      <c r="B156" s="21"/>
      <c r="C156" s="21"/>
      <c r="D156" s="24"/>
      <c r="E156" s="43" t="s">
        <v>328</v>
      </c>
      <c r="F156" s="84">
        <v>150594.01</v>
      </c>
      <c r="G156" s="84">
        <v>150414.96</v>
      </c>
      <c r="H156" s="61">
        <f t="shared" si="3"/>
        <v>0.99881104168751456</v>
      </c>
    </row>
    <row r="157" spans="1:8" s="15" customFormat="1" ht="46.8">
      <c r="A157" s="21"/>
      <c r="B157" s="21"/>
      <c r="C157" s="21"/>
      <c r="D157" s="24"/>
      <c r="E157" s="43" t="s">
        <v>64</v>
      </c>
      <c r="F157" s="84">
        <f>89932+185870.18</f>
        <v>275802.18</v>
      </c>
      <c r="G157" s="84">
        <v>275457.40000000002</v>
      </c>
      <c r="H157" s="61">
        <f t="shared" si="3"/>
        <v>0.99874990110665562</v>
      </c>
    </row>
    <row r="158" spans="1:8" s="15" customFormat="1" ht="78">
      <c r="A158" s="21"/>
      <c r="B158" s="21"/>
      <c r="C158" s="21"/>
      <c r="D158" s="24"/>
      <c r="E158" s="43" t="s">
        <v>329</v>
      </c>
      <c r="F158" s="84">
        <v>286689.61</v>
      </c>
      <c r="G158" s="84">
        <v>284051.83</v>
      </c>
      <c r="H158" s="61">
        <f t="shared" si="3"/>
        <v>0.99079917824716435</v>
      </c>
    </row>
    <row r="159" spans="1:8" s="15" customFormat="1" ht="62.4">
      <c r="A159" s="21"/>
      <c r="B159" s="21"/>
      <c r="C159" s="21"/>
      <c r="D159" s="24"/>
      <c r="E159" s="43" t="s">
        <v>330</v>
      </c>
      <c r="F159" s="84">
        <v>78240.91</v>
      </c>
      <c r="G159" s="84">
        <v>78148.320000000007</v>
      </c>
      <c r="H159" s="61">
        <f t="shared" si="3"/>
        <v>0.99881660374348924</v>
      </c>
    </row>
    <row r="160" spans="1:8" s="15" customFormat="1" ht="46.8">
      <c r="A160" s="21"/>
      <c r="B160" s="21"/>
      <c r="C160" s="21"/>
      <c r="D160" s="24"/>
      <c r="E160" s="43" t="s">
        <v>331</v>
      </c>
      <c r="F160" s="84">
        <v>254546.03</v>
      </c>
      <c r="G160" s="84">
        <v>253647.72</v>
      </c>
      <c r="H160" s="61">
        <f t="shared" si="3"/>
        <v>0.99647093297821221</v>
      </c>
    </row>
    <row r="161" spans="1:8" s="15" customFormat="1" ht="62.4">
      <c r="A161" s="21"/>
      <c r="B161" s="21"/>
      <c r="C161" s="21"/>
      <c r="D161" s="24"/>
      <c r="E161" s="19" t="s">
        <v>332</v>
      </c>
      <c r="F161" s="84">
        <v>91000</v>
      </c>
      <c r="G161" s="84">
        <v>67719.64</v>
      </c>
      <c r="H161" s="61">
        <f t="shared" si="3"/>
        <v>0.74417186813186809</v>
      </c>
    </row>
    <row r="162" spans="1:8" s="15" customFormat="1" ht="46.8">
      <c r="A162" s="21"/>
      <c r="B162" s="21"/>
      <c r="C162" s="21"/>
      <c r="D162" s="24"/>
      <c r="E162" s="43" t="s">
        <v>197</v>
      </c>
      <c r="F162" s="84">
        <f>400000-54546.03</f>
        <v>345453.97</v>
      </c>
      <c r="G162" s="84">
        <v>345453.97</v>
      </c>
      <c r="H162" s="61">
        <f t="shared" si="3"/>
        <v>1</v>
      </c>
    </row>
    <row r="163" spans="1:8" s="15" customFormat="1" ht="62.4">
      <c r="A163" s="21"/>
      <c r="B163" s="21"/>
      <c r="C163" s="21"/>
      <c r="D163" s="24"/>
      <c r="E163" s="19" t="s">
        <v>333</v>
      </c>
      <c r="F163" s="84">
        <v>177000</v>
      </c>
      <c r="G163" s="84">
        <v>163360.16</v>
      </c>
      <c r="H163" s="61">
        <f t="shared" si="3"/>
        <v>0.9229387570621469</v>
      </c>
    </row>
    <row r="164" spans="1:8" s="15" customFormat="1" ht="46.8">
      <c r="A164" s="21"/>
      <c r="B164" s="21"/>
      <c r="C164" s="21"/>
      <c r="D164" s="24"/>
      <c r="E164" s="43" t="s">
        <v>142</v>
      </c>
      <c r="F164" s="84">
        <f>2784.01-130.39</f>
        <v>2653.6200000000003</v>
      </c>
      <c r="G164" s="84">
        <v>2653.62</v>
      </c>
      <c r="H164" s="61">
        <f t="shared" si="3"/>
        <v>0.99999999999999978</v>
      </c>
    </row>
    <row r="165" spans="1:8" s="15" customFormat="1" ht="46.8">
      <c r="A165" s="21"/>
      <c r="B165" s="21"/>
      <c r="C165" s="21"/>
      <c r="D165" s="24"/>
      <c r="E165" s="19" t="s">
        <v>334</v>
      </c>
      <c r="F165" s="84">
        <v>50000</v>
      </c>
      <c r="G165" s="84">
        <v>49939.4</v>
      </c>
      <c r="H165" s="61">
        <f t="shared" si="3"/>
        <v>0.99878800000000001</v>
      </c>
    </row>
    <row r="166" spans="1:8" s="15" customFormat="1" ht="46.8">
      <c r="A166" s="21"/>
      <c r="B166" s="21"/>
      <c r="C166" s="21"/>
      <c r="D166" s="24"/>
      <c r="E166" s="45" t="s">
        <v>335</v>
      </c>
      <c r="F166" s="84">
        <v>332008.94</v>
      </c>
      <c r="G166" s="84">
        <v>315083.92</v>
      </c>
      <c r="H166" s="61">
        <f t="shared" si="3"/>
        <v>0.94902239680654377</v>
      </c>
    </row>
    <row r="167" spans="1:8" s="15" customFormat="1" ht="62.4">
      <c r="A167" s="21"/>
      <c r="B167" s="21"/>
      <c r="C167" s="21"/>
      <c r="D167" s="24"/>
      <c r="E167" s="45" t="s">
        <v>336</v>
      </c>
      <c r="F167" s="84">
        <v>201416.06</v>
      </c>
      <c r="G167" s="84">
        <v>187760.22</v>
      </c>
      <c r="H167" s="61">
        <f t="shared" si="3"/>
        <v>0.93220083840384926</v>
      </c>
    </row>
    <row r="168" spans="1:8" s="15" customFormat="1" ht="31.2">
      <c r="A168" s="21"/>
      <c r="B168" s="21"/>
      <c r="C168" s="21"/>
      <c r="D168" s="24"/>
      <c r="E168" s="45" t="s">
        <v>337</v>
      </c>
      <c r="F168" s="84">
        <v>30124</v>
      </c>
      <c r="G168" s="84"/>
      <c r="H168" s="61">
        <f t="shared" si="3"/>
        <v>0</v>
      </c>
    </row>
    <row r="169" spans="1:8" s="15" customFormat="1" ht="46.8">
      <c r="A169" s="21"/>
      <c r="B169" s="21"/>
      <c r="C169" s="21"/>
      <c r="D169" s="24"/>
      <c r="E169" s="45" t="s">
        <v>65</v>
      </c>
      <c r="F169" s="84">
        <v>120193.15</v>
      </c>
      <c r="G169" s="84">
        <v>120050.75</v>
      </c>
      <c r="H169" s="61">
        <f t="shared" si="3"/>
        <v>0.998815240302796</v>
      </c>
    </row>
    <row r="170" spans="1:8" s="15" customFormat="1" ht="62.4">
      <c r="A170" s="21"/>
      <c r="B170" s="21"/>
      <c r="C170" s="21"/>
      <c r="D170" s="24"/>
      <c r="E170" s="45" t="s">
        <v>338</v>
      </c>
      <c r="F170" s="84">
        <v>199846.85</v>
      </c>
      <c r="G170" s="84">
        <v>198378.61</v>
      </c>
      <c r="H170" s="61">
        <f t="shared" si="3"/>
        <v>0.99265317416811916</v>
      </c>
    </row>
    <row r="171" spans="1:8" s="15" customFormat="1" ht="15.6">
      <c r="A171" s="21"/>
      <c r="B171" s="21"/>
      <c r="C171" s="21"/>
      <c r="D171" s="24"/>
      <c r="E171" s="43" t="s">
        <v>236</v>
      </c>
      <c r="F171" s="84">
        <f>4400000-101706-156000-2376905.4+2795.76-200000-1366294</f>
        <v>201890.3600000001</v>
      </c>
      <c r="G171" s="84"/>
      <c r="H171" s="61">
        <f t="shared" si="3"/>
        <v>0</v>
      </c>
    </row>
    <row r="172" spans="1:8" s="15" customFormat="1" ht="31.2">
      <c r="A172" s="17" t="s">
        <v>143</v>
      </c>
      <c r="B172" s="18" t="s">
        <v>144</v>
      </c>
      <c r="C172" s="19" t="s">
        <v>22</v>
      </c>
      <c r="D172" s="26" t="s">
        <v>145</v>
      </c>
      <c r="E172" s="26" t="s">
        <v>28</v>
      </c>
      <c r="F172" s="85">
        <f>F173+F174</f>
        <v>18305250</v>
      </c>
      <c r="G172" s="85">
        <f>G173+G174</f>
        <v>18213883.800000001</v>
      </c>
      <c r="H172" s="61">
        <f t="shared" si="3"/>
        <v>0.99500874339328882</v>
      </c>
    </row>
    <row r="173" spans="1:8" s="15" customFormat="1" ht="46.8">
      <c r="A173" s="17"/>
      <c r="B173" s="17"/>
      <c r="C173" s="17"/>
      <c r="D173" s="20"/>
      <c r="E173" s="19" t="s">
        <v>339</v>
      </c>
      <c r="F173" s="84">
        <f>13360000+1945250</f>
        <v>15305250</v>
      </c>
      <c r="G173" s="84">
        <v>15215683.800000001</v>
      </c>
      <c r="H173" s="61">
        <f t="shared" si="3"/>
        <v>0.99414800803645809</v>
      </c>
    </row>
    <row r="174" spans="1:8" s="15" customFormat="1" ht="31.2">
      <c r="A174" s="17"/>
      <c r="B174" s="17"/>
      <c r="C174" s="17"/>
      <c r="D174" s="20"/>
      <c r="E174" s="19" t="s">
        <v>146</v>
      </c>
      <c r="F174" s="84">
        <v>3000000</v>
      </c>
      <c r="G174" s="84">
        <v>2998200</v>
      </c>
      <c r="H174" s="61">
        <f t="shared" si="3"/>
        <v>0.99939999999999996</v>
      </c>
    </row>
    <row r="175" spans="1:8" s="15" customFormat="1" ht="31.2">
      <c r="A175" s="17" t="s">
        <v>147</v>
      </c>
      <c r="B175" s="18" t="s">
        <v>148</v>
      </c>
      <c r="C175" s="19" t="s">
        <v>22</v>
      </c>
      <c r="D175" s="26" t="s">
        <v>37</v>
      </c>
      <c r="E175" s="19" t="s">
        <v>28</v>
      </c>
      <c r="F175" s="85">
        <f>SUM(F176:F192)</f>
        <v>27170100.75</v>
      </c>
      <c r="G175" s="85">
        <f>SUM(G176:G192)</f>
        <v>24067415</v>
      </c>
      <c r="H175" s="61">
        <f t="shared" si="3"/>
        <v>0.88580514372954622</v>
      </c>
    </row>
    <row r="176" spans="1:8" s="15" customFormat="1" ht="62.4">
      <c r="A176" s="17"/>
      <c r="B176" s="18"/>
      <c r="C176" s="19"/>
      <c r="D176" s="26"/>
      <c r="E176" s="19" t="s">
        <v>55</v>
      </c>
      <c r="F176" s="85">
        <f>1700210+467676</f>
        <v>2167886</v>
      </c>
      <c r="G176" s="85">
        <v>25733.599999999999</v>
      </c>
      <c r="H176" s="61">
        <f t="shared" si="3"/>
        <v>1.1870365877172507E-2</v>
      </c>
    </row>
    <row r="177" spans="1:9" s="15" customFormat="1" ht="46.8">
      <c r="A177" s="17"/>
      <c r="B177" s="18"/>
      <c r="C177" s="19"/>
      <c r="D177" s="26"/>
      <c r="E177" s="19" t="s">
        <v>238</v>
      </c>
      <c r="F177" s="85">
        <f>1001010-339343</f>
        <v>661667</v>
      </c>
      <c r="G177" s="85">
        <v>640825.4</v>
      </c>
      <c r="H177" s="61">
        <f t="shared" si="3"/>
        <v>0.96850137606983577</v>
      </c>
    </row>
    <row r="178" spans="1:9" s="15" customFormat="1" ht="46.8">
      <c r="A178" s="17"/>
      <c r="B178" s="17"/>
      <c r="C178" s="25"/>
      <c r="D178" s="19"/>
      <c r="E178" s="35" t="s">
        <v>239</v>
      </c>
      <c r="F178" s="83">
        <f>12212800-649589</f>
        <v>11563211</v>
      </c>
      <c r="G178" s="83">
        <v>11297960.5</v>
      </c>
      <c r="H178" s="61">
        <f t="shared" si="3"/>
        <v>0.97706082678937534</v>
      </c>
    </row>
    <row r="179" spans="1:9" s="15" customFormat="1" ht="78">
      <c r="A179" s="17"/>
      <c r="B179" s="17"/>
      <c r="C179" s="25"/>
      <c r="D179" s="19"/>
      <c r="E179" s="35" t="s">
        <v>240</v>
      </c>
      <c r="F179" s="83">
        <f>750000-24779</f>
        <v>725221</v>
      </c>
      <c r="G179" s="83">
        <v>434062.95</v>
      </c>
      <c r="H179" s="61">
        <f t="shared" si="3"/>
        <v>0.59852507028891888</v>
      </c>
    </row>
    <row r="180" spans="1:9" s="15" customFormat="1" ht="31.2">
      <c r="A180" s="17"/>
      <c r="B180" s="17"/>
      <c r="C180" s="25"/>
      <c r="D180" s="19"/>
      <c r="E180" s="35" t="s">
        <v>198</v>
      </c>
      <c r="F180" s="83">
        <f>380000-76967</f>
        <v>303033</v>
      </c>
      <c r="G180" s="83">
        <v>303033</v>
      </c>
      <c r="H180" s="61">
        <f t="shared" si="3"/>
        <v>1</v>
      </c>
    </row>
    <row r="181" spans="1:9" s="15" customFormat="1" ht="31.2">
      <c r="A181" s="17"/>
      <c r="B181" s="17"/>
      <c r="C181" s="25"/>
      <c r="D181" s="19"/>
      <c r="E181" s="35" t="s">
        <v>199</v>
      </c>
      <c r="F181" s="83">
        <f>450000+163800</f>
        <v>613800</v>
      </c>
      <c r="G181" s="83">
        <v>613800</v>
      </c>
      <c r="H181" s="61">
        <f t="shared" si="3"/>
        <v>1</v>
      </c>
    </row>
    <row r="182" spans="1:9" s="15" customFormat="1" ht="31.2">
      <c r="A182" s="17"/>
      <c r="B182" s="17"/>
      <c r="C182" s="25"/>
      <c r="D182" s="19"/>
      <c r="E182" s="35" t="s">
        <v>340</v>
      </c>
      <c r="F182" s="83">
        <f>3551000+5500</f>
        <v>3556500</v>
      </c>
      <c r="G182" s="83">
        <v>3173611.2</v>
      </c>
      <c r="H182" s="61">
        <f t="shared" si="3"/>
        <v>0.8923411218894981</v>
      </c>
      <c r="I182" s="32"/>
    </row>
    <row r="183" spans="1:9" s="15" customFormat="1" ht="46.8">
      <c r="A183" s="17"/>
      <c r="B183" s="17"/>
      <c r="C183" s="25"/>
      <c r="D183" s="19"/>
      <c r="E183" s="35" t="s">
        <v>200</v>
      </c>
      <c r="F183" s="83">
        <f>1065000+727000+1089000+591000-230000-285040</f>
        <v>2956960</v>
      </c>
      <c r="G183" s="83">
        <v>2956960</v>
      </c>
      <c r="H183" s="61">
        <f t="shared" si="3"/>
        <v>1</v>
      </c>
    </row>
    <row r="184" spans="1:9" s="15" customFormat="1" ht="31.2">
      <c r="A184" s="17"/>
      <c r="B184" s="17"/>
      <c r="C184" s="25"/>
      <c r="D184" s="19"/>
      <c r="E184" s="35" t="s">
        <v>341</v>
      </c>
      <c r="F184" s="83">
        <f>1930000-5500</f>
        <v>1924500</v>
      </c>
      <c r="G184" s="83">
        <v>1924196.7</v>
      </c>
      <c r="H184" s="61">
        <f t="shared" si="3"/>
        <v>0.99984240062353857</v>
      </c>
    </row>
    <row r="185" spans="1:9" s="15" customFormat="1" ht="46.8">
      <c r="A185" s="17"/>
      <c r="B185" s="17"/>
      <c r="C185" s="25"/>
      <c r="D185" s="19"/>
      <c r="E185" s="35" t="s">
        <v>201</v>
      </c>
      <c r="F185" s="83">
        <f>485000-311885</f>
        <v>173115</v>
      </c>
      <c r="G185" s="83">
        <v>173114.04</v>
      </c>
      <c r="H185" s="61">
        <f t="shared" si="3"/>
        <v>0.99999445455333169</v>
      </c>
    </row>
    <row r="186" spans="1:9" s="15" customFormat="1" ht="31.2">
      <c r="A186" s="17"/>
      <c r="B186" s="17"/>
      <c r="C186" s="25"/>
      <c r="D186" s="19"/>
      <c r="E186" s="35" t="s">
        <v>202</v>
      </c>
      <c r="F186" s="83">
        <f>640000-163800-85206.64-27777</f>
        <v>363216.36</v>
      </c>
      <c r="G186" s="83">
        <v>363216</v>
      </c>
      <c r="H186" s="61">
        <f t="shared" si="3"/>
        <v>0.99999900885521786</v>
      </c>
    </row>
    <row r="187" spans="1:9" s="15" customFormat="1" ht="46.8">
      <c r="A187" s="17"/>
      <c r="B187" s="17"/>
      <c r="C187" s="25"/>
      <c r="D187" s="19"/>
      <c r="E187" s="35" t="s">
        <v>241</v>
      </c>
      <c r="F187" s="83">
        <v>440000</v>
      </c>
      <c r="G187" s="83">
        <v>440000</v>
      </c>
      <c r="H187" s="61">
        <f t="shared" si="3"/>
        <v>1</v>
      </c>
    </row>
    <row r="188" spans="1:9" s="15" customFormat="1" ht="46.8">
      <c r="A188" s="17"/>
      <c r="B188" s="17"/>
      <c r="C188" s="25"/>
      <c r="D188" s="19"/>
      <c r="E188" s="35" t="s">
        <v>342</v>
      </c>
      <c r="F188" s="83">
        <v>121990</v>
      </c>
      <c r="G188" s="83">
        <v>121904.94</v>
      </c>
      <c r="H188" s="61">
        <f t="shared" si="3"/>
        <v>0.99930272973194523</v>
      </c>
    </row>
    <row r="189" spans="1:9" s="15" customFormat="1" ht="46.8">
      <c r="A189" s="17"/>
      <c r="B189" s="17"/>
      <c r="C189" s="25"/>
      <c r="D189" s="19"/>
      <c r="E189" s="35" t="s">
        <v>343</v>
      </c>
      <c r="F189" s="83">
        <v>66810</v>
      </c>
      <c r="G189" s="83">
        <v>66807.28</v>
      </c>
      <c r="H189" s="61">
        <f t="shared" si="3"/>
        <v>0.99995928753180663</v>
      </c>
    </row>
    <row r="190" spans="1:9" s="15" customFormat="1" ht="46.8">
      <c r="A190" s="17"/>
      <c r="B190" s="17"/>
      <c r="C190" s="25"/>
      <c r="D190" s="19"/>
      <c r="E190" s="35" t="s">
        <v>344</v>
      </c>
      <c r="F190" s="83">
        <v>81200</v>
      </c>
      <c r="G190" s="83">
        <v>81198</v>
      </c>
      <c r="H190" s="61">
        <f t="shared" si="3"/>
        <v>0.99997536945812804</v>
      </c>
    </row>
    <row r="191" spans="1:9" s="15" customFormat="1" ht="78">
      <c r="A191" s="18"/>
      <c r="B191" s="18"/>
      <c r="C191" s="25"/>
      <c r="D191" s="19"/>
      <c r="E191" s="35" t="s">
        <v>345</v>
      </c>
      <c r="F191" s="79">
        <v>966374.39</v>
      </c>
      <c r="G191" s="79">
        <v>966374.39</v>
      </c>
      <c r="H191" s="61">
        <f t="shared" si="3"/>
        <v>1</v>
      </c>
    </row>
    <row r="192" spans="1:9" s="15" customFormat="1" ht="78">
      <c r="A192" s="27"/>
      <c r="B192" s="17"/>
      <c r="C192" s="17"/>
      <c r="D192" s="46"/>
      <c r="E192" s="37" t="s">
        <v>346</v>
      </c>
      <c r="F192" s="79">
        <v>484617</v>
      </c>
      <c r="G192" s="79">
        <v>484617</v>
      </c>
      <c r="H192" s="61">
        <f t="shared" si="3"/>
        <v>1</v>
      </c>
    </row>
    <row r="193" spans="1:8" s="15" customFormat="1" ht="31.2">
      <c r="A193" s="17" t="s">
        <v>149</v>
      </c>
      <c r="B193" s="18" t="s">
        <v>39</v>
      </c>
      <c r="C193" s="19" t="s">
        <v>22</v>
      </c>
      <c r="D193" s="26" t="s">
        <v>40</v>
      </c>
      <c r="E193" s="26" t="s">
        <v>28</v>
      </c>
      <c r="F193" s="79">
        <f>F194+F195+F196</f>
        <v>21668438.559999999</v>
      </c>
      <c r="G193" s="79">
        <f>G194+G195+G196</f>
        <v>4350226.4400000004</v>
      </c>
      <c r="H193" s="61">
        <f t="shared" si="3"/>
        <v>0.20076326348823911</v>
      </c>
    </row>
    <row r="194" spans="1:8" s="15" customFormat="1" ht="31.2">
      <c r="A194" s="21"/>
      <c r="B194" s="21"/>
      <c r="C194" s="21"/>
      <c r="D194" s="24"/>
      <c r="E194" s="43" t="s">
        <v>72</v>
      </c>
      <c r="F194" s="85">
        <v>1100019.28</v>
      </c>
      <c r="G194" s="85"/>
      <c r="H194" s="61">
        <f t="shared" si="3"/>
        <v>0</v>
      </c>
    </row>
    <row r="195" spans="1:8" s="15" customFormat="1" ht="31.2">
      <c r="A195" s="21"/>
      <c r="B195" s="21"/>
      <c r="C195" s="21"/>
      <c r="D195" s="24"/>
      <c r="E195" s="43" t="s">
        <v>71</v>
      </c>
      <c r="F195" s="85">
        <v>1100019.28</v>
      </c>
      <c r="G195" s="85"/>
      <c r="H195" s="61">
        <f t="shared" si="3"/>
        <v>0</v>
      </c>
    </row>
    <row r="196" spans="1:8" s="15" customFormat="1" ht="62.4">
      <c r="A196" s="21"/>
      <c r="B196" s="21"/>
      <c r="C196" s="21"/>
      <c r="D196" s="24"/>
      <c r="E196" s="43" t="s">
        <v>203</v>
      </c>
      <c r="F196" s="85">
        <f>25512000-6097000+53400</f>
        <v>19468400</v>
      </c>
      <c r="G196" s="85">
        <v>4350226.4400000004</v>
      </c>
      <c r="H196" s="61">
        <f t="shared" si="3"/>
        <v>0.22345064001150586</v>
      </c>
    </row>
    <row r="197" spans="1:8" s="15" customFormat="1" ht="15.6">
      <c r="A197" s="17" t="s">
        <v>150</v>
      </c>
      <c r="B197" s="18" t="s">
        <v>21</v>
      </c>
      <c r="C197" s="19" t="s">
        <v>22</v>
      </c>
      <c r="D197" s="26" t="s">
        <v>23</v>
      </c>
      <c r="E197" s="26" t="s">
        <v>28</v>
      </c>
      <c r="F197" s="79">
        <f>SUM(F198:F218)</f>
        <v>8733898.0999999996</v>
      </c>
      <c r="G197" s="79">
        <f>SUM(G198:G218)</f>
        <v>8532105.0899999999</v>
      </c>
      <c r="H197" s="61">
        <f t="shared" si="3"/>
        <v>0.97689542427796361</v>
      </c>
    </row>
    <row r="198" spans="1:8" s="15" customFormat="1" ht="62.4">
      <c r="A198" s="17"/>
      <c r="B198" s="18"/>
      <c r="C198" s="19"/>
      <c r="D198" s="26"/>
      <c r="E198" s="43" t="s">
        <v>208</v>
      </c>
      <c r="F198" s="79">
        <f>134497.4+39038.02-18850.59</f>
        <v>154684.82999999999</v>
      </c>
      <c r="G198" s="79">
        <v>154684.82999999999</v>
      </c>
      <c r="H198" s="61">
        <f t="shared" si="3"/>
        <v>1</v>
      </c>
    </row>
    <row r="199" spans="1:8" s="15" customFormat="1" ht="62.4">
      <c r="A199" s="17"/>
      <c r="B199" s="18"/>
      <c r="C199" s="19"/>
      <c r="D199" s="26"/>
      <c r="E199" s="43" t="s">
        <v>242</v>
      </c>
      <c r="F199" s="79">
        <v>101706</v>
      </c>
      <c r="G199" s="79">
        <v>96014.1</v>
      </c>
      <c r="H199" s="61">
        <f t="shared" si="3"/>
        <v>0.94403575010323881</v>
      </c>
    </row>
    <row r="200" spans="1:8" s="15" customFormat="1" ht="62.4">
      <c r="A200" s="17"/>
      <c r="B200" s="18"/>
      <c r="C200" s="19"/>
      <c r="D200" s="26"/>
      <c r="E200" s="43" t="s">
        <v>243</v>
      </c>
      <c r="F200" s="79">
        <v>313200</v>
      </c>
      <c r="G200" s="79">
        <v>290592.17</v>
      </c>
      <c r="H200" s="61">
        <f t="shared" si="3"/>
        <v>0.92781663473818643</v>
      </c>
    </row>
    <row r="201" spans="1:8" s="15" customFormat="1" ht="62.4">
      <c r="A201" s="17"/>
      <c r="B201" s="18"/>
      <c r="C201" s="19"/>
      <c r="D201" s="26"/>
      <c r="E201" s="43" t="s">
        <v>244</v>
      </c>
      <c r="F201" s="79">
        <v>237030</v>
      </c>
      <c r="G201" s="79">
        <v>236104.66</v>
      </c>
      <c r="H201" s="61">
        <f t="shared" si="3"/>
        <v>0.99609610597814624</v>
      </c>
    </row>
    <row r="202" spans="1:8" s="15" customFormat="1" ht="62.4">
      <c r="A202" s="17"/>
      <c r="B202" s="17"/>
      <c r="C202" s="17"/>
      <c r="D202" s="20"/>
      <c r="E202" s="43" t="s">
        <v>79</v>
      </c>
      <c r="F202" s="86">
        <f>105735.81-65633.52</f>
        <v>40102.289999999994</v>
      </c>
      <c r="G202" s="86"/>
      <c r="H202" s="61">
        <f t="shared" si="3"/>
        <v>0</v>
      </c>
    </row>
    <row r="203" spans="1:8" s="15" customFormat="1" ht="62.4">
      <c r="A203" s="17"/>
      <c r="B203" s="17"/>
      <c r="C203" s="17"/>
      <c r="D203" s="20"/>
      <c r="E203" s="47" t="s">
        <v>347</v>
      </c>
      <c r="F203" s="86">
        <v>221397.97</v>
      </c>
      <c r="G203" s="86">
        <v>176323.93</v>
      </c>
      <c r="H203" s="61">
        <f t="shared" ref="H203:H265" si="4">G203/F203</f>
        <v>0.79641168344949143</v>
      </c>
    </row>
    <row r="204" spans="1:8" s="15" customFormat="1" ht="62.4">
      <c r="A204" s="17"/>
      <c r="B204" s="17"/>
      <c r="C204" s="17"/>
      <c r="D204" s="20"/>
      <c r="E204" s="47" t="s">
        <v>348</v>
      </c>
      <c r="F204" s="86">
        <f>68045</f>
        <v>68045</v>
      </c>
      <c r="G204" s="86">
        <v>67991.460000000006</v>
      </c>
      <c r="H204" s="61">
        <f t="shared" si="4"/>
        <v>0.99921316775663171</v>
      </c>
    </row>
    <row r="205" spans="1:8" s="15" customFormat="1" ht="62.4">
      <c r="A205" s="17"/>
      <c r="B205" s="17"/>
      <c r="C205" s="17"/>
      <c r="D205" s="20"/>
      <c r="E205" s="43" t="s">
        <v>42</v>
      </c>
      <c r="F205" s="86">
        <f>91093.37+25600+68045-68045</f>
        <v>116693.37</v>
      </c>
      <c r="G205" s="86">
        <v>97164.78</v>
      </c>
      <c r="H205" s="61">
        <f t="shared" si="4"/>
        <v>0.83265038964938631</v>
      </c>
    </row>
    <row r="206" spans="1:8" s="15" customFormat="1" ht="62.4">
      <c r="A206" s="17"/>
      <c r="B206" s="17"/>
      <c r="C206" s="17"/>
      <c r="D206" s="20"/>
      <c r="E206" s="43" t="s">
        <v>43</v>
      </c>
      <c r="F206" s="86">
        <f>148644+40300-179000-9381.12</f>
        <v>562.8799999999992</v>
      </c>
      <c r="G206" s="86">
        <v>562.1</v>
      </c>
      <c r="H206" s="61">
        <f t="shared" si="4"/>
        <v>0.99861426947129195</v>
      </c>
    </row>
    <row r="207" spans="1:8" s="15" customFormat="1" ht="46.8">
      <c r="A207" s="17"/>
      <c r="B207" s="17"/>
      <c r="C207" s="17"/>
      <c r="D207" s="20"/>
      <c r="E207" s="43" t="s">
        <v>44</v>
      </c>
      <c r="F207" s="86">
        <f>329491.84-32320.57</f>
        <v>297171.27</v>
      </c>
      <c r="G207" s="86">
        <v>297171.27</v>
      </c>
      <c r="H207" s="61">
        <f t="shared" si="4"/>
        <v>1</v>
      </c>
    </row>
    <row r="208" spans="1:8" s="15" customFormat="1" ht="62.4">
      <c r="A208" s="17"/>
      <c r="B208" s="17"/>
      <c r="C208" s="17"/>
      <c r="D208" s="20"/>
      <c r="E208" s="47" t="s">
        <v>349</v>
      </c>
      <c r="F208" s="86">
        <v>417218.57</v>
      </c>
      <c r="G208" s="86">
        <v>410292.57</v>
      </c>
      <c r="H208" s="61">
        <f t="shared" si="4"/>
        <v>0.98339958837402663</v>
      </c>
    </row>
    <row r="209" spans="1:8" s="15" customFormat="1" ht="46.8">
      <c r="A209" s="17"/>
      <c r="B209" s="17"/>
      <c r="C209" s="17"/>
      <c r="D209" s="20"/>
      <c r="E209" s="43" t="s">
        <v>45</v>
      </c>
      <c r="F209" s="86">
        <f>186640.05+58100</f>
        <v>244740.05</v>
      </c>
      <c r="G209" s="86">
        <v>244214.49</v>
      </c>
      <c r="H209" s="61">
        <f t="shared" si="4"/>
        <v>0.99785257868501698</v>
      </c>
    </row>
    <row r="210" spans="1:8" s="15" customFormat="1" ht="62.4">
      <c r="A210" s="17"/>
      <c r="B210" s="17"/>
      <c r="C210" s="17"/>
      <c r="D210" s="20"/>
      <c r="E210" s="47" t="s">
        <v>350</v>
      </c>
      <c r="F210" s="86">
        <v>111493.37</v>
      </c>
      <c r="G210" s="86">
        <v>106552.79</v>
      </c>
      <c r="H210" s="61">
        <f t="shared" si="4"/>
        <v>0.9556872305501215</v>
      </c>
    </row>
    <row r="211" spans="1:8" s="15" customFormat="1" ht="46.8">
      <c r="A211" s="17"/>
      <c r="B211" s="17"/>
      <c r="C211" s="17"/>
      <c r="D211" s="20"/>
      <c r="E211" s="43" t="s">
        <v>204</v>
      </c>
      <c r="F211" s="86">
        <v>175000</v>
      </c>
      <c r="G211" s="86">
        <v>174793.66</v>
      </c>
      <c r="H211" s="61">
        <f t="shared" si="4"/>
        <v>0.99882091428571429</v>
      </c>
    </row>
    <row r="212" spans="1:8" s="15" customFormat="1" ht="62.4">
      <c r="A212" s="17"/>
      <c r="B212" s="17"/>
      <c r="C212" s="17"/>
      <c r="D212" s="20"/>
      <c r="E212" s="43" t="s">
        <v>205</v>
      </c>
      <c r="F212" s="86">
        <v>91093.37</v>
      </c>
      <c r="G212" s="86">
        <v>90929.21</v>
      </c>
      <c r="H212" s="61">
        <f t="shared" si="4"/>
        <v>0.99819789299704265</v>
      </c>
    </row>
    <row r="213" spans="1:8" s="15" customFormat="1" ht="62.4">
      <c r="A213" s="17"/>
      <c r="B213" s="17"/>
      <c r="C213" s="17"/>
      <c r="D213" s="20"/>
      <c r="E213" s="43" t="s">
        <v>80</v>
      </c>
      <c r="F213" s="86">
        <f>188769.9-174691.77</f>
        <v>14078.130000000005</v>
      </c>
      <c r="G213" s="86"/>
      <c r="H213" s="61">
        <f t="shared" si="4"/>
        <v>0</v>
      </c>
    </row>
    <row r="214" spans="1:8" s="15" customFormat="1" ht="78">
      <c r="A214" s="17"/>
      <c r="B214" s="17"/>
      <c r="C214" s="17"/>
      <c r="D214" s="20"/>
      <c r="E214" s="48" t="s">
        <v>73</v>
      </c>
      <c r="F214" s="86">
        <f>350000-325000</f>
        <v>25000</v>
      </c>
      <c r="G214" s="86">
        <v>25000</v>
      </c>
      <c r="H214" s="61">
        <f t="shared" si="4"/>
        <v>1</v>
      </c>
    </row>
    <row r="215" spans="1:8" s="15" customFormat="1" ht="78">
      <c r="A215" s="17"/>
      <c r="B215" s="17"/>
      <c r="C215" s="17"/>
      <c r="D215" s="20"/>
      <c r="E215" s="43" t="s">
        <v>151</v>
      </c>
      <c r="F215" s="86">
        <f>1015720-975269</f>
        <v>40451</v>
      </c>
      <c r="G215" s="86"/>
      <c r="H215" s="61">
        <f t="shared" si="4"/>
        <v>0</v>
      </c>
    </row>
    <row r="216" spans="1:8" s="15" customFormat="1" ht="78">
      <c r="A216" s="17"/>
      <c r="B216" s="17"/>
      <c r="C216" s="17"/>
      <c r="D216" s="20"/>
      <c r="E216" s="48" t="s">
        <v>206</v>
      </c>
      <c r="F216" s="86">
        <f>438000+28400</f>
        <v>466400</v>
      </c>
      <c r="G216" s="86">
        <v>465977.75</v>
      </c>
      <c r="H216" s="61">
        <f t="shared" si="4"/>
        <v>0.99909466123499147</v>
      </c>
    </row>
    <row r="217" spans="1:8" s="15" customFormat="1" ht="62.4">
      <c r="A217" s="17"/>
      <c r="B217" s="17"/>
      <c r="C217" s="17"/>
      <c r="D217" s="20"/>
      <c r="E217" s="48" t="s">
        <v>207</v>
      </c>
      <c r="F217" s="86">
        <f>4737120+850000-53400</f>
        <v>5533720</v>
      </c>
      <c r="G217" s="86">
        <v>5533637.1399999997</v>
      </c>
      <c r="H217" s="61">
        <f t="shared" si="4"/>
        <v>0.99998502634755637</v>
      </c>
    </row>
    <row r="218" spans="1:8" s="15" customFormat="1" ht="62.4">
      <c r="A218" s="17"/>
      <c r="B218" s="17"/>
      <c r="C218" s="17"/>
      <c r="D218" s="20"/>
      <c r="E218" s="48" t="s">
        <v>351</v>
      </c>
      <c r="F218" s="86">
        <f>70000+100000+2297910-2403800</f>
        <v>64110</v>
      </c>
      <c r="G218" s="86">
        <v>64098.18</v>
      </c>
      <c r="H218" s="61">
        <f t="shared" si="4"/>
        <v>0.99981562938699109</v>
      </c>
    </row>
    <row r="219" spans="1:8" s="15" customFormat="1" ht="31.2">
      <c r="A219" s="18">
        <v>1517310</v>
      </c>
      <c r="B219" s="25" t="s">
        <v>294</v>
      </c>
      <c r="C219" s="25" t="s">
        <v>56</v>
      </c>
      <c r="D219" s="26" t="s">
        <v>295</v>
      </c>
      <c r="E219" s="26" t="s">
        <v>28</v>
      </c>
      <c r="F219" s="79">
        <f>SUM(F220:F228)</f>
        <v>18502693</v>
      </c>
      <c r="G219" s="79">
        <f>SUM(G220:G228)</f>
        <v>18301852.039999999</v>
      </c>
      <c r="H219" s="61">
        <f t="shared" si="4"/>
        <v>0.98914531198242328</v>
      </c>
    </row>
    <row r="220" spans="1:8" s="15" customFormat="1" ht="93.6">
      <c r="A220" s="18"/>
      <c r="B220" s="25"/>
      <c r="C220" s="25"/>
      <c r="D220" s="26"/>
      <c r="E220" s="26" t="s">
        <v>352</v>
      </c>
      <c r="F220" s="79">
        <v>3450000</v>
      </c>
      <c r="G220" s="79">
        <v>3450000</v>
      </c>
      <c r="H220" s="61">
        <f t="shared" si="4"/>
        <v>1</v>
      </c>
    </row>
    <row r="221" spans="1:8" s="15" customFormat="1" ht="46.8">
      <c r="A221" s="18"/>
      <c r="B221" s="25"/>
      <c r="C221" s="25"/>
      <c r="D221" s="26"/>
      <c r="E221" s="19" t="s">
        <v>353</v>
      </c>
      <c r="F221" s="83">
        <f>3132000-172744</f>
        <v>2959256</v>
      </c>
      <c r="G221" s="83">
        <v>2954345.59</v>
      </c>
      <c r="H221" s="61">
        <f t="shared" si="4"/>
        <v>0.99834066062550852</v>
      </c>
    </row>
    <row r="222" spans="1:8" s="15" customFormat="1" ht="62.4">
      <c r="A222" s="18"/>
      <c r="B222" s="25"/>
      <c r="C222" s="25"/>
      <c r="D222" s="26"/>
      <c r="E222" s="19" t="s">
        <v>380</v>
      </c>
      <c r="F222" s="83">
        <f>2500000-150228+282161</f>
        <v>2631933</v>
      </c>
      <c r="G222" s="83">
        <v>2579960.98</v>
      </c>
      <c r="H222" s="61">
        <f t="shared" si="4"/>
        <v>0.98025328912248144</v>
      </c>
    </row>
    <row r="223" spans="1:8" s="15" customFormat="1" ht="62.4">
      <c r="A223" s="18"/>
      <c r="B223" s="25"/>
      <c r="C223" s="25"/>
      <c r="D223" s="26"/>
      <c r="E223" s="45" t="s">
        <v>354</v>
      </c>
      <c r="F223" s="83">
        <f>720000-261171</f>
        <v>458829</v>
      </c>
      <c r="G223" s="83">
        <v>458828.6</v>
      </c>
      <c r="H223" s="61">
        <f t="shared" si="4"/>
        <v>0.9999991282155225</v>
      </c>
    </row>
    <row r="224" spans="1:8" s="15" customFormat="1" ht="46.8">
      <c r="A224" s="18"/>
      <c r="B224" s="25"/>
      <c r="C224" s="25"/>
      <c r="D224" s="26"/>
      <c r="E224" s="19" t="s">
        <v>355</v>
      </c>
      <c r="F224" s="83">
        <f>70000+1377300</f>
        <v>1447300</v>
      </c>
      <c r="G224" s="83">
        <v>1430743.55</v>
      </c>
      <c r="H224" s="61">
        <f t="shared" si="4"/>
        <v>0.9885604574034409</v>
      </c>
    </row>
    <row r="225" spans="1:8" s="15" customFormat="1" ht="46.8">
      <c r="A225" s="18"/>
      <c r="B225" s="25"/>
      <c r="C225" s="25"/>
      <c r="D225" s="26"/>
      <c r="E225" s="19" t="s">
        <v>356</v>
      </c>
      <c r="F225" s="83">
        <v>1695000</v>
      </c>
      <c r="G225" s="83">
        <v>1594856.8</v>
      </c>
      <c r="H225" s="61">
        <f t="shared" si="4"/>
        <v>0.94091846607669616</v>
      </c>
    </row>
    <row r="226" spans="1:8" s="15" customFormat="1" ht="62.4">
      <c r="A226" s="18"/>
      <c r="B226" s="25"/>
      <c r="C226" s="25"/>
      <c r="D226" s="26"/>
      <c r="E226" s="49" t="s">
        <v>357</v>
      </c>
      <c r="F226" s="83">
        <f>5370000-298023</f>
        <v>5071977</v>
      </c>
      <c r="G226" s="83">
        <v>5044928.0199999996</v>
      </c>
      <c r="H226" s="61">
        <f t="shared" si="4"/>
        <v>0.99466697502768631</v>
      </c>
    </row>
    <row r="227" spans="1:8" s="15" customFormat="1" ht="93.6">
      <c r="A227" s="18"/>
      <c r="B227" s="25"/>
      <c r="C227" s="25"/>
      <c r="D227" s="26"/>
      <c r="E227" s="19" t="s">
        <v>358</v>
      </c>
      <c r="F227" s="83">
        <v>215500</v>
      </c>
      <c r="G227" s="83">
        <v>215460.78</v>
      </c>
      <c r="H227" s="61">
        <f t="shared" si="4"/>
        <v>0.99981800464037118</v>
      </c>
    </row>
    <row r="228" spans="1:8" s="15" customFormat="1" ht="46.8">
      <c r="A228" s="18"/>
      <c r="B228" s="25"/>
      <c r="C228" s="25"/>
      <c r="D228" s="26"/>
      <c r="E228" s="19" t="s">
        <v>359</v>
      </c>
      <c r="F228" s="83">
        <v>572898</v>
      </c>
      <c r="G228" s="83">
        <v>572727.72</v>
      </c>
      <c r="H228" s="61">
        <f t="shared" si="4"/>
        <v>0.99970277431584675</v>
      </c>
    </row>
    <row r="229" spans="1:8" s="15" customFormat="1" ht="31.2">
      <c r="A229" s="17" t="s">
        <v>152</v>
      </c>
      <c r="B229" s="18" t="s">
        <v>153</v>
      </c>
      <c r="C229" s="19" t="s">
        <v>24</v>
      </c>
      <c r="D229" s="26" t="s">
        <v>60</v>
      </c>
      <c r="E229" s="26" t="s">
        <v>28</v>
      </c>
      <c r="F229" s="79">
        <f>SUM(F230:F235)</f>
        <v>9364931.959999999</v>
      </c>
      <c r="G229" s="79">
        <f>SUM(G230:G235)</f>
        <v>1372026.96</v>
      </c>
      <c r="H229" s="61">
        <f t="shared" si="4"/>
        <v>0.14650687969333631</v>
      </c>
    </row>
    <row r="230" spans="1:8" s="15" customFormat="1" ht="31.2">
      <c r="A230" s="17"/>
      <c r="B230" s="17"/>
      <c r="C230" s="17"/>
      <c r="D230" s="20"/>
      <c r="E230" s="43" t="s">
        <v>61</v>
      </c>
      <c r="F230" s="79">
        <f>5730254.85+2220000</f>
        <v>7950254.8499999996</v>
      </c>
      <c r="G230" s="79">
        <v>285484.28999999998</v>
      </c>
      <c r="H230" s="61">
        <f t="shared" si="4"/>
        <v>3.5908822470011766E-2</v>
      </c>
    </row>
    <row r="231" spans="1:8" s="15" customFormat="1" ht="31.2">
      <c r="A231" s="17"/>
      <c r="B231" s="17"/>
      <c r="C231" s="17"/>
      <c r="D231" s="20"/>
      <c r="E231" s="43" t="s">
        <v>154</v>
      </c>
      <c r="F231" s="79">
        <v>37107</v>
      </c>
      <c r="G231" s="79"/>
      <c r="H231" s="61">
        <f t="shared" si="4"/>
        <v>0</v>
      </c>
    </row>
    <row r="232" spans="1:8" s="15" customFormat="1" ht="46.8">
      <c r="A232" s="17"/>
      <c r="B232" s="17"/>
      <c r="C232" s="17"/>
      <c r="D232" s="20"/>
      <c r="E232" s="26" t="s">
        <v>74</v>
      </c>
      <c r="F232" s="79">
        <f>350000+325000</f>
        <v>675000</v>
      </c>
      <c r="G232" s="79">
        <v>556431.25</v>
      </c>
      <c r="H232" s="61">
        <f t="shared" si="4"/>
        <v>0.82434259259259257</v>
      </c>
    </row>
    <row r="233" spans="1:8" s="15" customFormat="1" ht="46.8">
      <c r="A233" s="17"/>
      <c r="B233" s="17"/>
      <c r="C233" s="17"/>
      <c r="D233" s="20"/>
      <c r="E233" s="43" t="s">
        <v>155</v>
      </c>
      <c r="F233" s="79">
        <v>300000</v>
      </c>
      <c r="G233" s="79">
        <v>284511.42</v>
      </c>
      <c r="H233" s="61">
        <f t="shared" si="4"/>
        <v>0.94837139999999998</v>
      </c>
    </row>
    <row r="234" spans="1:8" s="15" customFormat="1" ht="93.6">
      <c r="A234" s="17"/>
      <c r="B234" s="17"/>
      <c r="C234" s="17"/>
      <c r="D234" s="20"/>
      <c r="E234" s="48" t="s">
        <v>156</v>
      </c>
      <c r="F234" s="79">
        <v>245600</v>
      </c>
      <c r="G234" s="79">
        <v>245600</v>
      </c>
      <c r="H234" s="61">
        <f t="shared" si="4"/>
        <v>1</v>
      </c>
    </row>
    <row r="235" spans="1:8" s="15" customFormat="1" ht="46.8">
      <c r="A235" s="17"/>
      <c r="B235" s="17"/>
      <c r="C235" s="17"/>
      <c r="D235" s="20"/>
      <c r="E235" s="43" t="s">
        <v>360</v>
      </c>
      <c r="F235" s="79">
        <v>156970.10999999999</v>
      </c>
      <c r="G235" s="79"/>
      <c r="H235" s="61">
        <f t="shared" si="4"/>
        <v>0</v>
      </c>
    </row>
    <row r="236" spans="1:8" s="15" customFormat="1" ht="15.6">
      <c r="A236" s="17" t="s">
        <v>157</v>
      </c>
      <c r="B236" s="18" t="s">
        <v>158</v>
      </c>
      <c r="C236" s="19" t="s">
        <v>47</v>
      </c>
      <c r="D236" s="26" t="s">
        <v>48</v>
      </c>
      <c r="E236" s="26" t="s">
        <v>28</v>
      </c>
      <c r="F236" s="79">
        <f>SUM(F237:F255)</f>
        <v>17855043.949999999</v>
      </c>
      <c r="G236" s="79">
        <f>SUM(G237:G255)</f>
        <v>9834244.5</v>
      </c>
      <c r="H236" s="61">
        <f t="shared" si="4"/>
        <v>0.55078243030591922</v>
      </c>
    </row>
    <row r="237" spans="1:8" s="15" customFormat="1" ht="46.8">
      <c r="A237" s="17"/>
      <c r="B237" s="18"/>
      <c r="C237" s="19"/>
      <c r="D237" s="26"/>
      <c r="E237" s="45" t="s">
        <v>361</v>
      </c>
      <c r="F237" s="79">
        <f>100000-9851.29</f>
        <v>90148.709999999992</v>
      </c>
      <c r="G237" s="79">
        <v>90147.73</v>
      </c>
      <c r="H237" s="61">
        <f t="shared" si="4"/>
        <v>0.99998912907350535</v>
      </c>
    </row>
    <row r="238" spans="1:8" s="15" customFormat="1" ht="46.8">
      <c r="A238" s="17"/>
      <c r="B238" s="18"/>
      <c r="C238" s="19"/>
      <c r="D238" s="26"/>
      <c r="E238" s="19" t="s">
        <v>362</v>
      </c>
      <c r="F238" s="79">
        <f>150000-28029.02</f>
        <v>121970.98</v>
      </c>
      <c r="G238" s="79">
        <v>103926.74</v>
      </c>
      <c r="H238" s="61">
        <f t="shared" si="4"/>
        <v>0.85206120341084424</v>
      </c>
    </row>
    <row r="239" spans="1:8" s="15" customFormat="1" ht="46.8">
      <c r="A239" s="17"/>
      <c r="B239" s="18"/>
      <c r="C239" s="19"/>
      <c r="D239" s="26"/>
      <c r="E239" s="19" t="s">
        <v>381</v>
      </c>
      <c r="F239" s="79">
        <f>150000-36400.08</f>
        <v>113599.92</v>
      </c>
      <c r="G239" s="79">
        <v>98257.44</v>
      </c>
      <c r="H239" s="61">
        <f t="shared" si="4"/>
        <v>0.86494286263581877</v>
      </c>
    </row>
    <row r="240" spans="1:8" s="15" customFormat="1" ht="46.8">
      <c r="A240" s="17"/>
      <c r="B240" s="18"/>
      <c r="C240" s="19"/>
      <c r="D240" s="26"/>
      <c r="E240" s="19" t="s">
        <v>363</v>
      </c>
      <c r="F240" s="79">
        <v>120321.73</v>
      </c>
      <c r="G240" s="79">
        <v>104983.52</v>
      </c>
      <c r="H240" s="61">
        <f t="shared" si="4"/>
        <v>0.8725233588313599</v>
      </c>
    </row>
    <row r="241" spans="1:8" s="15" customFormat="1" ht="46.8">
      <c r="A241" s="17"/>
      <c r="B241" s="18"/>
      <c r="C241" s="19"/>
      <c r="D241" s="26"/>
      <c r="E241" s="19" t="s">
        <v>364</v>
      </c>
      <c r="F241" s="79">
        <v>120321.71</v>
      </c>
      <c r="G241" s="79">
        <v>46747.8</v>
      </c>
      <c r="H241" s="61">
        <f t="shared" si="4"/>
        <v>0.38852340113849776</v>
      </c>
    </row>
    <row r="242" spans="1:8" s="15" customFormat="1" ht="46.8">
      <c r="A242" s="17"/>
      <c r="B242" s="18"/>
      <c r="C242" s="19"/>
      <c r="D242" s="26"/>
      <c r="E242" s="19" t="s">
        <v>365</v>
      </c>
      <c r="F242" s="79">
        <v>120321.73</v>
      </c>
      <c r="G242" s="79">
        <v>105369.82</v>
      </c>
      <c r="H242" s="61">
        <f t="shared" si="4"/>
        <v>0.87573391772209397</v>
      </c>
    </row>
    <row r="243" spans="1:8" s="15" customFormat="1" ht="46.8">
      <c r="A243" s="17"/>
      <c r="B243" s="18"/>
      <c r="C243" s="19"/>
      <c r="D243" s="26"/>
      <c r="E243" s="19" t="s">
        <v>366</v>
      </c>
      <c r="F243" s="79">
        <v>120321.73</v>
      </c>
      <c r="G243" s="79">
        <v>102965.46</v>
      </c>
      <c r="H243" s="61">
        <f t="shared" si="4"/>
        <v>0.85575115982790484</v>
      </c>
    </row>
    <row r="244" spans="1:8" s="15" customFormat="1" ht="46.8">
      <c r="A244" s="21"/>
      <c r="B244" s="21"/>
      <c r="C244" s="21"/>
      <c r="D244" s="24"/>
      <c r="E244" s="43" t="s">
        <v>75</v>
      </c>
      <c r="F244" s="84">
        <f>477515.88+992484.12-74158.68</f>
        <v>1395841.32</v>
      </c>
      <c r="G244" s="84">
        <v>1360834.44</v>
      </c>
      <c r="H244" s="61">
        <f t="shared" si="4"/>
        <v>0.97492058767826117</v>
      </c>
    </row>
    <row r="245" spans="1:8" s="15" customFormat="1" ht="46.8">
      <c r="A245" s="21"/>
      <c r="B245" s="21"/>
      <c r="C245" s="21"/>
      <c r="D245" s="24"/>
      <c r="E245" s="43" t="s">
        <v>245</v>
      </c>
      <c r="F245" s="84">
        <v>179000</v>
      </c>
      <c r="G245" s="84">
        <v>144631.23000000001</v>
      </c>
      <c r="H245" s="61">
        <f t="shared" si="4"/>
        <v>0.8079956983240224</v>
      </c>
    </row>
    <row r="246" spans="1:8" s="15" customFormat="1" ht="46.8">
      <c r="A246" s="21"/>
      <c r="B246" s="21"/>
      <c r="C246" s="21"/>
      <c r="D246" s="24"/>
      <c r="E246" s="43" t="s">
        <v>49</v>
      </c>
      <c r="F246" s="84">
        <f>356325-22851.35</f>
        <v>333473.65000000002</v>
      </c>
      <c r="G246" s="84">
        <v>333473.65000000002</v>
      </c>
      <c r="H246" s="61">
        <f t="shared" si="4"/>
        <v>1</v>
      </c>
    </row>
    <row r="247" spans="1:8" s="15" customFormat="1" ht="62.4">
      <c r="A247" s="21"/>
      <c r="B247" s="21"/>
      <c r="C247" s="21"/>
      <c r="D247" s="24"/>
      <c r="E247" s="43" t="s">
        <v>246</v>
      </c>
      <c r="F247" s="84">
        <f>322851.35-33468.88</f>
        <v>289382.46999999997</v>
      </c>
      <c r="G247" s="84">
        <v>289382.46999999997</v>
      </c>
      <c r="H247" s="61">
        <f t="shared" si="4"/>
        <v>1</v>
      </c>
    </row>
    <row r="248" spans="1:8" s="15" customFormat="1" ht="46.8">
      <c r="A248" s="21"/>
      <c r="B248" s="21"/>
      <c r="C248" s="21"/>
      <c r="D248" s="24"/>
      <c r="E248" s="43" t="s">
        <v>50</v>
      </c>
      <c r="F248" s="84">
        <f>675427-39038.02-100000-124673.42</f>
        <v>411715.56</v>
      </c>
      <c r="G248" s="84">
        <v>411715.56</v>
      </c>
      <c r="H248" s="61">
        <f t="shared" si="4"/>
        <v>1</v>
      </c>
    </row>
    <row r="249" spans="1:8" s="15" customFormat="1" ht="46.8">
      <c r="A249" s="21"/>
      <c r="B249" s="21"/>
      <c r="C249" s="21"/>
      <c r="D249" s="24"/>
      <c r="E249" s="43" t="s">
        <v>247</v>
      </c>
      <c r="F249" s="84">
        <f>156000-24062.54</f>
        <v>131937.46</v>
      </c>
      <c r="G249" s="84">
        <v>125222.24</v>
      </c>
      <c r="H249" s="61">
        <f t="shared" si="4"/>
        <v>0.94910300683369242</v>
      </c>
    </row>
    <row r="250" spans="1:8" s="15" customFormat="1" ht="46.8">
      <c r="A250" s="21"/>
      <c r="B250" s="21"/>
      <c r="C250" s="21"/>
      <c r="D250" s="24"/>
      <c r="E250" s="43" t="s">
        <v>51</v>
      </c>
      <c r="F250" s="84">
        <f>99306.77+59200</f>
        <v>158506.77000000002</v>
      </c>
      <c r="G250" s="84">
        <v>147852.97</v>
      </c>
      <c r="H250" s="61">
        <f t="shared" si="4"/>
        <v>0.932786467101689</v>
      </c>
    </row>
    <row r="251" spans="1:8" s="15" customFormat="1" ht="46.8">
      <c r="A251" s="21"/>
      <c r="B251" s="21"/>
      <c r="C251" s="21"/>
      <c r="D251" s="24"/>
      <c r="E251" s="43" t="s">
        <v>52</v>
      </c>
      <c r="F251" s="84">
        <f>284410.21+64400</f>
        <v>348810.21</v>
      </c>
      <c r="G251" s="84">
        <v>317263.53999999998</v>
      </c>
      <c r="H251" s="61">
        <f t="shared" si="4"/>
        <v>0.90955921273061346</v>
      </c>
    </row>
    <row r="252" spans="1:8" s="15" customFormat="1" ht="46.8">
      <c r="A252" s="21"/>
      <c r="B252" s="21"/>
      <c r="C252" s="21"/>
      <c r="D252" s="24"/>
      <c r="E252" s="19" t="s">
        <v>367</v>
      </c>
      <c r="F252" s="84">
        <v>999570</v>
      </c>
      <c r="G252" s="84">
        <v>872190.64</v>
      </c>
      <c r="H252" s="61">
        <f t="shared" si="4"/>
        <v>0.87256584331262443</v>
      </c>
    </row>
    <row r="253" spans="1:8" s="15" customFormat="1" ht="78">
      <c r="A253" s="21"/>
      <c r="B253" s="21"/>
      <c r="C253" s="21"/>
      <c r="D253" s="24"/>
      <c r="E253" s="35" t="s">
        <v>159</v>
      </c>
      <c r="F253" s="84">
        <f>100000+5411800</f>
        <v>5511800</v>
      </c>
      <c r="G253" s="84">
        <v>724059.51</v>
      </c>
      <c r="H253" s="61">
        <f t="shared" si="4"/>
        <v>0.13136534525926194</v>
      </c>
    </row>
    <row r="254" spans="1:8" s="15" customFormat="1" ht="62.4">
      <c r="A254" s="21"/>
      <c r="B254" s="21"/>
      <c r="C254" s="21"/>
      <c r="D254" s="24"/>
      <c r="E254" s="35" t="s">
        <v>160</v>
      </c>
      <c r="F254" s="84">
        <f>100000+3201000</f>
        <v>3301000</v>
      </c>
      <c r="G254" s="84">
        <v>489871.96</v>
      </c>
      <c r="H254" s="61">
        <f t="shared" si="4"/>
        <v>0.14840107846107242</v>
      </c>
    </row>
    <row r="255" spans="1:8" s="15" customFormat="1" ht="46.8">
      <c r="A255" s="21"/>
      <c r="B255" s="21"/>
      <c r="C255" s="21"/>
      <c r="D255" s="24"/>
      <c r="E255" s="35" t="s">
        <v>161</v>
      </c>
      <c r="F255" s="84">
        <f>3782400+204600</f>
        <v>3987000</v>
      </c>
      <c r="G255" s="84">
        <v>3965347.78</v>
      </c>
      <c r="H255" s="61">
        <f t="shared" si="4"/>
        <v>0.9945692952094306</v>
      </c>
    </row>
    <row r="256" spans="1:8" s="15" customFormat="1" ht="31.2">
      <c r="A256" s="17" t="s">
        <v>81</v>
      </c>
      <c r="B256" s="18" t="s">
        <v>82</v>
      </c>
      <c r="C256" s="19" t="s">
        <v>88</v>
      </c>
      <c r="D256" s="26" t="s">
        <v>83</v>
      </c>
      <c r="E256" s="26" t="s">
        <v>28</v>
      </c>
      <c r="F256" s="79">
        <f>SUM(F257:F264)</f>
        <v>29954391.739999998</v>
      </c>
      <c r="G256" s="79">
        <f>SUM(G257:G264)</f>
        <v>20197892.550000001</v>
      </c>
      <c r="H256" s="61">
        <f t="shared" si="4"/>
        <v>0.67428818870083995</v>
      </c>
    </row>
    <row r="257" spans="1:8" s="15" customFormat="1" ht="93.6">
      <c r="A257" s="21"/>
      <c r="B257" s="21"/>
      <c r="C257" s="21"/>
      <c r="D257" s="24"/>
      <c r="E257" s="43" t="s">
        <v>91</v>
      </c>
      <c r="F257" s="85">
        <f>3265655.66+200000+490000-145000</f>
        <v>3810655.66</v>
      </c>
      <c r="G257" s="85">
        <v>3810561.96</v>
      </c>
      <c r="H257" s="61">
        <f t="shared" si="4"/>
        <v>0.9999754110556397</v>
      </c>
    </row>
    <row r="258" spans="1:8" s="15" customFormat="1" ht="171.6">
      <c r="A258" s="18"/>
      <c r="B258" s="18"/>
      <c r="C258" s="25"/>
      <c r="D258" s="19"/>
      <c r="E258" s="19" t="s">
        <v>165</v>
      </c>
      <c r="F258" s="85">
        <f>4276488+683000-239521.3</f>
        <v>4719966.7</v>
      </c>
      <c r="G258" s="85">
        <v>4684463.6900000004</v>
      </c>
      <c r="H258" s="61">
        <f t="shared" si="4"/>
        <v>0.99247812277997649</v>
      </c>
    </row>
    <row r="259" spans="1:8" s="15" customFormat="1" ht="62.4">
      <c r="A259" s="21"/>
      <c r="B259" s="21"/>
      <c r="C259" s="21"/>
      <c r="D259" s="24"/>
      <c r="E259" s="19" t="s">
        <v>84</v>
      </c>
      <c r="F259" s="85">
        <v>1004292.24</v>
      </c>
      <c r="G259" s="85">
        <v>1003998.38</v>
      </c>
      <c r="H259" s="61">
        <f t="shared" si="4"/>
        <v>0.99970739592690672</v>
      </c>
    </row>
    <row r="260" spans="1:8" s="15" customFormat="1" ht="124.8">
      <c r="A260" s="21"/>
      <c r="B260" s="21"/>
      <c r="C260" s="21"/>
      <c r="D260" s="24"/>
      <c r="E260" s="19" t="s">
        <v>99</v>
      </c>
      <c r="F260" s="85">
        <f>10141431-6130638</f>
        <v>4010793</v>
      </c>
      <c r="G260" s="85">
        <v>4010793</v>
      </c>
      <c r="H260" s="61">
        <f t="shared" si="4"/>
        <v>1</v>
      </c>
    </row>
    <row r="261" spans="1:8" s="15" customFormat="1" ht="93.6">
      <c r="A261" s="21"/>
      <c r="B261" s="21"/>
      <c r="C261" s="21"/>
      <c r="D261" s="50"/>
      <c r="E261" s="35" t="s">
        <v>162</v>
      </c>
      <c r="F261" s="85">
        <f>200000+3000000+2092484.14</f>
        <v>5292484.1399999997</v>
      </c>
      <c r="G261" s="85">
        <v>5226131.4000000004</v>
      </c>
      <c r="H261" s="61">
        <f t="shared" si="4"/>
        <v>0.98746283630809339</v>
      </c>
    </row>
    <row r="262" spans="1:8" s="15" customFormat="1" ht="93.6">
      <c r="A262" s="21"/>
      <c r="B262" s="21"/>
      <c r="C262" s="21"/>
      <c r="D262" s="50"/>
      <c r="E262" s="35" t="s">
        <v>163</v>
      </c>
      <c r="F262" s="85">
        <f>100000+907900</f>
        <v>1007900</v>
      </c>
      <c r="G262" s="85">
        <v>796994.55</v>
      </c>
      <c r="H262" s="61">
        <f t="shared" si="4"/>
        <v>0.79074764361543803</v>
      </c>
    </row>
    <row r="263" spans="1:8" s="15" customFormat="1" ht="78">
      <c r="A263" s="21"/>
      <c r="B263" s="21"/>
      <c r="C263" s="21"/>
      <c r="D263" s="50"/>
      <c r="E263" s="35" t="s">
        <v>164</v>
      </c>
      <c r="F263" s="85">
        <f>245400+1917200</f>
        <v>2162600</v>
      </c>
      <c r="G263" s="85">
        <v>642123.17000000004</v>
      </c>
      <c r="H263" s="61">
        <f t="shared" si="4"/>
        <v>0.29692183945251088</v>
      </c>
    </row>
    <row r="264" spans="1:8" s="15" customFormat="1" ht="93.6">
      <c r="A264" s="21"/>
      <c r="B264" s="21"/>
      <c r="C264" s="21"/>
      <c r="D264" s="50"/>
      <c r="E264" s="19" t="s">
        <v>368</v>
      </c>
      <c r="F264" s="85">
        <v>7945700</v>
      </c>
      <c r="G264" s="85">
        <v>22826.400000000001</v>
      </c>
      <c r="H264" s="61">
        <f t="shared" si="4"/>
        <v>2.8727991240545202E-3</v>
      </c>
    </row>
    <row r="265" spans="1:8" s="15" customFormat="1" ht="62.4">
      <c r="A265" s="17" t="s">
        <v>209</v>
      </c>
      <c r="B265" s="18">
        <v>8742</v>
      </c>
      <c r="C265" s="38" t="s">
        <v>22</v>
      </c>
      <c r="D265" s="19" t="s">
        <v>210</v>
      </c>
      <c r="E265" s="26" t="s">
        <v>211</v>
      </c>
      <c r="F265" s="79">
        <f>4575000-414048.53</f>
        <v>4160951.4699999997</v>
      </c>
      <c r="G265" s="79">
        <v>2966078.98</v>
      </c>
      <c r="H265" s="61">
        <f t="shared" si="4"/>
        <v>0.71283671568512674</v>
      </c>
    </row>
    <row r="266" spans="1:8" s="15" customFormat="1" ht="15.6">
      <c r="A266" s="14" t="s">
        <v>166</v>
      </c>
      <c r="B266" s="16" t="s">
        <v>102</v>
      </c>
      <c r="C266" s="16" t="s">
        <v>102</v>
      </c>
      <c r="D266" s="67" t="s">
        <v>167</v>
      </c>
      <c r="E266" s="68"/>
      <c r="F266" s="78">
        <f>F267</f>
        <v>2125300</v>
      </c>
      <c r="G266" s="78">
        <f>G267</f>
        <v>1889407.23</v>
      </c>
      <c r="H266" s="60">
        <f t="shared" ref="H266:H283" si="5">G266/F266</f>
        <v>0.88900730720368892</v>
      </c>
    </row>
    <row r="267" spans="1:8" s="15" customFormat="1" ht="15.6">
      <c r="A267" s="14" t="s">
        <v>168</v>
      </c>
      <c r="B267" s="16" t="s">
        <v>102</v>
      </c>
      <c r="C267" s="16" t="s">
        <v>102</v>
      </c>
      <c r="D267" s="67" t="s">
        <v>167</v>
      </c>
      <c r="E267" s="68"/>
      <c r="F267" s="78">
        <f>F268+F269</f>
        <v>2125300</v>
      </c>
      <c r="G267" s="78">
        <f>G268+G269</f>
        <v>1889407.23</v>
      </c>
      <c r="H267" s="60">
        <f t="shared" si="5"/>
        <v>0.88900730720368892</v>
      </c>
    </row>
    <row r="268" spans="1:8" s="15" customFormat="1" ht="46.8">
      <c r="A268" s="17" t="s">
        <v>169</v>
      </c>
      <c r="B268" s="18" t="s">
        <v>97</v>
      </c>
      <c r="C268" s="19" t="s">
        <v>16</v>
      </c>
      <c r="D268" s="26" t="s">
        <v>98</v>
      </c>
      <c r="E268" s="26" t="s">
        <v>18</v>
      </c>
      <c r="F268" s="79">
        <v>30000</v>
      </c>
      <c r="G268" s="79">
        <v>30000</v>
      </c>
      <c r="H268" s="61">
        <f t="shared" si="5"/>
        <v>1</v>
      </c>
    </row>
    <row r="269" spans="1:8" s="15" customFormat="1" ht="15.6">
      <c r="A269" s="17" t="s">
        <v>170</v>
      </c>
      <c r="B269" s="18" t="s">
        <v>171</v>
      </c>
      <c r="C269" s="19" t="s">
        <v>24</v>
      </c>
      <c r="D269" s="26" t="s">
        <v>172</v>
      </c>
      <c r="E269" s="26" t="s">
        <v>18</v>
      </c>
      <c r="F269" s="79">
        <f>550000+260000+1200000+85300</f>
        <v>2095300</v>
      </c>
      <c r="G269" s="79">
        <f>1774107.23+85300</f>
        <v>1859407.23</v>
      </c>
      <c r="H269" s="61">
        <f t="shared" si="5"/>
        <v>0.88741814060039137</v>
      </c>
    </row>
    <row r="270" spans="1:8" s="15" customFormat="1" ht="15.6">
      <c r="A270" s="27" t="s">
        <v>7</v>
      </c>
      <c r="B270" s="17" t="s">
        <v>102</v>
      </c>
      <c r="C270" s="17" t="s">
        <v>102</v>
      </c>
      <c r="D270" s="63" t="s">
        <v>173</v>
      </c>
      <c r="E270" s="64"/>
      <c r="F270" s="78">
        <f>F271</f>
        <v>27570420</v>
      </c>
      <c r="G270" s="78">
        <f>G271</f>
        <v>27404279.280000001</v>
      </c>
      <c r="H270" s="60">
        <f t="shared" si="5"/>
        <v>0.9939739503424323</v>
      </c>
    </row>
    <row r="271" spans="1:8" s="15" customFormat="1" ht="15.6">
      <c r="A271" s="27" t="s">
        <v>8</v>
      </c>
      <c r="B271" s="17" t="s">
        <v>102</v>
      </c>
      <c r="C271" s="17" t="s">
        <v>102</v>
      </c>
      <c r="D271" s="63" t="s">
        <v>173</v>
      </c>
      <c r="E271" s="64"/>
      <c r="F271" s="78">
        <f>F272+F273+F274</f>
        <v>27570420</v>
      </c>
      <c r="G271" s="78">
        <f>G272+G273+G274</f>
        <v>27404279.280000001</v>
      </c>
      <c r="H271" s="60">
        <f t="shared" si="5"/>
        <v>0.9939739503424323</v>
      </c>
    </row>
    <row r="272" spans="1:8" s="15" customFormat="1" ht="46.8">
      <c r="A272" s="17" t="s">
        <v>369</v>
      </c>
      <c r="B272" s="17" t="s">
        <v>97</v>
      </c>
      <c r="C272" s="17" t="s">
        <v>16</v>
      </c>
      <c r="D272" s="26" t="s">
        <v>98</v>
      </c>
      <c r="E272" s="26" t="s">
        <v>18</v>
      </c>
      <c r="F272" s="79">
        <f>20000+25500+55000</f>
        <v>100500</v>
      </c>
      <c r="G272" s="79">
        <v>94180</v>
      </c>
      <c r="H272" s="61">
        <f t="shared" si="5"/>
        <v>0.93711442786069654</v>
      </c>
    </row>
    <row r="273" spans="1:8" s="15" customFormat="1" ht="109.2">
      <c r="A273" s="17" t="s">
        <v>370</v>
      </c>
      <c r="B273" s="17" t="s">
        <v>371</v>
      </c>
      <c r="C273" s="17" t="s">
        <v>9</v>
      </c>
      <c r="D273" s="26" t="s">
        <v>372</v>
      </c>
      <c r="E273" s="26" t="s">
        <v>373</v>
      </c>
      <c r="F273" s="79">
        <v>1000000</v>
      </c>
      <c r="G273" s="79">
        <v>1000000</v>
      </c>
      <c r="H273" s="61">
        <f t="shared" si="5"/>
        <v>1</v>
      </c>
    </row>
    <row r="274" spans="1:8" s="15" customFormat="1" ht="46.8">
      <c r="A274" s="17" t="s">
        <v>174</v>
      </c>
      <c r="B274" s="18" t="s">
        <v>175</v>
      </c>
      <c r="C274" s="51" t="s">
        <v>9</v>
      </c>
      <c r="D274" s="26" t="s">
        <v>85</v>
      </c>
      <c r="E274" s="26" t="s">
        <v>28</v>
      </c>
      <c r="F274" s="79">
        <f>F275+F276+F277+F278+F279+F280+F281+F282</f>
        <v>26469920</v>
      </c>
      <c r="G274" s="79">
        <f>G275+G276+G277+G278+G279+G280+G281+G282</f>
        <v>26310099.280000001</v>
      </c>
      <c r="H274" s="61">
        <f t="shared" si="5"/>
        <v>0.99396217593404135</v>
      </c>
    </row>
    <row r="275" spans="1:8" s="15" customFormat="1" ht="46.8">
      <c r="A275" s="21"/>
      <c r="B275" s="21"/>
      <c r="C275" s="21"/>
      <c r="D275" s="24"/>
      <c r="E275" s="26" t="s">
        <v>92</v>
      </c>
      <c r="F275" s="79">
        <v>365250</v>
      </c>
      <c r="G275" s="79">
        <v>365250</v>
      </c>
      <c r="H275" s="61">
        <f t="shared" si="5"/>
        <v>1</v>
      </c>
    </row>
    <row r="276" spans="1:8" s="15" customFormat="1" ht="62.4">
      <c r="A276" s="21"/>
      <c r="B276" s="21"/>
      <c r="C276" s="21"/>
      <c r="D276" s="24"/>
      <c r="E276" s="26" t="s">
        <v>249</v>
      </c>
      <c r="F276" s="79">
        <f>409500+161200+1806370+560000+3500000+8182240</f>
        <v>14619310</v>
      </c>
      <c r="G276" s="79">
        <v>14542940</v>
      </c>
      <c r="H276" s="61">
        <f t="shared" si="5"/>
        <v>0.99477608724351563</v>
      </c>
    </row>
    <row r="277" spans="1:8" s="15" customFormat="1" ht="62.4">
      <c r="A277" s="21"/>
      <c r="B277" s="21"/>
      <c r="C277" s="21"/>
      <c r="D277" s="24"/>
      <c r="E277" s="26" t="s">
        <v>248</v>
      </c>
      <c r="F277" s="79">
        <f>425000+850000+850000</f>
        <v>2125000</v>
      </c>
      <c r="G277" s="79">
        <v>2048590</v>
      </c>
      <c r="H277" s="61">
        <f t="shared" si="5"/>
        <v>0.96404235294117646</v>
      </c>
    </row>
    <row r="278" spans="1:8" s="15" customFormat="1" ht="93.6">
      <c r="A278" s="21"/>
      <c r="B278" s="21"/>
      <c r="C278" s="21"/>
      <c r="D278" s="24"/>
      <c r="E278" s="26" t="s">
        <v>212</v>
      </c>
      <c r="F278" s="79">
        <v>1500000</v>
      </c>
      <c r="G278" s="79">
        <v>1500000</v>
      </c>
      <c r="H278" s="61">
        <f t="shared" si="5"/>
        <v>1</v>
      </c>
    </row>
    <row r="279" spans="1:8" s="15" customFormat="1" ht="46.8">
      <c r="A279" s="21"/>
      <c r="B279" s="21"/>
      <c r="C279" s="21"/>
      <c r="D279" s="24"/>
      <c r="E279" s="26" t="s">
        <v>213</v>
      </c>
      <c r="F279" s="79">
        <v>380860</v>
      </c>
      <c r="G279" s="79">
        <v>373819.28</v>
      </c>
      <c r="H279" s="61">
        <f t="shared" si="5"/>
        <v>0.9815136270545608</v>
      </c>
    </row>
    <row r="280" spans="1:8" s="15" customFormat="1" ht="46.8">
      <c r="A280" s="21"/>
      <c r="B280" s="21"/>
      <c r="C280" s="21"/>
      <c r="D280" s="24"/>
      <c r="E280" s="26" t="s">
        <v>214</v>
      </c>
      <c r="F280" s="79">
        <f>400000+629500</f>
        <v>1029500</v>
      </c>
      <c r="G280" s="79">
        <v>1029500</v>
      </c>
      <c r="H280" s="61">
        <f t="shared" si="5"/>
        <v>1</v>
      </c>
    </row>
    <row r="281" spans="1:8" s="15" customFormat="1" ht="62.4">
      <c r="A281" s="21"/>
      <c r="B281" s="21"/>
      <c r="C281" s="21"/>
      <c r="D281" s="24"/>
      <c r="E281" s="26" t="s">
        <v>374</v>
      </c>
      <c r="F281" s="79">
        <f>3000000+2000000</f>
        <v>5000000</v>
      </c>
      <c r="G281" s="79">
        <v>5000000</v>
      </c>
      <c r="H281" s="61">
        <f t="shared" si="5"/>
        <v>1</v>
      </c>
    </row>
    <row r="282" spans="1:8" s="15" customFormat="1" ht="78">
      <c r="A282" s="21"/>
      <c r="B282" s="21"/>
      <c r="C282" s="21"/>
      <c r="D282" s="24"/>
      <c r="E282" s="26" t="s">
        <v>375</v>
      </c>
      <c r="F282" s="79">
        <v>1450000</v>
      </c>
      <c r="G282" s="79">
        <v>1450000</v>
      </c>
      <c r="H282" s="61">
        <f t="shared" si="5"/>
        <v>1</v>
      </c>
    </row>
    <row r="283" spans="1:8" s="15" customFormat="1" ht="15.6">
      <c r="A283" s="52"/>
      <c r="B283" s="16"/>
      <c r="C283" s="16"/>
      <c r="D283" s="53"/>
      <c r="E283" s="54" t="s">
        <v>10</v>
      </c>
      <c r="F283" s="55">
        <f>F10+F29+F40+F48+F52+F56+F59+F128+F266+F270</f>
        <v>286295555.13</v>
      </c>
      <c r="G283" s="55">
        <f>G10+G29+G40+G48+G52+G56+G59+G128+G266+G270</f>
        <v>207508961.33999997</v>
      </c>
      <c r="H283" s="60">
        <f t="shared" si="5"/>
        <v>0.72480678662920595</v>
      </c>
    </row>
    <row r="285" spans="1:8">
      <c r="D285" s="1" t="s">
        <v>86</v>
      </c>
      <c r="F285" s="1" t="s">
        <v>87</v>
      </c>
    </row>
  </sheetData>
  <customSheetViews>
    <customSheetView guid="{02AC496F-F7D9-465B-9A66-D319977CD4A2}" scale="80" showPageBreaks="1" printArea="1" view="pageBreakPreview" topLeftCell="A88">
      <selection activeCell="K94" sqref="K94"/>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1"/>
    </customSheetView>
    <customSheetView guid="{9D5EF3DD-3431-45D7-BCA1-2268CCD9FD10}" scale="80" showPageBreaks="1" printArea="1" view="pageBreakPreview">
      <selection activeCell="G407" sqref="G407"/>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2"/>
    </customSheetView>
    <customSheetView guid="{71B4C162-96A9-4CA7-B3F0-0C57B820C4BA}" scale="80" showPageBreaks="1" printArea="1" view="pageBreakPreview" topLeftCell="A48">
      <selection activeCell="G35" sqref="G35"/>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3"/>
    </customSheetView>
    <customSheetView guid="{6174BFC3-8EFC-491A-B8A3-28DB8186A904}" scale="80" showPageBreaks="1" fitToPage="1" printArea="1" view="pageBreakPreview">
      <selection activeCell="G142" sqref="G142"/>
      <rowBreaks count="1" manualBreakCount="1">
        <brk id="101" max="7" man="1"/>
      </rowBreaks>
      <pageMargins left="0.19685039370078741" right="0.19685039370078741" top="0.19685039370078741" bottom="0.19685039370078741" header="0.19685039370078741" footer="0.19685039370078741"/>
      <pageSetup paperSize="9" scale="47" fitToHeight="36" orientation="portrait" r:id="rId4"/>
    </customSheetView>
  </customSheetViews>
  <mergeCells count="35">
    <mergeCell ref="A4:H4"/>
    <mergeCell ref="G1:H1"/>
    <mergeCell ref="G3:H3"/>
    <mergeCell ref="A7:A8"/>
    <mergeCell ref="B7:B8"/>
    <mergeCell ref="C7:C8"/>
    <mergeCell ref="D7:D8"/>
    <mergeCell ref="E7:E8"/>
    <mergeCell ref="F7:F8"/>
    <mergeCell ref="D10:E10"/>
    <mergeCell ref="D30:E30"/>
    <mergeCell ref="D11:E11"/>
    <mergeCell ref="D29:E29"/>
    <mergeCell ref="A5:B5"/>
    <mergeCell ref="D49:E49"/>
    <mergeCell ref="D40:E40"/>
    <mergeCell ref="D41:E41"/>
    <mergeCell ref="D45:E45"/>
    <mergeCell ref="D48:E48"/>
    <mergeCell ref="D270:E270"/>
    <mergeCell ref="D271:E271"/>
    <mergeCell ref="G7:G8"/>
    <mergeCell ref="H7:H8"/>
    <mergeCell ref="D60:E60"/>
    <mergeCell ref="D128:E128"/>
    <mergeCell ref="D129:E129"/>
    <mergeCell ref="D266:E266"/>
    <mergeCell ref="D267:E267"/>
    <mergeCell ref="D52:E52"/>
    <mergeCell ref="D53:E53"/>
    <mergeCell ref="D56:E56"/>
    <mergeCell ref="D57:E57"/>
    <mergeCell ref="D59:E59"/>
    <mergeCell ref="D46:E46"/>
    <mergeCell ref="D47:E47"/>
  </mergeCells>
  <pageMargins left="0.59055118110236227" right="0.59055118110236227" top="0.59055118110236227" bottom="0.59055118110236227" header="0.19685039370078741" footer="0.19685039370078741"/>
  <pageSetup paperSize="9" scale="42" fitToHeight="37" orientation="portrait" r:id="rId5"/>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220FU11</cp:lastModifiedBy>
  <cp:lastPrinted>2023-11-09T13:41:04Z</cp:lastPrinted>
  <dcterms:created xsi:type="dcterms:W3CDTF">2019-04-10T18:00:09Z</dcterms:created>
  <dcterms:modified xsi:type="dcterms:W3CDTF">2024-01-08T13:38:01Z</dcterms:modified>
</cp:coreProperties>
</file>