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8C3A2BB9-7706-4BA8-B95B-54217FB071AE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3" sheetId="2" r:id="rId1"/>
  </sheets>
  <definedNames>
    <definedName name="_xlnm.Print_Titles" localSheetId="0">'2023'!$A:$D,'2023'!$7:$9</definedName>
    <definedName name="_xlnm.Print_Area" localSheetId="0">'2023'!$A$1:$AH$72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9" i="2" l="1"/>
  <c r="U69" i="2"/>
  <c r="P69" i="2"/>
  <c r="P68" i="2" s="1"/>
  <c r="O69" i="2"/>
  <c r="O68" i="2" s="1"/>
  <c r="J69" i="2"/>
  <c r="J68" i="2" s="1"/>
  <c r="I69" i="2"/>
  <c r="I68" i="2" s="1"/>
  <c r="G68" i="2"/>
  <c r="H68" i="2"/>
  <c r="F68" i="2"/>
  <c r="K68" i="2"/>
  <c r="L68" i="2"/>
  <c r="M68" i="2"/>
  <c r="N68" i="2"/>
  <c r="Q68" i="2"/>
  <c r="R68" i="2"/>
  <c r="AD63" i="2"/>
  <c r="AE62" i="2"/>
  <c r="AA25" i="2" l="1"/>
  <c r="AG69" i="2" l="1"/>
  <c r="AG68" i="2" s="1"/>
  <c r="AF69" i="2"/>
  <c r="AF68" i="2" s="1"/>
  <c r="AC68" i="2"/>
  <c r="AC66" i="2"/>
  <c r="AC63" i="2"/>
  <c r="AC57" i="2" s="1"/>
  <c r="AC53" i="2"/>
  <c r="AC52" i="2"/>
  <c r="AC51" i="2"/>
  <c r="AC50" i="2" s="1"/>
  <c r="AC47" i="2"/>
  <c r="AC46" i="2"/>
  <c r="AC45" i="2"/>
  <c r="AC44" i="2" s="1"/>
  <c r="AC43" i="2"/>
  <c r="AC42" i="2"/>
  <c r="AC41" i="2"/>
  <c r="AC40" i="2"/>
  <c r="AC39" i="2"/>
  <c r="AC38" i="2"/>
  <c r="AC37" i="2"/>
  <c r="AC36" i="2"/>
  <c r="AC35" i="2"/>
  <c r="AC34" i="2"/>
  <c r="AC33" i="2"/>
  <c r="AC32" i="2" s="1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0" i="2"/>
  <c r="X68" i="2"/>
  <c r="W68" i="2"/>
  <c r="X66" i="2"/>
  <c r="W66" i="2"/>
  <c r="X64" i="2"/>
  <c r="X57" i="2" s="1"/>
  <c r="X61" i="2"/>
  <c r="W57" i="2"/>
  <c r="X53" i="2"/>
  <c r="W53" i="2"/>
  <c r="X42" i="2"/>
  <c r="X40" i="2"/>
  <c r="X32" i="2" s="1"/>
  <c r="W32" i="2"/>
  <c r="X25" i="2"/>
  <c r="AB25" i="2" s="1"/>
  <c r="X18" i="2"/>
  <c r="W18" i="2"/>
  <c r="W16" i="2"/>
  <c r="W70" i="2" s="1"/>
  <c r="X10" i="2"/>
  <c r="W10" i="2"/>
  <c r="T68" i="2"/>
  <c r="V68" i="2" s="1"/>
  <c r="S68" i="2"/>
  <c r="U68" i="2" s="1"/>
  <c r="R66" i="2"/>
  <c r="Q66" i="2"/>
  <c r="R57" i="2"/>
  <c r="Q57" i="2"/>
  <c r="R53" i="2"/>
  <c r="Q53" i="2"/>
  <c r="R52" i="2"/>
  <c r="R51" i="2"/>
  <c r="Q50" i="2"/>
  <c r="R47" i="2"/>
  <c r="Q47" i="2"/>
  <c r="R46" i="2"/>
  <c r="R44" i="2" s="1"/>
  <c r="R45" i="2"/>
  <c r="Q44" i="2"/>
  <c r="R43" i="2"/>
  <c r="R42" i="2"/>
  <c r="R41" i="2"/>
  <c r="R40" i="2"/>
  <c r="R39" i="2"/>
  <c r="R38" i="2"/>
  <c r="R37" i="2"/>
  <c r="R36" i="2"/>
  <c r="R35" i="2"/>
  <c r="R34" i="2"/>
  <c r="R33" i="2"/>
  <c r="Q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 s="1"/>
  <c r="Q18" i="2"/>
  <c r="Q16" i="2" s="1"/>
  <c r="Q70" i="2" s="1"/>
  <c r="R10" i="2"/>
  <c r="Q10" i="2"/>
  <c r="L66" i="2"/>
  <c r="K66" i="2"/>
  <c r="L64" i="2"/>
  <c r="K64" i="2"/>
  <c r="L62" i="2"/>
  <c r="K62" i="2"/>
  <c r="L57" i="2"/>
  <c r="K57" i="2"/>
  <c r="L53" i="2"/>
  <c r="K53" i="2"/>
  <c r="L52" i="2"/>
  <c r="L51" i="2"/>
  <c r="L50" i="2" s="1"/>
  <c r="K50" i="2"/>
  <c r="L47" i="2"/>
  <c r="L46" i="2"/>
  <c r="L45" i="2"/>
  <c r="K44" i="2"/>
  <c r="L43" i="2"/>
  <c r="L41" i="2"/>
  <c r="L40" i="2"/>
  <c r="L39" i="2"/>
  <c r="L38" i="2"/>
  <c r="L37" i="2"/>
  <c r="L32" i="2" s="1"/>
  <c r="L36" i="2"/>
  <c r="L35" i="2"/>
  <c r="L34" i="2"/>
  <c r="L33" i="2"/>
  <c r="K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K18" i="2"/>
  <c r="K16" i="2"/>
  <c r="K70" i="2" s="1"/>
  <c r="L10" i="2"/>
  <c r="K10" i="2"/>
  <c r="E68" i="2"/>
  <c r="F66" i="2"/>
  <c r="E66" i="2"/>
  <c r="F57" i="2"/>
  <c r="E57" i="2"/>
  <c r="F53" i="2"/>
  <c r="E53" i="2"/>
  <c r="F52" i="2"/>
  <c r="E52" i="2"/>
  <c r="F51" i="2"/>
  <c r="F50" i="2" s="1"/>
  <c r="E51" i="2"/>
  <c r="F49" i="2"/>
  <c r="F48" i="2"/>
  <c r="F47" i="2"/>
  <c r="E47" i="2"/>
  <c r="F45" i="2"/>
  <c r="F44" i="2" s="1"/>
  <c r="E45" i="2"/>
  <c r="E44" i="2" s="1"/>
  <c r="F43" i="2"/>
  <c r="E43" i="2"/>
  <c r="F32" i="2"/>
  <c r="E32" i="2"/>
  <c r="F31" i="2"/>
  <c r="E31" i="2"/>
  <c r="F30" i="2"/>
  <c r="E30" i="2"/>
  <c r="F29" i="2"/>
  <c r="E29" i="2"/>
  <c r="F28" i="2"/>
  <c r="J28" i="2" s="1"/>
  <c r="E28" i="2"/>
  <c r="I28" i="2" s="1"/>
  <c r="F27" i="2"/>
  <c r="E27" i="2"/>
  <c r="F26" i="2"/>
  <c r="E26" i="2"/>
  <c r="F24" i="2"/>
  <c r="E24" i="2"/>
  <c r="F23" i="2"/>
  <c r="E23" i="2"/>
  <c r="F22" i="2"/>
  <c r="E22" i="2"/>
  <c r="F21" i="2"/>
  <c r="E21" i="2"/>
  <c r="F20" i="2"/>
  <c r="F18" i="2" s="1"/>
  <c r="E20" i="2"/>
  <c r="F19" i="2"/>
  <c r="E19" i="2"/>
  <c r="F17" i="2"/>
  <c r="F10" i="2"/>
  <c r="E10" i="2"/>
  <c r="F16" i="2" l="1"/>
  <c r="F70" i="2" s="1"/>
  <c r="E18" i="2"/>
  <c r="E16" i="2" s="1"/>
  <c r="E70" i="2" s="1"/>
  <c r="X16" i="2"/>
  <c r="X70" i="2" s="1"/>
  <c r="L18" i="2"/>
  <c r="R50" i="2"/>
  <c r="E50" i="2"/>
  <c r="L44" i="2"/>
  <c r="R32" i="2"/>
  <c r="AC18" i="2"/>
  <c r="AC16" i="2" s="1"/>
  <c r="AC70" i="2" s="1"/>
  <c r="AH68" i="2"/>
  <c r="AH69" i="2"/>
  <c r="R16" i="2"/>
  <c r="R70" i="2" s="1"/>
  <c r="L16" i="2"/>
  <c r="L70" i="2" s="1"/>
  <c r="V11" i="2" l="1"/>
  <c r="O14" i="2" l="1"/>
  <c r="P14" i="2"/>
  <c r="O55" i="2" l="1"/>
  <c r="P12" i="2"/>
  <c r="O12" i="2"/>
  <c r="AF67" i="2" l="1"/>
  <c r="AF66" i="2" s="1"/>
  <c r="AE66" i="2"/>
  <c r="S66" i="2"/>
  <c r="T66" i="2"/>
  <c r="M66" i="2"/>
  <c r="N66" i="2"/>
  <c r="G66" i="2"/>
  <c r="H66" i="2"/>
  <c r="AG67" i="2"/>
  <c r="AG66" i="2" s="1"/>
  <c r="AD66" i="2"/>
  <c r="AD57" i="2"/>
  <c r="AD53" i="2"/>
  <c r="AD10" i="2"/>
  <c r="Z66" i="2"/>
  <c r="Y66" i="2"/>
  <c r="Z57" i="2"/>
  <c r="Y57" i="2"/>
  <c r="Z53" i="2"/>
  <c r="Y53" i="2"/>
  <c r="Z16" i="2"/>
  <c r="Y16" i="2"/>
  <c r="Z10" i="2"/>
  <c r="Y10" i="2"/>
  <c r="V67" i="2"/>
  <c r="U67" i="2"/>
  <c r="T57" i="2"/>
  <c r="S57" i="2"/>
  <c r="T53" i="2"/>
  <c r="S53" i="2"/>
  <c r="T10" i="2"/>
  <c r="S10" i="2"/>
  <c r="P67" i="2"/>
  <c r="O67" i="2"/>
  <c r="N57" i="2"/>
  <c r="M57" i="2"/>
  <c r="N53" i="2"/>
  <c r="M53" i="2"/>
  <c r="N10" i="2"/>
  <c r="M10" i="2"/>
  <c r="J67" i="2"/>
  <c r="I67" i="2"/>
  <c r="H57" i="2"/>
  <c r="G57" i="2"/>
  <c r="H53" i="2"/>
  <c r="G53" i="2"/>
  <c r="H10" i="2"/>
  <c r="G10" i="2"/>
  <c r="Y70" i="2" l="1"/>
  <c r="Z70" i="2"/>
  <c r="AH67" i="2"/>
  <c r="AD16" i="2"/>
  <c r="S16" i="2"/>
  <c r="T16" i="2"/>
  <c r="T70" i="2" s="1"/>
  <c r="N16" i="2"/>
  <c r="N70" i="2" s="1"/>
  <c r="M16" i="2"/>
  <c r="M70" i="2" s="1"/>
  <c r="G16" i="2"/>
  <c r="G70" i="2" s="1"/>
  <c r="H16" i="2"/>
  <c r="H70" i="2" s="1"/>
  <c r="AE14" i="2"/>
  <c r="AF13" i="2"/>
  <c r="AE13" i="2"/>
  <c r="AB13" i="2"/>
  <c r="AA13" i="2"/>
  <c r="P13" i="2"/>
  <c r="O13" i="2"/>
  <c r="AE12" i="2"/>
  <c r="AD70" i="2" l="1"/>
  <c r="AE70" i="2" s="1"/>
  <c r="S70" i="2"/>
  <c r="U70" i="2" s="1"/>
  <c r="AA70" i="2"/>
  <c r="P70" i="2"/>
  <c r="V70" i="2"/>
  <c r="J70" i="2"/>
  <c r="I70" i="2"/>
  <c r="AB70" i="2"/>
  <c r="O70" i="2"/>
  <c r="P15" i="2"/>
  <c r="O15" i="2"/>
  <c r="AG11" i="2" l="1"/>
  <c r="AE58" i="2" l="1"/>
  <c r="AE59" i="2"/>
  <c r="AE60" i="2"/>
  <c r="AE61" i="2"/>
  <c r="AE63" i="2"/>
  <c r="AE64" i="2"/>
  <c r="AA58" i="2"/>
  <c r="AB58" i="2"/>
  <c r="AA59" i="2"/>
  <c r="AB59" i="2"/>
  <c r="AA61" i="2"/>
  <c r="AB61" i="2"/>
  <c r="AA64" i="2"/>
  <c r="AB64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I59" i="2"/>
  <c r="J59" i="2"/>
  <c r="I60" i="2"/>
  <c r="J60" i="2"/>
  <c r="I65" i="2"/>
  <c r="J65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AB42" i="2"/>
  <c r="AA42" i="2"/>
  <c r="AB40" i="2"/>
  <c r="AA40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3" i="2"/>
  <c r="AE34" i="2"/>
  <c r="AE35" i="2"/>
  <c r="AE36" i="2"/>
  <c r="AE37" i="2"/>
  <c r="AE38" i="2"/>
  <c r="AE39" i="2"/>
  <c r="AE40" i="2"/>
  <c r="AE41" i="2"/>
  <c r="AE42" i="2"/>
  <c r="AE43" i="2"/>
  <c r="AE45" i="2"/>
  <c r="AE46" i="2"/>
  <c r="AE47" i="2"/>
  <c r="AE48" i="2"/>
  <c r="AE49" i="2"/>
  <c r="AE51" i="2"/>
  <c r="AE52" i="2"/>
  <c r="AE17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5" i="2"/>
  <c r="AG45" i="2"/>
  <c r="AF46" i="2"/>
  <c r="AG46" i="2"/>
  <c r="AF47" i="2"/>
  <c r="AG47" i="2"/>
  <c r="AF48" i="2"/>
  <c r="AG48" i="2"/>
  <c r="AF49" i="2"/>
  <c r="AG49" i="2"/>
  <c r="AF51" i="2"/>
  <c r="AG51" i="2"/>
  <c r="AF52" i="2"/>
  <c r="AG52" i="2"/>
  <c r="AG17" i="2"/>
  <c r="AF17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1" i="2"/>
  <c r="J41" i="2"/>
  <c r="I43" i="2"/>
  <c r="J43" i="2"/>
  <c r="I45" i="2"/>
  <c r="J45" i="2"/>
  <c r="I47" i="2"/>
  <c r="J47" i="2"/>
  <c r="I48" i="2"/>
  <c r="J48" i="2"/>
  <c r="I49" i="2"/>
  <c r="J49" i="2"/>
  <c r="I51" i="2"/>
  <c r="J51" i="2"/>
  <c r="I52" i="2"/>
  <c r="J5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5" i="2"/>
  <c r="P45" i="2"/>
  <c r="O46" i="2"/>
  <c r="P46" i="2"/>
  <c r="O47" i="2"/>
  <c r="P47" i="2"/>
  <c r="O48" i="2"/>
  <c r="P48" i="2"/>
  <c r="O49" i="2"/>
  <c r="P49" i="2"/>
  <c r="O51" i="2"/>
  <c r="P51" i="2"/>
  <c r="O52" i="2"/>
  <c r="P52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5" i="2"/>
  <c r="V45" i="2"/>
  <c r="U46" i="2"/>
  <c r="V46" i="2"/>
  <c r="U47" i="2"/>
  <c r="V47" i="2"/>
  <c r="U48" i="2"/>
  <c r="V48" i="2"/>
  <c r="U49" i="2"/>
  <c r="V49" i="2"/>
  <c r="U51" i="2"/>
  <c r="V51" i="2"/>
  <c r="U52" i="2"/>
  <c r="V52" i="2"/>
  <c r="V17" i="2"/>
  <c r="U17" i="2"/>
  <c r="O30" i="2"/>
  <c r="P30" i="2"/>
  <c r="O31" i="2"/>
  <c r="P31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P17" i="2"/>
  <c r="O17" i="2"/>
  <c r="I31" i="2"/>
  <c r="J31" i="2"/>
  <c r="I27" i="2"/>
  <c r="J27" i="2"/>
  <c r="I29" i="2"/>
  <c r="J29" i="2"/>
  <c r="I30" i="2"/>
  <c r="J30" i="2"/>
  <c r="I19" i="2"/>
  <c r="J19" i="2"/>
  <c r="I20" i="2"/>
  <c r="J20" i="2"/>
  <c r="I21" i="2"/>
  <c r="J21" i="2"/>
  <c r="I22" i="2"/>
  <c r="J22" i="2"/>
  <c r="I23" i="2"/>
  <c r="J23" i="2"/>
  <c r="I24" i="2"/>
  <c r="J24" i="2"/>
  <c r="I26" i="2"/>
  <c r="J26" i="2"/>
  <c r="J17" i="2"/>
  <c r="I17" i="2"/>
  <c r="AH29" i="2" l="1"/>
  <c r="AH28" i="2"/>
  <c r="AH26" i="2"/>
  <c r="AH24" i="2"/>
  <c r="AH49" i="2"/>
  <c r="AH40" i="2"/>
  <c r="AH31" i="2"/>
  <c r="AH25" i="2"/>
  <c r="AH51" i="2"/>
  <c r="AH48" i="2"/>
  <c r="AH43" i="2"/>
  <c r="AH41" i="2"/>
  <c r="AH39" i="2"/>
  <c r="AH35" i="2"/>
  <c r="AH23" i="2"/>
  <c r="AH19" i="2"/>
  <c r="AH21" i="2"/>
  <c r="AH27" i="2"/>
  <c r="AH30" i="2"/>
  <c r="AH22" i="2"/>
  <c r="AH17" i="2"/>
  <c r="AH20" i="2"/>
  <c r="AH47" i="2"/>
  <c r="AH42" i="2"/>
  <c r="AH52" i="2"/>
  <c r="AH46" i="2"/>
  <c r="AH45" i="2"/>
  <c r="AH38" i="2"/>
  <c r="AH37" i="2"/>
  <c r="AH33" i="2"/>
  <c r="AH36" i="2"/>
  <c r="AH34" i="2"/>
  <c r="V18" i="2" l="1"/>
  <c r="U18" i="2"/>
  <c r="P18" i="2"/>
  <c r="O18" i="2"/>
  <c r="J18" i="2"/>
  <c r="I18" i="2"/>
  <c r="P44" i="2" l="1"/>
  <c r="U50" i="2"/>
  <c r="P32" i="2"/>
  <c r="AB32" i="2"/>
  <c r="AE18" i="2"/>
  <c r="O44" i="2"/>
  <c r="U44" i="2"/>
  <c r="I44" i="2"/>
  <c r="AE44" i="2"/>
  <c r="U32" i="2"/>
  <c r="AE32" i="2"/>
  <c r="AE50" i="2"/>
  <c r="O50" i="2"/>
  <c r="V32" i="2"/>
  <c r="AA18" i="2"/>
  <c r="AB18" i="2"/>
  <c r="AG18" i="2"/>
  <c r="O32" i="2"/>
  <c r="AA32" i="2"/>
  <c r="P50" i="2"/>
  <c r="AF18" i="2"/>
  <c r="AF50" i="2"/>
  <c r="V50" i="2"/>
  <c r="J50" i="2"/>
  <c r="AG50" i="2"/>
  <c r="V44" i="2"/>
  <c r="AG44" i="2"/>
  <c r="AF44" i="2"/>
  <c r="J44" i="2"/>
  <c r="AG32" i="2"/>
  <c r="J32" i="2"/>
  <c r="AF32" i="2"/>
  <c r="I50" i="2"/>
  <c r="I32" i="2"/>
  <c r="AH18" i="2" l="1"/>
  <c r="AH50" i="2"/>
  <c r="AH44" i="2"/>
  <c r="AH32" i="2"/>
  <c r="AE15" i="2" l="1"/>
  <c r="AE11" i="2"/>
  <c r="AB14" i="2"/>
  <c r="AA14" i="2"/>
  <c r="AB12" i="2"/>
  <c r="AA12" i="2"/>
  <c r="U14" i="2"/>
  <c r="V14" i="2"/>
  <c r="V56" i="2"/>
  <c r="U56" i="2"/>
  <c r="V55" i="2"/>
  <c r="U55" i="2"/>
  <c r="V54" i="2"/>
  <c r="U54" i="2"/>
  <c r="V15" i="2"/>
  <c r="U15" i="2"/>
  <c r="V13" i="2"/>
  <c r="U13" i="2"/>
  <c r="V12" i="2"/>
  <c r="U12" i="2"/>
  <c r="P56" i="2"/>
  <c r="O56" i="2"/>
  <c r="P55" i="2"/>
  <c r="P54" i="2"/>
  <c r="O54" i="2"/>
  <c r="P11" i="2"/>
  <c r="O11" i="2"/>
  <c r="I11" i="2" l="1"/>
  <c r="J11" i="2"/>
  <c r="I15" i="2"/>
  <c r="J15" i="2"/>
  <c r="I54" i="2"/>
  <c r="J54" i="2"/>
  <c r="I55" i="2"/>
  <c r="J55" i="2"/>
  <c r="I56" i="2"/>
  <c r="J56" i="2"/>
  <c r="AG54" i="2" l="1"/>
  <c r="AG59" i="2"/>
  <c r="AG60" i="2"/>
  <c r="AG61" i="2"/>
  <c r="AG62" i="2"/>
  <c r="AG63" i="2"/>
  <c r="AG64" i="2"/>
  <c r="AG58" i="2"/>
  <c r="AG55" i="2"/>
  <c r="AG56" i="2"/>
  <c r="AG12" i="2"/>
  <c r="AG13" i="2"/>
  <c r="AG14" i="2"/>
  <c r="AG15" i="2"/>
  <c r="I57" i="2"/>
  <c r="I53" i="2"/>
  <c r="AF11" i="2"/>
  <c r="AF56" i="2"/>
  <c r="AG10" i="2" l="1"/>
  <c r="AH56" i="2"/>
  <c r="V53" i="2"/>
  <c r="AG57" i="2"/>
  <c r="J10" i="2"/>
  <c r="AH11" i="2"/>
  <c r="AG53" i="2"/>
  <c r="U53" i="2"/>
  <c r="P53" i="2"/>
  <c r="O53" i="2"/>
  <c r="J53" i="2"/>
  <c r="O57" i="2"/>
  <c r="P57" i="2"/>
  <c r="U57" i="2"/>
  <c r="V57" i="2"/>
  <c r="AA57" i="2"/>
  <c r="AB57" i="2"/>
  <c r="AE57" i="2"/>
  <c r="J57" i="2"/>
  <c r="AF58" i="2"/>
  <c r="AH58" i="2" s="1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54" i="2"/>
  <c r="AH54" i="2" s="1"/>
  <c r="AF55" i="2"/>
  <c r="AH55" i="2" s="1"/>
  <c r="AF12" i="2"/>
  <c r="AH12" i="2" s="1"/>
  <c r="AH13" i="2"/>
  <c r="AF14" i="2"/>
  <c r="AH14" i="2" s="1"/>
  <c r="AF15" i="2"/>
  <c r="AH15" i="2" s="1"/>
  <c r="O10" i="2"/>
  <c r="P10" i="2"/>
  <c r="U10" i="2"/>
  <c r="V10" i="2"/>
  <c r="AA10" i="2"/>
  <c r="AB10" i="2"/>
  <c r="AE10" i="2"/>
  <c r="I10" i="2"/>
  <c r="AG16" i="2" l="1"/>
  <c r="AG70" i="2" s="1"/>
  <c r="AF53" i="2"/>
  <c r="AH53" i="2" s="1"/>
  <c r="O66" i="2"/>
  <c r="U66" i="2"/>
  <c r="J16" i="2"/>
  <c r="AF57" i="2"/>
  <c r="AH57" i="2" s="1"/>
  <c r="AF10" i="2"/>
  <c r="AH10" i="2" l="1"/>
  <c r="P66" i="2"/>
  <c r="V66" i="2"/>
  <c r="I66" i="2"/>
  <c r="AE16" i="2"/>
  <c r="AB16" i="2"/>
  <c r="AA16" i="2"/>
  <c r="U16" i="2"/>
  <c r="V16" i="2"/>
  <c r="P16" i="2"/>
  <c r="O16" i="2"/>
  <c r="I16" i="2"/>
  <c r="J66" i="2"/>
  <c r="AF16" i="2"/>
  <c r="AF70" i="2" s="1"/>
  <c r="AH16" i="2" l="1"/>
  <c r="AH70" i="2"/>
  <c r="AH66" i="2"/>
</calcChain>
</file>

<file path=xl/sharedStrings.xml><?xml version="1.0" encoding="utf-8"?>
<sst xmlns="http://schemas.openxmlformats.org/spreadsheetml/2006/main" count="178" uniqueCount="123">
  <si>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</si>
  <si>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</si>
  <si>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</si>
  <si>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</si>
  <si>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</si>
  <si>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</si>
  <si>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</si>
  <si>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</si>
  <si>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</si>
  <si>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</si>
  <si>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</si>
  <si>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</si>
  <si>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</si>
  <si>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</si>
  <si>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</si>
  <si>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</si>
  <si>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</si>
  <si>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</si>
  <si>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</si>
  <si>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</si>
  <si>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</si>
  <si>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</si>
  <si>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</si>
  <si>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</si>
  <si>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</si>
  <si>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</si>
  <si>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</si>
  <si>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</si>
  <si>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</si>
  <si>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</si>
  <si>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</si>
  <si>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</si>
  <si>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</si>
  <si>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</si>
  <si>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</si>
  <si>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</si>
  <si>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</si>
  <si>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</si>
  <si>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</si>
  <si>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</si>
  <si>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</si>
  <si>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</si>
  <si>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</si>
  <si>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</si>
  <si>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</si>
  <si>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</si>
  <si>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</si>
  <si>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</si>
  <si>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</si>
  <si>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</si>
  <si>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</si>
  <si>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</si>
  <si>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</si>
  <si>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</si>
  <si>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</si>
  <si>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</si>
  <si>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</si>
  <si>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</si>
  <si>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</si>
  <si>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</si>
  <si>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</si>
  <si>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</si>
  <si>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</si>
  <si>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</si>
  <si>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</si>
  <si>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</si>
  <si>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</si>
  <si>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</si>
  <si>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</si>
  <si>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</si>
  <si>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</si>
  <si>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</si>
  <si>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</si>
  <si>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</si>
  <si>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</si>
  <si>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</si>
  <si>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</si>
  <si>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</si>
  <si>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</si>
  <si>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</si>
  <si>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</si>
  <si>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</si>
  <si>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</si>
  <si>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</si>
  <si>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</si>
  <si>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</si>
  <si>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</si>
  <si>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</si>
  <si>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</si>
  <si>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</si>
  <si>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</si>
  <si>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</si>
  <si>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</si>
  <si>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</si>
  <si>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</si>
  <si>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</si>
  <si>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</si>
  <si>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</si>
  <si>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</si>
  <si>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</si>
  <si>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Додаток 11</t>
  </si>
  <si>
    <t>Управління освіти Чорноморської  міської ради Одеського району Одеської області</t>
  </si>
  <si>
    <t>до  рішення Чорноморської міської ради</t>
  </si>
  <si>
    <t>Затверджено розписом на звітний рік з урахуванням змін, грн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</si>
  <si>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2023 рік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</si>
  <si>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</si>
  <si>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</si>
  <si>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</si>
  <si>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</si>
  <si>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</si>
  <si>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</si>
  <si>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</si>
  <si>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</si>
  <si>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</si>
  <si>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</si>
  <si>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</si>
  <si>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</si>
  <si>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</si>
  <si>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Виконано за звітний період (рік), грн</t>
  </si>
  <si>
    <t>Виконано за звітний період (рік)</t>
  </si>
  <si>
    <t xml:space="preserve">Затверджено розписом на звітний рік з урахуванням змін </t>
  </si>
  <si>
    <t>Затверджено розписом на звітний рік з урахуванням змін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</si>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</sst>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&quot;р.&quot;;[Red]\-#,##0&quot;р.&quot;"/>
    <numFmt numFmtId="165" formatCode="#,##0.000"/>
    <numFmt numFmtId="166" formatCode="0.0%"/>
    <numFmt numFmtId="167" formatCode="#,##0.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9" fillId="0" borderId="0"/>
    <xf numFmtId="0" fontId="15" fillId="0" borderId="0"/>
  </cellStyleXfs>
  <cellXfs count="9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5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 wrapText="1"/>
    </xf>
    <xf numFmtId="166" fontId="3" fillId="3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6" fontId="1" fillId="0" borderId="1" xfId="0" applyNumberFormat="1" applyFont="1" applyBorder="1"/>
    <xf numFmtId="0" fontId="8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/>
    <xf numFmtId="0" fontId="8" fillId="0" borderId="0" xfId="0" applyFont="1"/>
    <xf numFmtId="166" fontId="1" fillId="2" borderId="1" xfId="0" applyNumberFormat="1" applyFont="1" applyFill="1" applyBorder="1"/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" fillId="2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3" fillId="0" borderId="0" xfId="0" applyFont="1"/>
    <xf numFmtId="166" fontId="7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165" fontId="13" fillId="2" borderId="0" xfId="0" applyNumberFormat="1" applyFont="1" applyFill="1"/>
    <xf numFmtId="3" fontId="13" fillId="2" borderId="0" xfId="0" applyNumberFormat="1" applyFont="1" applyFill="1"/>
    <xf numFmtId="167" fontId="8" fillId="2" borderId="1" xfId="0" applyNumberFormat="1" applyFont="1" applyFill="1" applyBorder="1"/>
    <xf numFmtId="167" fontId="3" fillId="3" borderId="1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4" fontId="3" fillId="3" borderId="1" xfId="0" applyNumberFormat="1" applyFont="1" applyFill="1" applyBorder="1"/>
    <xf numFmtId="4" fontId="1" fillId="2" borderId="1" xfId="0" applyNumberFormat="1" applyFont="1" applyFill="1" applyBorder="1"/>
    <xf numFmtId="4" fontId="8" fillId="2" borderId="1" xfId="0" applyNumberFormat="1" applyFont="1" applyFill="1" applyBorder="1"/>
    <xf numFmtId="166" fontId="7" fillId="3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/>
    </xf>
    <xf numFmtId="3" fontId="8" fillId="2" borderId="1" xfId="0" applyNumberFormat="1" applyFont="1" applyFill="1" applyBorder="1"/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2" fontId="8" fillId="2" borderId="1" xfId="0" applyNumberFormat="1" applyFont="1" applyFill="1" applyBorder="1"/>
    <xf numFmtId="2" fontId="1" fillId="2" borderId="1" xfId="0" applyNumberFormat="1" applyFont="1" applyFill="1" applyBorder="1"/>
    <xf numFmtId="3" fontId="7" fillId="3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/>
    <xf numFmtId="3" fontId="14" fillId="2" borderId="1" xfId="0" applyNumberFormat="1" applyFont="1" applyFill="1" applyBorder="1"/>
    <xf numFmtId="3" fontId="7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8" fillId="0" borderId="1" xfId="0" applyNumberFormat="1" applyFont="1" applyBorder="1"/>
    <xf numFmtId="3" fontId="0" fillId="0" borderId="1" xfId="0" applyNumberFormat="1" applyBorder="1"/>
    <xf numFmtId="3" fontId="1" fillId="2" borderId="1" xfId="0" quotePrefix="1" applyNumberFormat="1" applyFont="1" applyFill="1" applyBorder="1"/>
    <xf numFmtId="3" fontId="1" fillId="0" borderId="1" xfId="0" applyNumberFormat="1" applyFont="1" applyBorder="1" applyAlignment="1">
      <alignment horizontal="center"/>
    </xf>
    <xf numFmtId="3" fontId="1" fillId="0" borderId="7" xfId="4" applyNumberFormat="1" applyFont="1" applyBorder="1"/>
    <xf numFmtId="3" fontId="1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wrapText="1"/>
    </xf>
    <xf numFmtId="3" fontId="1" fillId="0" borderId="7" xfId="4" applyNumberFormat="1" applyFont="1" applyBorder="1" applyAlignment="1">
      <alignment wrapText="1"/>
    </xf>
    <xf numFmtId="3" fontId="12" fillId="2" borderId="1" xfId="0" applyNumberFormat="1" applyFont="1" applyFill="1" applyBorder="1"/>
    <xf numFmtId="165" fontId="7" fillId="0" borderId="0" xfId="0" applyNumberFormat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49" fontId="2" fillId="2" borderId="1" xfId="2" applyNumberFormat="1" applyFill="1" applyBorder="1" applyAlignment="1">
      <alignment horizontal="center" vertical="center" wrapText="1"/>
    </xf>
    <xf numFmtId="49" fontId="1" fillId="2" borderId="1" xfId="2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</cellXfs>
  <cellStyles count="5">
    <cellStyle name="Звичайний" xfId="0" builtinId="0"/>
    <cellStyle name="Звичайний 2" xfId="4" xr:uid="{00000000-0005-0000-0000-000001000000}"/>
    <cellStyle name="Обычный 2" xfId="3" xr:uid="{00000000-0005-0000-0000-000002000000}"/>
    <cellStyle name="Обычный 3" xfId="2" xr:uid="{00000000-0005-0000-0000-000003000000}"/>
    <cellStyle name="Обычный_дод 3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2"/>
  <sheetViews>
    <sheetView showZeros="0" tabSelected="1" view="pageBreakPreview" zoomScale="80" zoomScaleNormal="80" zoomScaleSheetLayoutView="80" workbookViewId="0">
      <pane xSplit="4" ySplit="9" topLeftCell="Q64" activePane="bottomRight" state="frozen"/>
      <selection pane="topRight" activeCell="E1" sqref="E1"/>
      <selection pane="bottomLeft" activeCell="A12" sqref="A12"/>
      <selection pane="bottomRight" activeCell="T3" sqref="T3:V3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7.77734375" style="20" customWidth="1"/>
    <col min="7" max="7" width="14.33203125" style="20" customWidth="1"/>
    <col min="8" max="8" width="16.77734375" style="20" customWidth="1"/>
    <col min="9" max="10" width="13" style="20" customWidth="1"/>
    <col min="11" max="11" width="12.109375" style="5" customWidth="1"/>
    <col min="12" max="12" width="16.77734375" style="5" customWidth="1"/>
    <col min="13" max="13" width="13" style="5" customWidth="1"/>
    <col min="14" max="14" width="16.44140625" style="5" customWidth="1"/>
    <col min="15" max="15" width="12.6640625" style="5" customWidth="1"/>
    <col min="16" max="16" width="11.6640625" style="5" customWidth="1"/>
    <col min="17" max="17" width="16" style="20" customWidth="1"/>
    <col min="18" max="18" width="17.88671875" style="20" customWidth="1"/>
    <col min="19" max="19" width="15.44140625" style="20" customWidth="1"/>
    <col min="20" max="20" width="15.109375" style="20" customWidth="1"/>
    <col min="21" max="22" width="12.6640625" style="20" customWidth="1"/>
    <col min="23" max="23" width="15.33203125" style="20" customWidth="1"/>
    <col min="24" max="24" width="16.5546875" style="20" customWidth="1"/>
    <col min="25" max="25" width="15" style="20" customWidth="1"/>
    <col min="26" max="26" width="17.44140625" style="20" customWidth="1"/>
    <col min="27" max="28" width="11.88671875" style="20" customWidth="1"/>
    <col min="29" max="29" width="15.44140625" style="5" customWidth="1"/>
    <col min="30" max="30" width="15.77734375" style="5" customWidth="1"/>
    <col min="31" max="31" width="12.6640625" style="5" customWidth="1"/>
    <col min="32" max="32" width="16.44140625" style="5" customWidth="1"/>
    <col min="33" max="33" width="17.44140625" style="5" customWidth="1"/>
    <col min="34" max="34" width="13" style="1" customWidth="1"/>
    <col min="35" max="16384" width="9.109375" style="1"/>
  </cols>
  <sheetData>
    <row r="1" spans="1:34" x14ac:dyDescent="0.3">
      <c r="D1" s="16"/>
      <c r="E1" s="17"/>
      <c r="F1" s="19"/>
      <c r="G1" s="19"/>
      <c r="H1" s="19"/>
      <c r="I1" s="19"/>
      <c r="J1" s="19"/>
      <c r="K1" s="1"/>
      <c r="L1" s="1"/>
      <c r="M1" s="56"/>
      <c r="N1" s="56"/>
      <c r="O1" s="57"/>
      <c r="P1" s="1"/>
      <c r="T1" s="96" t="s">
        <v>100</v>
      </c>
      <c r="U1" s="96"/>
      <c r="X1" s="23"/>
      <c r="Y1" s="23"/>
      <c r="Z1" s="23"/>
      <c r="AA1" s="23"/>
      <c r="AB1" s="23"/>
      <c r="AC1" s="23"/>
      <c r="AD1" s="23"/>
      <c r="AE1" s="23"/>
      <c r="AF1" s="23"/>
      <c r="AG1" s="23"/>
    </row>
    <row r="2" spans="1:34" x14ac:dyDescent="0.3">
      <c r="D2" s="16"/>
      <c r="E2" s="17"/>
      <c r="F2" s="19"/>
      <c r="G2" s="19"/>
      <c r="H2" s="19"/>
      <c r="I2" s="19"/>
      <c r="J2" s="19"/>
      <c r="K2" s="1"/>
      <c r="L2" s="1"/>
      <c r="M2" s="56"/>
      <c r="N2" s="56"/>
      <c r="O2" s="57"/>
      <c r="P2" s="1"/>
      <c r="T2" s="96" t="s">
        <v>102</v>
      </c>
      <c r="U2" s="96"/>
      <c r="V2" s="96"/>
      <c r="X2" s="23"/>
      <c r="Y2" s="23"/>
      <c r="Z2" s="23"/>
      <c r="AA2" s="23"/>
      <c r="AB2" s="23"/>
      <c r="AC2" s="23"/>
      <c r="AD2" s="23"/>
      <c r="AE2" s="23"/>
      <c r="AF2" s="23"/>
      <c r="AG2" s="23"/>
    </row>
    <row r="3" spans="1:34" ht="16.5" customHeight="1" x14ac:dyDescent="0.3">
      <c r="K3" s="1"/>
      <c r="L3" s="1"/>
      <c r="M3" s="58"/>
      <c r="N3" s="58"/>
      <c r="O3" s="57"/>
      <c r="P3" s="1"/>
      <c r="T3" s="20" t="s">
        <v>122</v>
      </c>
      <c r="U3" s="58"/>
      <c r="X3" s="26"/>
      <c r="Y3" s="26"/>
      <c r="Z3" s="26"/>
      <c r="AA3" s="26"/>
      <c r="AB3" s="26"/>
      <c r="AC3" s="26"/>
      <c r="AD3" s="26"/>
      <c r="AE3" s="26"/>
      <c r="AF3" s="26"/>
      <c r="AG3" s="24"/>
    </row>
    <row r="4" spans="1:34" x14ac:dyDescent="0.3">
      <c r="A4" s="2"/>
      <c r="B4" s="2"/>
      <c r="C4" s="2"/>
      <c r="D4" s="3"/>
      <c r="E4" s="6"/>
      <c r="F4" s="21"/>
      <c r="G4" s="21"/>
      <c r="H4" s="21"/>
      <c r="I4" s="21"/>
      <c r="J4" s="21"/>
      <c r="K4" s="1"/>
      <c r="L4" s="1"/>
      <c r="M4" s="59"/>
      <c r="N4" s="59"/>
      <c r="O4" s="57"/>
      <c r="P4" s="1"/>
      <c r="U4" s="59"/>
      <c r="X4" s="21"/>
      <c r="Y4" s="21"/>
      <c r="Z4" s="21"/>
      <c r="AA4" s="21"/>
      <c r="AB4" s="21"/>
      <c r="AC4" s="21"/>
      <c r="AD4" s="21"/>
      <c r="AE4" s="21"/>
      <c r="AF4" s="21"/>
      <c r="AG4" s="21"/>
    </row>
    <row r="5" spans="1:34" ht="47.25" customHeight="1" x14ac:dyDescent="0.3">
      <c r="A5" s="2"/>
      <c r="B5" s="2"/>
      <c r="C5" s="2"/>
      <c r="D5" s="3"/>
      <c r="E5" s="87" t="s">
        <v>104</v>
      </c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X5" s="21"/>
      <c r="Y5" s="21"/>
      <c r="Z5" s="21"/>
      <c r="AA5" s="21"/>
      <c r="AB5" s="21"/>
      <c r="AC5" s="21"/>
      <c r="AD5" s="21"/>
      <c r="AE5" s="21"/>
      <c r="AF5" s="21"/>
      <c r="AG5" s="21"/>
    </row>
    <row r="6" spans="1:34" x14ac:dyDescent="0.3">
      <c r="A6" s="2"/>
      <c r="B6" s="2"/>
      <c r="C6" s="2"/>
      <c r="D6" s="3"/>
      <c r="E6" s="6"/>
      <c r="F6" s="21"/>
      <c r="G6" s="21"/>
      <c r="H6" s="21"/>
      <c r="I6" s="21"/>
      <c r="J6" s="21"/>
      <c r="K6" s="1"/>
      <c r="L6" s="1"/>
      <c r="M6" s="21"/>
      <c r="N6" s="21"/>
      <c r="O6" s="1"/>
      <c r="P6" s="1"/>
      <c r="X6" s="21"/>
      <c r="Y6" s="21"/>
      <c r="Z6" s="21"/>
      <c r="AA6" s="21"/>
      <c r="AB6" s="21"/>
      <c r="AC6" s="21"/>
      <c r="AD6" s="21"/>
      <c r="AE6" s="21"/>
      <c r="AF6" s="21"/>
      <c r="AG6" s="21"/>
    </row>
    <row r="7" spans="1:34" ht="31.5" customHeight="1" x14ac:dyDescent="0.3">
      <c r="A7" s="91" t="s">
        <v>3</v>
      </c>
      <c r="B7" s="92" t="s">
        <v>27</v>
      </c>
      <c r="C7" s="92" t="s">
        <v>4</v>
      </c>
      <c r="D7" s="93" t="s">
        <v>28</v>
      </c>
      <c r="E7" s="88" t="s">
        <v>35</v>
      </c>
      <c r="F7" s="90"/>
      <c r="G7" s="90"/>
      <c r="H7" s="90"/>
      <c r="I7" s="90"/>
      <c r="J7" s="89"/>
      <c r="K7" s="88" t="s">
        <v>53</v>
      </c>
      <c r="L7" s="90"/>
      <c r="M7" s="90"/>
      <c r="N7" s="90"/>
      <c r="O7" s="90"/>
      <c r="P7" s="89"/>
      <c r="Q7" s="88" t="s">
        <v>36</v>
      </c>
      <c r="R7" s="90"/>
      <c r="S7" s="90"/>
      <c r="T7" s="90"/>
      <c r="U7" s="90"/>
      <c r="V7" s="89"/>
      <c r="W7" s="88" t="s">
        <v>37</v>
      </c>
      <c r="X7" s="90"/>
      <c r="Y7" s="90"/>
      <c r="Z7" s="90"/>
      <c r="AA7" s="90"/>
      <c r="AB7" s="89"/>
      <c r="AC7" s="88" t="s">
        <v>54</v>
      </c>
      <c r="AD7" s="90"/>
      <c r="AE7" s="89"/>
      <c r="AF7" s="88" t="s">
        <v>52</v>
      </c>
      <c r="AG7" s="90"/>
      <c r="AH7" s="89"/>
    </row>
    <row r="8" spans="1:34" ht="54" customHeight="1" x14ac:dyDescent="0.3">
      <c r="A8" s="91"/>
      <c r="B8" s="92"/>
      <c r="C8" s="92"/>
      <c r="D8" s="93"/>
      <c r="E8" s="88" t="s">
        <v>120</v>
      </c>
      <c r="F8" s="89"/>
      <c r="G8" s="88" t="s">
        <v>119</v>
      </c>
      <c r="H8" s="89"/>
      <c r="I8" s="88" t="s">
        <v>51</v>
      </c>
      <c r="J8" s="89"/>
      <c r="K8" s="88" t="s">
        <v>121</v>
      </c>
      <c r="L8" s="89"/>
      <c r="M8" s="88" t="s">
        <v>119</v>
      </c>
      <c r="N8" s="89"/>
      <c r="O8" s="88" t="s">
        <v>51</v>
      </c>
      <c r="P8" s="89"/>
      <c r="Q8" s="88" t="s">
        <v>120</v>
      </c>
      <c r="R8" s="89"/>
      <c r="S8" s="88" t="s">
        <v>119</v>
      </c>
      <c r="T8" s="89"/>
      <c r="U8" s="88" t="s">
        <v>51</v>
      </c>
      <c r="V8" s="89"/>
      <c r="W8" s="88" t="s">
        <v>121</v>
      </c>
      <c r="X8" s="89"/>
      <c r="Y8" s="88" t="s">
        <v>119</v>
      </c>
      <c r="Z8" s="89"/>
      <c r="AA8" s="88" t="s">
        <v>51</v>
      </c>
      <c r="AB8" s="89"/>
      <c r="AC8" s="94" t="s">
        <v>103</v>
      </c>
      <c r="AD8" s="94" t="s">
        <v>118</v>
      </c>
      <c r="AE8" s="94" t="s">
        <v>51</v>
      </c>
      <c r="AF8" s="94" t="s">
        <v>103</v>
      </c>
      <c r="AG8" s="94" t="s">
        <v>118</v>
      </c>
      <c r="AH8" s="94" t="s">
        <v>51</v>
      </c>
    </row>
    <row r="9" spans="1:34" ht="31.2" customHeight="1" x14ac:dyDescent="0.3">
      <c r="A9" s="91"/>
      <c r="B9" s="92"/>
      <c r="C9" s="92"/>
      <c r="D9" s="93"/>
      <c r="E9" s="64" t="s">
        <v>1</v>
      </c>
      <c r="F9" s="65" t="s">
        <v>34</v>
      </c>
      <c r="G9" s="64" t="s">
        <v>1</v>
      </c>
      <c r="H9" s="65" t="s">
        <v>34</v>
      </c>
      <c r="I9" s="64" t="s">
        <v>1</v>
      </c>
      <c r="J9" s="65" t="s">
        <v>34</v>
      </c>
      <c r="K9" s="64" t="s">
        <v>24</v>
      </c>
      <c r="L9" s="64" t="s">
        <v>34</v>
      </c>
      <c r="M9" s="64" t="s">
        <v>24</v>
      </c>
      <c r="N9" s="64" t="s">
        <v>34</v>
      </c>
      <c r="O9" s="64" t="s">
        <v>24</v>
      </c>
      <c r="P9" s="64" t="s">
        <v>34</v>
      </c>
      <c r="Q9" s="65" t="s">
        <v>25</v>
      </c>
      <c r="R9" s="65" t="s">
        <v>34</v>
      </c>
      <c r="S9" s="65" t="s">
        <v>25</v>
      </c>
      <c r="T9" s="65" t="s">
        <v>34</v>
      </c>
      <c r="U9" s="65" t="s">
        <v>25</v>
      </c>
      <c r="V9" s="65" t="s">
        <v>34</v>
      </c>
      <c r="W9" s="65" t="s">
        <v>2</v>
      </c>
      <c r="X9" s="65" t="s">
        <v>34</v>
      </c>
      <c r="Y9" s="65" t="s">
        <v>2</v>
      </c>
      <c r="Z9" s="65" t="s">
        <v>34</v>
      </c>
      <c r="AA9" s="65" t="s">
        <v>2</v>
      </c>
      <c r="AB9" s="65" t="s">
        <v>34</v>
      </c>
      <c r="AC9" s="95"/>
      <c r="AD9" s="95"/>
      <c r="AE9" s="95"/>
      <c r="AF9" s="95"/>
      <c r="AG9" s="95"/>
      <c r="AH9" s="95"/>
    </row>
    <row r="10" spans="1:34" ht="41.25" customHeight="1" x14ac:dyDescent="0.3">
      <c r="A10" s="14" t="s">
        <v>31</v>
      </c>
      <c r="B10" s="14"/>
      <c r="C10" s="14"/>
      <c r="D10" s="18" t="s">
        <v>43</v>
      </c>
      <c r="E10" s="70">
        <f>E11+E12+E13+E14+E15</f>
        <v>498</v>
      </c>
      <c r="F10" s="70">
        <f>F11+F12+F13+F14+F15</f>
        <v>2139300</v>
      </c>
      <c r="G10" s="70">
        <f>G11+G12+G13+G14+G15</f>
        <v>111.17462620000001</v>
      </c>
      <c r="H10" s="70">
        <f>H11+H12+H13+H14+H15</f>
        <v>688575.07000000007</v>
      </c>
      <c r="I10" s="25">
        <f>G10/E10</f>
        <v>0.22324222128514057</v>
      </c>
      <c r="J10" s="25">
        <f>H10/F10</f>
        <v>0.32186933576403498</v>
      </c>
      <c r="K10" s="70">
        <f t="shared" ref="K10:L10" si="0">K11+K12+K13+K14+K15</f>
        <v>2830</v>
      </c>
      <c r="L10" s="70">
        <f t="shared" si="0"/>
        <v>177700</v>
      </c>
      <c r="M10" s="70">
        <f t="shared" ref="M10:N10" si="1">M11+M12+M13+M14+M15</f>
        <v>2700</v>
      </c>
      <c r="N10" s="70">
        <f t="shared" si="1"/>
        <v>112908.22</v>
      </c>
      <c r="O10" s="25">
        <f>M10/K10</f>
        <v>0.95406360424028269</v>
      </c>
      <c r="P10" s="25">
        <f>N10/L10</f>
        <v>0.63538671918964551</v>
      </c>
      <c r="Q10" s="70">
        <f t="shared" ref="Q10:R10" si="2">Q11+Q12+Q13+Q14+Q15</f>
        <v>337892</v>
      </c>
      <c r="R10" s="70">
        <f t="shared" si="2"/>
        <v>3006600</v>
      </c>
      <c r="S10" s="70">
        <f t="shared" ref="S10:T10" si="3">S11+S12+S13+S14+S15</f>
        <v>216110</v>
      </c>
      <c r="T10" s="70">
        <f t="shared" si="3"/>
        <v>1640594.96</v>
      </c>
      <c r="U10" s="25">
        <f>S10/Q10</f>
        <v>0.63958306204349313</v>
      </c>
      <c r="V10" s="25">
        <f>T10/R10</f>
        <v>0.54566452471229965</v>
      </c>
      <c r="W10" s="70">
        <f t="shared" ref="W10:X10" si="4">W11+W12+W13+W14+W15</f>
        <v>10928.99</v>
      </c>
      <c r="X10" s="70">
        <f t="shared" si="4"/>
        <v>253400</v>
      </c>
      <c r="Y10" s="70">
        <f t="shared" ref="Y10:Z10" si="5">Y11+Y12+Y13+Y14+Y15</f>
        <v>7237</v>
      </c>
      <c r="Z10" s="70">
        <f t="shared" si="5"/>
        <v>136859.71000000002</v>
      </c>
      <c r="AA10" s="25">
        <f>Y10/W10</f>
        <v>0.66218378825490742</v>
      </c>
      <c r="AB10" s="25">
        <f>Z10/X10</f>
        <v>0.54009356748224158</v>
      </c>
      <c r="AC10" s="70">
        <f t="shared" ref="AC10" si="6">AC11+AC12+AC13+AC14+AC15</f>
        <v>105200</v>
      </c>
      <c r="AD10" s="70">
        <f t="shared" ref="AD10" si="7">AD11+AD12+AD13+AD14+AD15</f>
        <v>51041.799999999996</v>
      </c>
      <c r="AE10" s="25">
        <f>AD10/AC10</f>
        <v>0.4851882129277566</v>
      </c>
      <c r="AF10" s="60">
        <f t="shared" ref="AF10" si="8">AF11+AF12+AF13+AF14+AF15</f>
        <v>5682200</v>
      </c>
      <c r="AG10" s="60">
        <f>AG11+AG12+AG13+AG14+AG15</f>
        <v>2629979.7599999998</v>
      </c>
      <c r="AH10" s="25">
        <f>AG10/AF10</f>
        <v>0.46284533455351795</v>
      </c>
    </row>
    <row r="11" spans="1:34" ht="41.25" customHeight="1" x14ac:dyDescent="0.3">
      <c r="A11" s="31" t="s">
        <v>16</v>
      </c>
      <c r="B11" s="31" t="s">
        <v>15</v>
      </c>
      <c r="C11" s="31" t="s">
        <v>5</v>
      </c>
      <c r="D11" s="39" t="s">
        <v>43</v>
      </c>
      <c r="E11" s="68">
        <v>482.68</v>
      </c>
      <c r="F11" s="68">
        <v>2061800</v>
      </c>
      <c r="G11" s="68">
        <v>103.8046262</v>
      </c>
      <c r="H11" s="68">
        <v>656783.68000000005</v>
      </c>
      <c r="I11" s="27">
        <f t="shared" ref="I11:I56" si="9">G11/E11</f>
        <v>0.21505889243391066</v>
      </c>
      <c r="J11" s="38">
        <f t="shared" ref="J11:J56" si="10">H11/F11</f>
        <v>0.31854868561451161</v>
      </c>
      <c r="K11" s="68">
        <v>2500</v>
      </c>
      <c r="L11" s="68">
        <v>165500</v>
      </c>
      <c r="M11" s="68">
        <v>2500</v>
      </c>
      <c r="N11" s="68">
        <v>107887.18</v>
      </c>
      <c r="O11" s="38">
        <f t="shared" ref="O11:O12" si="11">M11/K11</f>
        <v>1</v>
      </c>
      <c r="P11" s="38">
        <f t="shared" ref="P11:P12" si="12">N11/L11</f>
        <v>0.65188628398791537</v>
      </c>
      <c r="Q11" s="68">
        <v>284000</v>
      </c>
      <c r="R11" s="68">
        <v>2563200</v>
      </c>
      <c r="S11" s="68">
        <v>183017</v>
      </c>
      <c r="T11" s="68">
        <v>1387806.52</v>
      </c>
      <c r="U11" s="38">
        <v>0.40139999999999998</v>
      </c>
      <c r="V11" s="38">
        <f>T11/R11</f>
        <v>0.54143512796504367</v>
      </c>
      <c r="W11" s="68"/>
      <c r="X11" s="68"/>
      <c r="Y11" s="68"/>
      <c r="Z11" s="68"/>
      <c r="AA11" s="38"/>
      <c r="AB11" s="38"/>
      <c r="AC11" s="68">
        <v>76900</v>
      </c>
      <c r="AD11" s="68">
        <v>45209.96</v>
      </c>
      <c r="AE11" s="38">
        <f>AD11/AC11</f>
        <v>0.58790585175552668</v>
      </c>
      <c r="AF11" s="61">
        <f t="shared" ref="AF11:AF15" si="13">F11+L11+R11+X11+AC11</f>
        <v>4867400</v>
      </c>
      <c r="AG11" s="61">
        <f t="shared" ref="AG11:AG64" si="14">H11+N11+T11+Z11+AD11</f>
        <v>2197687.34</v>
      </c>
      <c r="AH11" s="38">
        <f>AG11/AF11</f>
        <v>0.45151155442330604</v>
      </c>
    </row>
    <row r="12" spans="1:34" ht="44.25" customHeight="1" x14ac:dyDescent="0.3">
      <c r="A12" s="31" t="s">
        <v>16</v>
      </c>
      <c r="B12" s="31" t="s">
        <v>15</v>
      </c>
      <c r="C12" s="31" t="s">
        <v>5</v>
      </c>
      <c r="D12" s="40" t="s">
        <v>44</v>
      </c>
      <c r="E12" s="68"/>
      <c r="F12" s="68"/>
      <c r="G12" s="68"/>
      <c r="H12" s="68"/>
      <c r="I12" s="38"/>
      <c r="J12" s="38"/>
      <c r="K12" s="68">
        <v>60</v>
      </c>
      <c r="L12" s="68">
        <v>2100</v>
      </c>
      <c r="M12" s="68">
        <v>47</v>
      </c>
      <c r="N12" s="68">
        <v>1040.58</v>
      </c>
      <c r="O12" s="38">
        <f t="shared" si="11"/>
        <v>0.78333333333333333</v>
      </c>
      <c r="P12" s="38">
        <f t="shared" si="12"/>
        <v>0.49551428571428568</v>
      </c>
      <c r="Q12" s="68">
        <v>5800</v>
      </c>
      <c r="R12" s="68">
        <v>33600</v>
      </c>
      <c r="S12" s="68">
        <v>4389</v>
      </c>
      <c r="T12" s="68">
        <v>29496.78</v>
      </c>
      <c r="U12" s="38">
        <f t="shared" ref="U12:U13" si="15">S12/Q12</f>
        <v>0.75672413793103444</v>
      </c>
      <c r="V12" s="38">
        <f t="shared" ref="V12:V13" si="16">T12/R12</f>
        <v>0.87788035714285706</v>
      </c>
      <c r="W12" s="68">
        <v>6200</v>
      </c>
      <c r="X12" s="68">
        <v>143900</v>
      </c>
      <c r="Y12" s="68">
        <v>3775</v>
      </c>
      <c r="Z12" s="68">
        <v>69558.850000000006</v>
      </c>
      <c r="AA12" s="38">
        <f t="shared" ref="AA12:AA16" si="17">Y12/W12</f>
        <v>0.6088709677419355</v>
      </c>
      <c r="AB12" s="38">
        <f t="shared" ref="AB12:AB16" si="18">Z12/X12</f>
        <v>0.48338325225851292</v>
      </c>
      <c r="AC12" s="68">
        <v>5000</v>
      </c>
      <c r="AD12" s="68"/>
      <c r="AE12" s="38">
        <f>AD12/AC12</f>
        <v>0</v>
      </c>
      <c r="AF12" s="61">
        <f t="shared" si="13"/>
        <v>184600</v>
      </c>
      <c r="AG12" s="61">
        <f t="shared" si="14"/>
        <v>100096.21</v>
      </c>
      <c r="AH12" s="38">
        <f t="shared" ref="AH12:AH14" si="19">AG12/AF12</f>
        <v>0.54223299024918747</v>
      </c>
    </row>
    <row r="13" spans="1:34" ht="61.5" customHeight="1" x14ac:dyDescent="0.3">
      <c r="A13" s="31" t="s">
        <v>16</v>
      </c>
      <c r="B13" s="31" t="s">
        <v>15</v>
      </c>
      <c r="C13" s="31" t="s">
        <v>5</v>
      </c>
      <c r="D13" s="40" t="s">
        <v>62</v>
      </c>
      <c r="E13" s="68"/>
      <c r="F13" s="68"/>
      <c r="G13" s="68"/>
      <c r="H13" s="68"/>
      <c r="I13" s="38"/>
      <c r="J13" s="38"/>
      <c r="K13" s="68">
        <v>126</v>
      </c>
      <c r="L13" s="68">
        <v>4200</v>
      </c>
      <c r="M13" s="68">
        <v>48</v>
      </c>
      <c r="N13" s="68">
        <v>1062.72</v>
      </c>
      <c r="O13" s="38">
        <f t="shared" ref="O13:O14" si="20">M13/K13</f>
        <v>0.38095238095238093</v>
      </c>
      <c r="P13" s="38">
        <f t="shared" ref="P13:P14" si="21">N13/L13</f>
        <v>0.25302857142857144</v>
      </c>
      <c r="Q13" s="68">
        <v>4172</v>
      </c>
      <c r="R13" s="68">
        <v>29000</v>
      </c>
      <c r="S13" s="68">
        <v>2013</v>
      </c>
      <c r="T13" s="68">
        <v>16068.28</v>
      </c>
      <c r="U13" s="38">
        <f t="shared" si="15"/>
        <v>0.48250239693192715</v>
      </c>
      <c r="V13" s="38">
        <f t="shared" si="16"/>
        <v>0.55407862068965519</v>
      </c>
      <c r="W13" s="68">
        <v>1328.99</v>
      </c>
      <c r="X13" s="68">
        <v>33000</v>
      </c>
      <c r="Y13" s="68">
        <v>1329</v>
      </c>
      <c r="Z13" s="68">
        <v>26278.04</v>
      </c>
      <c r="AA13" s="38">
        <f t="shared" ref="AA13" si="22">Y13/W13</f>
        <v>1.0000075245110949</v>
      </c>
      <c r="AB13" s="38">
        <f t="shared" ref="AB13" si="23">Z13/X13</f>
        <v>0.79630424242424247</v>
      </c>
      <c r="AC13" s="68">
        <v>17000</v>
      </c>
      <c r="AD13" s="68">
        <v>5000</v>
      </c>
      <c r="AE13" s="38">
        <f>AD13/AC13</f>
        <v>0.29411764705882354</v>
      </c>
      <c r="AF13" s="61">
        <f>F13+L13+R13+X13+AC13</f>
        <v>83200</v>
      </c>
      <c r="AG13" s="61">
        <f t="shared" si="14"/>
        <v>48409.04</v>
      </c>
      <c r="AH13" s="38">
        <f t="shared" si="19"/>
        <v>0.58183942307692305</v>
      </c>
    </row>
    <row r="14" spans="1:34" ht="52.5" customHeight="1" x14ac:dyDescent="0.3">
      <c r="A14" s="31" t="s">
        <v>16</v>
      </c>
      <c r="B14" s="31" t="s">
        <v>15</v>
      </c>
      <c r="C14" s="31" t="s">
        <v>5</v>
      </c>
      <c r="D14" s="40" t="s">
        <v>45</v>
      </c>
      <c r="E14" s="68"/>
      <c r="F14" s="68"/>
      <c r="G14" s="68"/>
      <c r="H14" s="68"/>
      <c r="I14" s="38"/>
      <c r="J14" s="38"/>
      <c r="K14" s="68">
        <v>84</v>
      </c>
      <c r="L14" s="68">
        <v>1900</v>
      </c>
      <c r="M14" s="68">
        <v>65</v>
      </c>
      <c r="N14" s="68">
        <v>1439.1</v>
      </c>
      <c r="O14" s="38">
        <f t="shared" si="20"/>
        <v>0.77380952380952384</v>
      </c>
      <c r="P14" s="38">
        <f t="shared" si="21"/>
        <v>0.75742105263157888</v>
      </c>
      <c r="Q14" s="68">
        <v>5100</v>
      </c>
      <c r="R14" s="68">
        <v>29500</v>
      </c>
      <c r="S14" s="68">
        <v>2611</v>
      </c>
      <c r="T14" s="68">
        <v>18527.439999999999</v>
      </c>
      <c r="U14" s="38">
        <f t="shared" ref="U14" si="24">S14/Q14</f>
        <v>0.51196078431372549</v>
      </c>
      <c r="V14" s="38">
        <f t="shared" ref="V14" si="25">T14/R14</f>
        <v>0.62804881355932196</v>
      </c>
      <c r="W14" s="68">
        <v>3400</v>
      </c>
      <c r="X14" s="68">
        <v>76500</v>
      </c>
      <c r="Y14" s="68">
        <v>2133</v>
      </c>
      <c r="Z14" s="68">
        <v>41022.82</v>
      </c>
      <c r="AA14" s="38">
        <f t="shared" si="17"/>
        <v>0.62735294117647056</v>
      </c>
      <c r="AB14" s="38">
        <f t="shared" si="18"/>
        <v>0.53624601307189546</v>
      </c>
      <c r="AC14" s="68">
        <v>5000</v>
      </c>
      <c r="AD14" s="68"/>
      <c r="AE14" s="38">
        <f>AD14/AC14</f>
        <v>0</v>
      </c>
      <c r="AF14" s="61">
        <f t="shared" si="13"/>
        <v>112900</v>
      </c>
      <c r="AG14" s="61">
        <f t="shared" si="14"/>
        <v>60989.36</v>
      </c>
      <c r="AH14" s="38">
        <f t="shared" si="19"/>
        <v>0.54020690876882194</v>
      </c>
    </row>
    <row r="15" spans="1:34" ht="57" customHeight="1" x14ac:dyDescent="0.3">
      <c r="A15" s="31" t="s">
        <v>29</v>
      </c>
      <c r="B15" s="32">
        <v>8210</v>
      </c>
      <c r="C15" s="31" t="s">
        <v>26</v>
      </c>
      <c r="D15" s="33" t="s">
        <v>46</v>
      </c>
      <c r="E15" s="68">
        <v>15.32</v>
      </c>
      <c r="F15" s="68">
        <v>77500</v>
      </c>
      <c r="G15" s="68">
        <v>7.37</v>
      </c>
      <c r="H15" s="68">
        <v>31791.39</v>
      </c>
      <c r="I15" s="38">
        <f t="shared" si="9"/>
        <v>0.4810704960835509</v>
      </c>
      <c r="J15" s="38">
        <f t="shared" si="10"/>
        <v>0.41021148387096773</v>
      </c>
      <c r="K15" s="68">
        <v>60</v>
      </c>
      <c r="L15" s="68">
        <v>4000</v>
      </c>
      <c r="M15" s="68">
        <v>40</v>
      </c>
      <c r="N15" s="68">
        <v>1478.64</v>
      </c>
      <c r="O15" s="38">
        <f t="shared" ref="O15" si="26">M15/K15</f>
        <v>0.66666666666666663</v>
      </c>
      <c r="P15" s="38">
        <f t="shared" ref="P15" si="27">N15/L15</f>
        <v>0.36966000000000004</v>
      </c>
      <c r="Q15" s="68">
        <v>38820</v>
      </c>
      <c r="R15" s="68">
        <v>351300</v>
      </c>
      <c r="S15" s="68">
        <v>24080</v>
      </c>
      <c r="T15" s="68">
        <v>188695.94</v>
      </c>
      <c r="U15" s="38">
        <f t="shared" ref="U15:U17" si="28">S15/Q15</f>
        <v>0.62029881504379181</v>
      </c>
      <c r="V15" s="38">
        <f t="shared" ref="V15:V56" si="29">T15/R15</f>
        <v>0.5371361799032166</v>
      </c>
      <c r="W15" s="68"/>
      <c r="X15" s="68"/>
      <c r="Y15" s="68"/>
      <c r="Z15" s="68"/>
      <c r="AA15" s="38"/>
      <c r="AB15" s="38"/>
      <c r="AC15" s="68">
        <v>1300</v>
      </c>
      <c r="AD15" s="68">
        <v>831.84</v>
      </c>
      <c r="AE15" s="38">
        <f t="shared" ref="AE15:AE52" si="30">AD15/AC15</f>
        <v>0.63987692307692312</v>
      </c>
      <c r="AF15" s="61">
        <f t="shared" si="13"/>
        <v>434100</v>
      </c>
      <c r="AG15" s="61">
        <f t="shared" si="14"/>
        <v>222797.81</v>
      </c>
      <c r="AH15" s="38">
        <f t="shared" ref="AH15" si="31">AG15/AF15</f>
        <v>0.5132407509790371</v>
      </c>
    </row>
    <row r="16" spans="1:34" ht="40.5" customHeight="1" x14ac:dyDescent="0.3">
      <c r="A16" s="14" t="s">
        <v>32</v>
      </c>
      <c r="B16" s="14"/>
      <c r="C16" s="14"/>
      <c r="D16" s="18" t="s">
        <v>81</v>
      </c>
      <c r="E16" s="70">
        <f>E17+E18+E32+E43+E44+E49+E47+E48+E50</f>
        <v>3738.6310000000003</v>
      </c>
      <c r="F16" s="70">
        <f>F17+F18+F32+F43+F44+F49+F47+F48+F50</f>
        <v>19341280.960000001</v>
      </c>
      <c r="G16" s="70">
        <f>G17+G18+G32+G43+G44+G49+G47+G48+G50</f>
        <v>3689.1711528148398</v>
      </c>
      <c r="H16" s="70">
        <f>H17+H18+H32+H43+H44+H49+H47+H48+H50</f>
        <v>19103796.450000007</v>
      </c>
      <c r="I16" s="25">
        <f t="shared" si="9"/>
        <v>0.9867705994025191</v>
      </c>
      <c r="J16" s="25">
        <f t="shared" si="10"/>
        <v>0.98772136599994909</v>
      </c>
      <c r="K16" s="70">
        <f t="shared" ref="K16:L16" si="32">K17+K18+K32+K43+K44+K49+K47+K48+K50</f>
        <v>33128.854329823072</v>
      </c>
      <c r="L16" s="70">
        <f t="shared" si="32"/>
        <v>1225541</v>
      </c>
      <c r="M16" s="70">
        <f t="shared" ref="M16:N16" si="33">M17+M18+M32+M43+M44+M49+M47+M48+M50</f>
        <v>24905.303755599525</v>
      </c>
      <c r="N16" s="70">
        <f t="shared" si="33"/>
        <v>907329.18</v>
      </c>
      <c r="O16" s="25">
        <f t="shared" ref="O16:O17" si="34">M16/K16</f>
        <v>0.75177075269938964</v>
      </c>
      <c r="P16" s="25">
        <f t="shared" ref="P16:P17" si="35">N16/L16</f>
        <v>0.74034991893376068</v>
      </c>
      <c r="Q16" s="70">
        <f t="shared" ref="Q16:R16" si="36">Q17+Q18+Q32+Q43+Q44+Q49+Q47+Q48+Q50</f>
        <v>1035981</v>
      </c>
      <c r="R16" s="70">
        <f t="shared" si="36"/>
        <v>8290108.9000000004</v>
      </c>
      <c r="S16" s="70">
        <f t="shared" ref="S16:T16" si="37">S17+S18+S32+S43+S44+S49+S47+S48+S50</f>
        <v>798400.495</v>
      </c>
      <c r="T16" s="70">
        <f t="shared" si="37"/>
        <v>6289687.1300000008</v>
      </c>
      <c r="U16" s="25">
        <f t="shared" si="28"/>
        <v>0.77067098238288156</v>
      </c>
      <c r="V16" s="25">
        <f t="shared" si="29"/>
        <v>0.75869776933810851</v>
      </c>
      <c r="W16" s="70">
        <f t="shared" ref="W16:X16" si="38">W17+W18+W32+W43+W44+W49+W47+W48+W50</f>
        <v>49626</v>
      </c>
      <c r="X16" s="70">
        <f t="shared" si="38"/>
        <v>881500</v>
      </c>
      <c r="Y16" s="70">
        <f t="shared" ref="Y16:Z16" si="39">Y17+Y18+Y32+Y43+Y44+Y49+Y47+Y48+Y50</f>
        <v>40581.360000000001</v>
      </c>
      <c r="Z16" s="70">
        <f t="shared" si="39"/>
        <v>652892.53</v>
      </c>
      <c r="AA16" s="25">
        <f t="shared" si="17"/>
        <v>0.81774392455567646</v>
      </c>
      <c r="AB16" s="25">
        <f t="shared" si="18"/>
        <v>0.7406608394781623</v>
      </c>
      <c r="AC16" s="70">
        <f t="shared" ref="AC16" si="40">AC17+AC18+AC32+AC43+AC44+AC49+AC47+AC48+AC50</f>
        <v>652510</v>
      </c>
      <c r="AD16" s="70">
        <f t="shared" ref="AD16" si="41">AD17+AD18+AD32+AD43+AD44+AD49+AD47+AD48+AD50</f>
        <v>597390.995</v>
      </c>
      <c r="AE16" s="25">
        <f>AD16/AC16</f>
        <v>0.91552772371304658</v>
      </c>
      <c r="AF16" s="70">
        <f>F16+L16+R16+X16+AC16</f>
        <v>30390940.859999999</v>
      </c>
      <c r="AG16" s="70">
        <f>AD16+Z16+T16+N16+H16</f>
        <v>27551096.285000008</v>
      </c>
      <c r="AH16" s="25">
        <f>AG16/AF16</f>
        <v>0.90655621396908637</v>
      </c>
    </row>
    <row r="17" spans="1:34" s="4" customFormat="1" ht="41.25" customHeight="1" x14ac:dyDescent="0.3">
      <c r="A17" s="12" t="s">
        <v>19</v>
      </c>
      <c r="B17" s="12" t="s">
        <v>18</v>
      </c>
      <c r="C17" s="12" t="s">
        <v>5</v>
      </c>
      <c r="D17" s="66" t="s">
        <v>101</v>
      </c>
      <c r="E17" s="74">
        <v>24</v>
      </c>
      <c r="F17" s="74">
        <f>170270+91130</f>
        <v>261400</v>
      </c>
      <c r="G17" s="77">
        <v>21.262889999999999</v>
      </c>
      <c r="H17" s="74">
        <v>195263.84000000003</v>
      </c>
      <c r="I17" s="38">
        <f t="shared" ref="I17" si="42">G17/E17</f>
        <v>0.88595374999999998</v>
      </c>
      <c r="J17" s="38">
        <f t="shared" ref="J17" si="43">H17/F17</f>
        <v>0.74699250191277744</v>
      </c>
      <c r="K17" s="74">
        <v>323.04399999999998</v>
      </c>
      <c r="L17" s="74">
        <v>13500</v>
      </c>
      <c r="M17" s="82">
        <v>151.12299999999999</v>
      </c>
      <c r="N17" s="82">
        <v>6315.46</v>
      </c>
      <c r="O17" s="38">
        <f t="shared" si="34"/>
        <v>0.46780933866594027</v>
      </c>
      <c r="P17" s="38">
        <f t="shared" si="35"/>
        <v>0.46781185185185187</v>
      </c>
      <c r="Q17" s="74">
        <v>15247</v>
      </c>
      <c r="R17" s="74">
        <v>146300</v>
      </c>
      <c r="S17" s="77">
        <v>15139.4</v>
      </c>
      <c r="T17" s="77">
        <v>86675.25</v>
      </c>
      <c r="U17" s="38">
        <f t="shared" si="28"/>
        <v>0.99294287400800152</v>
      </c>
      <c r="V17" s="38">
        <f t="shared" si="29"/>
        <v>0.59244873547505128</v>
      </c>
      <c r="W17" s="80"/>
      <c r="X17" s="74"/>
      <c r="Y17" s="77"/>
      <c r="Z17" s="74"/>
      <c r="AA17" s="38"/>
      <c r="AB17" s="38"/>
      <c r="AC17" s="68">
        <v>2600</v>
      </c>
      <c r="AD17" s="74">
        <v>2339.125</v>
      </c>
      <c r="AE17" s="38">
        <f t="shared" si="30"/>
        <v>0.89966346153846155</v>
      </c>
      <c r="AF17" s="74">
        <f t="shared" ref="AF17" si="44">F17+L17+R17+X17+AC17</f>
        <v>423800</v>
      </c>
      <c r="AG17" s="74">
        <f t="shared" ref="AG17" si="45">H17+N17+T17+Z17+AD17</f>
        <v>290593.67500000005</v>
      </c>
      <c r="AH17" s="38">
        <f t="shared" ref="AH17" si="46">AG17/AF17</f>
        <v>0.68568587777253431</v>
      </c>
    </row>
    <row r="18" spans="1:34" s="4" customFormat="1" ht="54.75" customHeight="1" x14ac:dyDescent="0.3">
      <c r="A18" s="12" t="s">
        <v>20</v>
      </c>
      <c r="B18" s="10">
        <v>1010</v>
      </c>
      <c r="C18" s="12" t="s">
        <v>7</v>
      </c>
      <c r="D18" s="30" t="s">
        <v>105</v>
      </c>
      <c r="E18" s="77">
        <f>SUM(E19:E31)</f>
        <v>1314.992</v>
      </c>
      <c r="F18" s="77">
        <f>SUM(F19:F31)</f>
        <v>7139000</v>
      </c>
      <c r="G18" s="74">
        <v>1314.992</v>
      </c>
      <c r="H18" s="74">
        <v>7139000</v>
      </c>
      <c r="I18" s="38">
        <f t="shared" ref="I18:I27" si="47">G18/E18</f>
        <v>1</v>
      </c>
      <c r="J18" s="38">
        <f t="shared" ref="J18:J27" si="48">H18/F18</f>
        <v>1</v>
      </c>
      <c r="K18" s="77">
        <f t="shared" ref="K18:L18" si="49">SUM(K19:K31)</f>
        <v>8529.6338934315409</v>
      </c>
      <c r="L18" s="77">
        <f t="shared" si="49"/>
        <v>355100</v>
      </c>
      <c r="M18" s="82">
        <v>8529.6338934315409</v>
      </c>
      <c r="N18" s="82">
        <v>355100</v>
      </c>
      <c r="O18" s="38">
        <f t="shared" ref="O18:O30" si="50">M18/K18</f>
        <v>1</v>
      </c>
      <c r="P18" s="38">
        <f t="shared" ref="P18:P30" si="51">N18/L18</f>
        <v>1</v>
      </c>
      <c r="Q18" s="77">
        <f t="shared" ref="Q18:R18" si="52">SUM(Q19:Q31)</f>
        <v>397295</v>
      </c>
      <c r="R18" s="77">
        <f t="shared" si="52"/>
        <v>3246200</v>
      </c>
      <c r="S18" s="77">
        <v>228864.80000000002</v>
      </c>
      <c r="T18" s="77">
        <v>2138752.48</v>
      </c>
      <c r="U18" s="38">
        <f t="shared" ref="U18:U52" si="53">S18/Q18</f>
        <v>0.57605758944864649</v>
      </c>
      <c r="V18" s="38">
        <f t="shared" ref="V18:V52" si="54">T18/R18</f>
        <v>0.65884803154457516</v>
      </c>
      <c r="W18" s="77">
        <f t="shared" ref="W18:X18" si="55">SUM(W19:W31)</f>
        <v>6522</v>
      </c>
      <c r="X18" s="77">
        <f t="shared" si="55"/>
        <v>114800</v>
      </c>
      <c r="Y18" s="74">
        <v>5166</v>
      </c>
      <c r="Z18" s="74">
        <v>87369.419999999984</v>
      </c>
      <c r="AA18" s="38">
        <f t="shared" ref="AA18" si="56">Y18/W18</f>
        <v>0.79208831646734135</v>
      </c>
      <c r="AB18" s="38">
        <f t="shared" ref="AB18" si="57">Z18/X18</f>
        <v>0.76105766550522636</v>
      </c>
      <c r="AC18" s="77">
        <f t="shared" ref="AC18" si="58">SUM(AC19:AC31)</f>
        <v>252500</v>
      </c>
      <c r="AD18" s="77">
        <v>232470.06999999998</v>
      </c>
      <c r="AE18" s="38">
        <f t="shared" si="30"/>
        <v>0.92067354455445538</v>
      </c>
      <c r="AF18" s="74">
        <f t="shared" ref="AF18:AF52" si="59">F18+L18+R18+X18+AC18</f>
        <v>11107600</v>
      </c>
      <c r="AG18" s="74">
        <f t="shared" ref="AG18:AG52" si="60">H18+N18+T18+Z18+AD18</f>
        <v>9952691.9700000007</v>
      </c>
      <c r="AH18" s="38">
        <f t="shared" ref="AH18:AH52" si="61">AG18/AF18</f>
        <v>0.89602542133314134</v>
      </c>
    </row>
    <row r="19" spans="1:34" s="37" customFormat="1" ht="46.8" x14ac:dyDescent="0.3">
      <c r="A19" s="32"/>
      <c r="B19" s="32"/>
      <c r="C19" s="31"/>
      <c r="D19" s="28" t="s">
        <v>106</v>
      </c>
      <c r="E19" s="68">
        <f>95-17</f>
        <v>78</v>
      </c>
      <c r="F19" s="68">
        <f>540900-70000-120400</f>
        <v>350500</v>
      </c>
      <c r="G19" s="74">
        <v>78</v>
      </c>
      <c r="H19" s="74">
        <v>350500</v>
      </c>
      <c r="I19" s="36">
        <f t="shared" si="47"/>
        <v>1</v>
      </c>
      <c r="J19" s="36">
        <f t="shared" si="48"/>
        <v>1</v>
      </c>
      <c r="K19" s="68">
        <v>827.1356783919598</v>
      </c>
      <c r="L19" s="68">
        <f>49266-14700</f>
        <v>34566</v>
      </c>
      <c r="M19" s="82">
        <v>827.1356783919598</v>
      </c>
      <c r="N19" s="82">
        <v>34566</v>
      </c>
      <c r="O19" s="36">
        <f t="shared" si="50"/>
        <v>1</v>
      </c>
      <c r="P19" s="36">
        <f t="shared" si="51"/>
        <v>1</v>
      </c>
      <c r="Q19" s="68">
        <v>35455</v>
      </c>
      <c r="R19" s="68">
        <f>436200-134687.62</f>
        <v>301512.38</v>
      </c>
      <c r="S19" s="74">
        <v>32048</v>
      </c>
      <c r="T19" s="81">
        <v>292589.79000000004</v>
      </c>
      <c r="U19" s="36">
        <f t="shared" si="53"/>
        <v>0.90390636017486958</v>
      </c>
      <c r="V19" s="36">
        <f t="shared" si="54"/>
        <v>0.97040721843660294</v>
      </c>
      <c r="W19" s="68"/>
      <c r="X19" s="68"/>
      <c r="Y19" s="74"/>
      <c r="Z19" s="74"/>
      <c r="AA19" s="36"/>
      <c r="AB19" s="36"/>
      <c r="AC19" s="78">
        <f>23100-9220</f>
        <v>13880</v>
      </c>
      <c r="AD19" s="74">
        <v>11892.44</v>
      </c>
      <c r="AE19" s="36">
        <f t="shared" si="30"/>
        <v>0.85680403458213261</v>
      </c>
      <c r="AF19" s="68">
        <f t="shared" si="59"/>
        <v>700458.38</v>
      </c>
      <c r="AG19" s="68">
        <f t="shared" si="60"/>
        <v>689548.23</v>
      </c>
      <c r="AH19" s="36">
        <f t="shared" si="61"/>
        <v>0.98442427086103246</v>
      </c>
    </row>
    <row r="20" spans="1:34" s="37" customFormat="1" ht="46.8" x14ac:dyDescent="0.3">
      <c r="A20" s="31"/>
      <c r="B20" s="32"/>
      <c r="C20" s="31"/>
      <c r="D20" s="28" t="s">
        <v>82</v>
      </c>
      <c r="E20" s="68">
        <f>155-80</f>
        <v>75</v>
      </c>
      <c r="F20" s="68">
        <f>1095400-145900-181800-45000-45200-129900</f>
        <v>547600</v>
      </c>
      <c r="G20" s="74">
        <v>75</v>
      </c>
      <c r="H20" s="74">
        <v>547600</v>
      </c>
      <c r="I20" s="36">
        <f t="shared" si="47"/>
        <v>1</v>
      </c>
      <c r="J20" s="36">
        <f t="shared" si="48"/>
        <v>1</v>
      </c>
      <c r="K20" s="68">
        <v>337.06628379995215</v>
      </c>
      <c r="L20" s="68">
        <f>50526-36440</f>
        <v>14086</v>
      </c>
      <c r="M20" s="82">
        <v>337.06628379995215</v>
      </c>
      <c r="N20" s="82">
        <v>14086</v>
      </c>
      <c r="O20" s="36">
        <f t="shared" si="50"/>
        <v>1</v>
      </c>
      <c r="P20" s="36">
        <f t="shared" si="51"/>
        <v>1</v>
      </c>
      <c r="Q20" s="68">
        <v>23080</v>
      </c>
      <c r="R20" s="68">
        <f>304300-118932.22-3156.18</f>
        <v>182211.6</v>
      </c>
      <c r="S20" s="74">
        <v>9591.0000000000291</v>
      </c>
      <c r="T20" s="81">
        <v>97400.709999999992</v>
      </c>
      <c r="U20" s="36">
        <f t="shared" si="53"/>
        <v>0.41555459272097178</v>
      </c>
      <c r="V20" s="36">
        <f t="shared" si="54"/>
        <v>0.53454725165686479</v>
      </c>
      <c r="W20" s="68"/>
      <c r="X20" s="68"/>
      <c r="Y20" s="74"/>
      <c r="Z20" s="74"/>
      <c r="AA20" s="36"/>
      <c r="AB20" s="36"/>
      <c r="AC20" s="78">
        <f>24600-9850</f>
        <v>14750</v>
      </c>
      <c r="AD20" s="74">
        <v>12750.47</v>
      </c>
      <c r="AE20" s="36">
        <f t="shared" si="30"/>
        <v>0.86443864406779658</v>
      </c>
      <c r="AF20" s="68">
        <f t="shared" si="59"/>
        <v>758647.6</v>
      </c>
      <c r="AG20" s="68">
        <f t="shared" si="60"/>
        <v>671837.17999999993</v>
      </c>
      <c r="AH20" s="36">
        <f t="shared" si="61"/>
        <v>0.88557214179547916</v>
      </c>
    </row>
    <row r="21" spans="1:34" s="37" customFormat="1" ht="46.8" x14ac:dyDescent="0.3">
      <c r="A21" s="31"/>
      <c r="B21" s="32"/>
      <c r="C21" s="31"/>
      <c r="D21" s="28" t="s">
        <v>83</v>
      </c>
      <c r="E21" s="68">
        <f>180-64</f>
        <v>116</v>
      </c>
      <c r="F21" s="68">
        <f>1049400-139700-181800-45000-86800</f>
        <v>596100</v>
      </c>
      <c r="G21" s="74">
        <v>116</v>
      </c>
      <c r="H21" s="74">
        <v>596100</v>
      </c>
      <c r="I21" s="36">
        <f t="shared" si="47"/>
        <v>1</v>
      </c>
      <c r="J21" s="36">
        <f t="shared" si="48"/>
        <v>1</v>
      </c>
      <c r="K21" s="68">
        <v>1029.0500119645849</v>
      </c>
      <c r="L21" s="68">
        <f>127512-84508</f>
        <v>43004</v>
      </c>
      <c r="M21" s="82">
        <v>1029.0500119645849</v>
      </c>
      <c r="N21" s="82">
        <v>43004</v>
      </c>
      <c r="O21" s="36">
        <f t="shared" si="50"/>
        <v>1</v>
      </c>
      <c r="P21" s="36">
        <f t="shared" si="51"/>
        <v>1</v>
      </c>
      <c r="Q21" s="68">
        <v>49752</v>
      </c>
      <c r="R21" s="68">
        <f>526700-102692.34</f>
        <v>424007.66000000003</v>
      </c>
      <c r="S21" s="74">
        <v>34057</v>
      </c>
      <c r="T21" s="81">
        <v>308949.64</v>
      </c>
      <c r="U21" s="36">
        <f t="shared" si="53"/>
        <v>0.68453529506351507</v>
      </c>
      <c r="V21" s="36">
        <f t="shared" si="54"/>
        <v>0.72864164765325223</v>
      </c>
      <c r="W21" s="68"/>
      <c r="X21" s="68"/>
      <c r="Y21" s="74"/>
      <c r="Z21" s="74"/>
      <c r="AA21" s="36"/>
      <c r="AB21" s="36"/>
      <c r="AC21" s="78">
        <f>43500-16400</f>
        <v>27100</v>
      </c>
      <c r="AD21" s="74">
        <v>23115.96</v>
      </c>
      <c r="AE21" s="36">
        <f t="shared" si="30"/>
        <v>0.85298745387453867</v>
      </c>
      <c r="AF21" s="68">
        <f t="shared" si="59"/>
        <v>1090211.6600000001</v>
      </c>
      <c r="AG21" s="68">
        <f t="shared" si="60"/>
        <v>971169.6</v>
      </c>
      <c r="AH21" s="36">
        <f t="shared" si="61"/>
        <v>0.89080830414160117</v>
      </c>
    </row>
    <row r="22" spans="1:34" s="37" customFormat="1" ht="46.8" x14ac:dyDescent="0.3">
      <c r="A22" s="32"/>
      <c r="B22" s="32"/>
      <c r="C22" s="31"/>
      <c r="D22" s="28" t="s">
        <v>107</v>
      </c>
      <c r="E22" s="68">
        <f>135-20-36</f>
        <v>79</v>
      </c>
      <c r="F22" s="68">
        <f>945100-125800-181800-45000-45000-58900</f>
        <v>488600</v>
      </c>
      <c r="G22" s="74">
        <v>79</v>
      </c>
      <c r="H22" s="74">
        <v>488600</v>
      </c>
      <c r="I22" s="36">
        <f t="shared" si="47"/>
        <v>1</v>
      </c>
      <c r="J22" s="36">
        <f t="shared" si="48"/>
        <v>1</v>
      </c>
      <c r="K22" s="68">
        <v>128.21249102656139</v>
      </c>
      <c r="L22" s="68">
        <f>66108-60750</f>
        <v>5358</v>
      </c>
      <c r="M22" s="82">
        <v>128.21249102656139</v>
      </c>
      <c r="N22" s="82">
        <v>5358</v>
      </c>
      <c r="O22" s="36">
        <f t="shared" si="50"/>
        <v>1</v>
      </c>
      <c r="P22" s="36">
        <f t="shared" si="51"/>
        <v>1</v>
      </c>
      <c r="Q22" s="68">
        <v>18243</v>
      </c>
      <c r="R22" s="68">
        <f>451400-304886.58-3154</f>
        <v>143359.41999999998</v>
      </c>
      <c r="S22" s="74">
        <v>4120</v>
      </c>
      <c r="T22" s="81">
        <v>54402.83</v>
      </c>
      <c r="U22" s="36">
        <f t="shared" si="53"/>
        <v>0.2258400482376802</v>
      </c>
      <c r="V22" s="36">
        <f t="shared" si="54"/>
        <v>0.37948556153477747</v>
      </c>
      <c r="W22" s="68"/>
      <c r="X22" s="68"/>
      <c r="Y22" s="74"/>
      <c r="Z22" s="74"/>
      <c r="AA22" s="36"/>
      <c r="AB22" s="36"/>
      <c r="AC22" s="78">
        <f>24400-9750</f>
        <v>14650</v>
      </c>
      <c r="AD22" s="74">
        <v>12658.74</v>
      </c>
      <c r="AE22" s="36">
        <f t="shared" si="30"/>
        <v>0.86407781569965869</v>
      </c>
      <c r="AF22" s="68">
        <f t="shared" si="59"/>
        <v>651967.41999999993</v>
      </c>
      <c r="AG22" s="68">
        <f t="shared" si="60"/>
        <v>561019.56999999995</v>
      </c>
      <c r="AH22" s="36">
        <f t="shared" si="61"/>
        <v>0.86050246191749891</v>
      </c>
    </row>
    <row r="23" spans="1:34" s="37" customFormat="1" ht="46.8" x14ac:dyDescent="0.3">
      <c r="A23" s="31"/>
      <c r="B23" s="32"/>
      <c r="C23" s="31"/>
      <c r="D23" s="28" t="s">
        <v>84</v>
      </c>
      <c r="E23" s="68">
        <f>200-68</f>
        <v>132</v>
      </c>
      <c r="F23" s="68">
        <f>1513100-203300-181800-45000-45000-45000-45000-125400</f>
        <v>822600</v>
      </c>
      <c r="G23" s="74">
        <v>132</v>
      </c>
      <c r="H23" s="74">
        <v>822600</v>
      </c>
      <c r="I23" s="36">
        <f t="shared" si="47"/>
        <v>1</v>
      </c>
      <c r="J23" s="36">
        <f t="shared" si="48"/>
        <v>1</v>
      </c>
      <c r="K23" s="68">
        <v>551.04091888011487</v>
      </c>
      <c r="L23" s="68">
        <f>134064-111036</f>
        <v>23028</v>
      </c>
      <c r="M23" s="82">
        <v>551.04091888011487</v>
      </c>
      <c r="N23" s="82">
        <v>23028</v>
      </c>
      <c r="O23" s="36">
        <f t="shared" si="50"/>
        <v>1</v>
      </c>
      <c r="P23" s="36">
        <f t="shared" si="51"/>
        <v>1</v>
      </c>
      <c r="Q23" s="68">
        <v>29647</v>
      </c>
      <c r="R23" s="68">
        <f>575000-333847.69-3154</f>
        <v>237998.31</v>
      </c>
      <c r="S23" s="74">
        <v>10413.999999999956</v>
      </c>
      <c r="T23" s="81">
        <v>105412.48</v>
      </c>
      <c r="U23" s="36">
        <f t="shared" si="53"/>
        <v>0.35126656997335165</v>
      </c>
      <c r="V23" s="36">
        <f t="shared" si="54"/>
        <v>0.44291272488447503</v>
      </c>
      <c r="W23" s="68"/>
      <c r="X23" s="78"/>
      <c r="Y23" s="74"/>
      <c r="Z23" s="74"/>
      <c r="AA23" s="36"/>
      <c r="AB23" s="36"/>
      <c r="AC23" s="78">
        <f>46700-19250</f>
        <v>27450</v>
      </c>
      <c r="AD23" s="74">
        <v>27421.62</v>
      </c>
      <c r="AE23" s="36">
        <f t="shared" si="30"/>
        <v>0.99896612021857922</v>
      </c>
      <c r="AF23" s="68">
        <f t="shared" si="59"/>
        <v>1111076.31</v>
      </c>
      <c r="AG23" s="68">
        <f t="shared" si="60"/>
        <v>978462.1</v>
      </c>
      <c r="AH23" s="36">
        <f t="shared" si="61"/>
        <v>0.88064347263420628</v>
      </c>
    </row>
    <row r="24" spans="1:34" s="37" customFormat="1" ht="46.8" x14ac:dyDescent="0.3">
      <c r="A24" s="31"/>
      <c r="B24" s="32"/>
      <c r="C24" s="31"/>
      <c r="D24" s="28" t="s">
        <v>85</v>
      </c>
      <c r="E24" s="68">
        <f>140-70</f>
        <v>70</v>
      </c>
      <c r="F24" s="68">
        <f>375840+5660-27500</f>
        <v>354000</v>
      </c>
      <c r="G24" s="74">
        <v>70</v>
      </c>
      <c r="H24" s="74">
        <v>354000</v>
      </c>
      <c r="I24" s="36">
        <f t="shared" si="47"/>
        <v>1</v>
      </c>
      <c r="J24" s="36">
        <f t="shared" si="48"/>
        <v>1</v>
      </c>
      <c r="K24" s="68">
        <v>189.01651112706389</v>
      </c>
      <c r="L24" s="68">
        <f>127243-119344</f>
        <v>7899</v>
      </c>
      <c r="M24" s="82">
        <v>189.01651112706389</v>
      </c>
      <c r="N24" s="82">
        <v>7899</v>
      </c>
      <c r="O24" s="36">
        <f t="shared" si="50"/>
        <v>1</v>
      </c>
      <c r="P24" s="36">
        <f t="shared" si="51"/>
        <v>1</v>
      </c>
      <c r="Q24" s="68">
        <v>21471</v>
      </c>
      <c r="R24" s="68">
        <f>271500-101205.89-3154</f>
        <v>167140.10999999999</v>
      </c>
      <c r="S24" s="74">
        <v>7742</v>
      </c>
      <c r="T24" s="81">
        <v>80994.350000000006</v>
      </c>
      <c r="U24" s="36">
        <f t="shared" si="53"/>
        <v>0.36057938614875878</v>
      </c>
      <c r="V24" s="36">
        <f t="shared" si="54"/>
        <v>0.48458954586065556</v>
      </c>
      <c r="W24" s="68"/>
      <c r="X24" s="78"/>
      <c r="Y24" s="74"/>
      <c r="Z24" s="74"/>
      <c r="AA24" s="36"/>
      <c r="AB24" s="36"/>
      <c r="AC24" s="78">
        <f>18500-7300</f>
        <v>11200</v>
      </c>
      <c r="AD24" s="74">
        <v>11191.06</v>
      </c>
      <c r="AE24" s="36">
        <f t="shared" si="30"/>
        <v>0.99920178571428564</v>
      </c>
      <c r="AF24" s="68">
        <f t="shared" si="59"/>
        <v>540239.11</v>
      </c>
      <c r="AG24" s="68">
        <f t="shared" si="60"/>
        <v>454084.41</v>
      </c>
      <c r="AH24" s="36">
        <f t="shared" si="61"/>
        <v>0.84052487425429079</v>
      </c>
    </row>
    <row r="25" spans="1:34" s="37" customFormat="1" ht="46.8" x14ac:dyDescent="0.3">
      <c r="A25" s="32"/>
      <c r="B25" s="32"/>
      <c r="C25" s="31"/>
      <c r="D25" s="28" t="s">
        <v>108</v>
      </c>
      <c r="E25" s="68"/>
      <c r="F25" s="68">
        <v>0</v>
      </c>
      <c r="G25" s="74">
        <v>0</v>
      </c>
      <c r="H25" s="74">
        <v>0</v>
      </c>
      <c r="I25" s="36"/>
      <c r="J25" s="36"/>
      <c r="K25" s="68">
        <v>68.875338753387538</v>
      </c>
      <c r="L25" s="68">
        <f>5535-4428+417.9</f>
        <v>1524.9</v>
      </c>
      <c r="M25" s="82">
        <v>68.875338753387496</v>
      </c>
      <c r="N25" s="82">
        <v>1524.9</v>
      </c>
      <c r="O25" s="36">
        <f t="shared" si="50"/>
        <v>0.99999999999999933</v>
      </c>
      <c r="P25" s="36">
        <f t="shared" si="51"/>
        <v>1</v>
      </c>
      <c r="Q25" s="68">
        <v>3553</v>
      </c>
      <c r="R25" s="68">
        <f>80000-54930.74</f>
        <v>25069.260000000002</v>
      </c>
      <c r="S25" s="74">
        <v>1710</v>
      </c>
      <c r="T25" s="81">
        <v>14055.650000000001</v>
      </c>
      <c r="U25" s="36">
        <f t="shared" si="53"/>
        <v>0.48128342245989303</v>
      </c>
      <c r="V25" s="36">
        <f t="shared" si="54"/>
        <v>0.56067271231779481</v>
      </c>
      <c r="W25" s="68">
        <v>6522</v>
      </c>
      <c r="X25" s="68">
        <f>228000-113200</f>
        <v>114800</v>
      </c>
      <c r="Y25" s="74">
        <v>5166</v>
      </c>
      <c r="Z25" s="74">
        <v>87369.419999999984</v>
      </c>
      <c r="AA25" s="36">
        <f t="shared" ref="AA25" si="62">Y25/W25</f>
        <v>0.79208831646734135</v>
      </c>
      <c r="AB25" s="36">
        <f t="shared" ref="AB25" si="63">Z25/X25</f>
        <v>0.76105766550522636</v>
      </c>
      <c r="AC25" s="68">
        <f>31600-2830-16000</f>
        <v>12770</v>
      </c>
      <c r="AD25" s="74">
        <v>10769.960000000001</v>
      </c>
      <c r="AE25" s="36">
        <f t="shared" si="30"/>
        <v>0.84337979639780747</v>
      </c>
      <c r="AF25" s="68">
        <f t="shared" si="59"/>
        <v>154164.16</v>
      </c>
      <c r="AG25" s="68">
        <f t="shared" si="60"/>
        <v>113719.93</v>
      </c>
      <c r="AH25" s="36">
        <f t="shared" si="61"/>
        <v>0.73765478305722931</v>
      </c>
    </row>
    <row r="26" spans="1:34" s="37" customFormat="1" ht="46.8" x14ac:dyDescent="0.3">
      <c r="A26" s="31"/>
      <c r="B26" s="32"/>
      <c r="C26" s="31"/>
      <c r="D26" s="34" t="s">
        <v>86</v>
      </c>
      <c r="E26" s="68">
        <f>200-90</f>
        <v>110</v>
      </c>
      <c r="F26" s="68">
        <f>1248900-166000-181800-181800-45000-45000-27500</f>
        <v>601800</v>
      </c>
      <c r="G26" s="74">
        <v>110</v>
      </c>
      <c r="H26" s="74">
        <v>601800</v>
      </c>
      <c r="I26" s="36">
        <f t="shared" si="47"/>
        <v>1</v>
      </c>
      <c r="J26" s="36">
        <f t="shared" si="48"/>
        <v>1</v>
      </c>
      <c r="K26" s="68">
        <v>1101.0050251256282</v>
      </c>
      <c r="L26" s="68">
        <f>161322-115311</f>
        <v>46011</v>
      </c>
      <c r="M26" s="82">
        <v>1101.0050251256282</v>
      </c>
      <c r="N26" s="82">
        <v>46011</v>
      </c>
      <c r="O26" s="36">
        <f t="shared" si="50"/>
        <v>1</v>
      </c>
      <c r="P26" s="36">
        <f t="shared" si="51"/>
        <v>1</v>
      </c>
      <c r="Q26" s="68">
        <v>40305</v>
      </c>
      <c r="R26" s="68">
        <f>428400-93234.88-3154</f>
        <v>332011.12</v>
      </c>
      <c r="S26" s="74">
        <v>9760</v>
      </c>
      <c r="T26" s="81">
        <v>98405.859999999986</v>
      </c>
      <c r="U26" s="36">
        <f t="shared" si="53"/>
        <v>0.24215357896042675</v>
      </c>
      <c r="V26" s="36">
        <f t="shared" si="54"/>
        <v>0.29639326538219557</v>
      </c>
      <c r="W26" s="68"/>
      <c r="X26" s="78"/>
      <c r="Y26" s="74"/>
      <c r="Z26" s="74"/>
      <c r="AA26" s="36"/>
      <c r="AB26" s="36"/>
      <c r="AC26" s="78">
        <f>33700-15840</f>
        <v>17860</v>
      </c>
      <c r="AD26" s="74">
        <v>15869.29</v>
      </c>
      <c r="AE26" s="36">
        <f t="shared" si="30"/>
        <v>0.88853807390817474</v>
      </c>
      <c r="AF26" s="68">
        <f t="shared" si="59"/>
        <v>997682.12</v>
      </c>
      <c r="AG26" s="68">
        <f t="shared" si="60"/>
        <v>762086.15</v>
      </c>
      <c r="AH26" s="36">
        <f t="shared" si="61"/>
        <v>0.76385667811707403</v>
      </c>
    </row>
    <row r="27" spans="1:34" s="37" customFormat="1" ht="46.8" x14ac:dyDescent="0.3">
      <c r="A27" s="32"/>
      <c r="B27" s="32"/>
      <c r="C27" s="31"/>
      <c r="D27" s="28" t="s">
        <v>109</v>
      </c>
      <c r="E27" s="68">
        <f>160-20-44</f>
        <v>96</v>
      </c>
      <c r="F27" s="68">
        <f>1111500-148000-181800-45000-45000-117200</f>
        <v>574500</v>
      </c>
      <c r="G27" s="74">
        <v>96</v>
      </c>
      <c r="H27" s="74">
        <v>574500</v>
      </c>
      <c r="I27" s="36">
        <f t="shared" si="47"/>
        <v>1</v>
      </c>
      <c r="J27" s="36">
        <f t="shared" si="48"/>
        <v>1</v>
      </c>
      <c r="K27" s="68">
        <v>727.0160325436708</v>
      </c>
      <c r="L27" s="68">
        <f>122850-92468</f>
        <v>30382</v>
      </c>
      <c r="M27" s="82">
        <v>727.0160325436708</v>
      </c>
      <c r="N27" s="82">
        <v>30382</v>
      </c>
      <c r="O27" s="36">
        <f t="shared" si="50"/>
        <v>1</v>
      </c>
      <c r="P27" s="36">
        <f t="shared" si="51"/>
        <v>1</v>
      </c>
      <c r="Q27" s="68">
        <v>38778</v>
      </c>
      <c r="R27" s="68">
        <f>612300-297329.46-3154</f>
        <v>311816.53999999998</v>
      </c>
      <c r="S27" s="74">
        <v>16852</v>
      </c>
      <c r="T27" s="81">
        <v>156276.26999999999</v>
      </c>
      <c r="U27" s="36">
        <f t="shared" si="53"/>
        <v>0.43457630615297332</v>
      </c>
      <c r="V27" s="36">
        <f t="shared" si="54"/>
        <v>0.50118018114112872</v>
      </c>
      <c r="W27" s="68"/>
      <c r="X27" s="78"/>
      <c r="Y27" s="74"/>
      <c r="Z27" s="74"/>
      <c r="AA27" s="36"/>
      <c r="AB27" s="36"/>
      <c r="AC27" s="78">
        <f>49900-19620</f>
        <v>30280</v>
      </c>
      <c r="AD27" s="74">
        <v>30270.899999999998</v>
      </c>
      <c r="AE27" s="36">
        <f t="shared" si="30"/>
        <v>0.99969947159841477</v>
      </c>
      <c r="AF27" s="68">
        <f t="shared" si="59"/>
        <v>946978.54</v>
      </c>
      <c r="AG27" s="68">
        <f t="shared" si="60"/>
        <v>791429.17</v>
      </c>
      <c r="AH27" s="36">
        <f t="shared" si="61"/>
        <v>0.83574139916623669</v>
      </c>
    </row>
    <row r="28" spans="1:34" s="37" customFormat="1" ht="46.8" x14ac:dyDescent="0.3">
      <c r="A28" s="32"/>
      <c r="B28" s="32"/>
      <c r="C28" s="31"/>
      <c r="D28" s="28" t="s">
        <v>87</v>
      </c>
      <c r="E28" s="68">
        <f>190-64</f>
        <v>126</v>
      </c>
      <c r="F28" s="68">
        <f>1454200-193500-181800-45000-45000-170000</f>
        <v>818900</v>
      </c>
      <c r="G28" s="74">
        <v>126</v>
      </c>
      <c r="H28" s="74">
        <v>818900</v>
      </c>
      <c r="I28" s="36">
        <f t="shared" ref="I28" si="64">G28/E28</f>
        <v>1</v>
      </c>
      <c r="J28" s="36">
        <f t="shared" ref="J28" si="65">H28/F28</f>
        <v>1</v>
      </c>
      <c r="K28" s="68">
        <v>525.05384063173005</v>
      </c>
      <c r="L28" s="68">
        <f>186312-164370</f>
        <v>21942</v>
      </c>
      <c r="M28" s="82">
        <v>525.05384063173005</v>
      </c>
      <c r="N28" s="82">
        <v>21942</v>
      </c>
      <c r="O28" s="36">
        <f t="shared" si="50"/>
        <v>1</v>
      </c>
      <c r="P28" s="36">
        <f t="shared" si="51"/>
        <v>1</v>
      </c>
      <c r="Q28" s="68">
        <v>30432</v>
      </c>
      <c r="R28" s="68">
        <f>523400-278648.63-3154</f>
        <v>241597.37</v>
      </c>
      <c r="S28" s="74">
        <v>13530</v>
      </c>
      <c r="T28" s="81">
        <v>127034.04999999999</v>
      </c>
      <c r="U28" s="36">
        <f t="shared" si="53"/>
        <v>0.44459779179810727</v>
      </c>
      <c r="V28" s="36">
        <f t="shared" si="54"/>
        <v>0.52580891091653847</v>
      </c>
      <c r="W28" s="68"/>
      <c r="X28" s="78"/>
      <c r="Y28" s="74"/>
      <c r="Z28" s="74"/>
      <c r="AA28" s="36"/>
      <c r="AB28" s="36"/>
      <c r="AC28" s="78">
        <f>52500-21320</f>
        <v>31180</v>
      </c>
      <c r="AD28" s="74">
        <v>29137.680000000004</v>
      </c>
      <c r="AE28" s="36">
        <f t="shared" si="30"/>
        <v>0.9344990378447724</v>
      </c>
      <c r="AF28" s="68">
        <f t="shared" si="59"/>
        <v>1113619.3700000001</v>
      </c>
      <c r="AG28" s="68">
        <f t="shared" si="60"/>
        <v>997013.7300000001</v>
      </c>
      <c r="AH28" s="36">
        <f t="shared" si="61"/>
        <v>0.8952912968818062</v>
      </c>
    </row>
    <row r="29" spans="1:34" s="37" customFormat="1" ht="46.8" x14ac:dyDescent="0.3">
      <c r="A29" s="31"/>
      <c r="B29" s="32"/>
      <c r="C29" s="31"/>
      <c r="D29" s="28" t="s">
        <v>88</v>
      </c>
      <c r="E29" s="68">
        <f>200-46</f>
        <v>154</v>
      </c>
      <c r="F29" s="68">
        <f>1244900-165800-20800-299500</f>
        <v>758800</v>
      </c>
      <c r="G29" s="74">
        <v>154</v>
      </c>
      <c r="H29" s="74">
        <v>758800</v>
      </c>
      <c r="I29" s="36">
        <f t="shared" ref="I29:I31" si="66">G29/E29</f>
        <v>1</v>
      </c>
      <c r="J29" s="36">
        <f t="shared" ref="J29:J31" si="67">H29/F29</f>
        <v>1</v>
      </c>
      <c r="K29" s="68">
        <v>1609.0212969609954</v>
      </c>
      <c r="L29" s="68">
        <f>59430+7811</f>
        <v>67241</v>
      </c>
      <c r="M29" s="82">
        <v>1609.0212969609954</v>
      </c>
      <c r="N29" s="82">
        <v>67241</v>
      </c>
      <c r="O29" s="36">
        <f t="shared" si="50"/>
        <v>1</v>
      </c>
      <c r="P29" s="36">
        <f t="shared" si="51"/>
        <v>1</v>
      </c>
      <c r="Q29" s="68">
        <v>33875</v>
      </c>
      <c r="R29" s="68">
        <f>455700-165690.52</f>
        <v>290009.48</v>
      </c>
      <c r="S29" s="74">
        <v>30242.2</v>
      </c>
      <c r="T29" s="81">
        <v>279467.24000000005</v>
      </c>
      <c r="U29" s="36">
        <f t="shared" si="53"/>
        <v>0.89275867158671585</v>
      </c>
      <c r="V29" s="36">
        <f t="shared" si="54"/>
        <v>0.96364863658939726</v>
      </c>
      <c r="W29" s="68"/>
      <c r="X29" s="78"/>
      <c r="Y29" s="74"/>
      <c r="Z29" s="74"/>
      <c r="AA29" s="36"/>
      <c r="AB29" s="36"/>
      <c r="AC29" s="78">
        <f>28100-12130</f>
        <v>15970</v>
      </c>
      <c r="AD29" s="74">
        <v>15961.020000000002</v>
      </c>
      <c r="AE29" s="36">
        <f t="shared" si="30"/>
        <v>0.999437695679399</v>
      </c>
      <c r="AF29" s="68">
        <f t="shared" si="59"/>
        <v>1132020.48</v>
      </c>
      <c r="AG29" s="68">
        <f t="shared" si="60"/>
        <v>1121469.26</v>
      </c>
      <c r="AH29" s="36">
        <f t="shared" si="61"/>
        <v>0.99067930290448458</v>
      </c>
    </row>
    <row r="30" spans="1:34" s="37" customFormat="1" ht="46.8" x14ac:dyDescent="0.3">
      <c r="A30" s="32"/>
      <c r="B30" s="32"/>
      <c r="C30" s="31"/>
      <c r="D30" s="28" t="s">
        <v>110</v>
      </c>
      <c r="E30" s="68">
        <f>206.992+40-36</f>
        <v>210.99199999999999</v>
      </c>
      <c r="F30" s="68">
        <f>1328500-176800+45000+45000-313200</f>
        <v>928500</v>
      </c>
      <c r="G30" s="74">
        <v>210.99199999999999</v>
      </c>
      <c r="H30" s="74">
        <v>928500</v>
      </c>
      <c r="I30" s="36">
        <f t="shared" si="66"/>
        <v>1</v>
      </c>
      <c r="J30" s="36">
        <f t="shared" si="67"/>
        <v>1</v>
      </c>
      <c r="K30" s="68">
        <v>1099.1170136396267</v>
      </c>
      <c r="L30" s="68">
        <f>119700-73350-417.9</f>
        <v>45932.1</v>
      </c>
      <c r="M30" s="82">
        <v>1099.1170136396267</v>
      </c>
      <c r="N30" s="82">
        <v>45932.1</v>
      </c>
      <c r="O30" s="36">
        <f t="shared" si="50"/>
        <v>1</v>
      </c>
      <c r="P30" s="36">
        <f t="shared" si="51"/>
        <v>1</v>
      </c>
      <c r="Q30" s="68">
        <v>54518</v>
      </c>
      <c r="R30" s="68">
        <f>573300-121797.95</f>
        <v>451502.05</v>
      </c>
      <c r="S30" s="74">
        <v>47207</v>
      </c>
      <c r="T30" s="81">
        <v>409905.63</v>
      </c>
      <c r="U30" s="36">
        <f t="shared" si="53"/>
        <v>0.86589750174254376</v>
      </c>
      <c r="V30" s="36">
        <f t="shared" si="54"/>
        <v>0.90787102738514702</v>
      </c>
      <c r="W30" s="78"/>
      <c r="X30" s="78"/>
      <c r="Y30" s="74"/>
      <c r="Z30" s="74"/>
      <c r="AA30" s="36"/>
      <c r="AB30" s="36"/>
      <c r="AC30" s="78">
        <f>38700-14820</f>
        <v>23880</v>
      </c>
      <c r="AD30" s="74">
        <v>19905.41</v>
      </c>
      <c r="AE30" s="36">
        <f t="shared" si="30"/>
        <v>0.83355988274706871</v>
      </c>
      <c r="AF30" s="68">
        <f t="shared" si="59"/>
        <v>1449814.15</v>
      </c>
      <c r="AG30" s="68">
        <f t="shared" si="60"/>
        <v>1404243.14</v>
      </c>
      <c r="AH30" s="36">
        <f t="shared" si="61"/>
        <v>0.9685676884861415</v>
      </c>
    </row>
    <row r="31" spans="1:34" s="37" customFormat="1" ht="46.8" x14ac:dyDescent="0.3">
      <c r="A31" s="32"/>
      <c r="B31" s="32"/>
      <c r="C31" s="31"/>
      <c r="D31" s="33" t="s">
        <v>89</v>
      </c>
      <c r="E31" s="68">
        <f>80-12</f>
        <v>68</v>
      </c>
      <c r="F31" s="68">
        <f>450900-60000-93800</f>
        <v>297100</v>
      </c>
      <c r="G31" s="74">
        <v>68</v>
      </c>
      <c r="H31" s="77">
        <v>297100</v>
      </c>
      <c r="I31" s="36">
        <f t="shared" si="66"/>
        <v>1</v>
      </c>
      <c r="J31" s="36">
        <f t="shared" si="67"/>
        <v>1</v>
      </c>
      <c r="K31" s="68">
        <v>338.02345058626469</v>
      </c>
      <c r="L31" s="68">
        <f>27132-13006</f>
        <v>14126</v>
      </c>
      <c r="M31" s="82">
        <v>338.02345058626469</v>
      </c>
      <c r="N31" s="82">
        <v>14126</v>
      </c>
      <c r="O31" s="36">
        <f t="shared" ref="O31" si="68">M31/K31</f>
        <v>1</v>
      </c>
      <c r="P31" s="36">
        <f t="shared" ref="P31" si="69">N31/L31</f>
        <v>1</v>
      </c>
      <c r="Q31" s="68">
        <v>18186</v>
      </c>
      <c r="R31" s="68">
        <f>226800-85681.3-3154</f>
        <v>137964.70000000001</v>
      </c>
      <c r="S31" s="74">
        <v>11591.600000000004</v>
      </c>
      <c r="T31" s="81">
        <v>113857.98</v>
      </c>
      <c r="U31" s="36">
        <f t="shared" si="53"/>
        <v>0.63739139997800531</v>
      </c>
      <c r="V31" s="36">
        <f t="shared" si="54"/>
        <v>0.82526892748652358</v>
      </c>
      <c r="W31" s="78"/>
      <c r="X31" s="78"/>
      <c r="Y31" s="74"/>
      <c r="Z31" s="74"/>
      <c r="AA31" s="36"/>
      <c r="AB31" s="36"/>
      <c r="AC31" s="78">
        <f>18200-6670</f>
        <v>11530</v>
      </c>
      <c r="AD31" s="74">
        <v>11525.519999999999</v>
      </c>
      <c r="AE31" s="36">
        <f t="shared" si="30"/>
        <v>0.99961144839548988</v>
      </c>
      <c r="AF31" s="68">
        <f t="shared" si="59"/>
        <v>460720.7</v>
      </c>
      <c r="AG31" s="68">
        <f t="shared" si="60"/>
        <v>436609.5</v>
      </c>
      <c r="AH31" s="36">
        <f t="shared" si="61"/>
        <v>0.94766634101745373</v>
      </c>
    </row>
    <row r="32" spans="1:34" ht="46.8" x14ac:dyDescent="0.3">
      <c r="A32" s="12" t="s">
        <v>38</v>
      </c>
      <c r="B32" s="10">
        <v>1021</v>
      </c>
      <c r="C32" s="12" t="s">
        <v>6</v>
      </c>
      <c r="D32" s="30" t="s">
        <v>111</v>
      </c>
      <c r="E32" s="77">
        <f t="shared" ref="E32:F32" si="70">SUM(E33:E42)</f>
        <v>2090.4</v>
      </c>
      <c r="F32" s="77">
        <f t="shared" si="70"/>
        <v>10194300</v>
      </c>
      <c r="G32" s="77">
        <v>2061.1362604786436</v>
      </c>
      <c r="H32" s="77">
        <v>10101620.040000001</v>
      </c>
      <c r="I32" s="38">
        <f t="shared" ref="I32:I52" si="71">G32/E32</f>
        <v>0.98600089001083213</v>
      </c>
      <c r="J32" s="38">
        <f t="shared" ref="J32:J52" si="72">H32/F32</f>
        <v>0.99090864895088437</v>
      </c>
      <c r="K32" s="77">
        <f t="shared" ref="K32:L32" si="73">SUM(K33:K42)</f>
        <v>10816.503474917497</v>
      </c>
      <c r="L32" s="77">
        <f t="shared" si="73"/>
        <v>447300</v>
      </c>
      <c r="M32" s="82">
        <v>7061.2858621679843</v>
      </c>
      <c r="N32" s="82">
        <v>294243.77</v>
      </c>
      <c r="O32" s="38">
        <f t="shared" ref="O32:O52" si="74">M32/K32</f>
        <v>0.65282518316038762</v>
      </c>
      <c r="P32" s="38">
        <f t="shared" ref="P32:P52" si="75">N32/L32</f>
        <v>0.65782197630225803</v>
      </c>
      <c r="Q32" s="77">
        <f t="shared" ref="Q32:R32" si="76">SUM(Q33:Q42)</f>
        <v>441628</v>
      </c>
      <c r="R32" s="77">
        <f t="shared" si="76"/>
        <v>3567700</v>
      </c>
      <c r="S32" s="77">
        <v>420611.79999999987</v>
      </c>
      <c r="T32" s="77">
        <v>3171209.5000000005</v>
      </c>
      <c r="U32" s="38">
        <f t="shared" si="53"/>
        <v>0.95241198474734368</v>
      </c>
      <c r="V32" s="38">
        <f t="shared" si="54"/>
        <v>0.88886663676878674</v>
      </c>
      <c r="W32" s="77">
        <f t="shared" ref="W32:X32" si="77">SUM(W33:W42)</f>
        <v>43104</v>
      </c>
      <c r="X32" s="77">
        <f t="shared" si="77"/>
        <v>766700</v>
      </c>
      <c r="Y32" s="74">
        <v>35415.360000000001</v>
      </c>
      <c r="Z32" s="74">
        <v>565523.11</v>
      </c>
      <c r="AA32" s="38">
        <f t="shared" ref="AA32" si="78">Y32/W32</f>
        <v>0.82162583518930954</v>
      </c>
      <c r="AB32" s="38">
        <f t="shared" ref="AB32" si="79">Z32/X32</f>
        <v>0.7376067692709013</v>
      </c>
      <c r="AC32" s="78">
        <f t="shared" ref="AC32" si="80">SUM(AC33:AC42)</f>
        <v>271400</v>
      </c>
      <c r="AD32" s="78">
        <v>255989.09999999998</v>
      </c>
      <c r="AE32" s="38">
        <f t="shared" si="30"/>
        <v>0.94321702284450981</v>
      </c>
      <c r="AF32" s="74">
        <f t="shared" si="59"/>
        <v>15247400</v>
      </c>
      <c r="AG32" s="74">
        <f t="shared" si="60"/>
        <v>14388585.52</v>
      </c>
      <c r="AH32" s="38">
        <f t="shared" si="61"/>
        <v>0.94367469339034848</v>
      </c>
    </row>
    <row r="33" spans="1:34" s="37" customFormat="1" ht="51" customHeight="1" x14ac:dyDescent="0.3">
      <c r="A33" s="31"/>
      <c r="B33" s="32"/>
      <c r="C33" s="31"/>
      <c r="D33" s="28" t="s">
        <v>73</v>
      </c>
      <c r="E33" s="78">
        <v>210</v>
      </c>
      <c r="F33" s="78">
        <v>1079360</v>
      </c>
      <c r="G33" s="74">
        <v>209.25335100000001</v>
      </c>
      <c r="H33" s="77">
        <v>1078076.31</v>
      </c>
      <c r="I33" s="36">
        <f t="shared" si="71"/>
        <v>0.99644452857142862</v>
      </c>
      <c r="J33" s="36">
        <f t="shared" si="72"/>
        <v>0.9988106933738512</v>
      </c>
      <c r="K33" s="68">
        <v>1204.8336922708781</v>
      </c>
      <c r="L33" s="68">
        <f>61614+14525-25789</f>
        <v>50350</v>
      </c>
      <c r="M33" s="82">
        <v>904.971</v>
      </c>
      <c r="N33" s="82">
        <v>33825.07</v>
      </c>
      <c r="O33" s="36">
        <f t="shared" si="74"/>
        <v>0.75111694319761668</v>
      </c>
      <c r="P33" s="36">
        <f t="shared" si="75"/>
        <v>0.67179880834160877</v>
      </c>
      <c r="Q33" s="68">
        <v>27448</v>
      </c>
      <c r="R33" s="68">
        <f>366000-144406.89-2713.74</f>
        <v>218879.37</v>
      </c>
      <c r="S33" s="74">
        <v>24528.33</v>
      </c>
      <c r="T33" s="74">
        <v>165262.22999999998</v>
      </c>
      <c r="U33" s="36">
        <f t="shared" si="53"/>
        <v>0.89362904401049259</v>
      </c>
      <c r="V33" s="36">
        <f t="shared" si="54"/>
        <v>0.7550379462440886</v>
      </c>
      <c r="W33" s="78"/>
      <c r="X33" s="78"/>
      <c r="Y33" s="74"/>
      <c r="Z33" s="74"/>
      <c r="AA33" s="36"/>
      <c r="AB33" s="36"/>
      <c r="AC33" s="78">
        <f>29100-11120</f>
        <v>17980</v>
      </c>
      <c r="AD33" s="74">
        <v>15968.18</v>
      </c>
      <c r="AE33" s="36">
        <f t="shared" si="30"/>
        <v>0.88810789766407117</v>
      </c>
      <c r="AF33" s="68">
        <f t="shared" si="59"/>
        <v>1366569.37</v>
      </c>
      <c r="AG33" s="68">
        <f t="shared" si="60"/>
        <v>1293131.79</v>
      </c>
      <c r="AH33" s="36">
        <f t="shared" si="61"/>
        <v>0.94626135956786439</v>
      </c>
    </row>
    <row r="34" spans="1:34" s="37" customFormat="1" ht="31.2" x14ac:dyDescent="0.3">
      <c r="A34" s="31"/>
      <c r="B34" s="32"/>
      <c r="C34" s="31"/>
      <c r="D34" s="28" t="s">
        <v>66</v>
      </c>
      <c r="E34" s="78">
        <v>210</v>
      </c>
      <c r="F34" s="78">
        <v>1408260</v>
      </c>
      <c r="G34" s="74">
        <v>210</v>
      </c>
      <c r="H34" s="77">
        <v>1408260</v>
      </c>
      <c r="I34" s="36">
        <f t="shared" si="71"/>
        <v>1</v>
      </c>
      <c r="J34" s="36">
        <f t="shared" si="72"/>
        <v>1</v>
      </c>
      <c r="K34" s="68">
        <v>1040.0095716678632</v>
      </c>
      <c r="L34" s="68">
        <f>54726+14525-25789</f>
        <v>43462</v>
      </c>
      <c r="M34" s="82">
        <v>624.42399999999998</v>
      </c>
      <c r="N34" s="82">
        <v>27288.939999999995</v>
      </c>
      <c r="O34" s="36">
        <f t="shared" si="74"/>
        <v>0.60040216649026734</v>
      </c>
      <c r="P34" s="36">
        <f t="shared" si="75"/>
        <v>0.62788044728728531</v>
      </c>
      <c r="Q34" s="68">
        <v>43928</v>
      </c>
      <c r="R34" s="68">
        <f>347100+25050.13-2710</f>
        <v>369440.13</v>
      </c>
      <c r="S34" s="74">
        <v>39939.94</v>
      </c>
      <c r="T34" s="74">
        <v>305574.07999999996</v>
      </c>
      <c r="U34" s="36">
        <f t="shared" si="53"/>
        <v>0.90921371334911683</v>
      </c>
      <c r="V34" s="36">
        <f t="shared" si="54"/>
        <v>0.82712746988260299</v>
      </c>
      <c r="W34" s="78"/>
      <c r="X34" s="78"/>
      <c r="Y34" s="74"/>
      <c r="Z34" s="74"/>
      <c r="AA34" s="36"/>
      <c r="AB34" s="36"/>
      <c r="AC34" s="78">
        <f>42500-15850</f>
        <v>26650</v>
      </c>
      <c r="AD34" s="74">
        <v>26649.67</v>
      </c>
      <c r="AE34" s="36">
        <f t="shared" si="30"/>
        <v>0.99998761726078789</v>
      </c>
      <c r="AF34" s="68">
        <f t="shared" si="59"/>
        <v>1847812.13</v>
      </c>
      <c r="AG34" s="68">
        <f t="shared" si="60"/>
        <v>1767772.69</v>
      </c>
      <c r="AH34" s="36">
        <f t="shared" si="61"/>
        <v>0.95668421118114433</v>
      </c>
    </row>
    <row r="35" spans="1:34" s="37" customFormat="1" ht="31.2" x14ac:dyDescent="0.3">
      <c r="A35" s="31"/>
      <c r="B35" s="32"/>
      <c r="C35" s="31"/>
      <c r="D35" s="28" t="s">
        <v>67</v>
      </c>
      <c r="E35" s="78">
        <v>210</v>
      </c>
      <c r="F35" s="78">
        <v>1018740</v>
      </c>
      <c r="G35" s="74">
        <v>209.92933791016901</v>
      </c>
      <c r="H35" s="77">
        <v>1018167.1</v>
      </c>
      <c r="I35" s="36">
        <f t="shared" si="71"/>
        <v>0.99966351385794772</v>
      </c>
      <c r="J35" s="36">
        <f t="shared" si="72"/>
        <v>0.99943763865166768</v>
      </c>
      <c r="K35" s="68">
        <v>1040.0095716678632</v>
      </c>
      <c r="L35" s="68">
        <f>54726+14525-25789</f>
        <v>43462</v>
      </c>
      <c r="M35" s="82">
        <v>192.95499999999998</v>
      </c>
      <c r="N35" s="82">
        <v>9257.7999999999993</v>
      </c>
      <c r="O35" s="36">
        <f t="shared" si="74"/>
        <v>0.18553194629791539</v>
      </c>
      <c r="P35" s="36">
        <f t="shared" si="75"/>
        <v>0.21300906539045603</v>
      </c>
      <c r="Q35" s="68">
        <v>27183</v>
      </c>
      <c r="R35" s="68">
        <f>448000-220176.11-2710</f>
        <v>225113.89</v>
      </c>
      <c r="S35" s="74">
        <v>26342.640000000014</v>
      </c>
      <c r="T35" s="74">
        <v>193215.62</v>
      </c>
      <c r="U35" s="36">
        <f t="shared" si="53"/>
        <v>0.96908508994592257</v>
      </c>
      <c r="V35" s="36">
        <f t="shared" si="54"/>
        <v>0.85830163567428019</v>
      </c>
      <c r="W35" s="78"/>
      <c r="X35" s="78"/>
      <c r="Y35" s="74"/>
      <c r="Z35" s="74"/>
      <c r="AA35" s="36"/>
      <c r="AB35" s="36"/>
      <c r="AC35" s="78">
        <f>60200-21230</f>
        <v>38970</v>
      </c>
      <c r="AD35" s="74">
        <v>38928.480000000003</v>
      </c>
      <c r="AE35" s="36">
        <f t="shared" si="30"/>
        <v>0.99893456505003853</v>
      </c>
      <c r="AF35" s="68">
        <f t="shared" si="59"/>
        <v>1326285.8900000001</v>
      </c>
      <c r="AG35" s="68">
        <f t="shared" si="60"/>
        <v>1259569</v>
      </c>
      <c r="AH35" s="36">
        <f t="shared" si="61"/>
        <v>0.94969644893078053</v>
      </c>
    </row>
    <row r="36" spans="1:34" s="37" customFormat="1" ht="31.2" x14ac:dyDescent="0.3">
      <c r="A36" s="31"/>
      <c r="B36" s="32"/>
      <c r="C36" s="31"/>
      <c r="D36" s="28" t="s">
        <v>68</v>
      </c>
      <c r="E36" s="78">
        <v>300</v>
      </c>
      <c r="F36" s="78">
        <v>1549560</v>
      </c>
      <c r="G36" s="74">
        <v>299.99964499999999</v>
      </c>
      <c r="H36" s="77">
        <v>1549508.91</v>
      </c>
      <c r="I36" s="36">
        <f t="shared" si="71"/>
        <v>0.99999881666666657</v>
      </c>
      <c r="J36" s="36">
        <f t="shared" si="72"/>
        <v>0.99996702935026716</v>
      </c>
      <c r="K36" s="68">
        <v>1160.6125867432399</v>
      </c>
      <c r="L36" s="68">
        <f>59766+14525-25789</f>
        <v>48502</v>
      </c>
      <c r="M36" s="82">
        <v>1040.2450000000001</v>
      </c>
      <c r="N36" s="82">
        <v>39476.740000000005</v>
      </c>
      <c r="O36" s="36">
        <f t="shared" si="74"/>
        <v>0.89628960764504573</v>
      </c>
      <c r="P36" s="36">
        <f t="shared" si="75"/>
        <v>0.81391983835718129</v>
      </c>
      <c r="Q36" s="68">
        <v>45104</v>
      </c>
      <c r="R36" s="68">
        <f>438800-67369.24-2710</f>
        <v>368720.76</v>
      </c>
      <c r="S36" s="74">
        <v>42145.079999999994</v>
      </c>
      <c r="T36" s="74">
        <v>290575.88</v>
      </c>
      <c r="U36" s="36">
        <f t="shared" si="53"/>
        <v>0.93439783611209637</v>
      </c>
      <c r="V36" s="36">
        <f t="shared" si="54"/>
        <v>0.78806487597823349</v>
      </c>
      <c r="W36" s="78"/>
      <c r="X36" s="78"/>
      <c r="Y36" s="74"/>
      <c r="Z36" s="74"/>
      <c r="AA36" s="36"/>
      <c r="AB36" s="36"/>
      <c r="AC36" s="68">
        <f>31200-12100</f>
        <v>19100</v>
      </c>
      <c r="AD36" s="74">
        <v>19030.950000000004</v>
      </c>
      <c r="AE36" s="36">
        <f t="shared" si="30"/>
        <v>0.99638481675392698</v>
      </c>
      <c r="AF36" s="68">
        <f t="shared" si="59"/>
        <v>1985882.76</v>
      </c>
      <c r="AG36" s="68">
        <f t="shared" si="60"/>
        <v>1898592.4799999997</v>
      </c>
      <c r="AH36" s="36">
        <f t="shared" si="61"/>
        <v>0.95604459550270715</v>
      </c>
    </row>
    <row r="37" spans="1:34" s="37" customFormat="1" ht="31.2" x14ac:dyDescent="0.3">
      <c r="A37" s="31"/>
      <c r="B37" s="32"/>
      <c r="C37" s="31"/>
      <c r="D37" s="28" t="s">
        <v>69</v>
      </c>
      <c r="E37" s="78">
        <v>320</v>
      </c>
      <c r="F37" s="78">
        <v>1899660</v>
      </c>
      <c r="G37" s="74">
        <v>291.55392656847488</v>
      </c>
      <c r="H37" s="77">
        <v>1808887.7200000002</v>
      </c>
      <c r="I37" s="36">
        <f t="shared" si="71"/>
        <v>0.91110602052648404</v>
      </c>
      <c r="J37" s="36">
        <f t="shared" si="72"/>
        <v>0.95221656506953889</v>
      </c>
      <c r="K37" s="68">
        <v>2162.6226369944961</v>
      </c>
      <c r="L37" s="68">
        <f>101640+14525-25789</f>
        <v>90376</v>
      </c>
      <c r="M37" s="82">
        <v>1465.3470000000002</v>
      </c>
      <c r="N37" s="82">
        <v>62431.12</v>
      </c>
      <c r="O37" s="36">
        <f t="shared" si="74"/>
        <v>0.67757868383199094</v>
      </c>
      <c r="P37" s="36">
        <f t="shared" si="75"/>
        <v>0.69079313091971317</v>
      </c>
      <c r="Q37" s="68">
        <v>98292</v>
      </c>
      <c r="R37" s="68">
        <f>1023900+50000-277359.35-2710</f>
        <v>793830.65</v>
      </c>
      <c r="S37" s="74">
        <v>98292</v>
      </c>
      <c r="T37" s="74">
        <v>793830.65</v>
      </c>
      <c r="U37" s="36">
        <f t="shared" si="53"/>
        <v>1</v>
      </c>
      <c r="V37" s="36">
        <f t="shared" si="54"/>
        <v>1</v>
      </c>
      <c r="W37" s="78"/>
      <c r="X37" s="78"/>
      <c r="Y37" s="74"/>
      <c r="Z37" s="74"/>
      <c r="AA37" s="36"/>
      <c r="AB37" s="36"/>
      <c r="AC37" s="68">
        <f>78800-29100</f>
        <v>49700</v>
      </c>
      <c r="AD37" s="74">
        <v>49618.32</v>
      </c>
      <c r="AE37" s="36">
        <f t="shared" si="30"/>
        <v>0.99835653923541245</v>
      </c>
      <c r="AF37" s="68">
        <f t="shared" si="59"/>
        <v>2833566.65</v>
      </c>
      <c r="AG37" s="68">
        <f t="shared" si="60"/>
        <v>2714767.81</v>
      </c>
      <c r="AH37" s="36">
        <f t="shared" si="61"/>
        <v>0.95807445009278325</v>
      </c>
    </row>
    <row r="38" spans="1:34" s="37" customFormat="1" ht="31.2" x14ac:dyDescent="0.3">
      <c r="A38" s="31"/>
      <c r="B38" s="32"/>
      <c r="C38" s="31"/>
      <c r="D38" s="28" t="s">
        <v>74</v>
      </c>
      <c r="E38" s="78">
        <v>500</v>
      </c>
      <c r="F38" s="78">
        <v>1797800</v>
      </c>
      <c r="G38" s="74">
        <v>500</v>
      </c>
      <c r="H38" s="77">
        <v>1797800</v>
      </c>
      <c r="I38" s="36">
        <f t="shared" si="71"/>
        <v>1</v>
      </c>
      <c r="J38" s="36">
        <f t="shared" si="72"/>
        <v>1</v>
      </c>
      <c r="K38" s="68">
        <v>1455.1567360612587</v>
      </c>
      <c r="L38" s="68">
        <f>87864+14525-41578</f>
        <v>60811</v>
      </c>
      <c r="M38" s="82">
        <v>953.42400000000009</v>
      </c>
      <c r="N38" s="82">
        <v>41037.850000000006</v>
      </c>
      <c r="O38" s="36">
        <f t="shared" si="74"/>
        <v>0.65520364670865472</v>
      </c>
      <c r="P38" s="36">
        <f t="shared" si="75"/>
        <v>0.67484254493430473</v>
      </c>
      <c r="Q38" s="68">
        <v>55601</v>
      </c>
      <c r="R38" s="68">
        <f>635900-167114.73-2710</f>
        <v>466075.27</v>
      </c>
      <c r="S38" s="74">
        <v>50083.979999999996</v>
      </c>
      <c r="T38" s="74">
        <v>349683.16000000003</v>
      </c>
      <c r="U38" s="36">
        <f t="shared" si="53"/>
        <v>0.90077480620852135</v>
      </c>
      <c r="V38" s="36">
        <f t="shared" si="54"/>
        <v>0.75027186059453443</v>
      </c>
      <c r="W38" s="78"/>
      <c r="X38" s="78"/>
      <c r="Y38" s="74"/>
      <c r="Z38" s="74"/>
      <c r="AA38" s="36"/>
      <c r="AB38" s="36"/>
      <c r="AC38" s="68">
        <f>58600-21400</f>
        <v>37200</v>
      </c>
      <c r="AD38" s="74">
        <v>35180.560000000005</v>
      </c>
      <c r="AE38" s="36">
        <f t="shared" si="30"/>
        <v>0.9457139784946238</v>
      </c>
      <c r="AF38" s="68">
        <f t="shared" si="59"/>
        <v>2361886.27</v>
      </c>
      <c r="AG38" s="68">
        <f t="shared" si="60"/>
        <v>2223701.5700000003</v>
      </c>
      <c r="AH38" s="36">
        <f t="shared" si="61"/>
        <v>0.9414939229906274</v>
      </c>
    </row>
    <row r="39" spans="1:34" s="37" customFormat="1" ht="46.8" x14ac:dyDescent="0.3">
      <c r="A39" s="31"/>
      <c r="B39" s="32"/>
      <c r="C39" s="31"/>
      <c r="D39" s="28" t="s">
        <v>90</v>
      </c>
      <c r="E39" s="78">
        <v>95</v>
      </c>
      <c r="F39" s="78">
        <v>628760</v>
      </c>
      <c r="G39" s="74">
        <v>95</v>
      </c>
      <c r="H39" s="77">
        <v>628760</v>
      </c>
      <c r="I39" s="36">
        <f t="shared" si="71"/>
        <v>1</v>
      </c>
      <c r="J39" s="36">
        <f t="shared" si="72"/>
        <v>1</v>
      </c>
      <c r="K39" s="68">
        <v>638.9327590332615</v>
      </c>
      <c r="L39" s="68">
        <f>22176+14525-10000</f>
        <v>26701</v>
      </c>
      <c r="M39" s="82">
        <v>296.98</v>
      </c>
      <c r="N39" s="82">
        <v>13605.020000000002</v>
      </c>
      <c r="O39" s="36">
        <f t="shared" si="74"/>
        <v>0.464806344331673</v>
      </c>
      <c r="P39" s="36">
        <f t="shared" si="75"/>
        <v>0.50953222725740621</v>
      </c>
      <c r="Q39" s="68">
        <v>22932</v>
      </c>
      <c r="R39" s="68">
        <f>205200-25797.78-2710</f>
        <v>176692.22</v>
      </c>
      <c r="S39" s="74">
        <v>22295</v>
      </c>
      <c r="T39" s="74">
        <v>143257.53999999998</v>
      </c>
      <c r="U39" s="36">
        <f t="shared" si="53"/>
        <v>0.97222222222222221</v>
      </c>
      <c r="V39" s="36">
        <f t="shared" si="54"/>
        <v>0.81077446420674315</v>
      </c>
      <c r="W39" s="78"/>
      <c r="X39" s="78"/>
      <c r="Y39" s="74"/>
      <c r="Z39" s="74"/>
      <c r="AA39" s="36"/>
      <c r="AB39" s="36"/>
      <c r="AC39" s="68">
        <f>19800-7400</f>
        <v>12400</v>
      </c>
      <c r="AD39" s="74">
        <v>10365.49</v>
      </c>
      <c r="AE39" s="36">
        <f t="shared" si="30"/>
        <v>0.83592661290322579</v>
      </c>
      <c r="AF39" s="68">
        <f t="shared" si="59"/>
        <v>844553.22</v>
      </c>
      <c r="AG39" s="68">
        <f t="shared" si="60"/>
        <v>795988.05</v>
      </c>
      <c r="AH39" s="36">
        <f t="shared" si="61"/>
        <v>0.94249602174271507</v>
      </c>
    </row>
    <row r="40" spans="1:34" s="37" customFormat="1" ht="46.8" x14ac:dyDescent="0.3">
      <c r="A40" s="31"/>
      <c r="B40" s="32"/>
      <c r="C40" s="31"/>
      <c r="D40" s="28" t="s">
        <v>70</v>
      </c>
      <c r="E40" s="78"/>
      <c r="F40" s="78"/>
      <c r="G40" s="74">
        <v>0</v>
      </c>
      <c r="H40" s="77">
        <v>0</v>
      </c>
      <c r="I40" s="36"/>
      <c r="J40" s="36"/>
      <c r="K40" s="68">
        <v>1036.9944962909788</v>
      </c>
      <c r="L40" s="68">
        <f>54600+14525-25789</f>
        <v>43336</v>
      </c>
      <c r="M40" s="82">
        <v>1005.8948621679828</v>
      </c>
      <c r="N40" s="82">
        <v>43230.55</v>
      </c>
      <c r="O40" s="36">
        <f t="shared" si="74"/>
        <v>0.97000983685619335</v>
      </c>
      <c r="P40" s="36">
        <f t="shared" si="75"/>
        <v>0.9975666882038029</v>
      </c>
      <c r="Q40" s="68">
        <v>51453</v>
      </c>
      <c r="R40" s="68">
        <f>539300-119843.84-2710</f>
        <v>416746.16000000003</v>
      </c>
      <c r="S40" s="74">
        <v>50001.23</v>
      </c>
      <c r="T40" s="74">
        <v>410750.45</v>
      </c>
      <c r="U40" s="36">
        <f t="shared" si="53"/>
        <v>0.9717845412318038</v>
      </c>
      <c r="V40" s="36">
        <f t="shared" si="54"/>
        <v>0.98561304080162371</v>
      </c>
      <c r="W40" s="68">
        <v>32220</v>
      </c>
      <c r="X40" s="68">
        <f>619700-46990</f>
        <v>572710</v>
      </c>
      <c r="Y40" s="74">
        <v>27278.84</v>
      </c>
      <c r="Z40" s="74">
        <v>439446.76999999996</v>
      </c>
      <c r="AA40" s="36">
        <f t="shared" ref="AA40" si="81">Y40/W40</f>
        <v>0.84664307883302292</v>
      </c>
      <c r="AB40" s="36">
        <f t="shared" ref="AB40" si="82">Z40/X40</f>
        <v>0.76731115224109925</v>
      </c>
      <c r="AC40" s="68">
        <f>52700-18500</f>
        <v>34200</v>
      </c>
      <c r="AD40" s="74">
        <v>32182.010000000006</v>
      </c>
      <c r="AE40" s="36">
        <f t="shared" si="30"/>
        <v>0.94099444444444458</v>
      </c>
      <c r="AF40" s="68">
        <f t="shared" si="59"/>
        <v>1066992.1600000001</v>
      </c>
      <c r="AG40" s="68">
        <f t="shared" si="60"/>
        <v>925609.78</v>
      </c>
      <c r="AH40" s="36">
        <f t="shared" si="61"/>
        <v>0.86749445281772253</v>
      </c>
    </row>
    <row r="41" spans="1:34" s="37" customFormat="1" ht="46.8" x14ac:dyDescent="0.3">
      <c r="A41" s="31"/>
      <c r="B41" s="32"/>
      <c r="C41" s="31"/>
      <c r="D41" s="28" t="s">
        <v>71</v>
      </c>
      <c r="E41" s="78">
        <v>245.4</v>
      </c>
      <c r="F41" s="78">
        <v>812160</v>
      </c>
      <c r="G41" s="74">
        <v>245.4</v>
      </c>
      <c r="H41" s="77">
        <v>812160</v>
      </c>
      <c r="I41" s="36">
        <f t="shared" si="71"/>
        <v>1</v>
      </c>
      <c r="J41" s="36">
        <f t="shared" si="72"/>
        <v>1</v>
      </c>
      <c r="K41" s="68">
        <v>837.04235463029431</v>
      </c>
      <c r="L41" s="68">
        <f>46242+14526-25788</f>
        <v>34980</v>
      </c>
      <c r="M41" s="82">
        <v>515.04499999999996</v>
      </c>
      <c r="N41" s="82">
        <v>22718.000000000004</v>
      </c>
      <c r="O41" s="36">
        <f t="shared" si="74"/>
        <v>0.61531533876500855</v>
      </c>
      <c r="P41" s="36">
        <f t="shared" si="75"/>
        <v>0.64945683247570052</v>
      </c>
      <c r="Q41" s="68">
        <v>60646</v>
      </c>
      <c r="R41" s="68">
        <f>760800-286163.1-2710</f>
        <v>471926.9</v>
      </c>
      <c r="S41" s="74">
        <v>60645.999999999905</v>
      </c>
      <c r="T41" s="74">
        <v>471926.9</v>
      </c>
      <c r="U41" s="36">
        <f t="shared" si="53"/>
        <v>0.99999999999999845</v>
      </c>
      <c r="V41" s="36">
        <f t="shared" si="54"/>
        <v>1</v>
      </c>
      <c r="W41" s="68"/>
      <c r="X41" s="68"/>
      <c r="Y41" s="79"/>
      <c r="Z41" s="74"/>
      <c r="AA41" s="36"/>
      <c r="AB41" s="36"/>
      <c r="AC41" s="68">
        <f>21200-7600</f>
        <v>13600</v>
      </c>
      <c r="AD41" s="74">
        <v>11525.52</v>
      </c>
      <c r="AE41" s="36">
        <f t="shared" si="30"/>
        <v>0.84746470588235301</v>
      </c>
      <c r="AF41" s="68">
        <f t="shared" si="59"/>
        <v>1332666.8999999999</v>
      </c>
      <c r="AG41" s="68">
        <f t="shared" si="60"/>
        <v>1318330.42</v>
      </c>
      <c r="AH41" s="36">
        <f t="shared" si="61"/>
        <v>0.989242263014111</v>
      </c>
    </row>
    <row r="42" spans="1:34" s="37" customFormat="1" ht="31.2" x14ac:dyDescent="0.3">
      <c r="A42" s="31"/>
      <c r="B42" s="32"/>
      <c r="C42" s="31"/>
      <c r="D42" s="33" t="s">
        <v>72</v>
      </c>
      <c r="E42" s="78"/>
      <c r="F42" s="78"/>
      <c r="G42" s="74">
        <v>0</v>
      </c>
      <c r="H42" s="77">
        <v>0</v>
      </c>
      <c r="I42" s="36"/>
      <c r="J42" s="36"/>
      <c r="K42" s="68">
        <v>240.28906955736224</v>
      </c>
      <c r="L42" s="68">
        <v>5320</v>
      </c>
      <c r="M42" s="82">
        <v>62</v>
      </c>
      <c r="N42" s="82">
        <v>1372.68</v>
      </c>
      <c r="O42" s="36">
        <f t="shared" si="74"/>
        <v>0.25802255639097743</v>
      </c>
      <c r="P42" s="36">
        <f t="shared" si="75"/>
        <v>0.25802255639097743</v>
      </c>
      <c r="Q42" s="68">
        <v>9041</v>
      </c>
      <c r="R42" s="68">
        <f>101000-38015.35-2710</f>
        <v>60274.65</v>
      </c>
      <c r="S42" s="74">
        <v>6337.5999999999995</v>
      </c>
      <c r="T42" s="74">
        <v>47132.990000000013</v>
      </c>
      <c r="U42" s="36">
        <f t="shared" si="53"/>
        <v>0.70098440438004639</v>
      </c>
      <c r="V42" s="36">
        <f t="shared" si="54"/>
        <v>0.78197036399215947</v>
      </c>
      <c r="W42" s="68">
        <v>10884</v>
      </c>
      <c r="X42" s="68">
        <f>254600-60610</f>
        <v>193990</v>
      </c>
      <c r="Y42" s="74">
        <v>8136.5199999999995</v>
      </c>
      <c r="Z42" s="74">
        <v>126076.34</v>
      </c>
      <c r="AA42" s="36">
        <f t="shared" ref="AA42" si="83">Y42/W42</f>
        <v>0.74756707092980512</v>
      </c>
      <c r="AB42" s="36">
        <f t="shared" ref="AB42" si="84">Z42/X42</f>
        <v>0.64991154183205313</v>
      </c>
      <c r="AC42" s="68">
        <f>39300-5700-12000</f>
        <v>21600</v>
      </c>
      <c r="AD42" s="74">
        <v>16539.919999999998</v>
      </c>
      <c r="AE42" s="36">
        <f t="shared" si="30"/>
        <v>0.76573703703703699</v>
      </c>
      <c r="AF42" s="68">
        <f t="shared" si="59"/>
        <v>281184.65000000002</v>
      </c>
      <c r="AG42" s="68">
        <f t="shared" si="60"/>
        <v>191121.93</v>
      </c>
      <c r="AH42" s="36">
        <f t="shared" si="61"/>
        <v>0.6797025726688849</v>
      </c>
    </row>
    <row r="43" spans="1:34" ht="31.2" x14ac:dyDescent="0.3">
      <c r="A43" s="12" t="s">
        <v>39</v>
      </c>
      <c r="B43" s="10">
        <v>1022</v>
      </c>
      <c r="C43" s="12" t="s">
        <v>8</v>
      </c>
      <c r="D43" s="29" t="s">
        <v>63</v>
      </c>
      <c r="E43" s="68">
        <f>169.4-64</f>
        <v>105.4</v>
      </c>
      <c r="F43" s="68">
        <f>584683+51617-190700</f>
        <v>445600</v>
      </c>
      <c r="G43" s="74">
        <v>105.4</v>
      </c>
      <c r="H43" s="74">
        <v>445600.00000000006</v>
      </c>
      <c r="I43" s="38">
        <f t="shared" si="71"/>
        <v>1</v>
      </c>
      <c r="J43" s="38">
        <f t="shared" si="72"/>
        <v>1.0000000000000002</v>
      </c>
      <c r="K43" s="74">
        <v>507.29839674563294</v>
      </c>
      <c r="L43" s="74">
        <f>68900-47700</f>
        <v>21200</v>
      </c>
      <c r="M43" s="82">
        <v>470.39999999999992</v>
      </c>
      <c r="N43" s="82">
        <v>19657.88</v>
      </c>
      <c r="O43" s="38">
        <f t="shared" si="74"/>
        <v>0.92726490566037723</v>
      </c>
      <c r="P43" s="38">
        <f t="shared" si="75"/>
        <v>0.92725849056603782</v>
      </c>
      <c r="Q43" s="74">
        <v>41921</v>
      </c>
      <c r="R43" s="74">
        <f>518400-167331.43</f>
        <v>351068.57</v>
      </c>
      <c r="S43" s="74">
        <v>17387.400000000005</v>
      </c>
      <c r="T43" s="74">
        <v>136688.07</v>
      </c>
      <c r="U43" s="38">
        <f t="shared" si="53"/>
        <v>0.41476586913480129</v>
      </c>
      <c r="V43" s="38">
        <f t="shared" si="54"/>
        <v>0.38934863921313151</v>
      </c>
      <c r="W43" s="74"/>
      <c r="X43" s="74"/>
      <c r="Y43" s="74"/>
      <c r="Z43" s="74"/>
      <c r="AA43" s="38"/>
      <c r="AB43" s="38"/>
      <c r="AC43" s="68">
        <f>18200-6600</f>
        <v>11600</v>
      </c>
      <c r="AD43" s="74">
        <v>11525.519999999999</v>
      </c>
      <c r="AE43" s="38">
        <f t="shared" si="30"/>
        <v>0.99357931034482749</v>
      </c>
      <c r="AF43" s="74">
        <f t="shared" si="59"/>
        <v>829468.57000000007</v>
      </c>
      <c r="AG43" s="74">
        <f t="shared" si="60"/>
        <v>613471.47000000009</v>
      </c>
      <c r="AH43" s="38">
        <f t="shared" si="61"/>
        <v>0.73959579927181573</v>
      </c>
    </row>
    <row r="44" spans="1:34" ht="46.8" x14ac:dyDescent="0.3">
      <c r="A44" s="12" t="s">
        <v>40</v>
      </c>
      <c r="B44" s="10">
        <v>1070</v>
      </c>
      <c r="C44" s="12" t="s">
        <v>9</v>
      </c>
      <c r="D44" s="30" t="s">
        <v>112</v>
      </c>
      <c r="E44" s="77">
        <f>SUM(E45:E46)</f>
        <v>38.42</v>
      </c>
      <c r="F44" s="77">
        <f t="shared" ref="F44" si="85">SUM(F45:F46)</f>
        <v>174600</v>
      </c>
      <c r="G44" s="74">
        <v>38.42</v>
      </c>
      <c r="H44" s="74">
        <v>174600.00000000006</v>
      </c>
      <c r="I44" s="38">
        <f t="shared" si="71"/>
        <v>1</v>
      </c>
      <c r="J44" s="38">
        <f t="shared" si="72"/>
        <v>1.0000000000000004</v>
      </c>
      <c r="K44" s="77">
        <f>SUM(K45:K46)</f>
        <v>8766.1817420435509</v>
      </c>
      <c r="L44" s="77">
        <f t="shared" ref="L44" si="86">SUM(L45:L46)</f>
        <v>213500</v>
      </c>
      <c r="M44" s="82">
        <v>7601.6980000000003</v>
      </c>
      <c r="N44" s="82">
        <v>185746.16</v>
      </c>
      <c r="O44" s="38">
        <f t="shared" si="74"/>
        <v>0.86716180700902412</v>
      </c>
      <c r="P44" s="38">
        <f t="shared" si="75"/>
        <v>0.87000543325526936</v>
      </c>
      <c r="Q44" s="77">
        <f>SUM(Q45:Q46)</f>
        <v>62166</v>
      </c>
      <c r="R44" s="77">
        <f t="shared" ref="R44" si="87">SUM(R45:R46)</f>
        <v>487100</v>
      </c>
      <c r="S44" s="77">
        <v>52463</v>
      </c>
      <c r="T44" s="77">
        <v>411053.86</v>
      </c>
      <c r="U44" s="38">
        <f t="shared" si="53"/>
        <v>0.84391789724286592</v>
      </c>
      <c r="V44" s="38">
        <f t="shared" si="54"/>
        <v>0.84387981933894474</v>
      </c>
      <c r="W44" s="77"/>
      <c r="X44" s="77"/>
      <c r="Y44" s="74"/>
      <c r="Z44" s="74"/>
      <c r="AA44" s="38"/>
      <c r="AB44" s="38"/>
      <c r="AC44" s="74">
        <f t="shared" ref="AC44" si="88">SUM(AC45:AC46)</f>
        <v>57700</v>
      </c>
      <c r="AD44" s="74">
        <v>57698.17</v>
      </c>
      <c r="AE44" s="38">
        <f t="shared" si="30"/>
        <v>0.99996828422876949</v>
      </c>
      <c r="AF44" s="74">
        <f t="shared" si="59"/>
        <v>932900</v>
      </c>
      <c r="AG44" s="74">
        <f t="shared" si="60"/>
        <v>829098.19000000006</v>
      </c>
      <c r="AH44" s="38">
        <f t="shared" si="61"/>
        <v>0.8887321149104942</v>
      </c>
    </row>
    <row r="45" spans="1:34" s="37" customFormat="1" ht="31.2" x14ac:dyDescent="0.3">
      <c r="A45" s="31"/>
      <c r="B45" s="32"/>
      <c r="C45" s="31" t="s">
        <v>9</v>
      </c>
      <c r="D45" s="28" t="s">
        <v>64</v>
      </c>
      <c r="E45" s="68">
        <f>51.42-13</f>
        <v>38.42</v>
      </c>
      <c r="F45" s="68">
        <f>197231+87969-110600</f>
        <v>174600</v>
      </c>
      <c r="G45" s="74">
        <v>38.42</v>
      </c>
      <c r="H45" s="74">
        <v>174600.00000000006</v>
      </c>
      <c r="I45" s="36">
        <f t="shared" si="71"/>
        <v>1</v>
      </c>
      <c r="J45" s="36">
        <f t="shared" si="72"/>
        <v>1.0000000000000004</v>
      </c>
      <c r="K45" s="74">
        <v>269.68174204355108</v>
      </c>
      <c r="L45" s="68">
        <f>31000-19730</f>
        <v>11270</v>
      </c>
      <c r="M45" s="82">
        <v>257.69799999999998</v>
      </c>
      <c r="N45" s="82">
        <v>11270</v>
      </c>
      <c r="O45" s="36">
        <f t="shared" si="74"/>
        <v>0.95556339130434775</v>
      </c>
      <c r="P45" s="36">
        <f t="shared" si="75"/>
        <v>1</v>
      </c>
      <c r="Q45" s="68">
        <v>22220</v>
      </c>
      <c r="R45" s="68">
        <f>201600-30000</f>
        <v>171600</v>
      </c>
      <c r="S45" s="74">
        <v>21110</v>
      </c>
      <c r="T45" s="74">
        <v>165612.10999999999</v>
      </c>
      <c r="U45" s="36">
        <f t="shared" si="53"/>
        <v>0.95004500450045004</v>
      </c>
      <c r="V45" s="36">
        <f t="shared" si="54"/>
        <v>0.96510553613053607</v>
      </c>
      <c r="W45" s="78"/>
      <c r="X45" s="78"/>
      <c r="Y45" s="74"/>
      <c r="Z45" s="74"/>
      <c r="AA45" s="36"/>
      <c r="AB45" s="36"/>
      <c r="AC45" s="68">
        <f>24200-5945</f>
        <v>18255</v>
      </c>
      <c r="AD45" s="74">
        <v>18254.27</v>
      </c>
      <c r="AE45" s="36">
        <f t="shared" si="30"/>
        <v>0.99996001095590248</v>
      </c>
      <c r="AF45" s="68">
        <f t="shared" si="59"/>
        <v>375725</v>
      </c>
      <c r="AG45" s="68">
        <f t="shared" si="60"/>
        <v>369736.38000000006</v>
      </c>
      <c r="AH45" s="36">
        <f t="shared" si="61"/>
        <v>0.98406116175394254</v>
      </c>
    </row>
    <row r="46" spans="1:34" s="37" customFormat="1" ht="31.2" x14ac:dyDescent="0.3">
      <c r="A46" s="31"/>
      <c r="B46" s="32"/>
      <c r="C46" s="31" t="s">
        <v>9</v>
      </c>
      <c r="D46" s="28" t="s">
        <v>75</v>
      </c>
      <c r="E46" s="68"/>
      <c r="F46" s="68"/>
      <c r="G46" s="74">
        <v>0</v>
      </c>
      <c r="H46" s="74">
        <v>0</v>
      </c>
      <c r="I46" s="36"/>
      <c r="J46" s="36"/>
      <c r="K46" s="68">
        <v>8496.5</v>
      </c>
      <c r="L46" s="68">
        <f>897200-694970</f>
        <v>202230</v>
      </c>
      <c r="M46" s="82">
        <v>7344</v>
      </c>
      <c r="N46" s="82">
        <v>174476.16</v>
      </c>
      <c r="O46" s="36">
        <f t="shared" si="74"/>
        <v>0.8643559112575766</v>
      </c>
      <c r="P46" s="36">
        <f t="shared" si="75"/>
        <v>0.86276101468624833</v>
      </c>
      <c r="Q46" s="68">
        <v>39946</v>
      </c>
      <c r="R46" s="68">
        <f>754100-438600</f>
        <v>315500</v>
      </c>
      <c r="S46" s="74">
        <v>31353</v>
      </c>
      <c r="T46" s="74">
        <v>245441.75</v>
      </c>
      <c r="U46" s="36">
        <f t="shared" si="53"/>
        <v>0.78488459420217294</v>
      </c>
      <c r="V46" s="36">
        <f t="shared" si="54"/>
        <v>0.7779453248811411</v>
      </c>
      <c r="W46" s="78"/>
      <c r="X46" s="78"/>
      <c r="Y46" s="74"/>
      <c r="Z46" s="74"/>
      <c r="AA46" s="36"/>
      <c r="AB46" s="36"/>
      <c r="AC46" s="68">
        <f>39600-155</f>
        <v>39445</v>
      </c>
      <c r="AD46" s="74">
        <v>39443.9</v>
      </c>
      <c r="AE46" s="36">
        <f t="shared" si="30"/>
        <v>0.99997211306883005</v>
      </c>
      <c r="AF46" s="68">
        <f t="shared" si="59"/>
        <v>557175</v>
      </c>
      <c r="AG46" s="68">
        <f t="shared" si="60"/>
        <v>459361.81000000006</v>
      </c>
      <c r="AH46" s="36">
        <f t="shared" si="61"/>
        <v>0.82444799210301978</v>
      </c>
    </row>
    <row r="47" spans="1:34" ht="46.8" x14ac:dyDescent="0.3">
      <c r="A47" s="12" t="s">
        <v>41</v>
      </c>
      <c r="B47" s="10">
        <v>1141</v>
      </c>
      <c r="C47" s="12" t="s">
        <v>10</v>
      </c>
      <c r="D47" s="30" t="s">
        <v>113</v>
      </c>
      <c r="E47" s="74">
        <f>31.837+72-69</f>
        <v>34.837000000000003</v>
      </c>
      <c r="F47" s="74">
        <f>307800+408000+29000-200000-216400</f>
        <v>328400</v>
      </c>
      <c r="G47" s="74">
        <v>33.561619197195689</v>
      </c>
      <c r="H47" s="77">
        <v>322376.85000000003</v>
      </c>
      <c r="I47" s="38">
        <f t="shared" si="71"/>
        <v>0.9633900507275508</v>
      </c>
      <c r="J47" s="38">
        <f t="shared" si="72"/>
        <v>0.9816591047503046</v>
      </c>
      <c r="K47" s="74">
        <v>3604.7139999999999</v>
      </c>
      <c r="L47" s="74">
        <f>13500+20000+11760+144000-38619</f>
        <v>150641</v>
      </c>
      <c r="M47" s="82">
        <v>695.13400000000001</v>
      </c>
      <c r="N47" s="82">
        <v>29049.670000000009</v>
      </c>
      <c r="O47" s="38">
        <f t="shared" si="74"/>
        <v>0.19284026416520147</v>
      </c>
      <c r="P47" s="38">
        <f t="shared" si="75"/>
        <v>0.19284039537708864</v>
      </c>
      <c r="Q47" s="74">
        <f>59160-6860</f>
        <v>52300</v>
      </c>
      <c r="R47" s="74">
        <f>372100+83100+112740+696000-983181</f>
        <v>280759</v>
      </c>
      <c r="S47" s="74">
        <v>48622.299999999996</v>
      </c>
      <c r="T47" s="74">
        <v>225559.93</v>
      </c>
      <c r="U47" s="38">
        <f t="shared" si="53"/>
        <v>0.92968068833651996</v>
      </c>
      <c r="V47" s="38">
        <f t="shared" si="54"/>
        <v>0.80339340858173736</v>
      </c>
      <c r="W47" s="77"/>
      <c r="X47" s="77"/>
      <c r="Y47" s="74"/>
      <c r="Z47" s="74"/>
      <c r="AA47" s="38"/>
      <c r="AB47" s="38"/>
      <c r="AC47" s="68">
        <f>2600+10000+17510+72000-61800</f>
        <v>40310</v>
      </c>
      <c r="AD47" s="74">
        <v>21683.179999999997</v>
      </c>
      <c r="AE47" s="38">
        <f t="shared" si="30"/>
        <v>0.53791069213594633</v>
      </c>
      <c r="AF47" s="74">
        <f t="shared" si="59"/>
        <v>800110</v>
      </c>
      <c r="AG47" s="74">
        <f t="shared" si="60"/>
        <v>598669.63</v>
      </c>
      <c r="AH47" s="38">
        <f t="shared" si="61"/>
        <v>0.74823415530364579</v>
      </c>
    </row>
    <row r="48" spans="1:34" ht="31.2" x14ac:dyDescent="0.3">
      <c r="A48" s="12" t="s">
        <v>42</v>
      </c>
      <c r="B48" s="13">
        <v>1151</v>
      </c>
      <c r="C48" s="13" t="s">
        <v>10</v>
      </c>
      <c r="D48" s="30" t="s">
        <v>55</v>
      </c>
      <c r="E48" s="74">
        <v>40.01</v>
      </c>
      <c r="F48" s="74">
        <f>136482+62118</f>
        <v>198600</v>
      </c>
      <c r="G48" s="74">
        <v>26.895959999999999</v>
      </c>
      <c r="H48" s="77">
        <v>136481.16000000003</v>
      </c>
      <c r="I48" s="38">
        <f t="shared" si="71"/>
        <v>0.67223094226443392</v>
      </c>
      <c r="J48" s="38">
        <f t="shared" si="72"/>
        <v>0.68721631419939588</v>
      </c>
      <c r="K48" s="74">
        <v>153.1466858100024</v>
      </c>
      <c r="L48" s="74">
        <v>6400</v>
      </c>
      <c r="M48" s="82">
        <v>87.187000000000012</v>
      </c>
      <c r="N48" s="82">
        <v>3961.0899999999997</v>
      </c>
      <c r="O48" s="38">
        <f t="shared" si="74"/>
        <v>0.56930386406250011</v>
      </c>
      <c r="P48" s="38">
        <f t="shared" si="75"/>
        <v>0.6189203124999999</v>
      </c>
      <c r="Q48" s="74">
        <v>5706</v>
      </c>
      <c r="R48" s="74">
        <v>54800</v>
      </c>
      <c r="S48" s="74">
        <v>4252.9999999999991</v>
      </c>
      <c r="T48" s="74">
        <v>33233.570000000007</v>
      </c>
      <c r="U48" s="38">
        <f t="shared" si="53"/>
        <v>0.74535576586049757</v>
      </c>
      <c r="V48" s="38">
        <f t="shared" si="54"/>
        <v>0.60645200729927018</v>
      </c>
      <c r="W48" s="77"/>
      <c r="X48" s="77"/>
      <c r="Y48" s="74"/>
      <c r="Z48" s="74"/>
      <c r="AA48" s="38"/>
      <c r="AB48" s="38"/>
      <c r="AC48" s="78">
        <v>1700</v>
      </c>
      <c r="AD48" s="74">
        <v>1100.76</v>
      </c>
      <c r="AE48" s="38">
        <f t="shared" si="30"/>
        <v>0.64750588235294115</v>
      </c>
      <c r="AF48" s="74">
        <f t="shared" si="59"/>
        <v>261500</v>
      </c>
      <c r="AG48" s="74">
        <f t="shared" si="60"/>
        <v>174776.58000000005</v>
      </c>
      <c r="AH48" s="38">
        <f t="shared" si="61"/>
        <v>0.66836168260038253</v>
      </c>
    </row>
    <row r="49" spans="1:34" ht="46.8" x14ac:dyDescent="0.3">
      <c r="A49" s="12" t="s">
        <v>91</v>
      </c>
      <c r="B49" s="10">
        <v>1160</v>
      </c>
      <c r="C49" s="12" t="s">
        <v>10</v>
      </c>
      <c r="D49" s="30" t="s">
        <v>65</v>
      </c>
      <c r="E49" s="74">
        <v>7.1</v>
      </c>
      <c r="F49" s="74">
        <f>24474+10526</f>
        <v>35000</v>
      </c>
      <c r="G49" s="74">
        <v>4.0304231389999998</v>
      </c>
      <c r="H49" s="77">
        <v>24473.600000000006</v>
      </c>
      <c r="I49" s="38">
        <f t="shared" si="71"/>
        <v>0.56766523084507048</v>
      </c>
      <c r="J49" s="38">
        <f t="shared" si="72"/>
        <v>0.69924571428571447</v>
      </c>
      <c r="K49" s="74">
        <v>86.145010768126355</v>
      </c>
      <c r="L49" s="74">
        <v>3600</v>
      </c>
      <c r="M49" s="82">
        <v>54</v>
      </c>
      <c r="N49" s="82">
        <v>2256.66</v>
      </c>
      <c r="O49" s="38">
        <f t="shared" si="74"/>
        <v>0.62684999999999991</v>
      </c>
      <c r="P49" s="38">
        <f t="shared" si="75"/>
        <v>0.62684999999999991</v>
      </c>
      <c r="Q49" s="74">
        <v>1208</v>
      </c>
      <c r="R49" s="74">
        <v>11600</v>
      </c>
      <c r="S49" s="74">
        <v>1062.8</v>
      </c>
      <c r="T49" s="74">
        <v>8120.22</v>
      </c>
      <c r="U49" s="38">
        <f t="shared" si="53"/>
        <v>0.87980132450331117</v>
      </c>
      <c r="V49" s="38">
        <f t="shared" si="54"/>
        <v>0.70001896551724141</v>
      </c>
      <c r="W49" s="77"/>
      <c r="X49" s="77"/>
      <c r="Y49" s="74"/>
      <c r="Z49" s="74"/>
      <c r="AA49" s="38"/>
      <c r="AB49" s="38"/>
      <c r="AC49" s="78">
        <v>2900</v>
      </c>
      <c r="AD49" s="74">
        <v>2843.63</v>
      </c>
      <c r="AE49" s="38">
        <f t="shared" si="30"/>
        <v>0.98056206896551723</v>
      </c>
      <c r="AF49" s="74">
        <f t="shared" si="59"/>
        <v>53100</v>
      </c>
      <c r="AG49" s="74">
        <f t="shared" si="60"/>
        <v>37694.11</v>
      </c>
      <c r="AH49" s="38">
        <f t="shared" si="61"/>
        <v>0.70987024482109229</v>
      </c>
    </row>
    <row r="50" spans="1:34" ht="21.75" customHeight="1" x14ac:dyDescent="0.3">
      <c r="A50" s="12" t="s">
        <v>23</v>
      </c>
      <c r="B50" s="10">
        <v>5031</v>
      </c>
      <c r="C50" s="12" t="s">
        <v>14</v>
      </c>
      <c r="D50" s="41" t="s">
        <v>30</v>
      </c>
      <c r="E50" s="77">
        <f>E51+E52</f>
        <v>83.471999999999994</v>
      </c>
      <c r="F50" s="77">
        <f>F51+F52</f>
        <v>564380.96000000008</v>
      </c>
      <c r="G50" s="74">
        <v>83.471999999999994</v>
      </c>
      <c r="H50" s="74">
        <v>564380.96000000008</v>
      </c>
      <c r="I50" s="38">
        <f t="shared" si="71"/>
        <v>1</v>
      </c>
      <c r="J50" s="38">
        <f t="shared" si="72"/>
        <v>1</v>
      </c>
      <c r="K50" s="77">
        <f t="shared" ref="K50:L50" si="89">K51+K52</f>
        <v>342.18712610672412</v>
      </c>
      <c r="L50" s="77">
        <f t="shared" si="89"/>
        <v>14300</v>
      </c>
      <c r="M50" s="82">
        <v>254.84199999999998</v>
      </c>
      <c r="N50" s="82">
        <v>10998.490000000002</v>
      </c>
      <c r="O50" s="38">
        <f t="shared" si="74"/>
        <v>0.74474455804195794</v>
      </c>
      <c r="P50" s="38">
        <f t="shared" si="75"/>
        <v>0.76912517482517495</v>
      </c>
      <c r="Q50" s="77">
        <f t="shared" ref="Q50:R50" si="90">Q51+Q52</f>
        <v>18510</v>
      </c>
      <c r="R50" s="77">
        <f t="shared" si="90"/>
        <v>144581.33000000002</v>
      </c>
      <c r="S50" s="77">
        <v>9995.9950000000008</v>
      </c>
      <c r="T50" s="77">
        <v>78394.25</v>
      </c>
      <c r="U50" s="38">
        <f t="shared" si="53"/>
        <v>0.54003214478660189</v>
      </c>
      <c r="V50" s="38">
        <f t="shared" si="54"/>
        <v>0.5422155820533674</v>
      </c>
      <c r="W50" s="77"/>
      <c r="X50" s="77"/>
      <c r="Y50" s="74">
        <v>0</v>
      </c>
      <c r="Z50" s="74">
        <v>0</v>
      </c>
      <c r="AA50" s="38"/>
      <c r="AB50" s="38"/>
      <c r="AC50" s="78">
        <f t="shared" ref="AC50" si="91">AC51+AC52</f>
        <v>11800</v>
      </c>
      <c r="AD50" s="78">
        <v>11741.44</v>
      </c>
      <c r="AE50" s="38">
        <f t="shared" si="30"/>
        <v>0.99503728813559322</v>
      </c>
      <c r="AF50" s="74">
        <f t="shared" si="59"/>
        <v>735062.29</v>
      </c>
      <c r="AG50" s="74">
        <f t="shared" si="60"/>
        <v>665515.14</v>
      </c>
      <c r="AH50" s="38">
        <f t="shared" si="61"/>
        <v>0.90538604558261315</v>
      </c>
    </row>
    <row r="51" spans="1:34" s="37" customFormat="1" ht="46.8" x14ac:dyDescent="0.3">
      <c r="A51" s="31"/>
      <c r="B51" s="32"/>
      <c r="C51" s="31"/>
      <c r="D51" s="28" t="s">
        <v>76</v>
      </c>
      <c r="E51" s="68">
        <f>64+12</f>
        <v>76</v>
      </c>
      <c r="F51" s="68">
        <f>671562.29-136681.33</f>
        <v>534880.96000000008</v>
      </c>
      <c r="G51" s="74">
        <v>76</v>
      </c>
      <c r="H51" s="74">
        <v>534880.96000000008</v>
      </c>
      <c r="I51" s="36">
        <f t="shared" si="71"/>
        <v>1</v>
      </c>
      <c r="J51" s="36">
        <f t="shared" si="72"/>
        <v>1</v>
      </c>
      <c r="K51" s="74">
        <v>291.93586982531707</v>
      </c>
      <c r="L51" s="68">
        <f>16500-4300</f>
        <v>12200</v>
      </c>
      <c r="M51" s="82">
        <v>221</v>
      </c>
      <c r="N51" s="82">
        <v>9235.590000000002</v>
      </c>
      <c r="O51" s="36">
        <f t="shared" si="74"/>
        <v>0.75701557377049178</v>
      </c>
      <c r="P51" s="36">
        <f t="shared" si="75"/>
        <v>0.757015573770492</v>
      </c>
      <c r="Q51" s="68">
        <v>11901</v>
      </c>
      <c r="R51" s="68">
        <f>111600-16218.67</f>
        <v>95381.33</v>
      </c>
      <c r="S51" s="74">
        <v>6706.9950000000008</v>
      </c>
      <c r="T51" s="74">
        <v>53758.32</v>
      </c>
      <c r="U51" s="36">
        <f t="shared" si="53"/>
        <v>0.56356566675069331</v>
      </c>
      <c r="V51" s="36">
        <f t="shared" si="54"/>
        <v>0.56361470321288243</v>
      </c>
      <c r="W51" s="68"/>
      <c r="X51" s="68"/>
      <c r="Y51" s="74"/>
      <c r="Z51" s="74"/>
      <c r="AA51" s="36"/>
      <c r="AB51" s="36"/>
      <c r="AC51" s="68">
        <f>12400-1701</f>
        <v>10699</v>
      </c>
      <c r="AD51" s="74">
        <v>10640.68</v>
      </c>
      <c r="AE51" s="36">
        <f t="shared" si="30"/>
        <v>0.99454902327320316</v>
      </c>
      <c r="AF51" s="68">
        <f t="shared" si="59"/>
        <v>653161.29</v>
      </c>
      <c r="AG51" s="68">
        <f t="shared" si="60"/>
        <v>608515.55000000005</v>
      </c>
      <c r="AH51" s="36">
        <f t="shared" si="61"/>
        <v>0.93164668408319173</v>
      </c>
    </row>
    <row r="52" spans="1:34" s="37" customFormat="1" ht="46.8" x14ac:dyDescent="0.3">
      <c r="A52" s="31"/>
      <c r="B52" s="32"/>
      <c r="C52" s="31"/>
      <c r="D52" s="35" t="s">
        <v>77</v>
      </c>
      <c r="E52" s="84">
        <f>8.472-1</f>
        <v>7.4719999999999995</v>
      </c>
      <c r="F52" s="84">
        <f>50900-21400</f>
        <v>29500</v>
      </c>
      <c r="G52" s="74">
        <v>7.4719999999999995</v>
      </c>
      <c r="H52" s="83">
        <v>29500</v>
      </c>
      <c r="I52" s="36">
        <f t="shared" si="71"/>
        <v>1</v>
      </c>
      <c r="J52" s="36">
        <f t="shared" si="72"/>
        <v>1</v>
      </c>
      <c r="K52" s="83">
        <v>50.251256281407038</v>
      </c>
      <c r="L52" s="84">
        <f>6100-4000</f>
        <v>2100</v>
      </c>
      <c r="M52" s="82">
        <v>33.841999999999999</v>
      </c>
      <c r="N52" s="85">
        <v>1762.9</v>
      </c>
      <c r="O52" s="36">
        <f t="shared" si="74"/>
        <v>0.67345579999999994</v>
      </c>
      <c r="P52" s="36">
        <f t="shared" si="75"/>
        <v>0.83947619047619049</v>
      </c>
      <c r="Q52" s="68">
        <v>6609</v>
      </c>
      <c r="R52" s="68">
        <f>64200-15000</f>
        <v>49200</v>
      </c>
      <c r="S52" s="74">
        <v>3289</v>
      </c>
      <c r="T52" s="74">
        <v>24635.929999999997</v>
      </c>
      <c r="U52" s="36">
        <f t="shared" si="53"/>
        <v>0.49765471326978361</v>
      </c>
      <c r="V52" s="36">
        <f t="shared" si="54"/>
        <v>0.50073028455284541</v>
      </c>
      <c r="W52" s="68"/>
      <c r="X52" s="68"/>
      <c r="Y52" s="74"/>
      <c r="Z52" s="74"/>
      <c r="AA52" s="36"/>
      <c r="AB52" s="36"/>
      <c r="AC52" s="68">
        <f>1800-699</f>
        <v>1101</v>
      </c>
      <c r="AD52" s="74">
        <v>1100.76</v>
      </c>
      <c r="AE52" s="36">
        <f t="shared" si="30"/>
        <v>0.99978201634877384</v>
      </c>
      <c r="AF52" s="68">
        <f t="shared" si="59"/>
        <v>81901</v>
      </c>
      <c r="AG52" s="68">
        <f t="shared" si="60"/>
        <v>56999.590000000004</v>
      </c>
      <c r="AH52" s="36">
        <f t="shared" si="61"/>
        <v>0.69595719221987529</v>
      </c>
    </row>
    <row r="53" spans="1:34" ht="46.5" customHeight="1" x14ac:dyDescent="0.3">
      <c r="A53" s="14" t="s">
        <v>33</v>
      </c>
      <c r="B53" s="14"/>
      <c r="C53" s="14"/>
      <c r="D53" s="18" t="s">
        <v>47</v>
      </c>
      <c r="E53" s="70">
        <f>E54+E55+E56</f>
        <v>127.4765</v>
      </c>
      <c r="F53" s="70">
        <f t="shared" ref="F53" si="92">F54+F55+F56</f>
        <v>855300</v>
      </c>
      <c r="G53" s="70">
        <f>G54+G55+G56</f>
        <v>89.984672999999987</v>
      </c>
      <c r="H53" s="70">
        <f t="shared" ref="H53" si="93">H54+H55+H56</f>
        <v>594796.53</v>
      </c>
      <c r="I53" s="25">
        <f t="shared" si="9"/>
        <v>0.70589224680627394</v>
      </c>
      <c r="J53" s="25">
        <f t="shared" si="10"/>
        <v>0.69542444756225885</v>
      </c>
      <c r="K53" s="70">
        <f t="shared" ref="K53:L53" si="94">K54+K55+K56</f>
        <v>613</v>
      </c>
      <c r="L53" s="70">
        <f t="shared" si="94"/>
        <v>40600</v>
      </c>
      <c r="M53" s="70">
        <f t="shared" ref="M53:N53" si="95">M54+M55+M56</f>
        <v>382.50235999999995</v>
      </c>
      <c r="N53" s="70">
        <f t="shared" si="95"/>
        <v>16682.22</v>
      </c>
      <c r="O53" s="25">
        <f t="shared" ref="O53:O56" si="96">M53/K53</f>
        <v>0.62398427406199009</v>
      </c>
      <c r="P53" s="25">
        <f t="shared" ref="P53:P56" si="97">N53/L53</f>
        <v>0.41089211822660099</v>
      </c>
      <c r="Q53" s="70">
        <f t="shared" ref="Q53:R53" si="98">Q54+Q55+Q56</f>
        <v>58100</v>
      </c>
      <c r="R53" s="70">
        <f t="shared" si="98"/>
        <v>430000</v>
      </c>
      <c r="S53" s="70">
        <f t="shared" ref="S53:T53" si="99">S54+S55+S56</f>
        <v>50492</v>
      </c>
      <c r="T53" s="70">
        <f t="shared" si="99"/>
        <v>344975.29</v>
      </c>
      <c r="U53" s="25">
        <f t="shared" ref="U53:U56" si="100">S53/Q53</f>
        <v>0.86905335628227198</v>
      </c>
      <c r="V53" s="25">
        <f t="shared" si="29"/>
        <v>0.80226811627906969</v>
      </c>
      <c r="W53" s="70">
        <f t="shared" ref="W53:X53" si="101">W54+W55+W56</f>
        <v>0</v>
      </c>
      <c r="X53" s="70">
        <f t="shared" si="101"/>
        <v>0</v>
      </c>
      <c r="Y53" s="70">
        <f t="shared" ref="Y53:Z53" si="102">Y54+Y55+Y56</f>
        <v>0</v>
      </c>
      <c r="Z53" s="70">
        <f t="shared" si="102"/>
        <v>0</v>
      </c>
      <c r="AA53" s="25"/>
      <c r="AB53" s="25"/>
      <c r="AC53" s="70">
        <f t="shared" ref="AC53" si="103">AC54+AC55+AC56</f>
        <v>0</v>
      </c>
      <c r="AD53" s="70">
        <f t="shared" ref="AD53" si="104">AD54+AD55+AD56</f>
        <v>0</v>
      </c>
      <c r="AE53" s="25"/>
      <c r="AF53" s="70">
        <f t="shared" ref="AF53" si="105">AF54+AF55+AF56</f>
        <v>1325900</v>
      </c>
      <c r="AG53" s="70">
        <f>AG54+AG55+AG56</f>
        <v>956454.04</v>
      </c>
      <c r="AH53" s="25">
        <f>AG53/AF53</f>
        <v>0.72136212384041032</v>
      </c>
    </row>
    <row r="54" spans="1:34" ht="31.2" x14ac:dyDescent="0.3">
      <c r="A54" s="31" t="s">
        <v>17</v>
      </c>
      <c r="B54" s="31" t="s">
        <v>18</v>
      </c>
      <c r="C54" s="31" t="s">
        <v>5</v>
      </c>
      <c r="D54" s="40" t="s">
        <v>48</v>
      </c>
      <c r="E54" s="68">
        <v>81.528499999999994</v>
      </c>
      <c r="F54" s="68">
        <v>510000</v>
      </c>
      <c r="G54" s="68">
        <v>57.86</v>
      </c>
      <c r="H54" s="68">
        <v>404400.27</v>
      </c>
      <c r="I54" s="38">
        <f t="shared" si="9"/>
        <v>0.70969047633649585</v>
      </c>
      <c r="J54" s="38">
        <f t="shared" si="10"/>
        <v>0.79294170588235302</v>
      </c>
      <c r="K54" s="68">
        <v>263</v>
      </c>
      <c r="L54" s="68">
        <v>17400</v>
      </c>
      <c r="M54" s="68">
        <v>183</v>
      </c>
      <c r="N54" s="68">
        <v>7647.57</v>
      </c>
      <c r="O54" s="38">
        <f t="shared" si="96"/>
        <v>0.69581749049429653</v>
      </c>
      <c r="P54" s="38">
        <f t="shared" si="97"/>
        <v>0.43951551724137927</v>
      </c>
      <c r="Q54" s="68">
        <v>30000</v>
      </c>
      <c r="R54" s="68">
        <v>258900</v>
      </c>
      <c r="S54" s="68">
        <v>23010</v>
      </c>
      <c r="T54" s="68">
        <v>185253.53</v>
      </c>
      <c r="U54" s="38">
        <f t="shared" si="100"/>
        <v>0.76700000000000002</v>
      </c>
      <c r="V54" s="38">
        <f t="shared" si="29"/>
        <v>0.71554086519891846</v>
      </c>
      <c r="W54" s="68"/>
      <c r="X54" s="68"/>
      <c r="Y54" s="68"/>
      <c r="Z54" s="68"/>
      <c r="AA54" s="38"/>
      <c r="AB54" s="38"/>
      <c r="AC54" s="68"/>
      <c r="AD54" s="68"/>
      <c r="AE54" s="38"/>
      <c r="AF54" s="74">
        <f t="shared" ref="AF54:AF67" si="106">F54+L54+R54+X54+AC54</f>
        <v>786300</v>
      </c>
      <c r="AG54" s="74">
        <f>H54+N54+T54+Z54+AD54</f>
        <v>597301.37</v>
      </c>
      <c r="AH54" s="38">
        <f t="shared" ref="AH54:AH66" si="107">AG54/AF54</f>
        <v>0.75963546992242148</v>
      </c>
    </row>
    <row r="55" spans="1:34" ht="62.4" x14ac:dyDescent="0.3">
      <c r="A55" s="31" t="s">
        <v>22</v>
      </c>
      <c r="B55" s="32">
        <v>3104</v>
      </c>
      <c r="C55" s="32">
        <v>1020</v>
      </c>
      <c r="D55" s="28" t="s">
        <v>80</v>
      </c>
      <c r="E55" s="68">
        <v>18.608000000000001</v>
      </c>
      <c r="F55" s="68">
        <v>146500</v>
      </c>
      <c r="G55" s="68">
        <v>14.053243</v>
      </c>
      <c r="H55" s="68">
        <v>90500.81</v>
      </c>
      <c r="I55" s="38">
        <f t="shared" si="9"/>
        <v>0.75522587059329316</v>
      </c>
      <c r="J55" s="38">
        <f t="shared" si="10"/>
        <v>0.61775296928327639</v>
      </c>
      <c r="K55" s="68">
        <v>100</v>
      </c>
      <c r="L55" s="68">
        <v>6600</v>
      </c>
      <c r="M55" s="68">
        <v>65.438000000000002</v>
      </c>
      <c r="N55" s="68">
        <v>2734.83</v>
      </c>
      <c r="O55" s="38">
        <f t="shared" si="96"/>
        <v>0.65438000000000007</v>
      </c>
      <c r="P55" s="38">
        <f t="shared" si="97"/>
        <v>0.4143681818181818</v>
      </c>
      <c r="Q55" s="68">
        <v>10000</v>
      </c>
      <c r="R55" s="68">
        <v>71700</v>
      </c>
      <c r="S55" s="68">
        <v>9382</v>
      </c>
      <c r="T55" s="68">
        <v>71696.25</v>
      </c>
      <c r="U55" s="38">
        <f t="shared" si="100"/>
        <v>0.93820000000000003</v>
      </c>
      <c r="V55" s="38">
        <f t="shared" si="29"/>
        <v>0.99994769874476985</v>
      </c>
      <c r="W55" s="68"/>
      <c r="X55" s="68"/>
      <c r="Y55" s="68"/>
      <c r="Z55" s="68"/>
      <c r="AA55" s="38"/>
      <c r="AB55" s="38"/>
      <c r="AC55" s="68"/>
      <c r="AD55" s="68"/>
      <c r="AE55" s="38"/>
      <c r="AF55" s="74">
        <f t="shared" si="106"/>
        <v>224800</v>
      </c>
      <c r="AG55" s="74">
        <f t="shared" si="14"/>
        <v>164931.89000000001</v>
      </c>
      <c r="AH55" s="38">
        <f t="shared" si="107"/>
        <v>0.73368278469750892</v>
      </c>
    </row>
    <row r="56" spans="1:34" ht="46.8" x14ac:dyDescent="0.3">
      <c r="A56" s="31" t="s">
        <v>21</v>
      </c>
      <c r="B56" s="32">
        <v>3121</v>
      </c>
      <c r="C56" s="32">
        <v>1040</v>
      </c>
      <c r="D56" s="33" t="s">
        <v>78</v>
      </c>
      <c r="E56" s="68">
        <v>27.34</v>
      </c>
      <c r="F56" s="68">
        <v>198800</v>
      </c>
      <c r="G56" s="68">
        <v>18.071429999999999</v>
      </c>
      <c r="H56" s="68">
        <v>99895.45</v>
      </c>
      <c r="I56" s="38">
        <f t="shared" si="9"/>
        <v>0.66098866130212142</v>
      </c>
      <c r="J56" s="38">
        <f t="shared" si="10"/>
        <v>0.50249220321931587</v>
      </c>
      <c r="K56" s="68">
        <v>250</v>
      </c>
      <c r="L56" s="68">
        <v>16600</v>
      </c>
      <c r="M56" s="68">
        <v>134.06435999999999</v>
      </c>
      <c r="N56" s="68">
        <v>6299.82</v>
      </c>
      <c r="O56" s="38">
        <f t="shared" si="96"/>
        <v>0.53625743999999997</v>
      </c>
      <c r="P56" s="38">
        <f t="shared" si="97"/>
        <v>0.37950722891566263</v>
      </c>
      <c r="Q56" s="68">
        <v>18100</v>
      </c>
      <c r="R56" s="68">
        <v>99400</v>
      </c>
      <c r="S56" s="68">
        <v>18100</v>
      </c>
      <c r="T56" s="68">
        <v>88025.51</v>
      </c>
      <c r="U56" s="38">
        <f t="shared" si="100"/>
        <v>1</v>
      </c>
      <c r="V56" s="38">
        <f t="shared" si="29"/>
        <v>0.88556851106639833</v>
      </c>
      <c r="W56" s="68"/>
      <c r="X56" s="68"/>
      <c r="Y56" s="68"/>
      <c r="Z56" s="68"/>
      <c r="AA56" s="38"/>
      <c r="AB56" s="38"/>
      <c r="AC56" s="68"/>
      <c r="AD56" s="68"/>
      <c r="AE56" s="38"/>
      <c r="AF56" s="74">
        <f t="shared" si="106"/>
        <v>314800</v>
      </c>
      <c r="AG56" s="74">
        <f t="shared" si="14"/>
        <v>194220.77999999997</v>
      </c>
      <c r="AH56" s="38">
        <f t="shared" si="107"/>
        <v>0.616965628970775</v>
      </c>
    </row>
    <row r="57" spans="1:34" ht="31.2" x14ac:dyDescent="0.3">
      <c r="A57" s="15">
        <v>1010000</v>
      </c>
      <c r="B57" s="15"/>
      <c r="C57" s="15"/>
      <c r="D57" s="11" t="s">
        <v>49</v>
      </c>
      <c r="E57" s="70">
        <f>SUM(E58:E65)</f>
        <v>303</v>
      </c>
      <c r="F57" s="70">
        <f>SUM(F58:F65)</f>
        <v>1202400</v>
      </c>
      <c r="G57" s="70">
        <f>SUM(G58:G65)</f>
        <v>269.20999999999998</v>
      </c>
      <c r="H57" s="70">
        <f>SUM(H58:H65)</f>
        <v>686267.23</v>
      </c>
      <c r="I57" s="25">
        <f t="shared" ref="I57:I66" si="108">G57/E57</f>
        <v>0.88848184818481846</v>
      </c>
      <c r="J57" s="25">
        <f t="shared" ref="J57:J66" si="109">H57/F57</f>
        <v>0.57074786260811705</v>
      </c>
      <c r="K57" s="70">
        <f t="shared" ref="K57:L57" si="110">SUM(K58:K65)</f>
        <v>1700</v>
      </c>
      <c r="L57" s="70">
        <f t="shared" si="110"/>
        <v>93900</v>
      </c>
      <c r="M57" s="70">
        <f t="shared" ref="M57:N57" si="111">SUM(M58:M65)</f>
        <v>1271</v>
      </c>
      <c r="N57" s="70">
        <f t="shared" si="111"/>
        <v>46811.83</v>
      </c>
      <c r="O57" s="25">
        <f t="shared" ref="O57:O70" si="112">M57/K57</f>
        <v>0.74764705882352944</v>
      </c>
      <c r="P57" s="25">
        <f t="shared" ref="P57:P70" si="113">N57/L57</f>
        <v>0.49852854100106497</v>
      </c>
      <c r="Q57" s="70">
        <f t="shared" ref="Q57:R57" si="114">SUM(Q58:Q65)</f>
        <v>134000</v>
      </c>
      <c r="R57" s="70">
        <f t="shared" si="114"/>
        <v>1125600</v>
      </c>
      <c r="S57" s="70">
        <f t="shared" ref="S57:T57" si="115">SUM(S58:S65)</f>
        <v>86987</v>
      </c>
      <c r="T57" s="70">
        <f t="shared" si="115"/>
        <v>584550.15</v>
      </c>
      <c r="U57" s="25">
        <f t="shared" ref="U57:U70" si="116">S57/Q57</f>
        <v>0.6491567164179104</v>
      </c>
      <c r="V57" s="25">
        <f t="shared" ref="V57:V70" si="117">T57/R57</f>
        <v>0.51932316098081022</v>
      </c>
      <c r="W57" s="70">
        <f t="shared" ref="W57:X57" si="118">SUM(W58:W65)</f>
        <v>40500</v>
      </c>
      <c r="X57" s="70">
        <f t="shared" si="118"/>
        <v>836100</v>
      </c>
      <c r="Y57" s="70">
        <f t="shared" ref="Y57:Z57" si="119">SUM(Y58:Y65)</f>
        <v>24420</v>
      </c>
      <c r="Z57" s="70">
        <f t="shared" si="119"/>
        <v>402582.43</v>
      </c>
      <c r="AA57" s="25">
        <f>Y57/W57</f>
        <v>0.60296296296296292</v>
      </c>
      <c r="AB57" s="25">
        <f>Z57/X57</f>
        <v>0.48150033488817129</v>
      </c>
      <c r="AC57" s="70">
        <f t="shared" ref="AC57" si="120">SUM(AC58:AC65)</f>
        <v>171300</v>
      </c>
      <c r="AD57" s="70">
        <f t="shared" ref="AD57" si="121">SUM(AD58:AD65)</f>
        <v>107229.6</v>
      </c>
      <c r="AE57" s="25">
        <f>AD57/AC57</f>
        <v>0.62597548161120842</v>
      </c>
      <c r="AF57" s="70">
        <f t="shared" si="106"/>
        <v>3429300</v>
      </c>
      <c r="AG57" s="70">
        <f t="shared" ref="AG57" si="122">SUM(AG58:AG65)</f>
        <v>1786720.4999999998</v>
      </c>
      <c r="AH57" s="25">
        <f>AG57/AF57</f>
        <v>0.52101609657947678</v>
      </c>
    </row>
    <row r="58" spans="1:34" ht="46.8" x14ac:dyDescent="0.3">
      <c r="A58" s="32">
        <v>1011080</v>
      </c>
      <c r="B58" s="32">
        <v>1100</v>
      </c>
      <c r="C58" s="31" t="s">
        <v>9</v>
      </c>
      <c r="D58" s="33" t="s">
        <v>79</v>
      </c>
      <c r="E58" s="68"/>
      <c r="F58" s="68"/>
      <c r="G58" s="68"/>
      <c r="H58" s="68"/>
      <c r="I58" s="38"/>
      <c r="J58" s="38"/>
      <c r="K58" s="68">
        <v>340</v>
      </c>
      <c r="L58" s="68">
        <v>22500</v>
      </c>
      <c r="M58" s="68">
        <v>288</v>
      </c>
      <c r="N58" s="68">
        <v>11497.63</v>
      </c>
      <c r="O58" s="38">
        <f t="shared" si="112"/>
        <v>0.84705882352941175</v>
      </c>
      <c r="P58" s="38">
        <f t="shared" si="113"/>
        <v>0.51100577777777778</v>
      </c>
      <c r="Q58" s="68">
        <v>35000</v>
      </c>
      <c r="R58" s="68">
        <v>294000</v>
      </c>
      <c r="S58" s="68">
        <v>18690</v>
      </c>
      <c r="T58" s="68">
        <v>123435.96</v>
      </c>
      <c r="U58" s="38">
        <f t="shared" si="116"/>
        <v>0.53400000000000003</v>
      </c>
      <c r="V58" s="38">
        <f t="shared" si="117"/>
        <v>0.41985020408163265</v>
      </c>
      <c r="W58" s="68">
        <v>16000</v>
      </c>
      <c r="X58" s="68">
        <v>400700</v>
      </c>
      <c r="Y58" s="68">
        <v>10140</v>
      </c>
      <c r="Z58" s="68">
        <v>167271.74</v>
      </c>
      <c r="AA58" s="38">
        <f t="shared" ref="AA58:AA70" si="123">Y58/W58</f>
        <v>0.63375000000000004</v>
      </c>
      <c r="AB58" s="38">
        <f t="shared" ref="AB58:AB70" si="124">Z58/X58</f>
        <v>0.41744881457449462</v>
      </c>
      <c r="AC58" s="68">
        <v>3000</v>
      </c>
      <c r="AD58" s="68">
        <v>2428.8000000000002</v>
      </c>
      <c r="AE58" s="38">
        <f t="shared" ref="AE58:AE64" si="125">AD58/AC58</f>
        <v>0.8096000000000001</v>
      </c>
      <c r="AF58" s="74">
        <f t="shared" si="106"/>
        <v>720200</v>
      </c>
      <c r="AG58" s="74">
        <f t="shared" si="14"/>
        <v>304634.12999999995</v>
      </c>
      <c r="AH58" s="38">
        <f t="shared" si="107"/>
        <v>0.42298546237156337</v>
      </c>
    </row>
    <row r="59" spans="1:34" ht="31.2" x14ac:dyDescent="0.3">
      <c r="A59" s="32">
        <v>1014030</v>
      </c>
      <c r="B59" s="32">
        <v>4030</v>
      </c>
      <c r="C59" s="31" t="s">
        <v>11</v>
      </c>
      <c r="D59" s="28" t="s">
        <v>56</v>
      </c>
      <c r="E59" s="68">
        <v>200</v>
      </c>
      <c r="F59" s="68">
        <v>750000</v>
      </c>
      <c r="G59" s="68">
        <v>187.45</v>
      </c>
      <c r="H59" s="68">
        <v>469758.78</v>
      </c>
      <c r="I59" s="38">
        <f t="shared" si="108"/>
        <v>0.93724999999999992</v>
      </c>
      <c r="J59" s="38">
        <f t="shared" si="109"/>
        <v>0.62634504000000002</v>
      </c>
      <c r="K59" s="68">
        <v>280</v>
      </c>
      <c r="L59" s="68">
        <v>18400</v>
      </c>
      <c r="M59" s="68">
        <v>277</v>
      </c>
      <c r="N59" s="68">
        <v>11575.83</v>
      </c>
      <c r="O59" s="38">
        <f t="shared" si="112"/>
        <v>0.98928571428571432</v>
      </c>
      <c r="P59" s="38">
        <f t="shared" si="113"/>
        <v>0.62912119565217395</v>
      </c>
      <c r="Q59" s="68">
        <v>36000</v>
      </c>
      <c r="R59" s="68">
        <v>302400</v>
      </c>
      <c r="S59" s="68">
        <v>28117</v>
      </c>
      <c r="T59" s="68">
        <v>186843.48</v>
      </c>
      <c r="U59" s="38">
        <f t="shared" si="116"/>
        <v>0.78102777777777777</v>
      </c>
      <c r="V59" s="38">
        <f t="shared" si="117"/>
        <v>0.61786865079365083</v>
      </c>
      <c r="W59" s="68">
        <v>2500</v>
      </c>
      <c r="X59" s="68">
        <v>66100</v>
      </c>
      <c r="Y59" s="68"/>
      <c r="Z59" s="68"/>
      <c r="AA59" s="38">
        <f t="shared" si="123"/>
        <v>0</v>
      </c>
      <c r="AB59" s="38">
        <f t="shared" si="124"/>
        <v>0</v>
      </c>
      <c r="AC59" s="68">
        <v>1000</v>
      </c>
      <c r="AD59" s="68">
        <v>576</v>
      </c>
      <c r="AE59" s="38">
        <f t="shared" si="125"/>
        <v>0.57599999999999996</v>
      </c>
      <c r="AF59" s="74">
        <f t="shared" si="106"/>
        <v>1137900</v>
      </c>
      <c r="AG59" s="74">
        <f t="shared" si="14"/>
        <v>668754.09000000008</v>
      </c>
      <c r="AH59" s="38">
        <f t="shared" si="107"/>
        <v>0.587709016609544</v>
      </c>
    </row>
    <row r="60" spans="1:34" ht="31.2" x14ac:dyDescent="0.3">
      <c r="A60" s="32">
        <v>1014040</v>
      </c>
      <c r="B60" s="32">
        <v>4040</v>
      </c>
      <c r="C60" s="31" t="s">
        <v>11</v>
      </c>
      <c r="D60" s="28" t="s">
        <v>57</v>
      </c>
      <c r="E60" s="68">
        <v>95</v>
      </c>
      <c r="F60" s="68">
        <v>411100</v>
      </c>
      <c r="G60" s="68">
        <v>78.17</v>
      </c>
      <c r="H60" s="68">
        <v>195830.08</v>
      </c>
      <c r="I60" s="38">
        <f t="shared" si="108"/>
        <v>0.82284210526315793</v>
      </c>
      <c r="J60" s="38">
        <f t="shared" si="109"/>
        <v>0.47635631233276571</v>
      </c>
      <c r="K60" s="68">
        <v>140</v>
      </c>
      <c r="L60" s="68">
        <v>9200</v>
      </c>
      <c r="M60" s="68">
        <v>131</v>
      </c>
      <c r="N60" s="68">
        <v>5466</v>
      </c>
      <c r="O60" s="38">
        <f t="shared" si="112"/>
        <v>0.93571428571428572</v>
      </c>
      <c r="P60" s="38">
        <f t="shared" si="113"/>
        <v>0.59413043478260874</v>
      </c>
      <c r="Q60" s="68">
        <v>11000</v>
      </c>
      <c r="R60" s="68">
        <v>92400</v>
      </c>
      <c r="S60" s="68">
        <v>9722</v>
      </c>
      <c r="T60" s="68">
        <v>65632.88</v>
      </c>
      <c r="U60" s="38">
        <f t="shared" si="116"/>
        <v>0.88381818181818184</v>
      </c>
      <c r="V60" s="38">
        <f t="shared" si="117"/>
        <v>0.71031255411255412</v>
      </c>
      <c r="W60" s="68"/>
      <c r="X60" s="68"/>
      <c r="Y60" s="68"/>
      <c r="Z60" s="68"/>
      <c r="AA60" s="38"/>
      <c r="AB60" s="38"/>
      <c r="AC60" s="68">
        <v>800</v>
      </c>
      <c r="AD60" s="68">
        <v>276</v>
      </c>
      <c r="AE60" s="38">
        <f t="shared" si="125"/>
        <v>0.34499999999999997</v>
      </c>
      <c r="AF60" s="74">
        <f t="shared" si="106"/>
        <v>513500</v>
      </c>
      <c r="AG60" s="74">
        <f t="shared" si="14"/>
        <v>267204.95999999996</v>
      </c>
      <c r="AH60" s="38">
        <f t="shared" si="107"/>
        <v>0.52036019474196682</v>
      </c>
    </row>
    <row r="61" spans="1:34" ht="31.2" x14ac:dyDescent="0.3">
      <c r="A61" s="32">
        <v>1014060</v>
      </c>
      <c r="B61" s="32">
        <v>4060</v>
      </c>
      <c r="C61" s="31" t="s">
        <v>12</v>
      </c>
      <c r="D61" s="28" t="s">
        <v>58</v>
      </c>
      <c r="E61" s="68"/>
      <c r="F61" s="68"/>
      <c r="G61" s="68"/>
      <c r="H61" s="68"/>
      <c r="I61" s="38"/>
      <c r="J61" s="38"/>
      <c r="K61" s="68">
        <v>340</v>
      </c>
      <c r="L61" s="68">
        <v>22500</v>
      </c>
      <c r="M61" s="68">
        <v>288</v>
      </c>
      <c r="N61" s="68">
        <v>11497.63</v>
      </c>
      <c r="O61" s="38">
        <f t="shared" si="112"/>
        <v>0.84705882352941175</v>
      </c>
      <c r="P61" s="38">
        <f t="shared" si="113"/>
        <v>0.51100577777777778</v>
      </c>
      <c r="Q61" s="68">
        <v>35000</v>
      </c>
      <c r="R61" s="68">
        <v>294000</v>
      </c>
      <c r="S61" s="68">
        <v>18690</v>
      </c>
      <c r="T61" s="68">
        <v>123435.96</v>
      </c>
      <c r="U61" s="38">
        <f t="shared" si="116"/>
        <v>0.53400000000000003</v>
      </c>
      <c r="V61" s="38">
        <f t="shared" si="117"/>
        <v>0.41985020408163265</v>
      </c>
      <c r="W61" s="68">
        <v>16000</v>
      </c>
      <c r="X61" s="68">
        <f>400700-140000</f>
        <v>260700</v>
      </c>
      <c r="Y61" s="68">
        <v>10150</v>
      </c>
      <c r="Z61" s="68">
        <v>167271.74</v>
      </c>
      <c r="AA61" s="38">
        <f t="shared" si="123"/>
        <v>0.63437500000000002</v>
      </c>
      <c r="AB61" s="38">
        <f t="shared" si="124"/>
        <v>0.64162539317222855</v>
      </c>
      <c r="AC61" s="68">
        <v>3000</v>
      </c>
      <c r="AD61" s="68">
        <v>2428.8000000000002</v>
      </c>
      <c r="AE61" s="38">
        <f t="shared" si="125"/>
        <v>0.8096000000000001</v>
      </c>
      <c r="AF61" s="74">
        <f t="shared" si="106"/>
        <v>580200</v>
      </c>
      <c r="AG61" s="74">
        <f t="shared" si="14"/>
        <v>304634.12999999995</v>
      </c>
      <c r="AH61" s="38">
        <f t="shared" si="107"/>
        <v>0.52505020682523262</v>
      </c>
    </row>
    <row r="62" spans="1:34" ht="31.2" x14ac:dyDescent="0.3">
      <c r="A62" s="32">
        <v>1014060</v>
      </c>
      <c r="B62" s="32">
        <v>4060</v>
      </c>
      <c r="C62" s="31" t="s">
        <v>12</v>
      </c>
      <c r="D62" s="28" t="s">
        <v>59</v>
      </c>
      <c r="E62" s="68"/>
      <c r="F62" s="68"/>
      <c r="G62" s="68"/>
      <c r="H62" s="68"/>
      <c r="I62" s="38"/>
      <c r="J62" s="38"/>
      <c r="K62" s="68">
        <f>20+60</f>
        <v>80</v>
      </c>
      <c r="L62" s="68">
        <f>650+1000</f>
        <v>1650</v>
      </c>
      <c r="M62" s="86">
        <v>49</v>
      </c>
      <c r="N62" s="86">
        <v>1029.6099999999999</v>
      </c>
      <c r="O62" s="38">
        <f t="shared" si="112"/>
        <v>0.61250000000000004</v>
      </c>
      <c r="P62" s="38">
        <f t="shared" si="113"/>
        <v>0.62400606060606056</v>
      </c>
      <c r="Q62" s="68">
        <v>4000</v>
      </c>
      <c r="R62" s="68">
        <v>33600</v>
      </c>
      <c r="S62" s="68">
        <v>4000</v>
      </c>
      <c r="T62" s="68">
        <v>28408.77</v>
      </c>
      <c r="U62" s="38">
        <f t="shared" si="116"/>
        <v>1</v>
      </c>
      <c r="V62" s="38">
        <f t="shared" si="117"/>
        <v>0.84549910714285714</v>
      </c>
      <c r="W62" s="68"/>
      <c r="X62" s="68"/>
      <c r="Y62" s="68"/>
      <c r="Z62" s="68"/>
      <c r="AA62" s="38"/>
      <c r="AB62" s="38"/>
      <c r="AC62" s="68">
        <v>2000</v>
      </c>
      <c r="AD62" s="68">
        <v>2000</v>
      </c>
      <c r="AE62" s="38">
        <f t="shared" si="125"/>
        <v>1</v>
      </c>
      <c r="AF62" s="74">
        <f t="shared" si="106"/>
        <v>37250</v>
      </c>
      <c r="AG62" s="74">
        <f t="shared" si="14"/>
        <v>31438.38</v>
      </c>
      <c r="AH62" s="38">
        <f t="shared" si="107"/>
        <v>0.84398335570469807</v>
      </c>
    </row>
    <row r="63" spans="1:34" ht="31.2" x14ac:dyDescent="0.3">
      <c r="A63" s="32">
        <v>1014060</v>
      </c>
      <c r="B63" s="32">
        <v>4060</v>
      </c>
      <c r="C63" s="31" t="s">
        <v>12</v>
      </c>
      <c r="D63" s="28" t="s">
        <v>60</v>
      </c>
      <c r="E63" s="68"/>
      <c r="F63" s="68"/>
      <c r="G63" s="68"/>
      <c r="H63" s="68"/>
      <c r="I63" s="38"/>
      <c r="J63" s="38"/>
      <c r="K63" s="68">
        <v>220</v>
      </c>
      <c r="L63" s="68">
        <v>7500</v>
      </c>
      <c r="M63" s="68">
        <v>178</v>
      </c>
      <c r="N63" s="68">
        <v>4228.7700000000004</v>
      </c>
      <c r="O63" s="38">
        <f t="shared" si="112"/>
        <v>0.80909090909090908</v>
      </c>
      <c r="P63" s="38">
        <f t="shared" si="113"/>
        <v>0.563836</v>
      </c>
      <c r="Q63" s="68">
        <v>7500</v>
      </c>
      <c r="R63" s="68">
        <v>63000</v>
      </c>
      <c r="S63" s="68">
        <v>5398</v>
      </c>
      <c r="T63" s="68">
        <v>34372.61</v>
      </c>
      <c r="U63" s="38">
        <f t="shared" si="116"/>
        <v>0.71973333333333334</v>
      </c>
      <c r="V63" s="38">
        <f t="shared" si="117"/>
        <v>0.5455969841269841</v>
      </c>
      <c r="W63" s="68"/>
      <c r="X63" s="68"/>
      <c r="Y63" s="68"/>
      <c r="Z63" s="68"/>
      <c r="AA63" s="38"/>
      <c r="AB63" s="38"/>
      <c r="AC63" s="68">
        <f>162000-2000</f>
        <v>160000</v>
      </c>
      <c r="AD63" s="68">
        <f>98208+208</f>
        <v>98416</v>
      </c>
      <c r="AE63" s="38">
        <f t="shared" si="125"/>
        <v>0.61509999999999998</v>
      </c>
      <c r="AF63" s="74">
        <f t="shared" si="106"/>
        <v>230500</v>
      </c>
      <c r="AG63" s="74">
        <f t="shared" si="14"/>
        <v>137017.38</v>
      </c>
      <c r="AH63" s="38">
        <f t="shared" si="107"/>
        <v>0.59443548806941438</v>
      </c>
    </row>
    <row r="64" spans="1:34" ht="31.2" x14ac:dyDescent="0.3">
      <c r="A64" s="32">
        <v>1014060</v>
      </c>
      <c r="B64" s="32">
        <v>4060</v>
      </c>
      <c r="C64" s="31" t="s">
        <v>12</v>
      </c>
      <c r="D64" s="28" t="s">
        <v>61</v>
      </c>
      <c r="E64" s="68"/>
      <c r="F64" s="68"/>
      <c r="G64" s="68"/>
      <c r="H64" s="68"/>
      <c r="I64" s="38"/>
      <c r="J64" s="38"/>
      <c r="K64" s="68">
        <f>340-60</f>
        <v>280</v>
      </c>
      <c r="L64" s="68">
        <f>11950-1000</f>
        <v>10950</v>
      </c>
      <c r="M64" s="68">
        <v>47</v>
      </c>
      <c r="N64" s="68">
        <v>1037.24</v>
      </c>
      <c r="O64" s="38">
        <f t="shared" si="112"/>
        <v>0.16785714285714284</v>
      </c>
      <c r="P64" s="38">
        <f t="shared" si="113"/>
        <v>9.4725114155251144E-2</v>
      </c>
      <c r="Q64" s="68">
        <v>1500</v>
      </c>
      <c r="R64" s="68">
        <v>12600</v>
      </c>
      <c r="S64" s="68">
        <v>470</v>
      </c>
      <c r="T64" s="68">
        <v>2857.24</v>
      </c>
      <c r="U64" s="38">
        <f t="shared" si="116"/>
        <v>0.31333333333333335</v>
      </c>
      <c r="V64" s="38">
        <f t="shared" si="117"/>
        <v>0.22676507936507934</v>
      </c>
      <c r="W64" s="68">
        <v>6000</v>
      </c>
      <c r="X64" s="68">
        <f>158600-50000</f>
        <v>108600</v>
      </c>
      <c r="Y64" s="68">
        <v>4130</v>
      </c>
      <c r="Z64" s="68">
        <v>68038.95</v>
      </c>
      <c r="AA64" s="38">
        <f t="shared" si="123"/>
        <v>0.68833333333333335</v>
      </c>
      <c r="AB64" s="38">
        <f t="shared" si="124"/>
        <v>0.62650966850828727</v>
      </c>
      <c r="AC64" s="68">
        <v>1500</v>
      </c>
      <c r="AD64" s="68">
        <v>1104</v>
      </c>
      <c r="AE64" s="38">
        <f t="shared" si="125"/>
        <v>0.73599999999999999</v>
      </c>
      <c r="AF64" s="74">
        <f t="shared" si="106"/>
        <v>133650</v>
      </c>
      <c r="AG64" s="74">
        <f t="shared" si="14"/>
        <v>73037.429999999993</v>
      </c>
      <c r="AH64" s="38">
        <f t="shared" si="107"/>
        <v>0.54648282828282824</v>
      </c>
    </row>
    <row r="65" spans="1:34" ht="30.6" customHeight="1" x14ac:dyDescent="0.3">
      <c r="A65" s="32">
        <v>1014081</v>
      </c>
      <c r="B65" s="32">
        <v>4081</v>
      </c>
      <c r="C65" s="31" t="s">
        <v>13</v>
      </c>
      <c r="D65" s="28" t="s">
        <v>50</v>
      </c>
      <c r="E65" s="68">
        <v>8</v>
      </c>
      <c r="F65" s="68">
        <v>41300</v>
      </c>
      <c r="G65" s="68">
        <v>3.59</v>
      </c>
      <c r="H65" s="68">
        <v>20678.37</v>
      </c>
      <c r="I65" s="38">
        <f t="shared" si="108"/>
        <v>0.44874999999999998</v>
      </c>
      <c r="J65" s="38">
        <f t="shared" si="109"/>
        <v>0.50068692493946731</v>
      </c>
      <c r="K65" s="68">
        <v>20</v>
      </c>
      <c r="L65" s="68">
        <v>1200</v>
      </c>
      <c r="M65" s="68">
        <v>13</v>
      </c>
      <c r="N65" s="68">
        <v>479.12</v>
      </c>
      <c r="O65" s="38">
        <f t="shared" si="112"/>
        <v>0.65</v>
      </c>
      <c r="P65" s="38">
        <f t="shared" si="113"/>
        <v>0.39926666666666666</v>
      </c>
      <c r="Q65" s="68">
        <v>4000</v>
      </c>
      <c r="R65" s="68">
        <v>33600</v>
      </c>
      <c r="S65" s="68">
        <v>1900</v>
      </c>
      <c r="T65" s="68">
        <v>19563.25</v>
      </c>
      <c r="U65" s="38">
        <f t="shared" si="116"/>
        <v>0.47499999999999998</v>
      </c>
      <c r="V65" s="38">
        <f t="shared" si="117"/>
        <v>0.58223958333333337</v>
      </c>
      <c r="W65" s="68"/>
      <c r="X65" s="68"/>
      <c r="Y65" s="54"/>
      <c r="Z65" s="62"/>
      <c r="AA65" s="38"/>
      <c r="AB65" s="38"/>
      <c r="AC65" s="68"/>
      <c r="AD65" s="68"/>
      <c r="AE65" s="38"/>
      <c r="AF65" s="75"/>
      <c r="AG65" s="75"/>
      <c r="AH65" s="38"/>
    </row>
    <row r="66" spans="1:34" ht="31.2" x14ac:dyDescent="0.3">
      <c r="A66" s="14" t="s">
        <v>92</v>
      </c>
      <c r="B66" s="42"/>
      <c r="C66" s="43"/>
      <c r="D66" s="44" t="s">
        <v>93</v>
      </c>
      <c r="E66" s="70">
        <f>E67</f>
        <v>7.89</v>
      </c>
      <c r="F66" s="70">
        <f t="shared" ref="F66" si="126">F67</f>
        <v>27100</v>
      </c>
      <c r="G66" s="70">
        <f t="shared" ref="G66:H66" si="127">G67</f>
        <v>7.4886600000000003</v>
      </c>
      <c r="H66" s="70">
        <f t="shared" si="127"/>
        <v>24100</v>
      </c>
      <c r="I66" s="25">
        <f t="shared" si="108"/>
        <v>0.94913307984790884</v>
      </c>
      <c r="J66" s="25">
        <f t="shared" si="109"/>
        <v>0.88929889298892983</v>
      </c>
      <c r="K66" s="70">
        <f t="shared" ref="K66:L66" si="128">K67</f>
        <v>60</v>
      </c>
      <c r="L66" s="70">
        <f t="shared" si="128"/>
        <v>2500</v>
      </c>
      <c r="M66" s="70">
        <f t="shared" ref="M66:N66" si="129">M67</f>
        <v>6.85</v>
      </c>
      <c r="N66" s="70">
        <f t="shared" si="129"/>
        <v>285.64999999999998</v>
      </c>
      <c r="O66" s="25">
        <f t="shared" si="112"/>
        <v>0.11416666666666667</v>
      </c>
      <c r="P66" s="25">
        <f t="shared" si="113"/>
        <v>0.11425999999999999</v>
      </c>
      <c r="Q66" s="70">
        <f t="shared" ref="Q66:R66" si="130">Q67</f>
        <v>5500</v>
      </c>
      <c r="R66" s="70">
        <f t="shared" si="130"/>
        <v>41000</v>
      </c>
      <c r="S66" s="70">
        <f t="shared" ref="S66:T68" si="131">S67</f>
        <v>288</v>
      </c>
      <c r="T66" s="70">
        <f t="shared" si="131"/>
        <v>2220.7199999999998</v>
      </c>
      <c r="U66" s="25">
        <f t="shared" si="116"/>
        <v>5.2363636363636362E-2</v>
      </c>
      <c r="V66" s="25">
        <f t="shared" si="117"/>
        <v>5.4163902439024386E-2</v>
      </c>
      <c r="W66" s="70">
        <f t="shared" ref="W66:X66" si="132">W67</f>
        <v>0</v>
      </c>
      <c r="X66" s="70">
        <f t="shared" si="132"/>
        <v>0</v>
      </c>
      <c r="Y66" s="55">
        <f t="shared" ref="Y66:Z66" si="133">Y67</f>
        <v>0</v>
      </c>
      <c r="Z66" s="60">
        <f t="shared" si="133"/>
        <v>0</v>
      </c>
      <c r="AA66" s="25"/>
      <c r="AB66" s="25"/>
      <c r="AC66" s="70">
        <f t="shared" ref="AC66" si="134">AC67</f>
        <v>0</v>
      </c>
      <c r="AD66" s="70">
        <f t="shared" ref="AD66:AE66" si="135">AD67</f>
        <v>0</v>
      </c>
      <c r="AE66" s="25">
        <f t="shared" si="135"/>
        <v>0</v>
      </c>
      <c r="AF66" s="70">
        <f>AF67</f>
        <v>70600</v>
      </c>
      <c r="AG66" s="70">
        <f>AG67</f>
        <v>26606.370000000003</v>
      </c>
      <c r="AH66" s="25">
        <f t="shared" si="107"/>
        <v>0.37686076487252129</v>
      </c>
    </row>
    <row r="67" spans="1:34" ht="46.8" x14ac:dyDescent="0.3">
      <c r="A67" s="45" t="s">
        <v>94</v>
      </c>
      <c r="B67" s="45" t="s">
        <v>95</v>
      </c>
      <c r="C67" s="45" t="s">
        <v>96</v>
      </c>
      <c r="D67" s="28" t="s">
        <v>97</v>
      </c>
      <c r="E67" s="68">
        <v>7.89</v>
      </c>
      <c r="F67" s="68">
        <v>27100</v>
      </c>
      <c r="G67" s="68">
        <v>7.4886600000000003</v>
      </c>
      <c r="H67" s="68">
        <v>24100</v>
      </c>
      <c r="I67" s="38">
        <f t="shared" ref="I67:I70" si="136">G67/E67</f>
        <v>0.94913307984790884</v>
      </c>
      <c r="J67" s="38">
        <f t="shared" ref="J67:J70" si="137">H67/F67</f>
        <v>0.88929889298892983</v>
      </c>
      <c r="K67" s="68">
        <v>60</v>
      </c>
      <c r="L67" s="68">
        <v>2500</v>
      </c>
      <c r="M67" s="68">
        <v>6.85</v>
      </c>
      <c r="N67" s="68">
        <v>285.64999999999998</v>
      </c>
      <c r="O67" s="38">
        <f t="shared" si="112"/>
        <v>0.11416666666666667</v>
      </c>
      <c r="P67" s="38">
        <f t="shared" si="113"/>
        <v>0.11425999999999999</v>
      </c>
      <c r="Q67" s="68">
        <v>5500</v>
      </c>
      <c r="R67" s="68">
        <v>41000</v>
      </c>
      <c r="S67" s="68">
        <v>288</v>
      </c>
      <c r="T67" s="68">
        <v>2220.7199999999998</v>
      </c>
      <c r="U67" s="38">
        <f t="shared" si="116"/>
        <v>5.2363636363636362E-2</v>
      </c>
      <c r="V67" s="38">
        <f t="shared" si="117"/>
        <v>5.4163902439024386E-2</v>
      </c>
      <c r="W67" s="68"/>
      <c r="X67" s="68"/>
      <c r="Y67" s="54"/>
      <c r="Z67" s="62"/>
      <c r="AA67" s="38"/>
      <c r="AB67" s="38"/>
      <c r="AC67" s="68"/>
      <c r="AD67" s="68"/>
      <c r="AE67" s="38"/>
      <c r="AF67" s="74">
        <f t="shared" si="106"/>
        <v>70600</v>
      </c>
      <c r="AG67" s="74">
        <f t="shared" ref="AG67" si="138">H67+N67+T67+Z67+AD67</f>
        <v>26606.370000000003</v>
      </c>
      <c r="AH67" s="38">
        <f t="shared" ref="AH67:AH70" si="139">AG67/AF67</f>
        <v>0.37686076487252129</v>
      </c>
    </row>
    <row r="68" spans="1:34" ht="48" customHeight="1" x14ac:dyDescent="0.3">
      <c r="A68" s="14" t="s">
        <v>114</v>
      </c>
      <c r="B68" s="42"/>
      <c r="C68" s="43"/>
      <c r="D68" s="44" t="s">
        <v>115</v>
      </c>
      <c r="E68" s="70">
        <f>E69</f>
        <v>1.139</v>
      </c>
      <c r="F68" s="70">
        <f t="shared" ref="F68:R68" si="140">F69</f>
        <v>3900</v>
      </c>
      <c r="G68" s="70">
        <f t="shared" ref="G68" si="141">G69</f>
        <v>0.64348000000000005</v>
      </c>
      <c r="H68" s="70">
        <f t="shared" ref="H68" si="142">H69</f>
        <v>1809.13</v>
      </c>
      <c r="I68" s="69">
        <f t="shared" ref="I68" si="143">I69</f>
        <v>0.56495171202809491</v>
      </c>
      <c r="J68" s="69">
        <f t="shared" ref="J68" si="144">J69</f>
        <v>0.46387948717948718</v>
      </c>
      <c r="K68" s="70">
        <f t="shared" si="140"/>
        <v>2.39</v>
      </c>
      <c r="L68" s="70">
        <f t="shared" si="140"/>
        <v>100</v>
      </c>
      <c r="M68" s="70">
        <f t="shared" si="140"/>
        <v>0.92149999999999999</v>
      </c>
      <c r="N68" s="70">
        <f t="shared" si="140"/>
        <v>38.520000000000003</v>
      </c>
      <c r="O68" s="69">
        <f t="shared" si="140"/>
        <v>0.38556485355648534</v>
      </c>
      <c r="P68" s="69">
        <f t="shared" si="140"/>
        <v>0.38520000000000004</v>
      </c>
      <c r="Q68" s="70">
        <f t="shared" si="140"/>
        <v>265</v>
      </c>
      <c r="R68" s="70">
        <f t="shared" si="140"/>
        <v>2000</v>
      </c>
      <c r="S68" s="70">
        <f t="shared" si="131"/>
        <v>54.804000000000002</v>
      </c>
      <c r="T68" s="70">
        <f t="shared" si="131"/>
        <v>442.49</v>
      </c>
      <c r="U68" s="25">
        <f t="shared" ref="U68:U69" si="145">S68/Q68</f>
        <v>0.20680754716981134</v>
      </c>
      <c r="V68" s="25">
        <f t="shared" ref="V68:V69" si="146">T68/R68</f>
        <v>0.221245</v>
      </c>
      <c r="W68" s="70">
        <f t="shared" ref="W68:X68" si="147">W69</f>
        <v>0</v>
      </c>
      <c r="X68" s="70">
        <f t="shared" si="147"/>
        <v>0</v>
      </c>
      <c r="Y68" s="55"/>
      <c r="Z68" s="60"/>
      <c r="AA68" s="25"/>
      <c r="AB68" s="25"/>
      <c r="AC68" s="70">
        <f t="shared" ref="AC68" si="148">AC69</f>
        <v>0</v>
      </c>
      <c r="AD68" s="70"/>
      <c r="AE68" s="25"/>
      <c r="AF68" s="70">
        <f>AF69</f>
        <v>6000</v>
      </c>
      <c r="AG68" s="70">
        <f>AG69</f>
        <v>2290.1400000000003</v>
      </c>
      <c r="AH68" s="25">
        <f t="shared" si="139"/>
        <v>0.38169000000000003</v>
      </c>
    </row>
    <row r="69" spans="1:34" ht="46.8" x14ac:dyDescent="0.3">
      <c r="A69" s="31" t="s">
        <v>116</v>
      </c>
      <c r="B69" s="31" t="s">
        <v>18</v>
      </c>
      <c r="C69" s="31" t="s">
        <v>5</v>
      </c>
      <c r="D69" s="28" t="s">
        <v>117</v>
      </c>
      <c r="E69" s="68">
        <v>1.139</v>
      </c>
      <c r="F69" s="68">
        <v>3900</v>
      </c>
      <c r="G69" s="68">
        <v>0.64348000000000005</v>
      </c>
      <c r="H69" s="68">
        <v>1809.13</v>
      </c>
      <c r="I69" s="72">
        <f t="shared" ref="I69" si="149">G69/E69</f>
        <v>0.56495171202809491</v>
      </c>
      <c r="J69" s="72">
        <f t="shared" ref="J69" si="150">H69/F69</f>
        <v>0.46387948717948718</v>
      </c>
      <c r="K69" s="68">
        <v>2.39</v>
      </c>
      <c r="L69" s="68">
        <v>100</v>
      </c>
      <c r="M69" s="68">
        <v>0.92149999999999999</v>
      </c>
      <c r="N69" s="68">
        <v>38.520000000000003</v>
      </c>
      <c r="O69" s="38">
        <f t="shared" ref="O69" si="151">M69/K69</f>
        <v>0.38556485355648534</v>
      </c>
      <c r="P69" s="38">
        <f t="shared" ref="P69" si="152">N69/L69</f>
        <v>0.38520000000000004</v>
      </c>
      <c r="Q69" s="68">
        <v>265</v>
      </c>
      <c r="R69" s="68">
        <v>2000</v>
      </c>
      <c r="S69" s="68">
        <v>54.804000000000002</v>
      </c>
      <c r="T69" s="68">
        <v>442.49</v>
      </c>
      <c r="U69" s="38">
        <f t="shared" si="145"/>
        <v>0.20680754716981134</v>
      </c>
      <c r="V69" s="38">
        <f t="shared" si="146"/>
        <v>0.221245</v>
      </c>
      <c r="W69" s="68"/>
      <c r="X69" s="68"/>
      <c r="Y69" s="71"/>
      <c r="Z69" s="71"/>
      <c r="AA69" s="72"/>
      <c r="AB69" s="72"/>
      <c r="AC69" s="68"/>
      <c r="AD69" s="68"/>
      <c r="AE69" s="72"/>
      <c r="AF69" s="74">
        <f t="shared" ref="AF69" si="153">F69+L69+R69+X69+AC69</f>
        <v>6000</v>
      </c>
      <c r="AG69" s="74">
        <f t="shared" ref="AG69" si="154">H69+N69+T69+Z69+AD69</f>
        <v>2290.1400000000003</v>
      </c>
      <c r="AH69" s="72">
        <f t="shared" ref="AH69" si="155">AG69/AF69</f>
        <v>0.38169000000000003</v>
      </c>
    </row>
    <row r="70" spans="1:34" s="49" customFormat="1" ht="34.950000000000003" customHeight="1" x14ac:dyDescent="0.25">
      <c r="A70" s="46"/>
      <c r="B70" s="46"/>
      <c r="C70" s="46"/>
      <c r="D70" s="67" t="s">
        <v>0</v>
      </c>
      <c r="E70" s="73">
        <f>E10+E16+E53+E57+E66+E68</f>
        <v>4676.1365000000005</v>
      </c>
      <c r="F70" s="73">
        <f t="shared" ref="F70:H70" si="156">F10+F16+F53+F57+F66+F68</f>
        <v>23569280.960000001</v>
      </c>
      <c r="G70" s="73">
        <f>G10+G16+G53+G57+G66+G68</f>
        <v>4167.6725920148392</v>
      </c>
      <c r="H70" s="73">
        <f t="shared" si="156"/>
        <v>21099344.410000008</v>
      </c>
      <c r="I70" s="48">
        <f t="shared" si="136"/>
        <v>0.89126410061272565</v>
      </c>
      <c r="J70" s="48">
        <f t="shared" si="137"/>
        <v>0.89520526509944098</v>
      </c>
      <c r="K70" s="73">
        <f t="shared" ref="K70:N70" si="157">K10+K16+K53+K57+K66+K68</f>
        <v>38334.244329823072</v>
      </c>
      <c r="L70" s="73">
        <f t="shared" si="157"/>
        <v>1540341</v>
      </c>
      <c r="M70" s="73">
        <f t="shared" si="157"/>
        <v>29266.577615599523</v>
      </c>
      <c r="N70" s="73">
        <f t="shared" si="157"/>
        <v>1084055.6199999999</v>
      </c>
      <c r="O70" s="48">
        <f t="shared" si="112"/>
        <v>0.76345779412771331</v>
      </c>
      <c r="P70" s="48">
        <f t="shared" si="113"/>
        <v>0.70377638457977798</v>
      </c>
      <c r="Q70" s="73">
        <f t="shared" ref="Q70:T70" si="158">Q10+Q16+Q53+Q57+Q66+Q68</f>
        <v>1571738</v>
      </c>
      <c r="R70" s="73">
        <f t="shared" si="158"/>
        <v>12895308.9</v>
      </c>
      <c r="S70" s="73">
        <f t="shared" si="158"/>
        <v>1152332.2990000001</v>
      </c>
      <c r="T70" s="73">
        <f t="shared" si="158"/>
        <v>8862470.7400000021</v>
      </c>
      <c r="U70" s="48">
        <f t="shared" si="116"/>
        <v>0.73315800661433406</v>
      </c>
      <c r="V70" s="48">
        <f t="shared" si="117"/>
        <v>0.6872631597060852</v>
      </c>
      <c r="W70" s="73">
        <f t="shared" ref="W70:Z70" si="159">W10+W16+W53+W57+W66+W68</f>
        <v>101054.98999999999</v>
      </c>
      <c r="X70" s="73">
        <f t="shared" si="159"/>
        <v>1971000</v>
      </c>
      <c r="Y70" s="73">
        <f t="shared" si="159"/>
        <v>72238.36</v>
      </c>
      <c r="Z70" s="73">
        <f t="shared" si="159"/>
        <v>1192334.67</v>
      </c>
      <c r="AA70" s="48">
        <f t="shared" si="123"/>
        <v>0.71484208746149014</v>
      </c>
      <c r="AB70" s="48">
        <f t="shared" si="124"/>
        <v>0.60493894977168949</v>
      </c>
      <c r="AC70" s="73">
        <f t="shared" ref="AC70:AD70" si="160">AC10+AC16+AC53+AC57+AC66+AC68</f>
        <v>929010</v>
      </c>
      <c r="AD70" s="73">
        <f t="shared" si="160"/>
        <v>755662.39500000002</v>
      </c>
      <c r="AE70" s="48">
        <f>AD70/AC70</f>
        <v>0.81340609358349214</v>
      </c>
      <c r="AF70" s="76">
        <f>AF10+AF16+AF53+AF57+AF66+AF68</f>
        <v>40904940.859999999</v>
      </c>
      <c r="AG70" s="76">
        <f>AG10+AG16+AG53+AG57+AG66+AG68</f>
        <v>32953147.09500001</v>
      </c>
      <c r="AH70" s="63">
        <f t="shared" si="139"/>
        <v>0.80560309835881305</v>
      </c>
    </row>
    <row r="71" spans="1:34" x14ac:dyDescent="0.3">
      <c r="A71" s="8"/>
      <c r="B71" s="9"/>
      <c r="C71" s="9"/>
      <c r="D71" s="4"/>
      <c r="E71" s="7"/>
      <c r="F71" s="22"/>
      <c r="G71" s="22"/>
      <c r="H71" s="22"/>
      <c r="I71" s="22"/>
      <c r="J71" s="22"/>
      <c r="K71" s="7"/>
      <c r="L71" s="7"/>
      <c r="M71" s="7"/>
      <c r="N71" s="7"/>
      <c r="O71" s="7"/>
      <c r="P71" s="7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7"/>
      <c r="AD71" s="7"/>
      <c r="AE71" s="7"/>
      <c r="AF71" s="7"/>
      <c r="AG71" s="7"/>
    </row>
    <row r="72" spans="1:34" s="47" customFormat="1" ht="18" x14ac:dyDescent="0.35">
      <c r="A72" s="50"/>
      <c r="B72" s="50"/>
      <c r="C72" s="50"/>
      <c r="D72" s="51"/>
      <c r="E72" s="52"/>
      <c r="F72" s="53"/>
      <c r="G72" s="53"/>
      <c r="H72" s="53"/>
      <c r="I72" s="53"/>
      <c r="J72" s="53"/>
      <c r="K72" s="52"/>
      <c r="L72" s="52"/>
      <c r="M72" s="52"/>
      <c r="N72" s="52"/>
      <c r="O72" s="52"/>
      <c r="P72" s="52"/>
      <c r="Q72" s="53"/>
      <c r="R72" s="53"/>
      <c r="S72" s="53"/>
      <c r="T72" s="53"/>
      <c r="U72" s="53"/>
      <c r="V72" s="53"/>
      <c r="W72" s="53" t="s">
        <v>98</v>
      </c>
      <c r="X72" s="52"/>
      <c r="Z72" s="53"/>
      <c r="AA72" s="53"/>
      <c r="AB72" s="53"/>
      <c r="AC72" s="52"/>
      <c r="AD72" s="52"/>
      <c r="AE72" s="52"/>
      <c r="AF72" s="52" t="s">
        <v>99</v>
      </c>
      <c r="AG72" s="52"/>
    </row>
  </sheetData>
  <mergeCells count="31">
    <mergeCell ref="T1:U1"/>
    <mergeCell ref="T2:V2"/>
    <mergeCell ref="Y8:Z8"/>
    <mergeCell ref="AA8:AB8"/>
    <mergeCell ref="W7:AB7"/>
    <mergeCell ref="AC7:AE7"/>
    <mergeCell ref="AF7:AH7"/>
    <mergeCell ref="AC8:AC9"/>
    <mergeCell ref="AD8:AD9"/>
    <mergeCell ref="AE8:AE9"/>
    <mergeCell ref="AF8:AF9"/>
    <mergeCell ref="AG8:AG9"/>
    <mergeCell ref="AH8:AH9"/>
    <mergeCell ref="Q8:R8"/>
    <mergeCell ref="S8:T8"/>
    <mergeCell ref="U8:V8"/>
    <mergeCell ref="Q7:V7"/>
    <mergeCell ref="W8:X8"/>
    <mergeCell ref="E5:P5"/>
    <mergeCell ref="I8:J8"/>
    <mergeCell ref="E7:J7"/>
    <mergeCell ref="A7:A9"/>
    <mergeCell ref="B7:B9"/>
    <mergeCell ref="C7:C9"/>
    <mergeCell ref="D7:D9"/>
    <mergeCell ref="E8:F8"/>
    <mergeCell ref="G8:H8"/>
    <mergeCell ref="K8:L8"/>
    <mergeCell ref="M8:N8"/>
    <mergeCell ref="O8:P8"/>
    <mergeCell ref="K7:P7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37" fitToWidth="2" fitToHeight="2" orientation="landscape" r:id="rId1"/>
  <headerFooter differentFirst="1" alignWithMargins="0">
    <oddHeader>&amp;C&amp;P</oddHeader>
  </headerFooter>
  <rowBreaks count="1" manualBreakCount="1">
    <brk id="33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2023-11-09T13:49:29Z</cp:lastPrinted>
  <dcterms:created xsi:type="dcterms:W3CDTF">2002-01-03T07:12:49Z</dcterms:created>
  <dcterms:modified xsi:type="dcterms:W3CDTF">2024-01-16T07:18:06Z</dcterms:modified>
</cp:coreProperties>
</file>