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ВИКОНКОМ 19.01.2024\25\"/>
    </mc:Choice>
  </mc:AlternateContent>
  <xr:revisionPtr revIDLastSave="0" documentId="13_ncr:1_{A981E333-FF1A-4893-ACFF-5838EF173BD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д 1" sheetId="18" r:id="rId1"/>
    <sheet name="дод2" sheetId="25" r:id="rId2"/>
    <sheet name="дод 3" sheetId="26" r:id="rId3"/>
    <sheet name="ПОВ СОБ ТПВ" sheetId="1" state="hidden" r:id="rId4"/>
    <sheet name="ПОВННА СОБ ВГВ" sheetId="10" state="hidden" r:id="rId5"/>
    <sheet name="Перелік документів" sheetId="20" state="hidden" r:id="rId6"/>
    <sheet name="РІЧНИЙ  План" sheetId="4" state="hidden" r:id="rId7"/>
    <sheet name="Інф про пробіг та ходки" sheetId="17" state="hidden" r:id="rId8"/>
    <sheet name="Загальні відомості" sheetId="5" state="hidden" r:id="rId9"/>
    <sheet name="Спец одяг" sheetId="19" state="hidden" r:id="rId10"/>
    <sheet name="Транспортні засоби" sheetId="8" state="hidden" r:id="rId11"/>
    <sheet name="ЦІНИ ПММ ШИНИ АКУМ" sheetId="21" state="hidden" r:id="rId12"/>
    <sheet name="ПММ збирання" sheetId="7" state="hidden" r:id="rId13"/>
    <sheet name="ПММ перевезення" sheetId="6" state="hidden" r:id="rId14"/>
    <sheet name="Штатне 2024" sheetId="23" state="hidden" r:id="rId15"/>
    <sheet name="Штатне" sheetId="9" state="hidden" r:id="rId16"/>
    <sheet name="ЗВВ" sheetId="2" state="hidden" r:id="rId17"/>
    <sheet name="АДМ" sheetId="3" state="hidden" r:id="rId18"/>
    <sheet name="РОзподіл  ЗВВ АДМ" sheetId="24" state="hidden" r:id="rId19"/>
    <sheet name="Амортизація Ремонт дезін мийка" sheetId="14" state="hidden" r:id="rId20"/>
    <sheet name="Норма накопичення" sheetId="16" state="hidden" r:id="rId21"/>
  </sheets>
  <externalReferences>
    <externalReference r:id="rId22"/>
    <externalReference r:id="rId23"/>
  </externalReferences>
  <definedNames>
    <definedName name="_xlnm.Print_Area" localSheetId="17">АДМ!$A$10:$I$32</definedName>
    <definedName name="_xlnm.Print_Area" localSheetId="19">'Амортизація Ремонт дезін мийка'!$A$3:$G$36</definedName>
    <definedName name="_xlnm.Print_Area" localSheetId="0">'дод 1'!$A$1:$I$14</definedName>
    <definedName name="_xlnm.Print_Area" localSheetId="2">'дод 3'!$A$4:$Z$40</definedName>
    <definedName name="_xlnm.Print_Area" localSheetId="1">дод2!$A$4:$AA$43</definedName>
    <definedName name="_xlnm.Print_Area" localSheetId="8">'Загальні відомості'!$A$3:$O$19</definedName>
    <definedName name="_xlnm.Print_Area" localSheetId="16">ЗВВ!$A$5:$J$28</definedName>
    <definedName name="_xlnm.Print_Area" localSheetId="12">'ПММ збирання'!$A$2:$N$25</definedName>
    <definedName name="_xlnm.Print_Area" localSheetId="13">'ПММ перевезення'!$A$3:$K$17</definedName>
    <definedName name="_xlnm.Print_Area" localSheetId="3">'ПОВ СОБ ТПВ'!$A$5:$AB$45</definedName>
    <definedName name="_xlnm.Print_Area" localSheetId="4">'ПОВННА СОБ ВГВ'!$A$5:$Z$40</definedName>
    <definedName name="_xlnm.Print_Area" localSheetId="6">'РІЧНИЙ  План'!$A$11:$P$57</definedName>
    <definedName name="_xlnm.Print_Area" localSheetId="9">'Спец одяг'!$Y$1:$AH$20</definedName>
    <definedName name="_xlnm.Print_Area" localSheetId="10">'Транспортні засоби'!$A$2:$Q$17</definedName>
    <definedName name="_xlnm.Print_Area" localSheetId="11">'ЦІНИ ПММ ШИНИ АКУМ'!$A$1:$G$22</definedName>
    <definedName name="_xlnm.Print_Area" localSheetId="14">'Штатне 2024'!$A$1:$S$56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8" i="25" l="1"/>
  <c r="W38" i="25"/>
  <c r="S38" i="25"/>
  <c r="P38" i="25"/>
  <c r="M7" i="5"/>
  <c r="V34" i="26"/>
  <c r="X36" i="26"/>
  <c r="V36" i="26"/>
  <c r="V35" i="26" s="1"/>
  <c r="R36" i="26"/>
  <c r="O36" i="26"/>
  <c r="W35" i="26"/>
  <c r="Y33" i="26"/>
  <c r="X33" i="26"/>
  <c r="Y32" i="26"/>
  <c r="X32" i="26"/>
  <c r="X26" i="26"/>
  <c r="P26" i="26"/>
  <c r="Y26" i="26" s="1"/>
  <c r="X24" i="26"/>
  <c r="S24" i="26"/>
  <c r="R24" i="26"/>
  <c r="P24" i="26"/>
  <c r="Y24" i="26" s="1"/>
  <c r="X23" i="26"/>
  <c r="R23" i="26"/>
  <c r="S23" i="26" s="1"/>
  <c r="P23" i="26"/>
  <c r="Q21" i="26"/>
  <c r="R20" i="26"/>
  <c r="R22" i="26" s="1"/>
  <c r="O20" i="26"/>
  <c r="O22" i="26" s="1"/>
  <c r="X19" i="26"/>
  <c r="R19" i="26"/>
  <c r="S19" i="26" s="1"/>
  <c r="P19" i="26"/>
  <c r="Y19" i="26" s="1"/>
  <c r="R18" i="26"/>
  <c r="X18" i="26" s="1"/>
  <c r="P18" i="26"/>
  <c r="R17" i="26"/>
  <c r="R16" i="26" s="1"/>
  <c r="P17" i="26"/>
  <c r="Q16" i="26"/>
  <c r="O16" i="26"/>
  <c r="P16" i="26" s="1"/>
  <c r="R15" i="26"/>
  <c r="S15" i="26" s="1"/>
  <c r="R14" i="26"/>
  <c r="S14" i="26" s="1"/>
  <c r="S13" i="26" s="1"/>
  <c r="U12" i="26"/>
  <c r="T12" i="26"/>
  <c r="Q12" i="26"/>
  <c r="U11" i="26"/>
  <c r="T11" i="26"/>
  <c r="Q11" i="26"/>
  <c r="U10" i="26"/>
  <c r="T10" i="26"/>
  <c r="Q10" i="26"/>
  <c r="Q29" i="26" s="1"/>
  <c r="AD40" i="25"/>
  <c r="AD39" i="25"/>
  <c r="X38" i="25"/>
  <c r="X36" i="25" s="1"/>
  <c r="X37" i="25" s="1"/>
  <c r="R38" i="25"/>
  <c r="V38" i="25" s="1"/>
  <c r="O38" i="25"/>
  <c r="P25" i="25" s="1"/>
  <c r="Y37" i="25"/>
  <c r="W37" i="25"/>
  <c r="U36" i="25"/>
  <c r="U37" i="25" s="1"/>
  <c r="T36" i="25"/>
  <c r="T37" i="25" s="1"/>
  <c r="Q36" i="25"/>
  <c r="Q37" i="25" s="1"/>
  <c r="Q35" i="25"/>
  <c r="Q34" i="25"/>
  <c r="Q33" i="25"/>
  <c r="Q30" i="25"/>
  <c r="Z27" i="25"/>
  <c r="R25" i="25"/>
  <c r="S25" i="25" s="1"/>
  <c r="AA23" i="25"/>
  <c r="R23" i="25"/>
  <c r="S23" i="25" s="1"/>
  <c r="P23" i="25"/>
  <c r="O23" i="25"/>
  <c r="Z23" i="25" s="1"/>
  <c r="S20" i="25"/>
  <c r="R20" i="25"/>
  <c r="R22" i="25" s="1"/>
  <c r="S22" i="25" s="1"/>
  <c r="O20" i="25"/>
  <c r="P20" i="25" s="1"/>
  <c r="R19" i="25"/>
  <c r="S19" i="25" s="1"/>
  <c r="P19" i="25"/>
  <c r="AA19" i="25" s="1"/>
  <c r="O19" i="25"/>
  <c r="U18" i="25"/>
  <c r="S18" i="25"/>
  <c r="R18" i="25"/>
  <c r="Z18" i="25" s="1"/>
  <c r="O18" i="25"/>
  <c r="S17" i="25"/>
  <c r="R17" i="25"/>
  <c r="O17" i="25"/>
  <c r="P18" i="25" s="1"/>
  <c r="AA18" i="25" s="1"/>
  <c r="Q16" i="25"/>
  <c r="R15" i="25"/>
  <c r="S15" i="25" s="1"/>
  <c r="S14" i="25"/>
  <c r="R14" i="25"/>
  <c r="R13" i="25" s="1"/>
  <c r="S13" i="25" s="1"/>
  <c r="Q13" i="25"/>
  <c r="U12" i="25"/>
  <c r="T12" i="25"/>
  <c r="Q12" i="25"/>
  <c r="Q11" i="25" s="1"/>
  <c r="U11" i="25"/>
  <c r="U10" i="25" s="1"/>
  <c r="T11" i="25"/>
  <c r="T10" i="25" s="1"/>
  <c r="Q9" i="8"/>
  <c r="Q8" i="8"/>
  <c r="Q7" i="8"/>
  <c r="AD40" i="1"/>
  <c r="I9" i="18"/>
  <c r="H9" i="18"/>
  <c r="G9" i="18"/>
  <c r="F9" i="18"/>
  <c r="F8" i="18"/>
  <c r="F7" i="18"/>
  <c r="F6" i="18"/>
  <c r="E8" i="18"/>
  <c r="E9" i="18"/>
  <c r="D9" i="18"/>
  <c r="D8" i="18"/>
  <c r="C9" i="18"/>
  <c r="C8" i="18"/>
  <c r="B9" i="18"/>
  <c r="B8" i="18"/>
  <c r="B7" i="18"/>
  <c r="B6" i="18"/>
  <c r="Q35" i="1"/>
  <c r="Q34" i="1"/>
  <c r="Q33" i="1"/>
  <c r="Q46" i="23"/>
  <c r="X22" i="26" l="1"/>
  <c r="P22" i="26"/>
  <c r="Y22" i="26" s="1"/>
  <c r="S22" i="26"/>
  <c r="Y18" i="26"/>
  <c r="Y23" i="26"/>
  <c r="R13" i="26"/>
  <c r="R12" i="26" s="1"/>
  <c r="X16" i="26"/>
  <c r="S17" i="26"/>
  <c r="S20" i="26"/>
  <c r="X17" i="26"/>
  <c r="S18" i="26"/>
  <c r="X20" i="26"/>
  <c r="P20" i="26"/>
  <c r="Y20" i="26" s="1"/>
  <c r="R16" i="25"/>
  <c r="Z20" i="25"/>
  <c r="O22" i="25"/>
  <c r="P17" i="25"/>
  <c r="AA17" i="25" s="1"/>
  <c r="O16" i="25"/>
  <c r="Z25" i="25"/>
  <c r="Z17" i="25"/>
  <c r="Z19" i="25"/>
  <c r="AA20" i="25"/>
  <c r="AA25" i="25"/>
  <c r="P27" i="25"/>
  <c r="AA27" i="25" s="1"/>
  <c r="R19" i="10"/>
  <c r="R17" i="10"/>
  <c r="O16" i="10"/>
  <c r="C32" i="14"/>
  <c r="C31" i="14"/>
  <c r="C29" i="14"/>
  <c r="C12" i="14"/>
  <c r="C11" i="14"/>
  <c r="C10" i="14"/>
  <c r="C8" i="14"/>
  <c r="E28" i="3"/>
  <c r="E27" i="3"/>
  <c r="E26" i="3"/>
  <c r="E25" i="3"/>
  <c r="E24" i="3"/>
  <c r="E23" i="3"/>
  <c r="E22" i="3"/>
  <c r="E21" i="3"/>
  <c r="E20" i="3"/>
  <c r="E19" i="3"/>
  <c r="E18" i="3"/>
  <c r="E25" i="2"/>
  <c r="E24" i="2"/>
  <c r="E23" i="2"/>
  <c r="E22" i="2"/>
  <c r="E20" i="2"/>
  <c r="E19" i="2"/>
  <c r="E18" i="2"/>
  <c r="E17" i="2"/>
  <c r="E16" i="2"/>
  <c r="D9" i="8"/>
  <c r="D8" i="8"/>
  <c r="D7" i="8"/>
  <c r="S16" i="26" l="1"/>
  <c r="Y17" i="26"/>
  <c r="S16" i="25"/>
  <c r="R12" i="25"/>
  <c r="Z16" i="25"/>
  <c r="P16" i="25"/>
  <c r="AA16" i="25" s="1"/>
  <c r="P22" i="25"/>
  <c r="AA22" i="25" s="1"/>
  <c r="Z22" i="25"/>
  <c r="F32" i="14"/>
  <c r="E32" i="14"/>
  <c r="F31" i="14"/>
  <c r="E31" i="14"/>
  <c r="F29" i="14"/>
  <c r="E29" i="14"/>
  <c r="V35" i="10"/>
  <c r="W35" i="10"/>
  <c r="V34" i="10"/>
  <c r="V36" i="10"/>
  <c r="X36" i="1"/>
  <c r="X38" i="1"/>
  <c r="W37" i="1"/>
  <c r="Y37" i="1"/>
  <c r="Q16" i="1"/>
  <c r="Q13" i="1"/>
  <c r="T36" i="1"/>
  <c r="T37" i="1" s="1"/>
  <c r="U36" i="1"/>
  <c r="U37" i="1" s="1"/>
  <c r="T12" i="1"/>
  <c r="U12" i="1"/>
  <c r="Q30" i="1"/>
  <c r="Q36" i="1" s="1"/>
  <c r="Q37" i="1" s="1"/>
  <c r="S12" i="26" l="1"/>
  <c r="Y16" i="26"/>
  <c r="S12" i="25"/>
  <c r="Q12" i="1"/>
  <c r="X37" i="1" l="1"/>
  <c r="Q21" i="10" l="1"/>
  <c r="R23" i="10"/>
  <c r="Q16" i="10"/>
  <c r="Q12" i="10" s="1"/>
  <c r="Q11" i="10" s="1"/>
  <c r="Q10" i="10" s="1"/>
  <c r="Q29" i="10" s="1"/>
  <c r="O19" i="1"/>
  <c r="R25" i="1"/>
  <c r="R23" i="1"/>
  <c r="O23" i="1"/>
  <c r="R17" i="1"/>
  <c r="O17" i="1"/>
  <c r="R19" i="1"/>
  <c r="D15" i="3"/>
  <c r="C15" i="3"/>
  <c r="C18" i="3"/>
  <c r="C28" i="3"/>
  <c r="C26" i="3"/>
  <c r="Q11" i="1" l="1"/>
  <c r="C16" i="3" l="1"/>
  <c r="D16" i="3" s="1"/>
  <c r="D17" i="3" s="1"/>
  <c r="R46" i="23"/>
  <c r="L9" i="23"/>
  <c r="L10" i="23"/>
  <c r="L11" i="23"/>
  <c r="D18" i="3"/>
  <c r="D11" i="2"/>
  <c r="D12" i="2"/>
  <c r="D14" i="2"/>
  <c r="D13" i="2"/>
  <c r="E15" i="2"/>
  <c r="D15" i="2"/>
  <c r="D21" i="2"/>
  <c r="E21" i="2"/>
  <c r="D20" i="2"/>
  <c r="D16" i="2"/>
  <c r="C17" i="3" l="1"/>
  <c r="N14" i="5" l="1"/>
  <c r="N13" i="5"/>
  <c r="N12" i="5"/>
  <c r="M14" i="5"/>
  <c r="M13" i="5"/>
  <c r="M12" i="5"/>
  <c r="B32" i="14" l="1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B31" i="14"/>
  <c r="M10" i="5" l="1"/>
  <c r="N10" i="5"/>
  <c r="N9" i="5"/>
  <c r="N8" i="5"/>
  <c r="N7" i="5"/>
  <c r="M8" i="5"/>
  <c r="M9" i="5"/>
  <c r="AF8" i="19" l="1"/>
  <c r="AH8" i="19" s="1"/>
  <c r="AF16" i="19"/>
  <c r="AB16" i="19"/>
  <c r="AC16" i="19"/>
  <c r="AF15" i="19"/>
  <c r="AF12" i="19"/>
  <c r="AF11" i="19"/>
  <c r="AB11" i="19"/>
  <c r="AE12" i="19"/>
  <c r="AE11" i="19"/>
  <c r="AA12" i="19"/>
  <c r="AA11" i="19"/>
  <c r="AF10" i="19"/>
  <c r="AB5" i="19"/>
  <c r="AB7" i="19"/>
  <c r="AB12" i="19" s="1"/>
  <c r="K43" i="23"/>
  <c r="AF17" i="19" l="1"/>
  <c r="AH17" i="19" s="1"/>
  <c r="AB8" i="19"/>
  <c r="AD8" i="19" s="1"/>
  <c r="R7" i="8" l="1"/>
  <c r="K18" i="7" l="1"/>
  <c r="H34" i="21"/>
  <c r="F22" i="21"/>
  <c r="F21" i="21"/>
  <c r="G20" i="21"/>
  <c r="H32" i="21" s="1"/>
  <c r="F20" i="21"/>
  <c r="F19" i="21"/>
  <c r="G18" i="21"/>
  <c r="H18" i="21" s="1"/>
  <c r="F18" i="21"/>
  <c r="F16" i="21"/>
  <c r="F15" i="21"/>
  <c r="G15" i="21" s="1"/>
  <c r="H15" i="21" s="1"/>
  <c r="G14" i="21"/>
  <c r="H14" i="21" s="1"/>
  <c r="F14" i="21"/>
  <c r="F13" i="21"/>
  <c r="F12" i="21"/>
  <c r="F11" i="21"/>
  <c r="G10" i="21" s="1"/>
  <c r="H10" i="21" s="1"/>
  <c r="F10" i="21"/>
  <c r="F8" i="21"/>
  <c r="G8" i="21" s="1"/>
  <c r="H8" i="21" s="1"/>
  <c r="F6" i="21"/>
  <c r="H5" i="21"/>
  <c r="F5" i="21"/>
  <c r="G4" i="21"/>
  <c r="F4" i="21"/>
  <c r="L7" i="8"/>
  <c r="F20" i="17"/>
  <c r="E20" i="17"/>
  <c r="E21" i="17" s="1"/>
  <c r="D20" i="17"/>
  <c r="P19" i="17"/>
  <c r="Q19" i="17" s="1"/>
  <c r="O19" i="17"/>
  <c r="M19" i="17"/>
  <c r="N19" i="17" s="1"/>
  <c r="L19" i="17"/>
  <c r="I19" i="17"/>
  <c r="F19" i="17"/>
  <c r="P18" i="17"/>
  <c r="Q18" i="17" s="1"/>
  <c r="O18" i="17"/>
  <c r="M18" i="17"/>
  <c r="N18" i="17" s="1"/>
  <c r="L18" i="17"/>
  <c r="I18" i="17"/>
  <c r="F18" i="17"/>
  <c r="P17" i="17"/>
  <c r="Q17" i="17" s="1"/>
  <c r="O17" i="17"/>
  <c r="M17" i="17"/>
  <c r="N17" i="17" s="1"/>
  <c r="L17" i="17"/>
  <c r="I17" i="17"/>
  <c r="F17" i="17"/>
  <c r="P16" i="17"/>
  <c r="Q16" i="17" s="1"/>
  <c r="O16" i="17"/>
  <c r="M16" i="17"/>
  <c r="N16" i="17" s="1"/>
  <c r="L16" i="17"/>
  <c r="I16" i="17"/>
  <c r="F16" i="17"/>
  <c r="P15" i="17"/>
  <c r="Q15" i="17" s="1"/>
  <c r="O15" i="17"/>
  <c r="M15" i="17"/>
  <c r="N15" i="17" s="1"/>
  <c r="L15" i="17"/>
  <c r="I15" i="17"/>
  <c r="F15" i="17"/>
  <c r="P14" i="17"/>
  <c r="Q14" i="17" s="1"/>
  <c r="O14" i="17"/>
  <c r="M14" i="17"/>
  <c r="N14" i="17" s="1"/>
  <c r="L14" i="17"/>
  <c r="I14" i="17"/>
  <c r="F14" i="17"/>
  <c r="P13" i="17"/>
  <c r="Q13" i="17" s="1"/>
  <c r="O13" i="17"/>
  <c r="M13" i="17"/>
  <c r="N13" i="17" s="1"/>
  <c r="L13" i="17"/>
  <c r="I13" i="17"/>
  <c r="F13" i="17"/>
  <c r="P12" i="17"/>
  <c r="Q12" i="17" s="1"/>
  <c r="O12" i="17"/>
  <c r="M12" i="17"/>
  <c r="N12" i="17" s="1"/>
  <c r="L12" i="17"/>
  <c r="I12" i="17"/>
  <c r="F12" i="17"/>
  <c r="P11" i="17"/>
  <c r="Q11" i="17" s="1"/>
  <c r="O11" i="17"/>
  <c r="M11" i="17"/>
  <c r="N11" i="17" s="1"/>
  <c r="L11" i="17"/>
  <c r="I11" i="17"/>
  <c r="F11" i="17"/>
  <c r="P10" i="17"/>
  <c r="Q10" i="17" s="1"/>
  <c r="O10" i="17"/>
  <c r="M10" i="17"/>
  <c r="N10" i="17" s="1"/>
  <c r="L10" i="17"/>
  <c r="I10" i="17"/>
  <c r="F10" i="17"/>
  <c r="P9" i="17"/>
  <c r="Q9" i="17" s="1"/>
  <c r="O9" i="17"/>
  <c r="M9" i="17"/>
  <c r="N9" i="17" s="1"/>
  <c r="L9" i="17"/>
  <c r="I9" i="17"/>
  <c r="F9" i="17"/>
  <c r="P8" i="17"/>
  <c r="P20" i="17" s="1"/>
  <c r="O8" i="17"/>
  <c r="M8" i="17"/>
  <c r="M20" i="17" s="1"/>
  <c r="L8" i="17"/>
  <c r="L20" i="17" s="1"/>
  <c r="I8" i="17"/>
  <c r="I20" i="17" s="1"/>
  <c r="F8" i="17"/>
  <c r="N9" i="23"/>
  <c r="R9" i="23" s="1"/>
  <c r="N10" i="23"/>
  <c r="R10" i="23" s="1"/>
  <c r="L19" i="23"/>
  <c r="N19" i="23" s="1"/>
  <c r="H43" i="23"/>
  <c r="J42" i="23"/>
  <c r="L42" i="23" s="1"/>
  <c r="N42" i="23" s="1"/>
  <c r="Q42" i="23" s="1"/>
  <c r="J41" i="23"/>
  <c r="L41" i="23" s="1"/>
  <c r="N41" i="23" s="1"/>
  <c r="Q41" i="23" s="1"/>
  <c r="S40" i="23"/>
  <c r="R40" i="23"/>
  <c r="Q40" i="23"/>
  <c r="J40" i="23"/>
  <c r="L40" i="23" s="1"/>
  <c r="N40" i="23" s="1"/>
  <c r="J39" i="23"/>
  <c r="L39" i="23" s="1"/>
  <c r="N39" i="23" s="1"/>
  <c r="Q39" i="23" s="1"/>
  <c r="J38" i="23"/>
  <c r="L38" i="23" s="1"/>
  <c r="N38" i="23" s="1"/>
  <c r="Q38" i="23" s="1"/>
  <c r="J37" i="23"/>
  <c r="L37" i="23" s="1"/>
  <c r="N37" i="23" s="1"/>
  <c r="Q37" i="23" s="1"/>
  <c r="J36" i="23"/>
  <c r="L36" i="23" s="1"/>
  <c r="N36" i="23" s="1"/>
  <c r="J35" i="23"/>
  <c r="L35" i="23" s="1"/>
  <c r="N35" i="23" s="1"/>
  <c r="J34" i="23"/>
  <c r="L34" i="23" s="1"/>
  <c r="N34" i="23" s="1"/>
  <c r="J33" i="23"/>
  <c r="L33" i="23" s="1"/>
  <c r="N33" i="23" s="1"/>
  <c r="Q33" i="23" s="1"/>
  <c r="J32" i="23"/>
  <c r="L32" i="23" s="1"/>
  <c r="N32" i="23" s="1"/>
  <c r="Q32" i="23" s="1"/>
  <c r="J31" i="23"/>
  <c r="L31" i="23" s="1"/>
  <c r="N31" i="23" s="1"/>
  <c r="Q31" i="23" s="1"/>
  <c r="J30" i="23"/>
  <c r="L30" i="23" s="1"/>
  <c r="N30" i="23" s="1"/>
  <c r="Q30" i="23" s="1"/>
  <c r="J29" i="23"/>
  <c r="L29" i="23" s="1"/>
  <c r="N29" i="23" s="1"/>
  <c r="Q29" i="23" s="1"/>
  <c r="J28" i="23"/>
  <c r="L28" i="23" s="1"/>
  <c r="N28" i="23" s="1"/>
  <c r="Q28" i="23" s="1"/>
  <c r="J27" i="23"/>
  <c r="L27" i="23" s="1"/>
  <c r="N27" i="23" s="1"/>
  <c r="Q27" i="23" s="1"/>
  <c r="J26" i="23"/>
  <c r="L26" i="23" s="1"/>
  <c r="N26" i="23" s="1"/>
  <c r="Q26" i="23" s="1"/>
  <c r="J25" i="23"/>
  <c r="L25" i="23" s="1"/>
  <c r="N25" i="23" s="1"/>
  <c r="Q25" i="23" s="1"/>
  <c r="J24" i="23"/>
  <c r="L24" i="23" s="1"/>
  <c r="N24" i="23" s="1"/>
  <c r="Q24" i="23" s="1"/>
  <c r="J23" i="23"/>
  <c r="L23" i="23" s="1"/>
  <c r="N23" i="23" s="1"/>
  <c r="S23" i="23" s="1"/>
  <c r="S22" i="23"/>
  <c r="J22" i="23"/>
  <c r="L22" i="23" s="1"/>
  <c r="N22" i="23" s="1"/>
  <c r="J21" i="23"/>
  <c r="L21" i="23" s="1"/>
  <c r="N21" i="23" s="1"/>
  <c r="S21" i="23" s="1"/>
  <c r="J20" i="23"/>
  <c r="L20" i="23" s="1"/>
  <c r="N20" i="23" s="1"/>
  <c r="S20" i="23" s="1"/>
  <c r="J18" i="23"/>
  <c r="L18" i="23" s="1"/>
  <c r="N18" i="23" s="1"/>
  <c r="S18" i="23" s="1"/>
  <c r="J17" i="23"/>
  <c r="L17" i="23" s="1"/>
  <c r="N17" i="23" s="1"/>
  <c r="R17" i="23" s="1"/>
  <c r="J16" i="23"/>
  <c r="L16" i="23" s="1"/>
  <c r="N16" i="23" s="1"/>
  <c r="R16" i="23" s="1"/>
  <c r="J15" i="23"/>
  <c r="L15" i="23" s="1"/>
  <c r="N15" i="23" s="1"/>
  <c r="R15" i="23" s="1"/>
  <c r="J14" i="23"/>
  <c r="L14" i="23" s="1"/>
  <c r="N14" i="23" s="1"/>
  <c r="R14" i="23" s="1"/>
  <c r="J13" i="23"/>
  <c r="L13" i="23" s="1"/>
  <c r="N13" i="23" s="1"/>
  <c r="Q13" i="23" s="1"/>
  <c r="J12" i="23"/>
  <c r="L12" i="23" s="1"/>
  <c r="N12" i="23" s="1"/>
  <c r="Q12" i="23" s="1"/>
  <c r="J11" i="23"/>
  <c r="N11" i="23" s="1"/>
  <c r="R11" i="23" s="1"/>
  <c r="J8" i="23"/>
  <c r="L8" i="23" s="1"/>
  <c r="N8" i="23" l="1"/>
  <c r="R8" i="23" s="1"/>
  <c r="R45" i="23" s="1"/>
  <c r="E16" i="3" s="1"/>
  <c r="L43" i="23"/>
  <c r="N43" i="23"/>
  <c r="Q45" i="23"/>
  <c r="E13" i="2" s="1"/>
  <c r="J17" i="21"/>
  <c r="M21" i="17"/>
  <c r="Q8" i="17"/>
  <c r="Q20" i="17" s="1"/>
  <c r="N8" i="17"/>
  <c r="N20" i="17" s="1"/>
  <c r="S45" i="23"/>
  <c r="J43" i="23"/>
  <c r="E14" i="2" l="1"/>
  <c r="E12" i="2" s="1"/>
  <c r="E11" i="2" s="1"/>
  <c r="E14" i="24" s="1"/>
  <c r="E17" i="3"/>
  <c r="E15" i="3"/>
  <c r="H14" i="24" s="1"/>
  <c r="J44" i="23"/>
  <c r="AF3" i="19" l="1"/>
  <c r="F5" i="19"/>
  <c r="F7" i="19"/>
  <c r="F8" i="19"/>
  <c r="F9" i="19"/>
  <c r="F10" i="19"/>
  <c r="AB10" i="19"/>
  <c r="AB17" i="19" s="1"/>
  <c r="AD17" i="19" s="1"/>
  <c r="F14" i="19"/>
  <c r="F17" i="19"/>
  <c r="F18" i="19"/>
  <c r="F22" i="19"/>
  <c r="F23" i="19"/>
  <c r="F24" i="19"/>
  <c r="F25" i="19"/>
  <c r="F26" i="19"/>
  <c r="F27" i="19"/>
  <c r="F28" i="19"/>
  <c r="F29" i="19"/>
  <c r="F30" i="19"/>
  <c r="F31" i="19" l="1"/>
  <c r="F19" i="19"/>
  <c r="O28" i="4"/>
  <c r="O24" i="4"/>
  <c r="O22" i="4"/>
  <c r="N12" i="7" s="1"/>
  <c r="O21" i="4"/>
  <c r="O20" i="4" s="1"/>
  <c r="O8" i="8"/>
  <c r="O9" i="8"/>
  <c r="O7" i="8"/>
  <c r="L8" i="8"/>
  <c r="L9" i="8"/>
  <c r="N8" i="8"/>
  <c r="N9" i="8"/>
  <c r="N7" i="8"/>
  <c r="M8" i="8"/>
  <c r="M9" i="8"/>
  <c r="M7" i="8"/>
  <c r="P8" i="8"/>
  <c r="P9" i="8"/>
  <c r="P7" i="8"/>
  <c r="O10" i="8" l="1"/>
  <c r="M10" i="8"/>
  <c r="L10" i="8"/>
  <c r="P10" i="8"/>
  <c r="N10" i="8"/>
  <c r="B6" i="6"/>
  <c r="S7" i="8"/>
  <c r="N8" i="7"/>
  <c r="O27" i="4"/>
  <c r="O26" i="4" s="1"/>
  <c r="D6" i="6" l="1"/>
  <c r="E6" i="6" s="1"/>
  <c r="C6" i="6"/>
  <c r="F6" i="6"/>
  <c r="G6" i="6" s="1"/>
  <c r="T7" i="8"/>
  <c r="Q10" i="8"/>
  <c r="L15" i="16" l="1"/>
  <c r="L14" i="16"/>
  <c r="D27" i="3" l="1"/>
  <c r="D22" i="3"/>
  <c r="X19" i="10" l="1"/>
  <c r="Y33" i="10"/>
  <c r="Y32" i="10"/>
  <c r="X32" i="10"/>
  <c r="X26" i="10"/>
  <c r="U12" i="10"/>
  <c r="U11" i="10" s="1"/>
  <c r="U10" i="10" s="1"/>
  <c r="T12" i="10"/>
  <c r="T11" i="10" s="1"/>
  <c r="T10" i="10" s="1"/>
  <c r="Z19" i="1" l="1"/>
  <c r="X23" i="10"/>
  <c r="D8" i="5" l="1"/>
  <c r="D9" i="5"/>
  <c r="D7" i="5"/>
  <c r="B8" i="6"/>
  <c r="C8" i="6" s="1"/>
  <c r="B7" i="6"/>
  <c r="E7" i="5" l="1"/>
  <c r="K7" i="5"/>
  <c r="H7" i="5"/>
  <c r="I7" i="5" s="1"/>
  <c r="E9" i="5"/>
  <c r="K9" i="5"/>
  <c r="H9" i="5"/>
  <c r="I9" i="5" s="1"/>
  <c r="C7" i="6"/>
  <c r="B9" i="6"/>
  <c r="E8" i="5"/>
  <c r="K8" i="5"/>
  <c r="H8" i="5"/>
  <c r="C6" i="7"/>
  <c r="C7" i="7"/>
  <c r="C5" i="7"/>
  <c r="K10" i="5" l="1"/>
  <c r="O35" i="23" s="1"/>
  <c r="O20" i="1" s="1"/>
  <c r="O22" i="1" s="1"/>
  <c r="I8" i="5"/>
  <c r="I10" i="5" s="1"/>
  <c r="H10" i="5"/>
  <c r="Z27" i="1"/>
  <c r="R26" i="25" l="1"/>
  <c r="T18" i="25"/>
  <c r="R26" i="1"/>
  <c r="R24" i="1" s="1"/>
  <c r="T18" i="1"/>
  <c r="D28" i="3"/>
  <c r="R24" i="10"/>
  <c r="D20" i="3"/>
  <c r="D19" i="3"/>
  <c r="B15" i="16"/>
  <c r="D15" i="16" s="1"/>
  <c r="B14" i="16"/>
  <c r="D13" i="16"/>
  <c r="E13" i="16" s="1"/>
  <c r="S26" i="25" l="1"/>
  <c r="R24" i="25"/>
  <c r="X24" i="10"/>
  <c r="L13" i="16"/>
  <c r="D14" i="16"/>
  <c r="D26" i="3"/>
  <c r="D21" i="3" s="1"/>
  <c r="C21" i="3"/>
  <c r="T11" i="1"/>
  <c r="T10" i="1" s="1"/>
  <c r="U11" i="1"/>
  <c r="U10" i="1" s="1"/>
  <c r="S24" i="25" l="1"/>
  <c r="R21" i="25"/>
  <c r="C20" i="3"/>
  <c r="E14" i="16"/>
  <c r="G14" i="16" s="1"/>
  <c r="D16" i="16"/>
  <c r="S21" i="25" l="1"/>
  <c r="R11" i="25"/>
  <c r="E16" i="16"/>
  <c r="E18" i="16" s="1"/>
  <c r="G15" i="16"/>
  <c r="Z25" i="1"/>
  <c r="S11" i="25" l="1"/>
  <c r="F30" i="14"/>
  <c r="X17" i="10" s="1"/>
  <c r="Z23" i="1"/>
  <c r="E30" i="14" l="1"/>
  <c r="Z17" i="1" s="1"/>
  <c r="H19" i="9"/>
  <c r="H18" i="9"/>
  <c r="H10" i="9"/>
  <c r="I10" i="9" s="1"/>
  <c r="M10" i="9" s="1"/>
  <c r="H11" i="9"/>
  <c r="I11" i="9" s="1"/>
  <c r="M11" i="9" s="1"/>
  <c r="H14" i="9"/>
  <c r="I14" i="9" s="1"/>
  <c r="M14" i="9" s="1"/>
  <c r="H15" i="9"/>
  <c r="I15" i="9" s="1"/>
  <c r="M15" i="9" s="1"/>
  <c r="H16" i="9"/>
  <c r="I16" i="9" s="1"/>
  <c r="M16" i="9" s="1"/>
  <c r="H17" i="9"/>
  <c r="I17" i="9" s="1"/>
  <c r="H21" i="9"/>
  <c r="I21" i="9" s="1"/>
  <c r="L21" i="9" s="1"/>
  <c r="H24" i="9"/>
  <c r="I24" i="9" s="1"/>
  <c r="L24" i="9" s="1"/>
  <c r="H9" i="9"/>
  <c r="I9" i="9" s="1"/>
  <c r="E23" i="9"/>
  <c r="H23" i="9" s="1"/>
  <c r="I23" i="9" s="1"/>
  <c r="L23" i="9" s="1"/>
  <c r="E22" i="9"/>
  <c r="H22" i="9" s="1"/>
  <c r="I22" i="9" s="1"/>
  <c r="L22" i="9" s="1"/>
  <c r="E20" i="9"/>
  <c r="H20" i="9" s="1"/>
  <c r="I20" i="9" s="1"/>
  <c r="L20" i="9" s="1"/>
  <c r="E13" i="9"/>
  <c r="H13" i="9" s="1"/>
  <c r="I13" i="9" s="1"/>
  <c r="M13" i="9" s="1"/>
  <c r="E12" i="9"/>
  <c r="H12" i="9" s="1"/>
  <c r="I12" i="9" s="1"/>
  <c r="M12" i="9" s="1"/>
  <c r="C33" i="9"/>
  <c r="C32" i="9"/>
  <c r="C31" i="9"/>
  <c r="E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L17" i="9" l="1"/>
  <c r="M9" i="9"/>
  <c r="M25" i="9" s="1"/>
  <c r="F25" i="9"/>
  <c r="L25" i="9"/>
  <c r="D10" i="5"/>
  <c r="J8" i="6"/>
  <c r="K8" i="6" s="1"/>
  <c r="F7" i="6"/>
  <c r="G7" i="6" s="1"/>
  <c r="J6" i="6"/>
  <c r="K6" i="6" s="1"/>
  <c r="N10" i="7"/>
  <c r="K20" i="7" s="1"/>
  <c r="N20" i="7" s="1"/>
  <c r="B11" i="7"/>
  <c r="B10" i="7"/>
  <c r="N18" i="7"/>
  <c r="B7" i="7"/>
  <c r="B6" i="7"/>
  <c r="C8" i="7"/>
  <c r="B5" i="7"/>
  <c r="D5" i="7" s="1"/>
  <c r="D25" i="8"/>
  <c r="J19" i="9"/>
  <c r="D10" i="8"/>
  <c r="K9" i="8"/>
  <c r="K8" i="8"/>
  <c r="K7" i="8"/>
  <c r="E5" i="7" l="1"/>
  <c r="F5" i="7"/>
  <c r="D12" i="8"/>
  <c r="D13" i="8"/>
  <c r="C7" i="5"/>
  <c r="G7" i="5" s="1"/>
  <c r="C9" i="5"/>
  <c r="G9" i="5" s="1"/>
  <c r="C8" i="5"/>
  <c r="G8" i="5" s="1"/>
  <c r="J18" i="9"/>
  <c r="L5" i="7"/>
  <c r="M5" i="7" s="1"/>
  <c r="N5" i="7"/>
  <c r="D6" i="7"/>
  <c r="E6" i="7" s="1"/>
  <c r="D7" i="7"/>
  <c r="E7" i="7" s="1"/>
  <c r="K10" i="8"/>
  <c r="J9" i="5"/>
  <c r="L9" i="5" s="1"/>
  <c r="J8" i="5"/>
  <c r="L8" i="5" s="1"/>
  <c r="D7" i="6"/>
  <c r="H7" i="6"/>
  <c r="I7" i="6" s="1"/>
  <c r="J7" i="6"/>
  <c r="H6" i="6"/>
  <c r="I6" i="6" s="1"/>
  <c r="D8" i="6"/>
  <c r="E8" i="6" s="1"/>
  <c r="F8" i="6"/>
  <c r="G8" i="6" s="1"/>
  <c r="H8" i="6"/>
  <c r="I8" i="6" s="1"/>
  <c r="J5" i="7"/>
  <c r="K5" i="7" s="1"/>
  <c r="G5" i="7"/>
  <c r="Q13" i="8" l="1"/>
  <c r="D13" i="5" s="1"/>
  <c r="O13" i="8"/>
  <c r="M13" i="8"/>
  <c r="L13" i="8"/>
  <c r="P13" i="8"/>
  <c r="C11" i="7"/>
  <c r="D11" i="7" s="1"/>
  <c r="L11" i="7" s="1"/>
  <c r="M11" i="7" s="1"/>
  <c r="Q12" i="8"/>
  <c r="O12" i="8"/>
  <c r="L12" i="8"/>
  <c r="R12" i="8"/>
  <c r="M12" i="8"/>
  <c r="P12" i="8"/>
  <c r="K12" i="8" s="1"/>
  <c r="C10" i="7"/>
  <c r="D14" i="8"/>
  <c r="G10" i="5"/>
  <c r="D9" i="6"/>
  <c r="E7" i="6"/>
  <c r="E9" i="6" s="1"/>
  <c r="O18" i="1"/>
  <c r="O16" i="1" s="1"/>
  <c r="R18" i="1"/>
  <c r="R16" i="1" s="1"/>
  <c r="K7" i="6"/>
  <c r="K9" i="6" s="1"/>
  <c r="J7" i="7"/>
  <c r="K7" i="7" s="1"/>
  <c r="F7" i="7"/>
  <c r="G7" i="7" s="1"/>
  <c r="L6" i="7"/>
  <c r="M6" i="7" s="1"/>
  <c r="H6" i="7"/>
  <c r="I6" i="7" s="1"/>
  <c r="D8" i="7"/>
  <c r="H7" i="7"/>
  <c r="I7" i="7" s="1"/>
  <c r="L7" i="7"/>
  <c r="M7" i="7" s="1"/>
  <c r="C10" i="5"/>
  <c r="F6" i="7"/>
  <c r="G6" i="7" s="1"/>
  <c r="J6" i="7"/>
  <c r="H5" i="7"/>
  <c r="I5" i="7" s="1"/>
  <c r="J25" i="9"/>
  <c r="J7" i="5"/>
  <c r="E10" i="5"/>
  <c r="O34" i="23" s="1"/>
  <c r="I9" i="6"/>
  <c r="C9" i="6"/>
  <c r="R14" i="1" s="1"/>
  <c r="G9" i="6"/>
  <c r="E8" i="7"/>
  <c r="O14" i="25" s="1"/>
  <c r="G8" i="7" l="1"/>
  <c r="H11" i="7"/>
  <c r="J11" i="7"/>
  <c r="K11" i="7" s="1"/>
  <c r="P14" i="25"/>
  <c r="AA14" i="25" s="1"/>
  <c r="Z14" i="25"/>
  <c r="E11" i="7"/>
  <c r="D12" i="5"/>
  <c r="Q14" i="8"/>
  <c r="B12" i="6"/>
  <c r="K13" i="8"/>
  <c r="C13" i="5" s="1"/>
  <c r="G13" i="5" s="1"/>
  <c r="F11" i="7"/>
  <c r="G11" i="7" s="1"/>
  <c r="C12" i="5"/>
  <c r="C12" i="7"/>
  <c r="D10" i="7"/>
  <c r="B11" i="6"/>
  <c r="E13" i="5"/>
  <c r="K13" i="5"/>
  <c r="H13" i="5"/>
  <c r="J10" i="5"/>
  <c r="U18" i="1" s="1"/>
  <c r="L7" i="5"/>
  <c r="L10" i="5" s="1"/>
  <c r="I11" i="7"/>
  <c r="R15" i="1"/>
  <c r="R13" i="1" s="1"/>
  <c r="R20" i="1"/>
  <c r="R22" i="1" s="1"/>
  <c r="O45" i="23"/>
  <c r="K6" i="7"/>
  <c r="K8" i="7" s="1"/>
  <c r="M8" i="7"/>
  <c r="I8" i="7"/>
  <c r="O15" i="25" s="1"/>
  <c r="Z18" i="1"/>
  <c r="O14" i="1"/>
  <c r="Z15" i="25" l="1"/>
  <c r="P15" i="25"/>
  <c r="AA15" i="25" s="1"/>
  <c r="O13" i="25"/>
  <c r="O26" i="1"/>
  <c r="O24" i="1" s="1"/>
  <c r="O21" i="1" s="1"/>
  <c r="O26" i="25"/>
  <c r="Z20" i="1"/>
  <c r="K14" i="8"/>
  <c r="G12" i="5"/>
  <c r="G14" i="5" s="1"/>
  <c r="R18" i="10" s="1"/>
  <c r="R16" i="10" s="1"/>
  <c r="X16" i="10" s="1"/>
  <c r="C14" i="5"/>
  <c r="I13" i="5"/>
  <c r="J13" i="5"/>
  <c r="L13" i="5" s="1"/>
  <c r="J10" i="7"/>
  <c r="K10" i="7" s="1"/>
  <c r="K12" i="7" s="1"/>
  <c r="H10" i="7"/>
  <c r="I10" i="7" s="1"/>
  <c r="I12" i="7" s="1"/>
  <c r="E10" i="7"/>
  <c r="E12" i="7" s="1"/>
  <c r="L10" i="7"/>
  <c r="M10" i="7" s="1"/>
  <c r="M12" i="7" s="1"/>
  <c r="F10" i="7"/>
  <c r="G10" i="7" s="1"/>
  <c r="G12" i="7" s="1"/>
  <c r="O15" i="26" s="1"/>
  <c r="B13" i="6"/>
  <c r="C11" i="6"/>
  <c r="J11" i="6"/>
  <c r="D11" i="6"/>
  <c r="H11" i="6"/>
  <c r="F11" i="6"/>
  <c r="D12" i="7"/>
  <c r="K18" i="9"/>
  <c r="K25" i="9" s="1"/>
  <c r="J26" i="9" s="1"/>
  <c r="K19" i="9"/>
  <c r="C12" i="6"/>
  <c r="J12" i="6"/>
  <c r="K12" i="6" s="1"/>
  <c r="D12" i="6"/>
  <c r="E12" i="6" s="1"/>
  <c r="F12" i="6"/>
  <c r="G12" i="6" s="1"/>
  <c r="H12" i="6"/>
  <c r="I12" i="6" s="1"/>
  <c r="H12" i="5"/>
  <c r="E12" i="5"/>
  <c r="E14" i="5" s="1"/>
  <c r="P34" i="23" s="1"/>
  <c r="K12" i="5"/>
  <c r="K14" i="5" s="1"/>
  <c r="P35" i="23" s="1"/>
  <c r="O20" i="10" s="1"/>
  <c r="O22" i="10" s="1"/>
  <c r="D14" i="5"/>
  <c r="X18" i="10"/>
  <c r="R12" i="1"/>
  <c r="S12" i="1" s="1"/>
  <c r="Z14" i="1"/>
  <c r="O15" i="1"/>
  <c r="R36" i="10"/>
  <c r="X36" i="10"/>
  <c r="O36" i="10"/>
  <c r="R38" i="1"/>
  <c r="O38" i="1"/>
  <c r="Z24" i="1"/>
  <c r="Z26" i="1"/>
  <c r="Z16" i="1"/>
  <c r="Z22" i="1"/>
  <c r="R21" i="1"/>
  <c r="Z13" i="25" l="1"/>
  <c r="Z12" i="25" s="1"/>
  <c r="O12" i="25"/>
  <c r="P12" i="25" s="1"/>
  <c r="P13" i="25"/>
  <c r="AA13" i="25" s="1"/>
  <c r="AA12" i="25" s="1"/>
  <c r="P15" i="26"/>
  <c r="Y15" i="26" s="1"/>
  <c r="X15" i="26"/>
  <c r="O14" i="10"/>
  <c r="O14" i="26"/>
  <c r="O24" i="25"/>
  <c r="P26" i="25"/>
  <c r="AA26" i="25" s="1"/>
  <c r="Z26" i="25"/>
  <c r="V38" i="1"/>
  <c r="S17" i="1"/>
  <c r="S25" i="1"/>
  <c r="S24" i="1"/>
  <c r="S16" i="1"/>
  <c r="S13" i="1"/>
  <c r="S22" i="1"/>
  <c r="O15" i="10"/>
  <c r="O13" i="10" s="1"/>
  <c r="I11" i="6"/>
  <c r="I13" i="6" s="1"/>
  <c r="H13" i="6"/>
  <c r="C13" i="6"/>
  <c r="R14" i="10" s="1"/>
  <c r="R20" i="10"/>
  <c r="R22" i="10" s="1"/>
  <c r="P45" i="23"/>
  <c r="D13" i="6"/>
  <c r="E11" i="6"/>
  <c r="E13" i="6" s="1"/>
  <c r="G11" i="6"/>
  <c r="G13" i="6" s="1"/>
  <c r="F13" i="6"/>
  <c r="I12" i="5"/>
  <c r="I14" i="5" s="1"/>
  <c r="H14" i="5"/>
  <c r="J12" i="5"/>
  <c r="K11" i="6"/>
  <c r="K13" i="6" s="1"/>
  <c r="J13" i="6"/>
  <c r="X22" i="10"/>
  <c r="R11" i="1"/>
  <c r="S11" i="1" s="1"/>
  <c r="S21" i="1"/>
  <c r="P20" i="10"/>
  <c r="P17" i="10"/>
  <c r="P22" i="10"/>
  <c r="P16" i="10"/>
  <c r="S19" i="10"/>
  <c r="S18" i="10"/>
  <c r="Y18" i="10" s="1"/>
  <c r="S17" i="10"/>
  <c r="S23" i="10"/>
  <c r="S20" i="10"/>
  <c r="S22" i="10"/>
  <c r="S24" i="10"/>
  <c r="S14" i="10"/>
  <c r="P17" i="1"/>
  <c r="P16" i="1"/>
  <c r="P24" i="1"/>
  <c r="P21" i="1"/>
  <c r="Z15" i="1"/>
  <c r="P15" i="1"/>
  <c r="P14" i="1"/>
  <c r="O13" i="1"/>
  <c r="O12" i="1" s="1"/>
  <c r="O11" i="1" s="1"/>
  <c r="P22" i="1"/>
  <c r="P19" i="1"/>
  <c r="P18" i="1"/>
  <c r="S15" i="1"/>
  <c r="S18" i="1"/>
  <c r="S14" i="1"/>
  <c r="P15" i="10"/>
  <c r="P18" i="10"/>
  <c r="P19" i="10"/>
  <c r="S26" i="1"/>
  <c r="P27" i="1"/>
  <c r="AA27" i="1" s="1"/>
  <c r="P25" i="1"/>
  <c r="P23" i="1"/>
  <c r="P26" i="1"/>
  <c r="P20" i="1"/>
  <c r="P26" i="10"/>
  <c r="Y26" i="10" s="1"/>
  <c r="P24" i="10"/>
  <c r="P23" i="10"/>
  <c r="P14" i="10"/>
  <c r="S19" i="1"/>
  <c r="S23" i="1"/>
  <c r="S20" i="1"/>
  <c r="Z21" i="1"/>
  <c r="O13" i="26" l="1"/>
  <c r="X14" i="26"/>
  <c r="P14" i="26"/>
  <c r="Y14" i="26" s="1"/>
  <c r="R25" i="10"/>
  <c r="S25" i="10" s="1"/>
  <c r="S21" i="10" s="1"/>
  <c r="R25" i="26"/>
  <c r="P24" i="25"/>
  <c r="AA24" i="25" s="1"/>
  <c r="O21" i="25"/>
  <c r="Z24" i="25"/>
  <c r="C9" i="24"/>
  <c r="O12" i="10"/>
  <c r="P12" i="10" s="1"/>
  <c r="P13" i="10"/>
  <c r="R21" i="10"/>
  <c r="X20" i="10"/>
  <c r="Y20" i="10"/>
  <c r="R15" i="10"/>
  <c r="J14" i="5"/>
  <c r="L12" i="5"/>
  <c r="L14" i="5" s="1"/>
  <c r="X14" i="10"/>
  <c r="S16" i="10"/>
  <c r="Y19" i="10"/>
  <c r="AA18" i="1"/>
  <c r="Y22" i="10"/>
  <c r="P12" i="1"/>
  <c r="P13" i="1"/>
  <c r="AA19" i="1"/>
  <c r="AA15" i="1"/>
  <c r="AA22" i="1"/>
  <c r="Z13" i="1"/>
  <c r="Z12" i="1" s="1"/>
  <c r="AA14" i="1"/>
  <c r="AA26" i="1"/>
  <c r="Y17" i="10"/>
  <c r="Y24" i="10"/>
  <c r="Y14" i="10"/>
  <c r="AA20" i="1"/>
  <c r="AA23" i="1"/>
  <c r="AA17" i="1"/>
  <c r="Y23" i="10"/>
  <c r="AA25" i="1"/>
  <c r="O12" i="26" l="1"/>
  <c r="P13" i="26"/>
  <c r="Y13" i="26" s="1"/>
  <c r="X13" i="26"/>
  <c r="Z21" i="25"/>
  <c r="O11" i="25"/>
  <c r="P21" i="25"/>
  <c r="AA21" i="25" s="1"/>
  <c r="O25" i="10"/>
  <c r="P25" i="10" s="1"/>
  <c r="Y25" i="10" s="1"/>
  <c r="O25" i="26"/>
  <c r="S25" i="26"/>
  <c r="S21" i="26" s="1"/>
  <c r="S11" i="26" s="1"/>
  <c r="R21" i="26"/>
  <c r="R11" i="26" s="1"/>
  <c r="X15" i="10"/>
  <c r="S15" i="10"/>
  <c r="R13" i="10"/>
  <c r="P11" i="1"/>
  <c r="AA13" i="1"/>
  <c r="AA21" i="1"/>
  <c r="Y16" i="10"/>
  <c r="AA24" i="1"/>
  <c r="AA16" i="1"/>
  <c r="P12" i="26" l="1"/>
  <c r="Y12" i="26" s="1"/>
  <c r="X12" i="26"/>
  <c r="X25" i="10"/>
  <c r="O21" i="10"/>
  <c r="Z11" i="25"/>
  <c r="AC11" i="25"/>
  <c r="P11" i="25"/>
  <c r="AD11" i="25" s="1"/>
  <c r="X25" i="26"/>
  <c r="P25" i="26"/>
  <c r="Y25" i="26" s="1"/>
  <c r="O21" i="26"/>
  <c r="AC11" i="1"/>
  <c r="O11" i="10"/>
  <c r="P21" i="10"/>
  <c r="Y21" i="10" s="1"/>
  <c r="X21" i="10"/>
  <c r="Y15" i="10"/>
  <c r="S13" i="10"/>
  <c r="L11" i="2"/>
  <c r="L12" i="2" s="1"/>
  <c r="R12" i="10"/>
  <c r="X13" i="10"/>
  <c r="Z11" i="1"/>
  <c r="C8" i="24"/>
  <c r="C7" i="24" s="1"/>
  <c r="AD11" i="1"/>
  <c r="AA12" i="1"/>
  <c r="X21" i="26" l="1"/>
  <c r="X11" i="26" s="1"/>
  <c r="O11" i="26"/>
  <c r="P21" i="26"/>
  <c r="Y21" i="26" s="1"/>
  <c r="Y11" i="26" s="1"/>
  <c r="C11" i="24"/>
  <c r="P11" i="10"/>
  <c r="L14" i="2"/>
  <c r="L15" i="2" s="1"/>
  <c r="R11" i="10"/>
  <c r="X12" i="10"/>
  <c r="X11" i="10" s="1"/>
  <c r="S12" i="10"/>
  <c r="Y13" i="10"/>
  <c r="X33" i="10"/>
  <c r="P11" i="26" l="1"/>
  <c r="S11" i="10"/>
  <c r="Y12" i="10"/>
  <c r="Y11" i="10" s="1"/>
  <c r="C12" i="24"/>
  <c r="N14" i="2"/>
  <c r="N15" i="2" s="1"/>
  <c r="Q15" i="2" s="1"/>
  <c r="C10" i="24" l="1"/>
  <c r="C14" i="24" s="1"/>
  <c r="N11" i="2"/>
  <c r="N12" i="2" s="1"/>
  <c r="D9" i="24" l="1"/>
  <c r="E9" i="24" s="1"/>
  <c r="D11" i="24"/>
  <c r="D8" i="24"/>
  <c r="D12" i="24"/>
  <c r="E12" i="24" s="1"/>
  <c r="R27" i="10" l="1"/>
  <c r="S27" i="10" s="1"/>
  <c r="S10" i="10" s="1"/>
  <c r="R27" i="26"/>
  <c r="R28" i="1"/>
  <c r="R28" i="25"/>
  <c r="E8" i="24"/>
  <c r="O28" i="25" s="1"/>
  <c r="D7" i="24"/>
  <c r="E11" i="24"/>
  <c r="O27" i="26" s="1"/>
  <c r="D10" i="24"/>
  <c r="R10" i="10"/>
  <c r="F12" i="24" s="1"/>
  <c r="P28" i="25" l="1"/>
  <c r="Z28" i="25"/>
  <c r="O10" i="25"/>
  <c r="P27" i="26"/>
  <c r="X27" i="26"/>
  <c r="X10" i="26" s="1"/>
  <c r="O10" i="26"/>
  <c r="S28" i="25"/>
  <c r="R10" i="25"/>
  <c r="R10" i="1"/>
  <c r="P13" i="2"/>
  <c r="S27" i="26"/>
  <c r="S10" i="26" s="1"/>
  <c r="R10" i="26"/>
  <c r="S28" i="1"/>
  <c r="O27" i="10"/>
  <c r="E10" i="24"/>
  <c r="E7" i="24"/>
  <c r="O28" i="1"/>
  <c r="O10" i="1" s="1"/>
  <c r="P10" i="26" l="1"/>
  <c r="S10" i="25"/>
  <c r="Y27" i="26"/>
  <c r="Y10" i="26" s="1"/>
  <c r="Z10" i="25"/>
  <c r="P10" i="25"/>
  <c r="AC10" i="25"/>
  <c r="S10" i="1"/>
  <c r="F9" i="24"/>
  <c r="AA28" i="25"/>
  <c r="AA11" i="25" s="1"/>
  <c r="AA10" i="25" s="1"/>
  <c r="Z28" i="1"/>
  <c r="P12" i="2"/>
  <c r="P15" i="2"/>
  <c r="X27" i="10"/>
  <c r="X10" i="10" s="1"/>
  <c r="P27" i="10"/>
  <c r="Y27" i="10" s="1"/>
  <c r="Y10" i="10" s="1"/>
  <c r="O10" i="10"/>
  <c r="AD10" i="25" l="1"/>
  <c r="F11" i="24"/>
  <c r="F10" i="24" s="1"/>
  <c r="P10" i="10"/>
  <c r="P11" i="2"/>
  <c r="Z10" i="1"/>
  <c r="P10" i="1"/>
  <c r="F8" i="24"/>
  <c r="AC10" i="1"/>
  <c r="Q12" i="2"/>
  <c r="Q11" i="2" s="1"/>
  <c r="R11" i="2" s="1"/>
  <c r="F7" i="24" l="1"/>
  <c r="F14" i="24" s="1"/>
  <c r="G8" i="24" s="1"/>
  <c r="P28" i="1"/>
  <c r="H8" i="24" l="1"/>
  <c r="O29" i="25" s="1"/>
  <c r="G11" i="24"/>
  <c r="G12" i="24"/>
  <c r="H12" i="24" s="1"/>
  <c r="G9" i="24"/>
  <c r="H9" i="24" s="1"/>
  <c r="AD10" i="1"/>
  <c r="AA28" i="1"/>
  <c r="AA11" i="1" s="1"/>
  <c r="AA10" i="1" s="1"/>
  <c r="R29" i="1" l="1"/>
  <c r="R30" i="1" s="1"/>
  <c r="R31" i="1" s="1"/>
  <c r="R29" i="25"/>
  <c r="R28" i="10"/>
  <c r="R29" i="10" s="1"/>
  <c r="R30" i="10" s="1"/>
  <c r="R28" i="26"/>
  <c r="P29" i="25"/>
  <c r="O30" i="25"/>
  <c r="G7" i="24"/>
  <c r="H11" i="24"/>
  <c r="O28" i="26" s="1"/>
  <c r="G10" i="24"/>
  <c r="O29" i="1"/>
  <c r="O30" i="1" s="1"/>
  <c r="H7" i="24"/>
  <c r="S29" i="1" l="1"/>
  <c r="P28" i="26"/>
  <c r="X28" i="26"/>
  <c r="O29" i="26"/>
  <c r="S28" i="10"/>
  <c r="S29" i="10" s="1"/>
  <c r="S29" i="25"/>
  <c r="R30" i="25"/>
  <c r="Z30" i="25" s="1"/>
  <c r="S28" i="26"/>
  <c r="S29" i="26" s="1"/>
  <c r="R29" i="26"/>
  <c r="P30" i="25"/>
  <c r="O31" i="25"/>
  <c r="AA29" i="25"/>
  <c r="Z29" i="25"/>
  <c r="O28" i="10"/>
  <c r="H10" i="24"/>
  <c r="S30" i="1"/>
  <c r="P29" i="1"/>
  <c r="AA29" i="1" s="1"/>
  <c r="O31" i="1"/>
  <c r="O32" i="1" s="1"/>
  <c r="Z29" i="1"/>
  <c r="R34" i="10"/>
  <c r="R31" i="10"/>
  <c r="S31" i="10" s="1"/>
  <c r="S30" i="10"/>
  <c r="R30" i="26" l="1"/>
  <c r="R34" i="26" s="1"/>
  <c r="P31" i="25"/>
  <c r="O32" i="25"/>
  <c r="O30" i="26"/>
  <c r="X29" i="26"/>
  <c r="P29" i="26"/>
  <c r="Y29" i="26" s="1"/>
  <c r="R31" i="25"/>
  <c r="S30" i="25"/>
  <c r="AA30" i="25" s="1"/>
  <c r="O36" i="25"/>
  <c r="O36" i="1"/>
  <c r="Y28" i="26"/>
  <c r="R36" i="1"/>
  <c r="R37" i="1" s="1"/>
  <c r="R35" i="10"/>
  <c r="S35" i="10" s="1"/>
  <c r="G7" i="18" s="1"/>
  <c r="H7" i="18" s="1"/>
  <c r="I7" i="18" s="1"/>
  <c r="S34" i="10"/>
  <c r="P30" i="1"/>
  <c r="AA30" i="1" s="1"/>
  <c r="Z30" i="1"/>
  <c r="R32" i="1"/>
  <c r="S32" i="1" s="1"/>
  <c r="S31" i="1"/>
  <c r="O29" i="10"/>
  <c r="P28" i="10"/>
  <c r="Y28" i="10" s="1"/>
  <c r="X28" i="10"/>
  <c r="S36" i="1" l="1"/>
  <c r="S37" i="1" s="1"/>
  <c r="C7" i="18" s="1"/>
  <c r="D7" i="18" s="1"/>
  <c r="E7" i="18" s="1"/>
  <c r="S31" i="25"/>
  <c r="R32" i="25"/>
  <c r="S32" i="25" s="1"/>
  <c r="X30" i="26"/>
  <c r="O31" i="26"/>
  <c r="P30" i="26"/>
  <c r="P32" i="25"/>
  <c r="AA32" i="25" s="1"/>
  <c r="O37" i="25"/>
  <c r="P36" i="25"/>
  <c r="O34" i="26"/>
  <c r="AA31" i="25"/>
  <c r="R36" i="25"/>
  <c r="O39" i="25" s="1"/>
  <c r="Z31" i="25"/>
  <c r="R31" i="26"/>
  <c r="S31" i="26" s="1"/>
  <c r="S30" i="26"/>
  <c r="O33" i="25"/>
  <c r="S34" i="26"/>
  <c r="R35" i="26"/>
  <c r="S35" i="26" s="1"/>
  <c r="R33" i="1"/>
  <c r="R34" i="1" s="1"/>
  <c r="S34" i="1" s="1"/>
  <c r="O30" i="10"/>
  <c r="O34" i="10" s="1"/>
  <c r="X29" i="10"/>
  <c r="P29" i="10"/>
  <c r="Y29" i="10" s="1"/>
  <c r="Z31" i="1"/>
  <c r="O33" i="1"/>
  <c r="O34" i="1" s="1"/>
  <c r="P34" i="1" s="1"/>
  <c r="P31" i="1"/>
  <c r="AA31" i="1" s="1"/>
  <c r="Z32" i="25" l="1"/>
  <c r="R33" i="25"/>
  <c r="S33" i="25" s="1"/>
  <c r="S34" i="25" s="1"/>
  <c r="P37" i="25"/>
  <c r="Y30" i="26"/>
  <c r="O34" i="25"/>
  <c r="O35" i="25"/>
  <c r="P33" i="25"/>
  <c r="R37" i="25"/>
  <c r="O40" i="25" s="1"/>
  <c r="S36" i="25"/>
  <c r="S37" i="25" s="1"/>
  <c r="O37" i="26"/>
  <c r="P34" i="26"/>
  <c r="Y34" i="26" s="1"/>
  <c r="O35" i="26"/>
  <c r="X34" i="26"/>
  <c r="Z36" i="25"/>
  <c r="Z37" i="25" s="1"/>
  <c r="P31" i="26"/>
  <c r="Y31" i="26" s="1"/>
  <c r="X31" i="26"/>
  <c r="P35" i="1"/>
  <c r="P33" i="1"/>
  <c r="Z33" i="1"/>
  <c r="S33" i="1"/>
  <c r="S35" i="1"/>
  <c r="X34" i="10"/>
  <c r="O37" i="10"/>
  <c r="O35" i="10"/>
  <c r="P34" i="10"/>
  <c r="Y34" i="10" s="1"/>
  <c r="O37" i="1"/>
  <c r="O40" i="1" s="1"/>
  <c r="C10" i="18" s="1"/>
  <c r="D10" i="18" s="1"/>
  <c r="E10" i="18" s="1"/>
  <c r="P36" i="1"/>
  <c r="Z36" i="1"/>
  <c r="Z37" i="1" s="1"/>
  <c r="O39" i="1"/>
  <c r="Z32" i="1"/>
  <c r="P32" i="1"/>
  <c r="AA32" i="1" s="1"/>
  <c r="P30" i="10"/>
  <c r="Y30" i="10" s="1"/>
  <c r="O31" i="10"/>
  <c r="X30" i="10"/>
  <c r="AD39" i="1"/>
  <c r="R34" i="25" l="1"/>
  <c r="Z33" i="25"/>
  <c r="R35" i="25"/>
  <c r="AA33" i="25"/>
  <c r="P34" i="25"/>
  <c r="O38" i="26"/>
  <c r="P35" i="26"/>
  <c r="X35" i="26"/>
  <c r="Y35" i="26" s="1"/>
  <c r="Z34" i="25"/>
  <c r="AA34" i="25"/>
  <c r="AA33" i="1"/>
  <c r="AA36" i="25"/>
  <c r="AA37" i="25" s="1"/>
  <c r="AA34" i="1"/>
  <c r="Z34" i="1"/>
  <c r="O38" i="10"/>
  <c r="G10" i="18" s="1"/>
  <c r="H10" i="18" s="1"/>
  <c r="I10" i="18" s="1"/>
  <c r="J10" i="18" s="1"/>
  <c r="P35" i="10"/>
  <c r="G6" i="18" s="1"/>
  <c r="X35" i="10"/>
  <c r="Y35" i="10" s="1"/>
  <c r="P37" i="1"/>
  <c r="C6" i="18" s="1"/>
  <c r="AA36" i="1"/>
  <c r="AA37" i="1" s="1"/>
  <c r="X31" i="10"/>
  <c r="P31" i="10"/>
  <c r="Y31" i="10" s="1"/>
  <c r="H6" i="18" l="1"/>
  <c r="I6" i="18" s="1"/>
  <c r="D6" i="18"/>
  <c r="E6" i="18" s="1"/>
</calcChain>
</file>

<file path=xl/sharedStrings.xml><?xml version="1.0" encoding="utf-8"?>
<sst xmlns="http://schemas.openxmlformats.org/spreadsheetml/2006/main" count="1349" uniqueCount="646">
  <si>
    <t>з/п</t>
  </si>
  <si>
    <t>Показник</t>
  </si>
  <si>
    <t>Код рядка</t>
  </si>
  <si>
    <t>Фактично</t>
  </si>
  <si>
    <t>Передбачено діючим тарифом</t>
  </si>
  <si>
    <t>попередній до базового рік ____</t>
  </si>
  <si>
    <t>базовий період рік ____</t>
  </si>
  <si>
    <t>усього, тис. грн</t>
  </si>
  <si>
    <t>грн/т</t>
  </si>
  <si>
    <t>А</t>
  </si>
  <si>
    <t>Б</t>
  </si>
  <si>
    <t>В</t>
  </si>
  <si>
    <t>прямі матеріальні витрати, зокрема:</t>
  </si>
  <si>
    <t>паливно-мастильні матеріали</t>
  </si>
  <si>
    <t>матеріали для ремонту засобів механізації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</si>
  <si>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</si>
  <si>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</si>
  <si>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</si>
  <si>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</si>
  <si>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інші прямі витрати</t>
  </si>
  <si>
    <t>Адміністративні витрати</t>
  </si>
  <si>
    <t>Усього витрат повної собівартості*</t>
  </si>
  <si>
    <t>податок на прибуток</t>
  </si>
  <si>
    <t>(ініціали, прізвище)</t>
  </si>
  <si>
    <t>1.1</t>
  </si>
  <si>
    <t>1.1.1</t>
  </si>
  <si>
    <t>1.1.2</t>
  </si>
  <si>
    <t>1.2</t>
  </si>
  <si>
    <t>1.3</t>
  </si>
  <si>
    <t>1.3.1</t>
  </si>
  <si>
    <t>1.3.2</t>
  </si>
  <si>
    <t>1.3.3</t>
  </si>
  <si>
    <t>2</t>
  </si>
  <si>
    <t>3</t>
  </si>
  <si>
    <t>4</t>
  </si>
  <si>
    <t>5</t>
  </si>
  <si>
    <t>6</t>
  </si>
  <si>
    <t>9</t>
  </si>
  <si>
    <t>10</t>
  </si>
  <si>
    <r>
      <t>№</t>
    </r>
    <r>
      <rPr>
        <sz val="11"/>
        <color theme="1"/>
        <rFont val="Times New Roman"/>
        <family val="1"/>
        <charset val="204"/>
      </rPr>
      <t> </t>
    </r>
  </si>
  <si>
    <r>
      <t>грн/м</t>
    </r>
    <r>
      <rPr>
        <b/>
        <vertAlign val="superscript"/>
        <sz val="11"/>
        <color rgb="FF000000"/>
        <rFont val="Times New Roman"/>
        <family val="1"/>
        <charset val="204"/>
      </rPr>
      <t>-3</t>
    </r>
  </si>
  <si>
    <t>Складові загальновиробничих витрат</t>
  </si>
  <si>
    <t>Загальновиробничі витрати з надання послуг з поводження з побутовими відходами усього, зокрема:</t>
  </si>
  <si>
    <t>Витрати на оплату праці загальновиробничого персоналу:</t>
  </si>
  <si>
    <t>витрати на оплату праці</t>
  </si>
  <si>
    <t>Витрати на утримання та експлуатацію основних засобів та необоротних активів загальновиробничого призначення, усього, зокрема:</t>
  </si>
  <si>
    <t>Витрати на охорону об'єктів виробничого та загальновиробничого призначення:</t>
  </si>
  <si>
    <t>Витрати на здійснення технологічного контролю за виробничими процесами та якістю послуг з поводження з побутовими відходами:</t>
  </si>
  <si>
    <t>3.1</t>
  </si>
  <si>
    <t>3.3</t>
  </si>
  <si>
    <t>5.1</t>
  </si>
  <si>
    <t>Складові адміністративних витрат</t>
  </si>
  <si>
    <t>Витрати на оплату праці апарату управління підприємством та іншого адміністративного персоналу</t>
  </si>
  <si>
    <t>Єдиний внесок на загальнообов'язкове державне соціальне страхування працівників</t>
  </si>
  <si>
    <t>Витрати на придбання канцелярських товарів</t>
  </si>
  <si>
    <t>Витрати на оплату послуг зв'язку, усього, зокрема (розшифрувати):</t>
  </si>
  <si>
    <t>Витрати на придбання паливно-мастильних матеріалів для потреб апарату управління підприємством:</t>
  </si>
  <si>
    <t>6.1</t>
  </si>
  <si>
    <t>№ з/п</t>
  </si>
  <si>
    <t>Показники</t>
  </si>
  <si>
    <t>Усього</t>
  </si>
  <si>
    <t>_______ рік</t>
  </si>
  <si>
    <t>попередній</t>
  </si>
  <si>
    <t>до базового _______ рік</t>
  </si>
  <si>
    <t>базовий період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</si>
  <si>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</si>
  <si>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тонн</t>
  </si>
  <si>
    <t>тверді побутові відходи</t>
  </si>
  <si>
    <t>великогабаритні побутові відходи</t>
  </si>
  <si>
    <t>ремонтні побутові відходи</t>
  </si>
  <si>
    <t>Обсяг побутових відходів,</t>
  </si>
  <si>
    <t>Обсяг відходів, прийнятих полігоном/звалищем на захоронення, усього, зокрема:</t>
  </si>
  <si>
    <t>побутові відходи (п. 3)</t>
  </si>
  <si>
    <t>вуличний змет</t>
  </si>
  <si>
    <t>відходи зеленого господарства</t>
  </si>
  <si>
    <t>будівельні відходи (подрібнені)</t>
  </si>
  <si>
    <t>промислові відходи 3 класу небезпеки</t>
  </si>
  <si>
    <t>промислові відходи 4 класу небезпеки</t>
  </si>
  <si>
    <t>неперероблюваний залишок (несортований, некомпостований, піролізний, шлак і зола сміттєспалювальних заводів)</t>
  </si>
  <si>
    <t>обсяг інших відходів, що захороняються</t>
  </si>
  <si>
    <t>на полігоні/звалищі та не ввійшли</t>
  </si>
  <si>
    <t>до даних пунктів</t>
  </si>
  <si>
    <t>(4.1-4.7)</t>
  </si>
  <si>
    <t>Обсяги відходів, що спрямовуються під час завезення на полігон на сортування</t>
  </si>
  <si>
    <t>Обсяг захоронення відходів на полігоні/звалищі після сортування, усього, зокрема:</t>
  </si>
  <si>
    <t>обсяги захоронення відходів після сортування, усього, зокрема:</t>
  </si>
  <si>
    <t>побутові відходи, усього, а саме:</t>
  </si>
  <si>
    <t>тверді, великогабаритні, ремонтні</t>
  </si>
  <si>
    <t>обсяг захоронення після сортування інших відходів, що не увійшли</t>
  </si>
  <si>
    <t>до пунктів 6.1.1-6.1.7,</t>
  </si>
  <si>
    <t>на полігоні/звалищі</t>
  </si>
  <si>
    <t>4.1</t>
  </si>
  <si>
    <t>4.2</t>
  </si>
  <si>
    <t>4.3</t>
  </si>
  <si>
    <t>4.4</t>
  </si>
  <si>
    <t>4.5</t>
  </si>
  <si>
    <t>4.6</t>
  </si>
  <si>
    <t>4.7</t>
  </si>
  <si>
    <t>4.8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</si>
  <si>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</si>
  <si>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</si>
  <si>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</si>
  <si>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</si>
  <si>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</si>
  <si>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</si>
  <si>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</si>
  <si>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</si>
  <si>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ТОВ "ТВ-СЕРРУС"</t>
  </si>
  <si>
    <t>ЗБИРАННЯ</t>
  </si>
  <si>
    <t>ПЕРЕВЕЗЕННЯ</t>
  </si>
  <si>
    <t>ВСЬОГО ЗА ВИДАМИ ПОВОДЖЕННЯ</t>
  </si>
  <si>
    <t>Розрахунок загальновиробничих витрат, пов’язаних </t>
  </si>
  <si>
    <t>Посилання на підтердні документи</t>
  </si>
  <si>
    <t>Марка, модель ТЗ</t>
  </si>
  <si>
    <t>Норма витрат палива на роботу обладнання на 1 рейс, літр</t>
  </si>
  <si>
    <t>Кількість рейсів за місяць</t>
  </si>
  <si>
    <t>Норми витрат палива на пробіг, л/100км</t>
  </si>
  <si>
    <t>Річний пробіг, км.</t>
  </si>
  <si>
    <t>місто</t>
  </si>
  <si>
    <t>поза містом</t>
  </si>
  <si>
    <t>Кількість годин роботи</t>
  </si>
  <si>
    <t>Порожній</t>
  </si>
  <si>
    <t>З повним завантаженням</t>
  </si>
  <si>
    <t>Під час збору</t>
  </si>
  <si>
    <t>ВН5761СО</t>
  </si>
  <si>
    <t>Mercedes-Benz 950.60</t>
  </si>
  <si>
    <t>Iveco Magirus</t>
  </si>
  <si>
    <t>Разом</t>
  </si>
  <si>
    <t>Транспортні засоби, які здійснюють вивіз ВГВ</t>
  </si>
  <si>
    <t>ВН9631НХ</t>
  </si>
  <si>
    <t>MAN 25.285</t>
  </si>
  <si>
    <t>ВН9635НХ</t>
  </si>
  <si>
    <t>Державний номер ТЗ</t>
  </si>
  <si>
    <t>Норма витрат палива на 1 рейс</t>
  </si>
  <si>
    <t>Кількість рейсів за рік</t>
  </si>
  <si>
    <t>Витрати палива за рік, літрів</t>
  </si>
  <si>
    <t>Витрати палива за рік, грн</t>
  </si>
  <si>
    <t>Витрати моторної оливи за рік, л</t>
  </si>
  <si>
    <t>Витрати моторної оливи за рік, грн</t>
  </si>
  <si>
    <t>Витрати трансмісійної оливи за рік, л</t>
  </si>
  <si>
    <t>Витрати трансмісійної оливи за рік, грн</t>
  </si>
  <si>
    <t>Витрати спеціальної оливи за рік, л</t>
  </si>
  <si>
    <t>Витрати спеціальної оливи за рік, грн</t>
  </si>
  <si>
    <t>Витрати пластичних мастил за рік, кг</t>
  </si>
  <si>
    <t>Витрати пластичних мастил за рік, грн</t>
  </si>
  <si>
    <t>Обсяг вивозу за рік, куб.м.</t>
  </si>
  <si>
    <t>Транспортні засоби, які здійснюють збирання ВГВ</t>
  </si>
  <si>
    <t>ВН3664СР</t>
  </si>
  <si>
    <t>ВН3665СР</t>
  </si>
  <si>
    <t>Паливо, літрів</t>
  </si>
  <si>
    <t>Паливо, грн</t>
  </si>
  <si>
    <t>Моторна олива, л</t>
  </si>
  <si>
    <t>Моторна олива, грн</t>
  </si>
  <si>
    <t>Трансмісійна олива, л</t>
  </si>
  <si>
    <t>Трансмісійна олива, грн</t>
  </si>
  <si>
    <t>Спеціальні оливи, л</t>
  </si>
  <si>
    <t>Спеціальні оливи, грн</t>
  </si>
  <si>
    <t>Пластичні мастила, кг</t>
  </si>
  <si>
    <t>Пластичні мастила, грн</t>
  </si>
  <si>
    <t>Вантажопідйомність</t>
  </si>
  <si>
    <t>Кількість шин</t>
  </si>
  <si>
    <t>Вартість шин</t>
  </si>
  <si>
    <t>Розрахункова кількість водіїв</t>
  </si>
  <si>
    <t>Розрахункова кількість вантажників</t>
  </si>
  <si>
    <t>N з/п</t>
  </si>
  <si>
    <t>Назва структурнрого підрозділу</t>
  </si>
  <si>
    <t>Посада</t>
  </si>
  <si>
    <t>Код класифікатора професій</t>
  </si>
  <si>
    <t>Кількість штатних одиниць</t>
  </si>
  <si>
    <t>Посадові оклади</t>
  </si>
  <si>
    <t>Місячний фонд заробітної плати,грн.</t>
  </si>
  <si>
    <t>Адміністрація</t>
  </si>
  <si>
    <t>Директор</t>
  </si>
  <si>
    <t>1210.1</t>
  </si>
  <si>
    <t>Планово -договірний відділ</t>
  </si>
  <si>
    <t>Начальник договірного відділу</t>
  </si>
  <si>
    <t>1223.2</t>
  </si>
  <si>
    <t>Економіст з договірної та претензійної роботи</t>
  </si>
  <si>
    <t>2441.2</t>
  </si>
  <si>
    <t>Начальник відділу кадрів</t>
  </si>
  <si>
    <t>Діловод</t>
  </si>
  <si>
    <t>Бухгалтерія</t>
  </si>
  <si>
    <t>Головний бухгалтер</t>
  </si>
  <si>
    <t>Бухгалтер</t>
  </si>
  <si>
    <t>Економіст</t>
  </si>
  <si>
    <t>Транспортний відділ</t>
  </si>
  <si>
    <t>Водій</t>
  </si>
  <si>
    <t>*Водій</t>
  </si>
  <si>
    <t>*Оператор сміттєвоза (вантажник)</t>
  </si>
  <si>
    <t>*Медична сестра</t>
  </si>
  <si>
    <t>2221.2</t>
  </si>
  <si>
    <t>Начальник виробництва</t>
  </si>
  <si>
    <t>*Механік</t>
  </si>
  <si>
    <t>Інженер з охорони праці</t>
  </si>
  <si>
    <t>2149.2</t>
  </si>
  <si>
    <t>Слюсар-ремонтник</t>
  </si>
  <si>
    <t xml:space="preserve">*- по даній штатній одиниці застосовуеться погодинна оплата праці, а у графі "Посадовій оклад " значиться середньомісячний </t>
  </si>
  <si>
    <t>оклад,який розраховуеться за формулою наведеною нижче. Доштатної одиниці можливе застосування 20% надбавки за</t>
  </si>
  <si>
    <t>роботу в нічний час</t>
  </si>
  <si>
    <t>грн*1993годин/12міс.=</t>
  </si>
  <si>
    <t>грузчик</t>
  </si>
  <si>
    <t>водитель</t>
  </si>
  <si>
    <t xml:space="preserve">Де 42,75; 39,74; 54,79 грн годинна ставка оплати праці, 1993 години - норма тривалості робочого часу на рік,12 місяців - </t>
  </si>
  <si>
    <t>кількість місяців у році.</t>
  </si>
  <si>
    <t>м. Чорноморськ</t>
  </si>
  <si>
    <t>Загальна за рік</t>
  </si>
  <si>
    <t>Прямі витрати</t>
  </si>
  <si>
    <t>Загальновиробничі витрати</t>
  </si>
  <si>
    <t xml:space="preserve"> -</t>
  </si>
  <si>
    <t>мед.сестра+механік</t>
  </si>
  <si>
    <t xml:space="preserve"> - </t>
  </si>
  <si>
    <t>ТПВ</t>
  </si>
  <si>
    <t>ВГВ</t>
  </si>
  <si>
    <t>Амортизація</t>
  </si>
  <si>
    <t>автомобілі</t>
  </si>
  <si>
    <t>Загальна</t>
  </si>
  <si>
    <t>Чорноморська міська рада</t>
  </si>
  <si>
    <t>ГОРДЄЄВ ОЛЕКСІЙ ВОЛОДИМИРОВИЧ</t>
  </si>
  <si>
    <t>Цимбал Олексанр Олександрович постачальник</t>
  </si>
  <si>
    <t>Испытательный центр технической диагностики ЧП(№ К58/18 від 27.03.2018;Договір № 560 від 20.04.2018 р.;К10/18 від 12.01.2018 р.)</t>
  </si>
  <si>
    <t>Радченко Сергій Миколайович ФОП(Договір № 19 від 01.10.2018 р.)</t>
  </si>
  <si>
    <t>Соколовська Єлизавета Віталіївна ФОП(Договір №01/08/16 від 01.08.2016)</t>
  </si>
  <si>
    <t>-</t>
  </si>
  <si>
    <t>Авто Груп+ ТОВ</t>
  </si>
  <si>
    <t>Зіко Груп ТОВ</t>
  </si>
  <si>
    <t>Одеса-Авто ПАТ</t>
  </si>
  <si>
    <t>АВТОМОБІЛЬНИЙ ДІМ ОДЕСА" ПАТ "ОДЕСА-АВТО"(1778/7 від 20.04.2016)</t>
  </si>
  <si>
    <t>Аіс Авто-Юг ІП (Договір № 7 від 21.01.2016)</t>
  </si>
  <si>
    <t>ВТМ ГРУПП (ТОВОсновной договор №35РТ від 23.08.2017)</t>
  </si>
  <si>
    <t>Гідротранс ТОВ (Договір № ГТС-0512/2017 від 05.12.2017)</t>
  </si>
  <si>
    <t>Крохмаль ФОП (№30 від 01.01.2013 р.)</t>
  </si>
  <si>
    <t>штатне</t>
  </si>
  <si>
    <t>Ремонтні роботи (автомобілі)</t>
  </si>
  <si>
    <t>1.3.3.1</t>
  </si>
  <si>
    <t>1.3.3.2</t>
  </si>
  <si>
    <t>контейнери</t>
  </si>
  <si>
    <t>1.1.1.1</t>
  </si>
  <si>
    <t>1.1.1.2</t>
  </si>
  <si>
    <t>оливи</t>
  </si>
  <si>
    <t>дизильне пальне</t>
  </si>
  <si>
    <t xml:space="preserve"> +</t>
  </si>
  <si>
    <t xml:space="preserve"> + </t>
  </si>
  <si>
    <t>ВТОР.СЫРЬЕ</t>
  </si>
  <si>
    <t>оренда бази</t>
  </si>
  <si>
    <t>ВСЬОГО за  видами поводження (збирання, перевезення)</t>
  </si>
  <si>
    <t>Договір №1409/5 від 14.09.2018</t>
  </si>
  <si>
    <t>Договір №14/09 від 14.09.2018</t>
  </si>
  <si>
    <t>Договір №1/10 від 16.10.2018</t>
  </si>
  <si>
    <t>ореда автомобіля газель</t>
  </si>
  <si>
    <t>Договір 31/12 від 31.12.2016</t>
  </si>
  <si>
    <t>2.1</t>
  </si>
  <si>
    <t>2.2</t>
  </si>
  <si>
    <t>2.3</t>
  </si>
  <si>
    <t>збирання</t>
  </si>
  <si>
    <t>перевезення</t>
  </si>
  <si>
    <t>збирання ВГВ</t>
  </si>
  <si>
    <t>перевезення ВГВ</t>
  </si>
  <si>
    <t>розподіляєть пропорційно між статтями калькуляції</t>
  </si>
  <si>
    <t>1.1.2.1</t>
  </si>
  <si>
    <t>ремонт</t>
  </si>
  <si>
    <t>1.1.2.2</t>
  </si>
  <si>
    <t>1.1.2.3</t>
  </si>
  <si>
    <t xml:space="preserve">запчастини </t>
  </si>
  <si>
    <t>запчастини</t>
  </si>
  <si>
    <t>шини</t>
  </si>
  <si>
    <t>%</t>
  </si>
  <si>
    <t>Планований прибуток 12%</t>
  </si>
  <si>
    <t>7</t>
  </si>
  <si>
    <t>8</t>
  </si>
  <si>
    <t xml:space="preserve">Чорноморська міська рада </t>
  </si>
  <si>
    <t>4 год дн</t>
  </si>
  <si>
    <t>4 год ночь</t>
  </si>
  <si>
    <t>коефіцієн ущільнення</t>
  </si>
  <si>
    <t>ходок ТПВ</t>
  </si>
  <si>
    <t>розрахунок кількості ходок  для ТПВ</t>
  </si>
  <si>
    <t>розрахунок ходок ВГВ</t>
  </si>
  <si>
    <t>ходок ВГВ</t>
  </si>
  <si>
    <t>за рік</t>
  </si>
  <si>
    <t>за місяць:</t>
  </si>
  <si>
    <t>об'єм бункеру автомобіля</t>
  </si>
  <si>
    <t>Обсяг побутових відходів, що підлягає вивезенню (збирання та перевезення), усього, зокрема:</t>
  </si>
  <si>
    <t xml:space="preserve">що підлягає відновленнню, усього </t>
  </si>
  <si>
    <t>Обсяг побутових відходів, що підлягає видаленнню ( захороненню), усього, зокрема:</t>
  </si>
  <si>
    <t xml:space="preserve"> на плановий період _2024 рік_</t>
  </si>
  <si>
    <t>Держ номер</t>
  </si>
  <si>
    <t>Усього обсяги відходів на планований період, куб. м</t>
  </si>
  <si>
    <t>Обєм бункеру автомобіля</t>
  </si>
  <si>
    <t>1. Скласти новий штатний розклад на 2024 рік з урахуванням мін. Зарплати на 2024 рік</t>
  </si>
  <si>
    <t>2. Надати підписаний документ</t>
  </si>
  <si>
    <t>4. Оновити данні по ремонту мийці та дезинфекції контейнерів</t>
  </si>
  <si>
    <t>5. Надати підтверджуючі документи по цим витратам (договір рахунок)</t>
  </si>
  <si>
    <t xml:space="preserve">Рукавички подвійні </t>
  </si>
  <si>
    <t>Рукавички утеплені</t>
  </si>
  <si>
    <t>Дощовик</t>
  </si>
  <si>
    <t>Жилет</t>
  </si>
  <si>
    <t>Шапка</t>
  </si>
  <si>
    <t>Підшоломник</t>
  </si>
  <si>
    <t>Черевики зимові</t>
  </si>
  <si>
    <t>Комбінезон зимовий</t>
  </si>
  <si>
    <t>Куртка зимова</t>
  </si>
  <si>
    <t>Комплект зимовий</t>
  </si>
  <si>
    <t>Рукавички ПВХ</t>
  </si>
  <si>
    <t xml:space="preserve">Вартість одного комплекта літнього спецодягу, грн. </t>
  </si>
  <si>
    <t xml:space="preserve">Вартість одного комплекта зимового спецодягу, грн. </t>
  </si>
  <si>
    <t xml:space="preserve">№ 52 від 11.06.2021 р., ПП Одеса-Інтерсервіс,                № 19 від 25.06.2021 р.ПП"Одеса-Інтерсервіс",       № 78 від 05.07.2021 р.,     № 90 від 09.07.2021 р.       </t>
  </si>
  <si>
    <t>№ 103 від 28.12.2021 р.,ПП" Одеса-Інтерсервіс</t>
  </si>
  <si>
    <t xml:space="preserve">№ 19 від 25.06.2021 р.,ПП Одеса-Інтерсервіс,                № 78 від 05.07.2021 р.ПП"Одеса-Інтерсервіс",               </t>
  </si>
  <si>
    <t>№ 5 від 01.02.2021 р.,ПП Одеса-Інтерсервіс,                №102 від 18.02.2021 р.ПП"Одеса-Інтерсервіс",               № 103 від 28.12.2021 р.,ПП" Одеса-Інтерсервіс</t>
  </si>
  <si>
    <t>Кепка</t>
  </si>
  <si>
    <t xml:space="preserve">Вантажник </t>
  </si>
  <si>
    <t>Футболка</t>
  </si>
  <si>
    <t>Вартість одного комплекта зимового спецодягу, грн.</t>
  </si>
  <si>
    <t>Черевики демісезонні</t>
  </si>
  <si>
    <t>Комбинезон демісезонний</t>
  </si>
  <si>
    <t>Куртка демісезонна</t>
  </si>
  <si>
    <t xml:space="preserve">Водій автотранспортних засобів </t>
  </si>
  <si>
    <t>сумма без ПДВ</t>
  </si>
  <si>
    <t>Ціна без ПДВ</t>
  </si>
  <si>
    <t>на 12 місяців використання</t>
  </si>
  <si>
    <t>за наказом</t>
  </si>
  <si>
    <t>Комплект демісезонний</t>
  </si>
  <si>
    <t xml:space="preserve">Накладна (номер, дата та найменування постачальника) </t>
  </si>
  <si>
    <t>Найменування ЗІЗ та одиниця виміру</t>
  </si>
  <si>
    <t>Ціна, грн.</t>
  </si>
  <si>
    <t xml:space="preserve">Спецодяг літній, комплект </t>
  </si>
  <si>
    <t xml:space="preserve">Спецодяг зимовий, комплект </t>
  </si>
  <si>
    <t>Код за класифікатором професій</t>
  </si>
  <si>
    <t>не здаємо</t>
  </si>
  <si>
    <t>Податкова декларація екологічного податку, форма якої затверджена наказом Міністерства фінансів України від 17 серпня 2015 року № 715, зареєстрованим у Міністерстві юстиції України 03 вересня 2015 року за № 1052/27497 (із змінами).</t>
  </si>
  <si>
    <t>Податкова декларація з плати за землю (земельний податок та/або орендна плата за земельні ділянки державної або комунальної власності), форма якої затверджена наказом Міністерства фінансів України від 16 червня 2015 року № 560, зареєстрованим у Міністерстві юстиції України 03 липня 2015 року за № 783/27228 (із змінами);</t>
  </si>
  <si>
    <t>Податкова декларація з податку на прибуток підприємства, форма якої затверджена наказом Міністерства фінансів України від 20 жовтня 2015 року № 897, зареєстрованим у Міністерстві юстиції України 11 листопада 2015 року за № 1415/27860 (із змінами);</t>
  </si>
  <si>
    <t>форма № 1-екологічні витрати (річна) «Витрати на охорону навколишнього природного середовища та екологічні платежі» за 20___ рік, затверджена наказом Державної служби статистики України від 30 вересня 2015 року № 259 (зі змінами);</t>
  </si>
  <si>
    <t>форма № 2-ТП (повітря) (річна) «Звіт про охорону атмосферного повітря», затверджена наказом Державної служби статистики України від 27 листопада 2015 року № 345;</t>
  </si>
  <si>
    <t>форма № 1-ТПВ (річна) «Звіт про поводження з твердими побутовими відходами», затверджена наказом Міністерства будівництва, архітектури та житлово-комунального господарства України від 19 вересня 2006 року № 308;</t>
  </si>
  <si>
    <t>форма № 1-відходи (річна) «Утворення та поводження з відходами», затверджена наказом Державної служби статистики України від 19 серпня 2014 року № 243 (зі змінами);</t>
  </si>
  <si>
    <t>форма № 2ТП-водгосп (річна) «Звіт про використання води», затверджена наказом Міністерства екології та природних ресурсів України від 16 березня 2015 року № 78, зареєстрованим у Міністерстві юстиції України 03 квітня 2015 року за № 382/26827;</t>
  </si>
  <si>
    <t>форма № 4-МТП (річна) «Звіт про використання та запаси палива», затверджена наказом Державної служби статистики України від 31 серпня 2016 року № 162;</t>
  </si>
  <si>
    <t>форма № 11-МТП (річна) «Звіт про постачання та використання енергії», затверджена наказом Державної служби статистики України від 31 серпня 2016 року № 162;</t>
  </si>
  <si>
    <t>форма № 11-ОЗ (річна) «Звіт про наявність і рух основних засобів, амортизацію», затверджена наказом Державної служби статистики України від 24 жовтня 2013 року № 321 (зі змінами);</t>
  </si>
  <si>
    <t>форма № 1-підприємництво (річна) «Структурне обстеження підприємства», затверджена наказом Державної служби статистики України від 26 липня 2018 року № 160;</t>
  </si>
  <si>
    <t>форма № 1-ПВ (квартальна) «Звіт із праці», затверджена наказом Державної служби статистики України від 10 червня 2016 року № 90;</t>
  </si>
  <si>
    <t>форма № 2 «Звіт про фінансові результати (Звіт про сукупний дохід)» (додаток 1 до Національного положення (стандарту) бухгалтерського обліку 1 «Загальні вимоги до фінансової звітності», затвердженого наказом Міністерства фінансів України від 07 лютого 2013 року № 73, зареєстрованого у Міністерстві юстиції України 28 лютого 2013 року за № 336/22868);</t>
  </si>
  <si>
    <t>форма № 1 «Баланс (Звіт про фінансовий стан)» (додаток 1 до Національного положення (стандарту) бухгалтерського обліку 1 «Загальні вимоги до фінансової звітності», затвердженого наказом Міністерства фінансів України від 07 лютого 2013 року № 73, зареєстрованого у Міністерстві юстиції України 28 лютого 2013 року за № 336/22868);</t>
  </si>
  <si>
    <t xml:space="preserve">Звітність, передбаченапідпунктом 11пункту 10 розділу II Порядку, </t>
  </si>
  <si>
    <t>Інформація про суб'єкта господарювання, що здійснює надання послуг з поводження з побутовими відходами (загальна характеристика виконавця послуг з поводження з побутовими відходами)</t>
  </si>
  <si>
    <t>Копія наказу про встановлення норм витрат палива та мастильних матеріалів на автомобільному транспорті ліцензіата</t>
  </si>
  <si>
    <t>не має</t>
  </si>
  <si>
    <t>Копії рішень власника щодо користування земельною ділянкою та майном, що використовується під час захоронення побутових відходів (користування, оренда тощо), та акти приймання - передачі зазначеного майна</t>
  </si>
  <si>
    <t>Копія проектно-кошторисної документації на проведення ремонтних робіт</t>
  </si>
  <si>
    <t>Копія графіка планово-запобіжних ремонтних робіт та дефектні акти</t>
  </si>
  <si>
    <t>Розрахунки показників річного плану надання послуг з поводження з побутовими відходами згідно зпідпунктом 5пункту 10 розділу II Порядку</t>
  </si>
  <si>
    <t>Річний план надання послуг</t>
  </si>
  <si>
    <t>Розрахунок втрат суб'єкта господарювання, яких зазнано протягом періоду розгляду розрахунків тарифів на послуги з поводження з побутовими відходами для відповідної категорії споживачів, встановлення та їх оприлюднення органом місцевого самоврядування, або копія рішення органу місцевого самоврядування про відшкодування таких втрат із місцевого бюджету</t>
  </si>
  <si>
    <t>Розрахунки тарифів та їх складових</t>
  </si>
  <si>
    <t>Інформація щодо балансової вартості основних засобів, інших необоротних матеріальних і нематеріальних активів</t>
  </si>
  <si>
    <t>Копії договорів, укладених з організаціями, підприємствами та суб'єктами господарювання для забезпечення надання комунальних послуг</t>
  </si>
  <si>
    <t>Копії розпорядчих документів про облікову політику підприємства з визначенням бази розподілу здійснених витрат</t>
  </si>
  <si>
    <t>Копії установчих документів (статуту, витягу з Єдиного державного реєстру юридичних осіб, фізичних осіб - підприємців та громадських формувань тощо)</t>
  </si>
  <si>
    <t>Інвестиційна програма суб'єкта господарювання (за наявності)</t>
  </si>
  <si>
    <t>Копія колективного договору суб'єкта господарювання (за наявності)</t>
  </si>
  <si>
    <t>Копія штатного розпису суб'єкта господарювання</t>
  </si>
  <si>
    <t>Інформація про середньооблікову чисельність персоналу суб'єкта господарювання (заявника)</t>
  </si>
  <si>
    <t>Інформація про суб'єкта господарювання (заявника)</t>
  </si>
  <si>
    <t>Пояснювальна записка (обґрунтування потреби встановлення тарифу)</t>
  </si>
  <si>
    <t>Заява за встановленою формою</t>
  </si>
  <si>
    <t>Посилання на документ</t>
  </si>
  <si>
    <t>Зміст</t>
  </si>
  <si>
    <t>№
з/п</t>
  </si>
  <si>
    <t>на 2020 рік</t>
  </si>
  <si>
    <t>документів, що подаються для встановлення тарифів на послуги з поводження з побутовими відходами</t>
  </si>
  <si>
    <t>ПЕРЕЛІК</t>
  </si>
  <si>
    <t>Додаток 43
до Порядку розгляду органами місцевого
самоврядування розрахунків тарифів
на теплову енергію, її виробництво,
транспортування та постачання, а також
розрахунків тарифів на комунальні
послуги, поданих для їх встановлення
(пункт 11 розділу ІІ)</t>
  </si>
  <si>
    <t>10.10.2022-51,49  грн/1л.</t>
  </si>
  <si>
    <t>09.2022 ДТ -52,63  грн/1л.</t>
  </si>
  <si>
    <t>08.2022 ДТ -54,99  грн/1л.</t>
  </si>
  <si>
    <t>07.2022 ДТ -56,99  грн/1л.</t>
  </si>
  <si>
    <t>06.2022 ДТ -57,06  грн/1л.</t>
  </si>
  <si>
    <t>05.2022 ДТ -56,38  грн/1л.</t>
  </si>
  <si>
    <t>04.2022 ДТ -41,20  грн/1л.</t>
  </si>
  <si>
    <t>03.2022 ДТ -42,89  грн/1л.</t>
  </si>
  <si>
    <t>02.2022 ДТ -32,14  грн/1л.</t>
  </si>
  <si>
    <t>01.2022 ДТ -28,56  грн/1л.</t>
  </si>
  <si>
    <t>2021- ДТ- 27,48 грн/1л.</t>
  </si>
  <si>
    <t xml:space="preserve">Директор ТОВ "ТВ-СЕРРУС" ________________ Ю.Б. Гергель </t>
  </si>
  <si>
    <t>ДТ</t>
  </si>
  <si>
    <t>акумулятори</t>
  </si>
  <si>
    <t>пластична олива</t>
  </si>
  <si>
    <t>Масло Mobil АTF 220</t>
  </si>
  <si>
    <t>трансмісійна олива</t>
  </si>
  <si>
    <t xml:space="preserve">TEDEX HYDRAULIC HLP-32 (олива гідравлічне) </t>
  </si>
  <si>
    <t>спеціальна олива</t>
  </si>
  <si>
    <t>Масло MOBIL DELVAK MX 15W40</t>
  </si>
  <si>
    <t xml:space="preserve">Масло MOBIL DELVAC XHP EXTRA 10W40 </t>
  </si>
  <si>
    <t>моторна олива</t>
  </si>
  <si>
    <t xml:space="preserve">грн </t>
  </si>
  <si>
    <t>Кількість</t>
  </si>
  <si>
    <t>Найменування</t>
  </si>
  <si>
    <t>№</t>
  </si>
  <si>
    <t>Інформація щодо цін на ПММ, шини, акумулятори на 2024 рік</t>
  </si>
  <si>
    <t xml:space="preserve">ШТАТНИЙ РОЗКЛАД ТОВАРИСТВА З ОБМЕЖЕНОЮ ВІДПОВІДАЛЬНІСТЮ
 "ТВ-СЕРРУС"
Код  ЄДРПОУ    20950844
</t>
  </si>
  <si>
    <t>ЗАТВЕРДЖЕНО</t>
  </si>
  <si>
    <t>Наказ ТОВ "ТВ-СЕРРУС"                                від  31 серпня 2023 року № 170-к</t>
  </si>
  <si>
    <t>Введено в дію з   01 вересня 2023 року</t>
  </si>
  <si>
    <t xml:space="preserve">ШТАТНИЙ РОЗКЛАД                                                                                                                                                        ТОВАРИСТВА З ОБМЕЖЕНОЮ ВІДПОВІДАЛЬНІСТЮ "ТВ-СЕРРУС"
Код  ЄДРПОУ    20950844
</t>
  </si>
  <si>
    <t>Назва структурного підрозділу</t>
  </si>
  <si>
    <t xml:space="preserve">Код класифікатора професій </t>
  </si>
  <si>
    <t>Посадові оклади, грн.</t>
  </si>
  <si>
    <t>Надбавки, доплати , грн</t>
  </si>
  <si>
    <t>Місячний фонд  заробітної плати, грн.</t>
  </si>
  <si>
    <t>Директор підприємства</t>
  </si>
  <si>
    <t>юрисконсульт</t>
  </si>
  <si>
    <t>Інспектор з кадрів</t>
  </si>
  <si>
    <t>Еколог</t>
  </si>
  <si>
    <t>2211.2</t>
  </si>
  <si>
    <t>Фінансовий відділ</t>
  </si>
  <si>
    <t>Провідний бухгалтер</t>
  </si>
  <si>
    <t>2411.2</t>
  </si>
  <si>
    <t>економіст</t>
  </si>
  <si>
    <t>оператор комп’ютерного набору</t>
  </si>
  <si>
    <t>Планово-договірний відділ</t>
  </si>
  <si>
    <t>Начальник відділу (Одеса)</t>
  </si>
  <si>
    <t>Начальник відділу  (Чорноморськ)</t>
  </si>
  <si>
    <t xml:space="preserve">Провідний економіст з договірних та претензійних робіт </t>
  </si>
  <si>
    <t xml:space="preserve">Економіст з договірних та претензійних робіт </t>
  </si>
  <si>
    <t>Розклеювач оголошень</t>
  </si>
  <si>
    <t>Диспетчерська служба</t>
  </si>
  <si>
    <t>Старший диспетчер автомобільного транспорту</t>
  </si>
  <si>
    <t>Диспетчер автомобільного транспорту*</t>
  </si>
  <si>
    <t>Диспетчер автомобільного транспорту</t>
  </si>
  <si>
    <t>начальник  гаража</t>
  </si>
  <si>
    <t>1226.2</t>
  </si>
  <si>
    <t>Інженер з технічного нагляду</t>
  </si>
  <si>
    <t>Сестра медична*</t>
  </si>
  <si>
    <t xml:space="preserve">Слюсар з ремонту колісних транспортних засобів* </t>
  </si>
  <si>
    <t>Слюсар-електрик з ремонту електроустаткування*</t>
  </si>
  <si>
    <t>старший механік гаража*</t>
  </si>
  <si>
    <t>механик*</t>
  </si>
  <si>
    <t>Водій автотранспортних засобів*</t>
  </si>
  <si>
    <t>Вантажник*</t>
  </si>
  <si>
    <t>Машиніст крану автомобільного</t>
  </si>
  <si>
    <t>Експедитор</t>
  </si>
  <si>
    <t>Електрогазозварник</t>
  </si>
  <si>
    <t xml:space="preserve"> Дезінфектор</t>
  </si>
  <si>
    <t>Підсобний робітник (мийщик)</t>
  </si>
  <si>
    <t>Господарська служба</t>
  </si>
  <si>
    <t>Службовець на складі (комірник)</t>
  </si>
  <si>
    <t>4131.</t>
  </si>
  <si>
    <t>прибиральник службових приміщень</t>
  </si>
  <si>
    <t>УСЬОГО:</t>
  </si>
  <si>
    <t>*-  по даній штатній одиниці застосовується погодинна оплата праці, а у графі  «Посадовий оклад» значиться  середньомісячний оклад, який розраховується за формулою наведеною нижче. До даної штатної одиниці можливе застосування 20% надбавки за роботу в  нічний час.</t>
  </si>
  <si>
    <t>105,88 грн.*2080годин/12міс.=18352,53</t>
  </si>
  <si>
    <t>водій автотранспортних засобів</t>
  </si>
  <si>
    <t>139,75грн.*2080годин/12міс.=24223,33</t>
  </si>
  <si>
    <t>вантажник</t>
  </si>
  <si>
    <t>108,7 грн*2080 годин/12 міс = 18841,33</t>
  </si>
  <si>
    <t>сестра медична</t>
  </si>
  <si>
    <t>73,20грн*2080годін/12міс.=12688</t>
  </si>
  <si>
    <t>механік</t>
  </si>
  <si>
    <t>75,0*2080годін/12міс.=13000</t>
  </si>
  <si>
    <t>старший механік гаража</t>
  </si>
  <si>
    <t>145,40*2080 годин/12=</t>
  </si>
  <si>
    <t>Слюсар з ремонту колісних транспортних засобів</t>
  </si>
  <si>
    <t>110,91грн*2080годін/12міс.=19224,40</t>
  </si>
  <si>
    <t>Слюсар-електрик з ремонту електроустаткування</t>
  </si>
  <si>
    <t xml:space="preserve">                                       Юрій ГЕРГЕЛЬ</t>
  </si>
  <si>
    <t>Річний  фонд  заробітної плати, грн.</t>
  </si>
  <si>
    <t>Факт чис.</t>
  </si>
  <si>
    <t xml:space="preserve">ПРЯМІ витрати </t>
  </si>
  <si>
    <t>Змішані</t>
  </si>
  <si>
    <t>ЗВВ</t>
  </si>
  <si>
    <t>ЗБУТ</t>
  </si>
  <si>
    <t>Адм В</t>
  </si>
  <si>
    <t>ВН5763СО</t>
  </si>
  <si>
    <t>ВН2607ЕР</t>
  </si>
  <si>
    <t>ТОВ ТВ-СЕРРУС</t>
  </si>
  <si>
    <t xml:space="preserve">10м 2023 км </t>
  </si>
  <si>
    <t>10м.2023 ходки</t>
  </si>
  <si>
    <t>2024 км</t>
  </si>
  <si>
    <t>2024 ходки</t>
  </si>
  <si>
    <t>Одеса</t>
  </si>
  <si>
    <t>Чорном.</t>
  </si>
  <si>
    <t>Всього</t>
  </si>
  <si>
    <t>ВН 4354 ІХ</t>
  </si>
  <si>
    <t>ВН 4303 ІХ</t>
  </si>
  <si>
    <t>ВН 9631 НХ</t>
  </si>
  <si>
    <t>ВН 9635 НХ</t>
  </si>
  <si>
    <t>ВН 26-01 ЕР</t>
  </si>
  <si>
    <t>ВН 26-03 ЕР</t>
  </si>
  <si>
    <t>ВН 26-05 ЕР</t>
  </si>
  <si>
    <t>ВН 2607 ЕР</t>
  </si>
  <si>
    <t>ВН 5761 СО</t>
  </si>
  <si>
    <t>ВН 5763 СО</t>
  </si>
  <si>
    <t>ВН 0994 ТО</t>
  </si>
  <si>
    <t>ВН 2859 ІТ</t>
  </si>
  <si>
    <t>всього</t>
  </si>
  <si>
    <t>Інформація щодо транспортних засобів, що задіяні на збиранні та перевезенні  змішаних  відходів  та ВГВ</t>
  </si>
  <si>
    <t>Транспортні засоби, які здійснюють вивіз змішаних відходів</t>
  </si>
  <si>
    <t>Транспортні засоби, які здійснюють збирання змішаних відходів</t>
  </si>
  <si>
    <t xml:space="preserve">Масло MOBIL DELVAC МХ EXTRA 10W40 </t>
  </si>
  <si>
    <t>Масло Mobilube GX-A 80W</t>
  </si>
  <si>
    <t>Оліва трансмісійна MLUBE HD 80W-90</t>
  </si>
  <si>
    <t>Масло Mobilube HD 80W90</t>
  </si>
  <si>
    <t>Мастило літол -24 (16kg)</t>
  </si>
  <si>
    <t>Шина 315/80R22.5 156/150К RD802 3PMSF (RoyalBlack)</t>
  </si>
  <si>
    <t>Шина 315/80R22.5 156/150M RS600 3PMSF (RoyalBlack)</t>
  </si>
  <si>
    <t>Акумулятор BOSCH EFB 240Ah 12V</t>
  </si>
  <si>
    <t>Акумуляторна батапея 140А</t>
  </si>
  <si>
    <t>серпень 2023 року</t>
  </si>
  <si>
    <t>вересень 2023 року</t>
  </si>
  <si>
    <t>жовтень 2023 року</t>
  </si>
  <si>
    <t>Вартість одниці, грн без пдв</t>
  </si>
  <si>
    <t>Інформація щодо витрат пально-мастильних матеріалів по транспортним засобам, що задіяні при збиранні змішаних відходів та ВГВ</t>
  </si>
  <si>
    <t>Інформація щодо витрат пально-мастильних матеріалів по транспортним засобам, що задіяні при перевезені змішаних відходів та ВГВ</t>
  </si>
  <si>
    <t>Зарплата водіїв</t>
  </si>
  <si>
    <t>% Чорноморськ до Одеси</t>
  </si>
  <si>
    <t>Взуття спеціальне черевики</t>
  </si>
  <si>
    <t>Напівкомбінезон утепл. Портовик-1</t>
  </si>
  <si>
    <t>Куртка утепл. Портовик-1</t>
  </si>
  <si>
    <t>Куртка робоча "Новатор" с логотипом</t>
  </si>
  <si>
    <t>Напівкомбінезон  "Новатор"</t>
  </si>
  <si>
    <t>Нарукавники брезентові</t>
  </si>
  <si>
    <t>Фартух брезентовий</t>
  </si>
  <si>
    <t>Плащ дощовик ПВХ</t>
  </si>
  <si>
    <t xml:space="preserve">Плащ дощовик ПВХ 2 шт </t>
  </si>
  <si>
    <t>Рукавиці 36 шт</t>
  </si>
  <si>
    <t>Для врахування в тарифі</t>
  </si>
  <si>
    <t>Розрахунок витрат на придбання спецодягу</t>
  </si>
  <si>
    <t>Зарплата вантажників</t>
  </si>
  <si>
    <t>Спецодяг водіїв, грн</t>
  </si>
  <si>
    <t>Спецодяг вантажників, грн</t>
  </si>
  <si>
    <t>Вартість  АКБ, грн</t>
  </si>
  <si>
    <t>Розрахункова кількість акумуляторних батарей (АКБ)</t>
  </si>
  <si>
    <t>інші основні засоби</t>
  </si>
  <si>
    <t>враховано по автомобілям що обслуговують м. Чорноморськ</t>
  </si>
  <si>
    <t>АДМ</t>
  </si>
  <si>
    <t>Мийка автомобілів</t>
  </si>
  <si>
    <t>Всього ремонти авто</t>
  </si>
  <si>
    <t>матеріали та запчастини</t>
  </si>
  <si>
    <t>Інформація щодо окремих статтей розрахунку (кількості годин роботи за рік, пробігу, фонду заробітної плати водіїв, вантажників,  та вартості шин)</t>
  </si>
  <si>
    <t>Загальна сумма по підрпиємству  на 2024 ,  грн</t>
  </si>
  <si>
    <t>Збирання змішаних відходів</t>
  </si>
  <si>
    <t>Перевезеннязмішаних відходів</t>
  </si>
  <si>
    <t>Збирання ВГВ</t>
  </si>
  <si>
    <t>Перевезення ВГВ</t>
  </si>
  <si>
    <t>усього,  грн</t>
  </si>
  <si>
    <t>грн</t>
  </si>
  <si>
    <t>відшкодування комунальних послуг по орендованим приміщенням</t>
  </si>
  <si>
    <t>Цілодобове спостереження за установкою пожежної сигналізації</t>
  </si>
  <si>
    <t>послуги з моніторингу переміщуваних обєктів</t>
  </si>
  <si>
    <t>утилізація шин</t>
  </si>
  <si>
    <t>Страхування цивільно-правової відповідальності власників транспортних засобів</t>
  </si>
  <si>
    <t>Інформаційні послуги з навчання з питань охорони праці</t>
  </si>
  <si>
    <t>2.4</t>
  </si>
  <si>
    <r>
      <t>№</t>
    </r>
    <r>
      <rPr>
        <sz val="12"/>
        <color theme="1"/>
        <rFont val="Times New Roman"/>
        <family val="1"/>
        <charset val="204"/>
      </rPr>
      <t> </t>
    </r>
  </si>
  <si>
    <t>ВСЬОГО за  видами поводження (збирання, перевезення) та видами відходів</t>
  </si>
  <si>
    <t>Витрати на оплату послуг банків</t>
  </si>
  <si>
    <t>Витрати на оплату професійних послуг: інформаційно консультаційні послуги</t>
  </si>
  <si>
    <t>телефонний(Фарлеп-інвест)</t>
  </si>
  <si>
    <t>телефонний(Київстар)</t>
  </si>
  <si>
    <t>Інтернет (Глобал сіті нет)</t>
  </si>
  <si>
    <t>телефонний, інтернет(Лєкол)</t>
  </si>
  <si>
    <t>Амортизація основних засобів, інших необоротних матеріальних і нематеріальних активів загальногосподарського використання</t>
  </si>
  <si>
    <t>Адміністративні витрати з надання послуг з управління побутовими відходами, усього:</t>
  </si>
  <si>
    <t>Програмне забезпечення, обслуговування компютерної техніки</t>
  </si>
  <si>
    <t>Розрахунок адміністративних витрат, пов’язаних з наданням послуг з управління побутовими відходами</t>
  </si>
  <si>
    <r>
      <t>грн/м</t>
    </r>
    <r>
      <rPr>
        <b/>
        <vertAlign val="superscript"/>
        <sz val="12"/>
        <color rgb="FF000000"/>
        <rFont val="Times New Roman"/>
        <family val="1"/>
        <charset val="204"/>
      </rPr>
      <t>-3</t>
    </r>
  </si>
  <si>
    <t>спецодяг працівників</t>
  </si>
  <si>
    <t>мийка  автомобілів</t>
  </si>
  <si>
    <t>Прямі витрати, усього, зокрема:</t>
  </si>
  <si>
    <t>Виробнича собівартість, усього</t>
  </si>
  <si>
    <t>Виробнича собівартість, усього:</t>
  </si>
  <si>
    <t>Прямі витрати, усього:</t>
  </si>
  <si>
    <t>1.3.4</t>
  </si>
  <si>
    <t xml:space="preserve">ПЛАНОВИЙ РОЗПОДІЛ </t>
  </si>
  <si>
    <t>Найменування послуг (операцій)</t>
  </si>
  <si>
    <t>УСЬОГО</t>
  </si>
  <si>
    <t>Директор ТОВ "ТВ-СЕРРУС" _________________ Ю.Б.Гергель</t>
  </si>
  <si>
    <t>загальновиробничих та адміністративних витрат по ТОВ "ТВ-СЕРРУС" на плановий період 2024 рік</t>
  </si>
  <si>
    <t xml:space="preserve">Побутові відходи </t>
  </si>
  <si>
    <t xml:space="preserve">2. </t>
  </si>
  <si>
    <t>Великогабаритні відходи</t>
  </si>
  <si>
    <t>Прямі витрати, грн на рік</t>
  </si>
  <si>
    <t>Загальновиробничі витрати, що розподіляються грн. на рік</t>
  </si>
  <si>
    <t>Виробнича собівартість, грн. на рік</t>
  </si>
  <si>
    <t>Адміністративні витрати, що розподіляються грн на рік</t>
  </si>
  <si>
    <t>коеф-т розподілу загальновиробничих витрат</t>
  </si>
  <si>
    <t xml:space="preserve"> коеф-т  розподілу адміністративних витрат</t>
  </si>
  <si>
    <t>Загальна сумма по підприємству  план  на 2024 ,  грн</t>
  </si>
  <si>
    <t>6.2</t>
  </si>
  <si>
    <t>6.3</t>
  </si>
  <si>
    <t>6.4</t>
  </si>
  <si>
    <t>Відновлення ресурсоцінних відходів</t>
  </si>
  <si>
    <t>Видалення (захоронення)</t>
  </si>
  <si>
    <r>
      <t>Загальний обсяг послуг за операціями з управління побутовими відходами,м</t>
    </r>
    <r>
      <rPr>
        <b/>
        <vertAlign val="superscript"/>
        <sz val="12"/>
        <rFont val="Times New Roman"/>
        <family val="1"/>
        <charset val="204"/>
      </rPr>
      <t>-3</t>
    </r>
    <r>
      <rPr>
        <sz val="12"/>
        <rFont val="Times New Roman"/>
        <family val="1"/>
        <charset val="204"/>
      </rPr>
      <t>:</t>
    </r>
  </si>
  <si>
    <t>ВСЬОГО ЗА ОПЕРАЦІЯМИ</t>
  </si>
  <si>
    <t xml:space="preserve">                                                     Директор ТОВ "ТВ-СЕРРУС" ________________ Ю.Б. Гергель </t>
  </si>
  <si>
    <t xml:space="preserve">    Директор ТОВ "ТВ-СЕРРУС" ________________ Ю.Б. Гергель </t>
  </si>
  <si>
    <t>Планований прибуток*10%</t>
  </si>
  <si>
    <t>Річний план надання послуг з управління  з побутовими відходами на території Чорноморської міської територіальної громади</t>
  </si>
  <si>
    <t>Середня вартість одниці для врахування в тарифі, грн</t>
  </si>
  <si>
    <t>Витрати на оплату праці  тариф Чорноморськ</t>
  </si>
  <si>
    <t>з наданням послуг з  управління побутовими відходами</t>
  </si>
  <si>
    <t>ВСЬОГО за операціями (збирання, перевезення) та видами відходів</t>
  </si>
  <si>
    <t>5.2</t>
  </si>
  <si>
    <t>5.2.1</t>
  </si>
  <si>
    <t>5.2.2.</t>
  </si>
  <si>
    <t>Чистий прибуток, всього, в т.ч на:</t>
  </si>
  <si>
    <t>Здійснення заходів інвестиційної програми</t>
  </si>
  <si>
    <t>Розрахунок витрат на амортизацію, ремонт , мийку автомобілів</t>
  </si>
  <si>
    <t>Найменування  показників</t>
  </si>
  <si>
    <t xml:space="preserve">Збирання </t>
  </si>
  <si>
    <t>Перевезення</t>
  </si>
  <si>
    <t>Видалення (захоронення) за договором</t>
  </si>
  <si>
    <t>Відновлення за договором</t>
  </si>
  <si>
    <t>грн/1 куб. м</t>
  </si>
  <si>
    <t>грн/1 особу в рік</t>
  </si>
  <si>
    <t>грн/1 особу в місяць</t>
  </si>
  <si>
    <t>Норма надання послуги на 1 особу в рік, куб.м.</t>
  </si>
  <si>
    <t>Обсяг відходів, куб.м./рік</t>
  </si>
  <si>
    <t>Обсяг відходів, куб.м./ рік</t>
  </si>
  <si>
    <t>Вартість послуг за операціями з управління змішаними  побутовими відходами для споживачів з ПДВ</t>
  </si>
  <si>
    <t xml:space="preserve">Розрахунок повної собівартості та тарифів на послуги з управління  змішаними побутовими відходами </t>
  </si>
  <si>
    <t>Вартість послуг за операціями з управління змішаними побутовими відходами для споживачів без ПДВ</t>
  </si>
  <si>
    <r>
      <t xml:space="preserve">Вартість послуг за операціями з управління </t>
    </r>
    <r>
      <rPr>
        <b/>
        <u/>
        <sz val="12"/>
        <color theme="1"/>
        <rFont val="Times New Roman"/>
        <family val="1"/>
        <charset val="204"/>
      </rPr>
      <t>змішаними  побутовими відходами</t>
    </r>
    <r>
      <rPr>
        <b/>
        <sz val="12"/>
        <color theme="1"/>
        <rFont val="Times New Roman"/>
        <family val="1"/>
        <charset val="204"/>
      </rPr>
      <t xml:space="preserve"> для споживачів з ПДВ</t>
    </r>
  </si>
  <si>
    <t>мийка автомобілів</t>
  </si>
  <si>
    <t>Забезпечення необхідного рівня прибутковості капіталу власників (нарахування дивідендів)</t>
  </si>
  <si>
    <t xml:space="preserve">Розрахунок повної собівартості та тарифів на послуги з управління  великогабаритними побутовими  відходами </t>
  </si>
  <si>
    <t>Вартість послуг за операціями  з управління  великогабаритними побутовими відходами для споживачів з ПДВ</t>
  </si>
  <si>
    <t>Вартість послуг за операціями  з управління  великогабаритними побутовими  відходами для споживачів без ПДВ</t>
  </si>
  <si>
    <r>
      <t>Обсяг послуг з управління  великогабаритними побутовими  відходами ( м</t>
    </r>
    <r>
      <rPr>
        <b/>
        <vertAlign val="superscript"/>
        <sz val="11"/>
        <rFont val="Times New Roman"/>
        <family val="1"/>
        <charset val="204"/>
      </rPr>
      <t>-3</t>
    </r>
    <r>
      <rPr>
        <b/>
        <sz val="11"/>
        <rFont val="Times New Roman"/>
        <family val="1"/>
        <charset val="204"/>
      </rPr>
      <t>):</t>
    </r>
  </si>
  <si>
    <r>
      <t xml:space="preserve">Вартість послуг за операціями  з управління  </t>
    </r>
    <r>
      <rPr>
        <b/>
        <u/>
        <sz val="12"/>
        <color theme="1"/>
        <rFont val="Times New Roman"/>
        <family val="1"/>
        <charset val="204"/>
      </rPr>
      <t>великогабаритними побутовими відходами</t>
    </r>
    <r>
      <rPr>
        <b/>
        <sz val="12"/>
        <color theme="1"/>
        <rFont val="Times New Roman"/>
        <family val="1"/>
        <charset val="204"/>
      </rPr>
      <t xml:space="preserve"> для споживачів з ПДВ</t>
    </r>
  </si>
  <si>
    <t xml:space="preserve">Структура тарифів на послуги з управління  змішаними побутовими відходами </t>
  </si>
  <si>
    <t xml:space="preserve">Структура  тарифів на послуги з управління  великогабаритними побутовими  відходами </t>
  </si>
  <si>
    <t>Планований прибуток*15%</t>
  </si>
  <si>
    <t>Планований прибуток %</t>
  </si>
  <si>
    <t xml:space="preserve"> Тариф на послугу з управління   змішаними  побутовими відходами (середньозважений) (без урахування ПДВ), грн/м-3</t>
  </si>
  <si>
    <t xml:space="preserve"> Тариф на послугу з управління   змішаними  побутовими відходами (середньозважений) (з урахуванням ПДВ), грн/м-3</t>
  </si>
  <si>
    <t>Тариф на послугу з управління  великогабаритними побутовими  відходами (середньозважений) (без урахування ПДВ), грн/м-3</t>
  </si>
  <si>
    <t>Тариф на послугу з управління  великогабаритними побутовими  відходами (середньозважений) (з урахуванням ПДВ), грн/м-3</t>
  </si>
  <si>
    <t xml:space="preserve"> Тариф на послугу з управління побутовими відходами (середньозважений)</t>
  </si>
  <si>
    <t>Начальник управління економічного розвитку та торгівлі                                                                                                         Наталія ГЄНЧЕВА</t>
  </si>
  <si>
    <t>Начальник управління економічного розвитку та торгівлі                                                               Наталія ГЄНЧЕВА</t>
  </si>
  <si>
    <t>Тарифи на послуги з управління побутовими відходами, що утворюються на території Чорноморської міської територіальної громади Одеського району Одеської області, для всіх категорій споживачів, які надаються ТОВ "ТВ-СЕРРУС"</t>
  </si>
  <si>
    <t>Додаток 1 до рішення виконавчого комітету Чорноморської міської ради                                                     від  19.01.2024 №  25</t>
  </si>
  <si>
    <t>Додаток 2 до рішення виконавчого комітету Чорноморської міської ради                                                     від  19.01.2024 №  25</t>
  </si>
  <si>
    <t>Додаток 3 до рішення виконавчого комітету Чорноморської міської ради                                                     від  19.01.2024 № 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</si>
</sst>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"/>
    <numFmt numFmtId="165" formatCode="#,###.00"/>
    <numFmt numFmtId="166" formatCode="#,###.0"/>
    <numFmt numFmtId="167" formatCode="0.000"/>
    <numFmt numFmtId="168" formatCode="0.0"/>
    <numFmt numFmtId="169" formatCode="_-* #,##0.0000_-;\-* #,##0.0000_-;_-* &quot;-&quot;??_-;_-@_-"/>
    <numFmt numFmtId="170" formatCode="_-* #,##0.00\ _₴_-;\-* #,##0.00\ _₴_-;_-* &quot;-&quot;??\ _₴_-;_-@_-"/>
    <numFmt numFmtId="171" formatCode="0.0000"/>
    <numFmt numFmtId="172" formatCode="d\.m\."/>
    <numFmt numFmtId="173" formatCode="#,##0.000"/>
    <numFmt numFmtId="174" formatCode="#,##0.0000"/>
  </numFmts>
  <fonts count="7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.2"/>
      <color theme="10"/>
      <name val="Arial"/>
      <family val="2"/>
      <charset val="204"/>
    </font>
    <font>
      <sz val="9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02124"/>
      <name val="Times New Roman"/>
      <family val="1"/>
      <charset val="204"/>
    </font>
    <font>
      <sz val="10"/>
      <color rgb="FF040C28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1F1F1F"/>
      <name val="Roboto"/>
      <charset val="204"/>
    </font>
    <font>
      <sz val="10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vertAlign val="superscript"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7E1CD"/>
      </patternFill>
    </fill>
  </fills>
  <borders count="10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43" fontId="28" fillId="0" borderId="0" applyFont="0" applyFill="0" applyBorder="0" applyAlignment="0" applyProtection="0"/>
    <xf numFmtId="0" fontId="29" fillId="0" borderId="0"/>
    <xf numFmtId="0" fontId="3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9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3" xfId="0" applyBorder="1"/>
    <xf numFmtId="0" fontId="0" fillId="0" borderId="21" xfId="0" applyBorder="1"/>
    <xf numFmtId="0" fontId="0" fillId="3" borderId="13" xfId="0" applyFill="1" applyBorder="1"/>
    <xf numFmtId="0" fontId="0" fillId="0" borderId="35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22" xfId="0" applyBorder="1"/>
    <xf numFmtId="0" fontId="0" fillId="0" borderId="31" xfId="0" applyBorder="1"/>
    <xf numFmtId="0" fontId="0" fillId="2" borderId="36" xfId="0" applyFill="1" applyBorder="1"/>
    <xf numFmtId="0" fontId="0" fillId="3" borderId="36" xfId="0" applyFill="1" applyBorder="1"/>
    <xf numFmtId="0" fontId="0" fillId="2" borderId="37" xfId="0" applyFill="1" applyBorder="1"/>
    <xf numFmtId="0" fontId="0" fillId="0" borderId="38" xfId="0" applyBorder="1"/>
    <xf numFmtId="0" fontId="0" fillId="0" borderId="36" xfId="0" applyBorder="1"/>
    <xf numFmtId="0" fontId="0" fillId="0" borderId="37" xfId="0" applyBorder="1"/>
    <xf numFmtId="0" fontId="14" fillId="0" borderId="0" xfId="0" applyFont="1"/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2" fontId="10" fillId="0" borderId="13" xfId="0" applyNumberFormat="1" applyFont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2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textRotation="90"/>
    </xf>
    <xf numFmtId="0" fontId="0" fillId="3" borderId="13" xfId="0" applyFill="1" applyBorder="1" applyAlignment="1">
      <alignment horizontal="left" vertical="center"/>
    </xf>
    <xf numFmtId="0" fontId="0" fillId="3" borderId="21" xfId="0" applyFill="1" applyBorder="1"/>
    <xf numFmtId="0" fontId="0" fillId="3" borderId="1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2" fontId="0" fillId="3" borderId="13" xfId="0" applyNumberFormat="1" applyFill="1" applyBorder="1"/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0" fontId="26" fillId="3" borderId="0" xfId="0" applyFont="1" applyFill="1"/>
    <xf numFmtId="2" fontId="0" fillId="3" borderId="0" xfId="0" applyNumberFormat="1" applyFill="1"/>
    <xf numFmtId="1" fontId="26" fillId="3" borderId="0" xfId="0" applyNumberFormat="1" applyFont="1" applyFill="1"/>
    <xf numFmtId="2" fontId="26" fillId="3" borderId="0" xfId="0" applyNumberFormat="1" applyFont="1" applyFill="1"/>
    <xf numFmtId="0" fontId="27" fillId="0" borderId="13" xfId="0" applyFont="1" applyBorder="1"/>
    <xf numFmtId="0" fontId="27" fillId="0" borderId="0" xfId="0" applyFont="1"/>
    <xf numFmtId="0" fontId="29" fillId="0" borderId="0" xfId="2"/>
    <xf numFmtId="0" fontId="32" fillId="0" borderId="13" xfId="2" applyFont="1" applyBorder="1" applyAlignment="1">
      <alignment horizontal="center"/>
    </xf>
    <xf numFmtId="0" fontId="34" fillId="0" borderId="13" xfId="4" applyFont="1" applyBorder="1" applyAlignment="1" applyProtection="1">
      <alignment horizontal="justify" wrapText="1"/>
    </xf>
    <xf numFmtId="0" fontId="32" fillId="0" borderId="13" xfId="2" applyFont="1" applyBorder="1" applyAlignment="1">
      <alignment horizontal="center" vertical="center"/>
    </xf>
    <xf numFmtId="0" fontId="32" fillId="0" borderId="13" xfId="2" applyFont="1" applyBorder="1"/>
    <xf numFmtId="0" fontId="32" fillId="0" borderId="60" xfId="2" applyFont="1" applyBorder="1" applyAlignment="1">
      <alignment horizontal="center" vertical="top"/>
    </xf>
    <xf numFmtId="0" fontId="35" fillId="0" borderId="60" xfId="2" applyFont="1" applyBorder="1" applyAlignment="1">
      <alignment horizontal="left" vertical="top" wrapText="1"/>
    </xf>
    <xf numFmtId="0" fontId="32" fillId="0" borderId="60" xfId="2" applyFont="1" applyBorder="1" applyAlignment="1">
      <alignment horizontal="center" vertical="top" wrapText="1"/>
    </xf>
    <xf numFmtId="0" fontId="32" fillId="0" borderId="57" xfId="2" applyFont="1" applyBorder="1" applyAlignment="1">
      <alignment horizontal="center" vertical="top"/>
    </xf>
    <xf numFmtId="0" fontId="32" fillId="0" borderId="57" xfId="2" applyFont="1" applyBorder="1" applyAlignment="1">
      <alignment horizontal="left" vertical="top" wrapText="1"/>
    </xf>
    <xf numFmtId="0" fontId="32" fillId="0" borderId="57" xfId="2" applyFont="1" applyBorder="1" applyAlignment="1">
      <alignment horizontal="center" vertical="top" wrapText="1"/>
    </xf>
    <xf numFmtId="0" fontId="35" fillId="0" borderId="57" xfId="2" applyFont="1" applyBorder="1" applyAlignment="1">
      <alignment horizontal="left" vertical="top" wrapText="1"/>
    </xf>
    <xf numFmtId="0" fontId="2" fillId="0" borderId="57" xfId="2" applyFont="1" applyBorder="1" applyAlignment="1">
      <alignment horizontal="center" vertical="top" wrapText="1"/>
    </xf>
    <xf numFmtId="0" fontId="32" fillId="0" borderId="0" xfId="2" applyFont="1"/>
    <xf numFmtId="0" fontId="32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36" fillId="0" borderId="0" xfId="2" applyFont="1" applyAlignment="1">
      <alignment wrapText="1"/>
    </xf>
    <xf numFmtId="0" fontId="41" fillId="0" borderId="0" xfId="0" applyFont="1"/>
    <xf numFmtId="0" fontId="32" fillId="0" borderId="0" xfId="0" applyFont="1" applyAlignment="1">
      <alignment wrapText="1"/>
    </xf>
    <xf numFmtId="0" fontId="32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44" fillId="0" borderId="0" xfId="0" applyFont="1" applyAlignment="1">
      <alignment horizontal="center" vertical="center"/>
    </xf>
    <xf numFmtId="0" fontId="32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27" fillId="0" borderId="94" xfId="0" applyFont="1" applyBorder="1"/>
    <xf numFmtId="0" fontId="27" fillId="0" borderId="37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15" xfId="0" applyFont="1" applyBorder="1"/>
    <xf numFmtId="1" fontId="27" fillId="0" borderId="15" xfId="0" applyNumberFormat="1" applyFont="1" applyBorder="1"/>
    <xf numFmtId="1" fontId="27" fillId="0" borderId="13" xfId="0" applyNumberFormat="1" applyFont="1" applyBorder="1"/>
    <xf numFmtId="1" fontId="27" fillId="0" borderId="32" xfId="0" applyNumberFormat="1" applyFont="1" applyBorder="1"/>
    <xf numFmtId="43" fontId="27" fillId="0" borderId="13" xfId="1" applyFont="1" applyBorder="1"/>
    <xf numFmtId="164" fontId="23" fillId="4" borderId="13" xfId="0" applyNumberFormat="1" applyFont="1" applyFill="1" applyBorder="1" applyAlignment="1">
      <alignment horizontal="left" vertical="center"/>
    </xf>
    <xf numFmtId="164" fontId="24" fillId="4" borderId="13" xfId="0" applyNumberFormat="1" applyFont="1" applyFill="1" applyBorder="1"/>
    <xf numFmtId="4" fontId="24" fillId="4" borderId="13" xfId="0" applyNumberFormat="1" applyFont="1" applyFill="1" applyBorder="1" applyAlignment="1">
      <alignment horizontal="right" vertical="center"/>
    </xf>
    <xf numFmtId="4" fontId="24" fillId="4" borderId="13" xfId="0" applyNumberFormat="1" applyFont="1" applyFill="1" applyBorder="1" applyAlignment="1">
      <alignment horizontal="right"/>
    </xf>
    <xf numFmtId="4" fontId="24" fillId="4" borderId="13" xfId="0" applyNumberFormat="1" applyFont="1" applyFill="1" applyBorder="1"/>
    <xf numFmtId="4" fontId="23" fillId="4" borderId="13" xfId="0" applyNumberFormat="1" applyFont="1" applyFill="1" applyBorder="1"/>
    <xf numFmtId="167" fontId="25" fillId="4" borderId="0" xfId="0" applyNumberFormat="1" applyFont="1" applyFill="1"/>
    <xf numFmtId="167" fontId="0" fillId="4" borderId="0" xfId="0" applyNumberFormat="1" applyFill="1"/>
    <xf numFmtId="0" fontId="0" fillId="4" borderId="0" xfId="0" applyFill="1"/>
    <xf numFmtId="4" fontId="18" fillId="4" borderId="0" xfId="0" applyNumberFormat="1" applyFont="1" applyFill="1"/>
    <xf numFmtId="0" fontId="17" fillId="0" borderId="13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left" vertical="center" wrapText="1"/>
    </xf>
    <xf numFmtId="2" fontId="17" fillId="0" borderId="13" xfId="2" applyNumberFormat="1" applyFont="1" applyBorder="1" applyAlignment="1">
      <alignment horizontal="center" vertical="center" wrapText="1"/>
    </xf>
    <xf numFmtId="2" fontId="29" fillId="0" borderId="0" xfId="2" applyNumberFormat="1"/>
    <xf numFmtId="0" fontId="17" fillId="0" borderId="31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center" wrapText="1"/>
    </xf>
    <xf numFmtId="2" fontId="37" fillId="0" borderId="0" xfId="2" applyNumberFormat="1" applyFont="1"/>
    <xf numFmtId="0" fontId="17" fillId="0" borderId="13" xfId="2" applyFont="1" applyBorder="1" applyAlignment="1">
      <alignment vertical="center" wrapText="1"/>
    </xf>
    <xf numFmtId="2" fontId="36" fillId="0" borderId="0" xfId="2" applyNumberFormat="1" applyFont="1" applyAlignment="1">
      <alignment wrapText="1"/>
    </xf>
    <xf numFmtId="165" fontId="17" fillId="4" borderId="13" xfId="0" applyNumberFormat="1" applyFont="1" applyFill="1" applyBorder="1"/>
    <xf numFmtId="4" fontId="17" fillId="4" borderId="13" xfId="0" applyNumberFormat="1" applyFont="1" applyFill="1" applyBorder="1"/>
    <xf numFmtId="0" fontId="17" fillId="4" borderId="13" xfId="0" applyFont="1" applyFill="1" applyBorder="1"/>
    <xf numFmtId="0" fontId="20" fillId="4" borderId="26" xfId="0" applyFont="1" applyFill="1" applyBorder="1" applyAlignment="1">
      <alignment horizontal="center" vertical="center" wrapText="1"/>
    </xf>
    <xf numFmtId="164" fontId="20" fillId="4" borderId="13" xfId="0" applyNumberFormat="1" applyFont="1" applyFill="1" applyBorder="1"/>
    <xf numFmtId="0" fontId="23" fillId="4" borderId="0" xfId="0" applyFont="1" applyFill="1"/>
    <xf numFmtId="0" fontId="39" fillId="4" borderId="0" xfId="0" applyFont="1" applyFill="1"/>
    <xf numFmtId="0" fontId="25" fillId="4" borderId="0" xfId="0" applyFont="1" applyFill="1"/>
    <xf numFmtId="0" fontId="5" fillId="0" borderId="0" xfId="0" applyFont="1"/>
    <xf numFmtId="0" fontId="32" fillId="0" borderId="13" xfId="0" applyFont="1" applyBorder="1"/>
    <xf numFmtId="0" fontId="32" fillId="0" borderId="0" xfId="0" applyFont="1"/>
    <xf numFmtId="0" fontId="54" fillId="0" borderId="0" xfId="0" applyFont="1"/>
    <xf numFmtId="0" fontId="11" fillId="4" borderId="0" xfId="2" applyFont="1" applyFill="1"/>
    <xf numFmtId="0" fontId="17" fillId="4" borderId="61" xfId="3" applyFont="1" applyFill="1" applyBorder="1"/>
    <xf numFmtId="0" fontId="5" fillId="4" borderId="57" xfId="3" applyFont="1" applyFill="1" applyBorder="1" applyAlignment="1">
      <alignment horizontal="center" vertical="center" wrapText="1"/>
    </xf>
    <xf numFmtId="0" fontId="12" fillId="4" borderId="0" xfId="2" applyFont="1" applyFill="1"/>
    <xf numFmtId="0" fontId="54" fillId="4" borderId="57" xfId="3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top" wrapText="1"/>
    </xf>
    <xf numFmtId="2" fontId="5" fillId="4" borderId="13" xfId="0" applyNumberFormat="1" applyFont="1" applyFill="1" applyBorder="1"/>
    <xf numFmtId="0" fontId="17" fillId="4" borderId="57" xfId="3" applyFont="1" applyFill="1" applyBorder="1" applyAlignment="1">
      <alignment wrapText="1"/>
    </xf>
    <xf numFmtId="2" fontId="17" fillId="4" borderId="57" xfId="3" applyNumberFormat="1" applyFont="1" applyFill="1" applyBorder="1" applyAlignment="1">
      <alignment vertical="center"/>
    </xf>
    <xf numFmtId="0" fontId="5" fillId="4" borderId="13" xfId="0" applyFont="1" applyFill="1" applyBorder="1"/>
    <xf numFmtId="0" fontId="5" fillId="4" borderId="57" xfId="3" applyFont="1" applyFill="1" applyBorder="1" applyAlignment="1">
      <alignment vertical="center" wrapText="1"/>
    </xf>
    <xf numFmtId="4" fontId="5" fillId="4" borderId="57" xfId="3" applyNumberFormat="1" applyFont="1" applyFill="1" applyBorder="1" applyAlignment="1">
      <alignment vertical="center" wrapText="1"/>
    </xf>
    <xf numFmtId="0" fontId="54" fillId="4" borderId="59" xfId="3" applyFont="1" applyFill="1" applyBorder="1" applyAlignment="1">
      <alignment vertical="center" wrapText="1"/>
    </xf>
    <xf numFmtId="4" fontId="54" fillId="4" borderId="57" xfId="3" applyNumberFormat="1" applyFont="1" applyFill="1" applyBorder="1" applyAlignment="1">
      <alignment vertical="center" wrapText="1"/>
    </xf>
    <xf numFmtId="0" fontId="11" fillId="4" borderId="0" xfId="2" applyFont="1" applyFill="1" applyAlignment="1">
      <alignment horizontal="center"/>
    </xf>
    <xf numFmtId="0" fontId="54" fillId="4" borderId="60" xfId="3" applyFont="1" applyFill="1" applyBorder="1" applyAlignment="1">
      <alignment horizontal="center" vertical="center" wrapText="1"/>
    </xf>
    <xf numFmtId="0" fontId="5" fillId="4" borderId="56" xfId="3" applyFont="1" applyFill="1" applyBorder="1" applyAlignment="1">
      <alignment vertical="center" wrapText="1"/>
    </xf>
    <xf numFmtId="4" fontId="5" fillId="4" borderId="56" xfId="3" applyNumberFormat="1" applyFont="1" applyFill="1" applyBorder="1" applyAlignment="1">
      <alignment vertical="center" wrapText="1"/>
    </xf>
    <xf numFmtId="0" fontId="54" fillId="4" borderId="13" xfId="3" applyFont="1" applyFill="1" applyBorder="1" applyAlignment="1">
      <alignment horizontal="center" vertical="center" wrapText="1"/>
    </xf>
    <xf numFmtId="168" fontId="17" fillId="4" borderId="13" xfId="3" applyNumberFormat="1" applyFont="1" applyFill="1" applyBorder="1" applyAlignment="1">
      <alignment horizontal="right" vertical="center" wrapText="1"/>
    </xf>
    <xf numFmtId="0" fontId="17" fillId="4" borderId="13" xfId="3" applyFont="1" applyFill="1" applyBorder="1" applyAlignment="1">
      <alignment wrapText="1"/>
    </xf>
    <xf numFmtId="2" fontId="17" fillId="4" borderId="13" xfId="3" applyNumberFormat="1" applyFont="1" applyFill="1" applyBorder="1" applyAlignment="1">
      <alignment vertical="center"/>
    </xf>
    <xf numFmtId="0" fontId="5" fillId="4" borderId="98" xfId="3" applyFont="1" applyFill="1" applyBorder="1" applyAlignment="1">
      <alignment vertical="center" wrapText="1"/>
    </xf>
    <xf numFmtId="0" fontId="5" fillId="4" borderId="99" xfId="3" applyFont="1" applyFill="1" applyBorder="1" applyAlignment="1">
      <alignment vertical="center" wrapText="1"/>
    </xf>
    <xf numFmtId="0" fontId="17" fillId="4" borderId="0" xfId="3" applyFont="1" applyFill="1" applyAlignment="1">
      <alignment wrapText="1"/>
    </xf>
    <xf numFmtId="0" fontId="5" fillId="4" borderId="0" xfId="3" applyFont="1" applyFill="1" applyAlignment="1">
      <alignment vertical="center" wrapText="1"/>
    </xf>
    <xf numFmtId="0" fontId="5" fillId="4" borderId="100" xfId="3" applyFont="1" applyFill="1" applyBorder="1" applyAlignment="1">
      <alignment vertical="center" wrapText="1"/>
    </xf>
    <xf numFmtId="4" fontId="5" fillId="4" borderId="99" xfId="3" applyNumberFormat="1" applyFont="1" applyFill="1" applyBorder="1" applyAlignment="1">
      <alignment vertical="center" wrapText="1"/>
    </xf>
    <xf numFmtId="0" fontId="17" fillId="4" borderId="0" xfId="3" applyFont="1" applyFill="1"/>
    <xf numFmtId="0" fontId="5" fillId="4" borderId="59" xfId="3" applyFont="1" applyFill="1" applyBorder="1" applyAlignment="1">
      <alignment horizontal="center" vertical="center" wrapText="1"/>
    </xf>
    <xf numFmtId="0" fontId="17" fillId="4" borderId="59" xfId="3" applyFont="1" applyFill="1" applyBorder="1" applyAlignment="1">
      <alignment vertical="center" wrapText="1"/>
    </xf>
    <xf numFmtId="0" fontId="17" fillId="4" borderId="96" xfId="3" applyFont="1" applyFill="1" applyBorder="1" applyAlignment="1">
      <alignment vertical="center" wrapText="1"/>
    </xf>
    <xf numFmtId="0" fontId="17" fillId="4" borderId="61" xfId="3" applyFont="1" applyFill="1" applyBorder="1" applyAlignment="1">
      <alignment vertical="center" wrapText="1"/>
    </xf>
    <xf numFmtId="0" fontId="17" fillId="4" borderId="97" xfId="3" applyFont="1" applyFill="1" applyBorder="1" applyAlignment="1">
      <alignment vertical="center" wrapText="1"/>
    </xf>
    <xf numFmtId="0" fontId="17" fillId="4" borderId="13" xfId="3" applyFont="1" applyFill="1" applyBorder="1"/>
    <xf numFmtId="0" fontId="17" fillId="4" borderId="13" xfId="3" applyFont="1" applyFill="1" applyBorder="1" applyAlignment="1">
      <alignment vertical="center" wrapText="1"/>
    </xf>
    <xf numFmtId="4" fontId="5" fillId="4" borderId="13" xfId="3" applyNumberFormat="1" applyFont="1" applyFill="1" applyBorder="1" applyAlignment="1">
      <alignment vertical="center" wrapText="1"/>
    </xf>
    <xf numFmtId="0" fontId="57" fillId="4" borderId="0" xfId="2" applyFont="1" applyFill="1" applyAlignment="1">
      <alignment horizontal="center"/>
    </xf>
    <xf numFmtId="0" fontId="29" fillId="6" borderId="13" xfId="2" applyFill="1" applyBorder="1"/>
    <xf numFmtId="166" fontId="17" fillId="4" borderId="13" xfId="0" applyNumberFormat="1" applyFont="1" applyFill="1" applyBorder="1"/>
    <xf numFmtId="164" fontId="58" fillId="4" borderId="13" xfId="0" applyNumberFormat="1" applyFont="1" applyFill="1" applyBorder="1" applyAlignment="1">
      <alignment horizontal="left" vertical="center"/>
    </xf>
    <xf numFmtId="0" fontId="10" fillId="4" borderId="13" xfId="0" applyFont="1" applyFill="1" applyBorder="1"/>
    <xf numFmtId="0" fontId="45" fillId="0" borderId="0" xfId="0" applyFont="1"/>
    <xf numFmtId="165" fontId="16" fillId="4" borderId="13" xfId="0" applyNumberFormat="1" applyFont="1" applyFill="1" applyBorder="1"/>
    <xf numFmtId="0" fontId="57" fillId="4" borderId="0" xfId="0" applyFont="1" applyFill="1" applyAlignment="1">
      <alignment horizontal="center" vertical="center" wrapText="1"/>
    </xf>
    <xf numFmtId="0" fontId="57" fillId="4" borderId="13" xfId="0" applyFont="1" applyFill="1" applyBorder="1" applyAlignment="1">
      <alignment horizontal="center" vertical="center" wrapText="1"/>
    </xf>
    <xf numFmtId="165" fontId="10" fillId="4" borderId="13" xfId="0" applyNumberFormat="1" applyFont="1" applyFill="1" applyBorder="1"/>
    <xf numFmtId="4" fontId="10" fillId="4" borderId="13" xfId="0" applyNumberFormat="1" applyFont="1" applyFill="1" applyBorder="1"/>
    <xf numFmtId="167" fontId="10" fillId="4" borderId="21" xfId="0" applyNumberFormat="1" applyFont="1" applyFill="1" applyBorder="1"/>
    <xf numFmtId="2" fontId="10" fillId="4" borderId="21" xfId="0" applyNumberFormat="1" applyFont="1" applyFill="1" applyBorder="1"/>
    <xf numFmtId="2" fontId="32" fillId="0" borderId="13" xfId="0" applyNumberFormat="1" applyFont="1" applyBorder="1"/>
    <xf numFmtId="2" fontId="10" fillId="4" borderId="13" xfId="0" applyNumberFormat="1" applyFont="1" applyFill="1" applyBorder="1"/>
    <xf numFmtId="165" fontId="10" fillId="4" borderId="21" xfId="0" applyNumberFormat="1" applyFont="1" applyFill="1" applyBorder="1"/>
    <xf numFmtId="0" fontId="10" fillId="4" borderId="0" xfId="0" applyFont="1" applyFill="1"/>
    <xf numFmtId="0" fontId="32" fillId="4" borderId="0" xfId="0" applyFont="1" applyFill="1"/>
    <xf numFmtId="0" fontId="57" fillId="4" borderId="0" xfId="0" applyFont="1" applyFill="1"/>
    <xf numFmtId="43" fontId="7" fillId="4" borderId="13" xfId="1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32" fillId="0" borderId="0" xfId="0" applyNumberFormat="1" applyFont="1"/>
    <xf numFmtId="0" fontId="32" fillId="0" borderId="0" xfId="0" applyFont="1" applyAlignment="1">
      <alignment horizontal="left" vertical="center" wrapText="1"/>
    </xf>
    <xf numFmtId="0" fontId="45" fillId="3" borderId="0" xfId="0" applyFont="1" applyFill="1"/>
    <xf numFmtId="0" fontId="2" fillId="4" borderId="0" xfId="0" applyFont="1" applyFill="1" applyAlignment="1">
      <alignment horizontal="center" vertical="center" wrapText="1"/>
    </xf>
    <xf numFmtId="0" fontId="45" fillId="4" borderId="0" xfId="0" applyFont="1" applyFill="1"/>
    <xf numFmtId="0" fontId="45" fillId="0" borderId="13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left" wrapText="1"/>
    </xf>
    <xf numFmtId="0" fontId="45" fillId="4" borderId="36" xfId="0" applyFont="1" applyFill="1" applyBorder="1" applyAlignment="1">
      <alignment horizontal="center" vertical="center"/>
    </xf>
    <xf numFmtId="0" fontId="45" fillId="4" borderId="86" xfId="0" applyFont="1" applyFill="1" applyBorder="1" applyAlignment="1">
      <alignment horizontal="left" wrapText="1"/>
    </xf>
    <xf numFmtId="0" fontId="2" fillId="4" borderId="21" xfId="0" applyFont="1" applyFill="1" applyBorder="1" applyAlignment="1">
      <alignment horizontal="left" wrapText="1"/>
    </xf>
    <xf numFmtId="0" fontId="47" fillId="4" borderId="21" xfId="0" applyFont="1" applyFill="1" applyBorder="1" applyAlignment="1">
      <alignment horizontal="left" wrapText="1"/>
    </xf>
    <xf numFmtId="0" fontId="61" fillId="4" borderId="21" xfId="0" applyFont="1" applyFill="1" applyBorder="1" applyAlignment="1">
      <alignment horizontal="left" wrapText="1"/>
    </xf>
    <xf numFmtId="0" fontId="45" fillId="4" borderId="13" xfId="0" applyFont="1" applyFill="1" applyBorder="1"/>
    <xf numFmtId="2" fontId="45" fillId="4" borderId="13" xfId="0" applyNumberFormat="1" applyFont="1" applyFill="1" applyBorder="1"/>
    <xf numFmtId="168" fontId="45" fillId="4" borderId="13" xfId="0" applyNumberFormat="1" applyFont="1" applyFill="1" applyBorder="1"/>
    <xf numFmtId="0" fontId="45" fillId="4" borderId="15" xfId="0" applyFont="1" applyFill="1" applyBorder="1"/>
    <xf numFmtId="0" fontId="8" fillId="4" borderId="0" xfId="0" applyFont="1" applyFill="1"/>
    <xf numFmtId="0" fontId="4" fillId="4" borderId="3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0" fillId="4" borderId="13" xfId="0" applyFill="1" applyBorder="1" applyAlignment="1">
      <alignment vertical="top" wrapText="1"/>
    </xf>
    <xf numFmtId="49" fontId="4" fillId="4" borderId="13" xfId="0" applyNumberFormat="1" applyFont="1" applyFill="1" applyBorder="1" applyAlignment="1">
      <alignment horizontal="center" vertical="center" wrapText="1"/>
    </xf>
    <xf numFmtId="2" fontId="0" fillId="4" borderId="0" xfId="0" applyNumberFormat="1" applyFill="1"/>
    <xf numFmtId="0" fontId="4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1" fillId="4" borderId="0" xfId="0" applyFont="1" applyFill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4" fillId="4" borderId="47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0" fillId="4" borderId="55" xfId="0" applyFill="1" applyBorder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2" fontId="0" fillId="4" borderId="0" xfId="0" applyNumberFormat="1" applyFill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0" fillId="8" borderId="0" xfId="0" applyFill="1"/>
    <xf numFmtId="0" fontId="2" fillId="9" borderId="0" xfId="0" applyFont="1" applyFill="1" applyAlignment="1">
      <alignment horizontal="left" vertical="center"/>
    </xf>
    <xf numFmtId="0" fontId="66" fillId="0" borderId="0" xfId="0" applyFont="1" applyAlignment="1">
      <alignment wrapText="1"/>
    </xf>
    <xf numFmtId="4" fontId="0" fillId="0" borderId="0" xfId="0" applyNumberFormat="1"/>
    <xf numFmtId="0" fontId="8" fillId="0" borderId="0" xfId="0" applyFont="1"/>
    <xf numFmtId="0" fontId="2" fillId="0" borderId="15" xfId="0" applyFont="1" applyBorder="1" applyAlignment="1">
      <alignment horizontal="center" vertical="center" wrapText="1"/>
    </xf>
    <xf numFmtId="170" fontId="32" fillId="0" borderId="0" xfId="0" applyNumberFormat="1" applyFont="1"/>
    <xf numFmtId="0" fontId="32" fillId="0" borderId="13" xfId="0" applyFont="1" applyBorder="1" applyAlignment="1">
      <alignment vertical="top" wrapText="1"/>
    </xf>
    <xf numFmtId="43" fontId="32" fillId="0" borderId="13" xfId="1" applyFont="1" applyFill="1" applyBorder="1" applyAlignment="1">
      <alignment vertical="top" wrapText="1"/>
    </xf>
    <xf numFmtId="2" fontId="32" fillId="0" borderId="13" xfId="0" applyNumberFormat="1" applyFont="1" applyBorder="1" applyAlignment="1">
      <alignment vertical="top" wrapText="1"/>
    </xf>
    <xf numFmtId="167" fontId="32" fillId="0" borderId="13" xfId="0" applyNumberFormat="1" applyFont="1" applyBorder="1" applyAlignment="1">
      <alignment vertical="top" wrapText="1"/>
    </xf>
    <xf numFmtId="171" fontId="32" fillId="0" borderId="13" xfId="0" applyNumberFormat="1" applyFont="1" applyBorder="1" applyAlignment="1">
      <alignment vertical="top" wrapText="1"/>
    </xf>
    <xf numFmtId="43" fontId="8" fillId="0" borderId="13" xfId="1" applyFont="1" applyFill="1" applyBorder="1" applyAlignment="1">
      <alignment horizontal="center" vertical="center" wrapText="1"/>
    </xf>
    <xf numFmtId="43" fontId="8" fillId="0" borderId="13" xfId="1" applyFont="1" applyFill="1" applyBorder="1" applyAlignment="1">
      <alignment vertical="center" wrapText="1"/>
    </xf>
    <xf numFmtId="43" fontId="43" fillId="0" borderId="13" xfId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vertical="center" wrapText="1"/>
    </xf>
    <xf numFmtId="170" fontId="8" fillId="10" borderId="15" xfId="0" applyNumberFormat="1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vertical="center" wrapText="1"/>
    </xf>
    <xf numFmtId="0" fontId="32" fillId="8" borderId="13" xfId="0" applyFont="1" applyFill="1" applyBorder="1" applyAlignment="1">
      <alignment vertical="top" wrapText="1"/>
    </xf>
    <xf numFmtId="43" fontId="32" fillId="8" borderId="13" xfId="1" applyFont="1" applyFill="1" applyBorder="1" applyAlignment="1">
      <alignment vertical="top" wrapText="1"/>
    </xf>
    <xf numFmtId="2" fontId="32" fillId="8" borderId="13" xfId="0" applyNumberFormat="1" applyFont="1" applyFill="1" applyBorder="1" applyAlignment="1">
      <alignment vertical="top" wrapText="1"/>
    </xf>
    <xf numFmtId="49" fontId="2" fillId="7" borderId="13" xfId="0" applyNumberFormat="1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vertical="top" wrapText="1"/>
    </xf>
    <xf numFmtId="43" fontId="32" fillId="7" borderId="13" xfId="1" applyFont="1" applyFill="1" applyBorder="1" applyAlignment="1">
      <alignment vertical="top" wrapText="1"/>
    </xf>
    <xf numFmtId="2" fontId="32" fillId="7" borderId="13" xfId="0" applyNumberFormat="1" applyFont="1" applyFill="1" applyBorder="1" applyAlignment="1">
      <alignment vertical="top" wrapText="1"/>
    </xf>
    <xf numFmtId="49" fontId="8" fillId="10" borderId="13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43" fillId="10" borderId="13" xfId="0" applyFont="1" applyFill="1" applyBorder="1" applyAlignment="1">
      <alignment vertical="top" wrapText="1"/>
    </xf>
    <xf numFmtId="2" fontId="43" fillId="10" borderId="13" xfId="0" applyNumberFormat="1" applyFont="1" applyFill="1" applyBorder="1"/>
    <xf numFmtId="2" fontId="43" fillId="10" borderId="13" xfId="0" applyNumberFormat="1" applyFont="1" applyFill="1" applyBorder="1" applyAlignment="1">
      <alignment vertical="top" wrapText="1"/>
    </xf>
    <xf numFmtId="2" fontId="43" fillId="10" borderId="0" xfId="0" applyNumberFormat="1" applyFont="1" applyFill="1"/>
    <xf numFmtId="0" fontId="2" fillId="0" borderId="29" xfId="0" applyFont="1" applyBorder="1" applyAlignment="1">
      <alignment horizontal="center" vertical="center" wrapText="1"/>
    </xf>
    <xf numFmtId="49" fontId="10" fillId="10" borderId="13" xfId="0" applyNumberFormat="1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vertical="top" wrapText="1"/>
    </xf>
    <xf numFmtId="49" fontId="10" fillId="7" borderId="13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vertical="top" wrapText="1"/>
    </xf>
    <xf numFmtId="49" fontId="57" fillId="10" borderId="13" xfId="0" applyNumberFormat="1" applyFont="1" applyFill="1" applyBorder="1" applyAlignment="1">
      <alignment horizontal="center" vertical="center" wrapText="1"/>
    </xf>
    <xf numFmtId="0" fontId="57" fillId="10" borderId="13" xfId="0" applyFont="1" applyFill="1" applyBorder="1" applyAlignment="1">
      <alignment vertical="center" wrapText="1"/>
    </xf>
    <xf numFmtId="0" fontId="57" fillId="10" borderId="0" xfId="0" applyFont="1" applyFill="1" applyAlignment="1">
      <alignment horizontal="center" vertical="center" wrapText="1"/>
    </xf>
    <xf numFmtId="0" fontId="57" fillId="10" borderId="0" xfId="0" applyFont="1" applyFill="1" applyAlignment="1">
      <alignment vertical="top" wrapText="1"/>
    </xf>
    <xf numFmtId="0" fontId="57" fillId="10" borderId="13" xfId="0" applyFont="1" applyFill="1" applyBorder="1" applyAlignment="1">
      <alignment vertical="top" wrapText="1"/>
    </xf>
    <xf numFmtId="2" fontId="57" fillId="10" borderId="13" xfId="0" applyNumberFormat="1" applyFont="1" applyFill="1" applyBorder="1" applyAlignment="1">
      <alignment vertical="top" wrapText="1"/>
    </xf>
    <xf numFmtId="43" fontId="57" fillId="10" borderId="13" xfId="1" applyFont="1" applyFill="1" applyBorder="1" applyAlignment="1">
      <alignment vertical="top" wrapText="1"/>
    </xf>
    <xf numFmtId="2" fontId="57" fillId="11" borderId="13" xfId="0" applyNumberFormat="1" applyFont="1" applyFill="1" applyBorder="1" applyAlignment="1">
      <alignment vertical="top" wrapText="1"/>
    </xf>
    <xf numFmtId="2" fontId="57" fillId="7" borderId="13" xfId="0" applyNumberFormat="1" applyFont="1" applyFill="1" applyBorder="1" applyAlignment="1">
      <alignment vertical="top" wrapText="1"/>
    </xf>
    <xf numFmtId="43" fontId="0" fillId="4" borderId="13" xfId="1" applyFont="1" applyFill="1" applyBorder="1" applyAlignment="1">
      <alignment vertical="top" wrapText="1"/>
    </xf>
    <xf numFmtId="170" fontId="0" fillId="4" borderId="0" xfId="0" applyNumberFormat="1" applyFill="1"/>
    <xf numFmtId="49" fontId="4" fillId="10" borderId="13" xfId="0" applyNumberFormat="1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vertical="top" wrapText="1"/>
    </xf>
    <xf numFmtId="43" fontId="68" fillId="10" borderId="13" xfId="1" applyFont="1" applyFill="1" applyBorder="1" applyAlignment="1">
      <alignment vertical="top" wrapText="1"/>
    </xf>
    <xf numFmtId="49" fontId="16" fillId="10" borderId="13" xfId="0" applyNumberFormat="1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68" fillId="10" borderId="13" xfId="0" applyFont="1" applyFill="1" applyBorder="1" applyAlignment="1">
      <alignment vertical="top" wrapText="1"/>
    </xf>
    <xf numFmtId="43" fontId="68" fillId="7" borderId="13" xfId="1" applyFont="1" applyFill="1" applyBorder="1" applyAlignment="1">
      <alignment vertical="top" wrapText="1"/>
    </xf>
    <xf numFmtId="49" fontId="16" fillId="7" borderId="13" xfId="0" applyNumberFormat="1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68" fillId="7" borderId="13" xfId="0" applyFont="1" applyFill="1" applyBorder="1" applyAlignment="1">
      <alignment vertical="top" wrapText="1"/>
    </xf>
    <xf numFmtId="43" fontId="68" fillId="11" borderId="13" xfId="1" applyFont="1" applyFill="1" applyBorder="1" applyAlignment="1">
      <alignment vertical="top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vertical="center" wrapText="1"/>
    </xf>
    <xf numFmtId="0" fontId="0" fillId="12" borderId="13" xfId="0" applyFill="1" applyBorder="1" applyAlignment="1">
      <alignment vertical="top" wrapText="1"/>
    </xf>
    <xf numFmtId="43" fontId="0" fillId="12" borderId="13" xfId="1" applyFont="1" applyFill="1" applyBorder="1" applyAlignment="1">
      <alignment vertical="top" wrapText="1"/>
    </xf>
    <xf numFmtId="43" fontId="0" fillId="4" borderId="13" xfId="1" applyFont="1" applyFill="1" applyBorder="1"/>
    <xf numFmtId="0" fontId="70" fillId="12" borderId="15" xfId="0" applyFont="1" applyFill="1" applyBorder="1" applyAlignment="1">
      <alignment horizontal="center" vertical="center" wrapText="1"/>
    </xf>
    <xf numFmtId="0" fontId="70" fillId="12" borderId="13" xfId="0" applyFont="1" applyFill="1" applyBorder="1" applyAlignment="1">
      <alignment vertical="center" wrapText="1"/>
    </xf>
    <xf numFmtId="43" fontId="70" fillId="12" borderId="15" xfId="1" applyFont="1" applyFill="1" applyBorder="1" applyAlignment="1">
      <alignment horizontal="center" vertical="center" wrapText="1"/>
    </xf>
    <xf numFmtId="49" fontId="4" fillId="12" borderId="13" xfId="0" applyNumberFormat="1" applyFont="1" applyFill="1" applyBorder="1" applyAlignment="1">
      <alignment horizontal="center" vertical="center" wrapText="1"/>
    </xf>
    <xf numFmtId="43" fontId="0" fillId="12" borderId="0" xfId="1" applyFont="1" applyFill="1"/>
    <xf numFmtId="0" fontId="0" fillId="12" borderId="0" xfId="0" applyFill="1"/>
    <xf numFmtId="0" fontId="4" fillId="10" borderId="13" xfId="0" applyFont="1" applyFill="1" applyBorder="1" applyAlignment="1">
      <alignment vertical="center" wrapText="1"/>
    </xf>
    <xf numFmtId="43" fontId="0" fillId="10" borderId="13" xfId="1" applyFont="1" applyFill="1" applyBorder="1" applyAlignment="1">
      <alignment vertical="top" wrapText="1"/>
    </xf>
    <xf numFmtId="0" fontId="0" fillId="10" borderId="0" xfId="0" applyFill="1"/>
    <xf numFmtId="0" fontId="57" fillId="4" borderId="21" xfId="0" applyFont="1" applyFill="1" applyBorder="1" applyAlignment="1">
      <alignment horizontal="center" vertical="center" wrapText="1"/>
    </xf>
    <xf numFmtId="0" fontId="32" fillId="4" borderId="13" xfId="0" applyFont="1" applyFill="1" applyBorder="1"/>
    <xf numFmtId="2" fontId="32" fillId="4" borderId="13" xfId="0" applyNumberFormat="1" applyFont="1" applyFill="1" applyBorder="1"/>
    <xf numFmtId="165" fontId="57" fillId="4" borderId="13" xfId="0" applyNumberFormat="1" applyFont="1" applyFill="1" applyBorder="1"/>
    <xf numFmtId="2" fontId="57" fillId="4" borderId="21" xfId="0" applyNumberFormat="1" applyFont="1" applyFill="1" applyBorder="1"/>
    <xf numFmtId="0" fontId="10" fillId="4" borderId="21" xfId="0" applyFont="1" applyFill="1" applyBorder="1"/>
    <xf numFmtId="0" fontId="58" fillId="13" borderId="13" xfId="0" applyFont="1" applyFill="1" applyBorder="1" applyAlignment="1">
      <alignment horizontal="left" vertical="center"/>
    </xf>
    <xf numFmtId="165" fontId="57" fillId="4" borderId="21" xfId="0" applyNumberFormat="1" applyFont="1" applyFill="1" applyBorder="1"/>
    <xf numFmtId="2" fontId="43" fillId="4" borderId="13" xfId="0" applyNumberFormat="1" applyFont="1" applyFill="1" applyBorder="1"/>
    <xf numFmtId="4" fontId="10" fillId="4" borderId="0" xfId="0" applyNumberFormat="1" applyFont="1" applyFill="1"/>
    <xf numFmtId="4" fontId="57" fillId="4" borderId="0" xfId="0" applyNumberFormat="1" applyFont="1" applyFill="1" applyAlignment="1">
      <alignment horizontal="center"/>
    </xf>
    <xf numFmtId="0" fontId="29" fillId="4" borderId="0" xfId="2" applyFill="1"/>
    <xf numFmtId="0" fontId="16" fillId="4" borderId="13" xfId="3" applyFont="1" applyFill="1" applyBorder="1"/>
    <xf numFmtId="0" fontId="54" fillId="4" borderId="61" xfId="3" applyFont="1" applyFill="1" applyBorder="1" applyAlignment="1">
      <alignment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164" fontId="20" fillId="4" borderId="13" xfId="0" applyNumberFormat="1" applyFont="1" applyFill="1" applyBorder="1" applyAlignment="1">
      <alignment horizontal="left" vertical="center"/>
    </xf>
    <xf numFmtId="164" fontId="20" fillId="4" borderId="13" xfId="0" applyNumberFormat="1" applyFont="1" applyFill="1" applyBorder="1" applyAlignment="1">
      <alignment horizontal="left" vertical="center" wrapText="1"/>
    </xf>
    <xf numFmtId="164" fontId="23" fillId="4" borderId="13" xfId="0" applyNumberFormat="1" applyFont="1" applyFill="1" applyBorder="1" applyAlignment="1">
      <alignment horizontal="left"/>
    </xf>
    <xf numFmtId="164" fontId="23" fillId="4" borderId="13" xfId="0" applyNumberFormat="1" applyFont="1" applyFill="1" applyBorder="1"/>
    <xf numFmtId="3" fontId="20" fillId="4" borderId="13" xfId="0" applyNumberFormat="1" applyFont="1" applyFill="1" applyBorder="1"/>
    <xf numFmtId="164" fontId="20" fillId="4" borderId="13" xfId="0" applyNumberFormat="1" applyFont="1" applyFill="1" applyBorder="1" applyAlignment="1">
      <alignment horizontal="center"/>
    </xf>
    <xf numFmtId="167" fontId="21" fillId="4" borderId="0" xfId="0" applyNumberFormat="1" applyFont="1" applyFill="1"/>
    <xf numFmtId="4" fontId="15" fillId="4" borderId="0" xfId="0" applyNumberFormat="1" applyFont="1" applyFill="1"/>
    <xf numFmtId="0" fontId="23" fillId="4" borderId="13" xfId="0" applyFont="1" applyFill="1" applyBorder="1" applyAlignment="1">
      <alignment horizontal="left"/>
    </xf>
    <xf numFmtId="0" fontId="23" fillId="4" borderId="13" xfId="0" applyFont="1" applyFill="1" applyBorder="1" applyAlignment="1">
      <alignment wrapText="1"/>
    </xf>
    <xf numFmtId="0" fontId="23" fillId="4" borderId="13" xfId="0" applyFont="1" applyFill="1" applyBorder="1"/>
    <xf numFmtId="4" fontId="20" fillId="4" borderId="13" xfId="0" applyNumberFormat="1" applyFont="1" applyFill="1" applyBorder="1"/>
    <xf numFmtId="165" fontId="20" fillId="4" borderId="13" xfId="0" applyNumberFormat="1" applyFont="1" applyFill="1" applyBorder="1"/>
    <xf numFmtId="0" fontId="18" fillId="4" borderId="0" xfId="0" applyFont="1" applyFill="1"/>
    <xf numFmtId="0" fontId="47" fillId="4" borderId="0" xfId="0" applyFont="1" applyFill="1"/>
    <xf numFmtId="0" fontId="40" fillId="4" borderId="0" xfId="0" applyFont="1" applyFill="1"/>
    <xf numFmtId="4" fontId="39" fillId="4" borderId="0" xfId="0" applyNumberFormat="1" applyFont="1" applyFill="1" applyAlignment="1">
      <alignment horizontal="center"/>
    </xf>
    <xf numFmtId="0" fontId="19" fillId="4" borderId="0" xfId="0" applyFont="1" applyFill="1"/>
    <xf numFmtId="4" fontId="39" fillId="4" borderId="0" xfId="0" applyNumberFormat="1" applyFont="1" applyFill="1"/>
    <xf numFmtId="0" fontId="57" fillId="4" borderId="26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 wrapText="1"/>
    </xf>
    <xf numFmtId="4" fontId="16" fillId="4" borderId="26" xfId="0" applyNumberFormat="1" applyFont="1" applyFill="1" applyBorder="1" applyAlignment="1">
      <alignment horizontal="center" wrapText="1"/>
    </xf>
    <xf numFmtId="0" fontId="16" fillId="4" borderId="2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6" fillId="4" borderId="13" xfId="0" applyFont="1" applyFill="1" applyBorder="1" applyAlignment="1">
      <alignment horizontal="center" vertical="center" wrapText="1"/>
    </xf>
    <xf numFmtId="4" fontId="16" fillId="4" borderId="13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164" fontId="17" fillId="4" borderId="13" xfId="0" applyNumberFormat="1" applyFont="1" applyFill="1" applyBorder="1"/>
    <xf numFmtId="0" fontId="17" fillId="4" borderId="0" xfId="0" applyFont="1" applyFill="1"/>
    <xf numFmtId="0" fontId="16" fillId="4" borderId="0" xfId="0" applyFont="1" applyFill="1"/>
    <xf numFmtId="4" fontId="16" fillId="4" borderId="0" xfId="0" applyNumberFormat="1" applyFont="1" applyFill="1" applyAlignment="1">
      <alignment horizontal="center"/>
    </xf>
    <xf numFmtId="2" fontId="17" fillId="4" borderId="0" xfId="0" applyNumberFormat="1" applyFont="1" applyFill="1"/>
    <xf numFmtId="0" fontId="41" fillId="4" borderId="0" xfId="0" applyFont="1" applyFill="1"/>
    <xf numFmtId="0" fontId="14" fillId="4" borderId="0" xfId="0" applyFont="1" applyFill="1"/>
    <xf numFmtId="0" fontId="59" fillId="4" borderId="0" xfId="0" applyFont="1" applyFill="1"/>
    <xf numFmtId="0" fontId="31" fillId="4" borderId="0" xfId="0" applyFont="1" applyFill="1"/>
    <xf numFmtId="4" fontId="16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5" xfId="0" applyFont="1" applyFill="1" applyBorder="1" applyAlignment="1">
      <alignment horizontal="left" wrapText="1"/>
    </xf>
    <xf numFmtId="0" fontId="42" fillId="4" borderId="0" xfId="0" applyFont="1" applyFill="1" applyAlignment="1">
      <alignment horizontal="center"/>
    </xf>
    <xf numFmtId="43" fontId="5" fillId="4" borderId="0" xfId="1" applyFont="1" applyFill="1"/>
    <xf numFmtId="0" fontId="5" fillId="4" borderId="0" xfId="0" applyFont="1" applyFill="1"/>
    <xf numFmtId="0" fontId="32" fillId="4" borderId="0" xfId="0" applyFont="1" applyFill="1" applyAlignment="1">
      <alignment wrapText="1"/>
    </xf>
    <xf numFmtId="0" fontId="32" fillId="4" borderId="0" xfId="0" applyFont="1" applyFill="1" applyAlignment="1">
      <alignment vertical="top" wrapText="1"/>
    </xf>
    <xf numFmtId="0" fontId="43" fillId="4" borderId="0" xfId="0" applyFont="1" applyFill="1" applyAlignment="1">
      <alignment vertical="top"/>
    </xf>
    <xf numFmtId="0" fontId="44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vertical="top" wrapText="1"/>
    </xf>
    <xf numFmtId="43" fontId="32" fillId="4" borderId="0" xfId="1" applyFont="1" applyFill="1"/>
    <xf numFmtId="43" fontId="32" fillId="4" borderId="0" xfId="1" applyFont="1" applyFill="1" applyBorder="1"/>
    <xf numFmtId="0" fontId="32" fillId="4" borderId="0" xfId="0" applyFont="1" applyFill="1" applyAlignment="1">
      <alignment vertical="top"/>
    </xf>
    <xf numFmtId="0" fontId="7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center" vertical="top" wrapText="1"/>
    </xf>
    <xf numFmtId="43" fontId="48" fillId="4" borderId="13" xfId="1" applyFont="1" applyFill="1" applyBorder="1" applyAlignment="1">
      <alignment horizontal="center" textRotation="90" wrapText="1"/>
    </xf>
    <xf numFmtId="0" fontId="7" fillId="4" borderId="72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/>
    </xf>
    <xf numFmtId="4" fontId="44" fillId="4" borderId="37" xfId="0" applyNumberFormat="1" applyFont="1" applyFill="1" applyBorder="1" applyAlignment="1">
      <alignment horizontal="center" vertical="center" wrapText="1"/>
    </xf>
    <xf numFmtId="4" fontId="44" fillId="4" borderId="73" xfId="0" applyNumberFormat="1" applyFont="1" applyFill="1" applyBorder="1" applyAlignment="1">
      <alignment horizontal="center" vertical="center" wrapText="1"/>
    </xf>
    <xf numFmtId="0" fontId="44" fillId="4" borderId="13" xfId="0" applyFont="1" applyFill="1" applyBorder="1" applyAlignment="1">
      <alignment horizontal="center" wrapText="1"/>
    </xf>
    <xf numFmtId="169" fontId="7" fillId="4" borderId="13" xfId="1" applyNumberFormat="1" applyFont="1" applyFill="1" applyBorder="1" applyAlignment="1">
      <alignment horizontal="center" wrapText="1"/>
    </xf>
    <xf numFmtId="43" fontId="5" fillId="4" borderId="13" xfId="0" applyNumberFormat="1" applyFont="1" applyFill="1" applyBorder="1"/>
    <xf numFmtId="0" fontId="7" fillId="4" borderId="74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/>
    </xf>
    <xf numFmtId="4" fontId="44" fillId="4" borderId="68" xfId="0" applyNumberFormat="1" applyFont="1" applyFill="1" applyBorder="1" applyAlignment="1">
      <alignment horizontal="center" wrapText="1"/>
    </xf>
    <xf numFmtId="4" fontId="44" fillId="4" borderId="43" xfId="0" applyNumberFormat="1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4" fontId="44" fillId="4" borderId="13" xfId="0" applyNumberFormat="1" applyFont="1" applyFill="1" applyBorder="1" applyAlignment="1">
      <alignment horizontal="center" wrapText="1"/>
    </xf>
    <xf numFmtId="4" fontId="44" fillId="4" borderId="21" xfId="0" applyNumberFormat="1" applyFont="1" applyFill="1" applyBorder="1" applyAlignment="1">
      <alignment horizontal="center" wrapText="1"/>
    </xf>
    <xf numFmtId="0" fontId="7" fillId="4" borderId="80" xfId="0" applyFont="1" applyFill="1" applyBorder="1" applyAlignment="1">
      <alignment horizontal="center" vertical="center" wrapText="1"/>
    </xf>
    <xf numFmtId="0" fontId="7" fillId="4" borderId="81" xfId="0" applyFont="1" applyFill="1" applyBorder="1" applyAlignment="1">
      <alignment horizontal="center"/>
    </xf>
    <xf numFmtId="4" fontId="44" fillId="4" borderId="81" xfId="0" applyNumberFormat="1" applyFont="1" applyFill="1" applyBorder="1" applyAlignment="1">
      <alignment horizontal="center" wrapText="1"/>
    </xf>
    <xf numFmtId="4" fontId="44" fillId="4" borderId="82" xfId="0" applyNumberFormat="1" applyFont="1" applyFill="1" applyBorder="1" applyAlignment="1">
      <alignment horizontal="center" wrapText="1"/>
    </xf>
    <xf numFmtId="0" fontId="7" fillId="4" borderId="37" xfId="0" applyFont="1" applyFill="1" applyBorder="1" applyAlignment="1">
      <alignment horizontal="center"/>
    </xf>
    <xf numFmtId="4" fontId="44" fillId="4" borderId="37" xfId="0" applyNumberFormat="1" applyFont="1" applyFill="1" applyBorder="1" applyAlignment="1">
      <alignment horizontal="center" wrapText="1"/>
    </xf>
    <xf numFmtId="4" fontId="44" fillId="4" borderId="73" xfId="0" applyNumberFormat="1" applyFont="1" applyFill="1" applyBorder="1" applyAlignment="1">
      <alignment horizontal="center" wrapText="1"/>
    </xf>
    <xf numFmtId="0" fontId="7" fillId="4" borderId="63" xfId="0" applyFont="1" applyFill="1" applyBorder="1" applyAlignment="1">
      <alignment horizontal="center" vertical="center" wrapText="1"/>
    </xf>
    <xf numFmtId="0" fontId="7" fillId="4" borderId="63" xfId="0" applyFont="1" applyFill="1" applyBorder="1" applyAlignment="1">
      <alignment horizontal="center"/>
    </xf>
    <xf numFmtId="4" fontId="44" fillId="4" borderId="63" xfId="0" applyNumberFormat="1" applyFont="1" applyFill="1" applyBorder="1" applyAlignment="1">
      <alignment horizontal="center" wrapText="1"/>
    </xf>
    <xf numFmtId="4" fontId="44" fillId="4" borderId="39" xfId="0" applyNumberFormat="1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81" xfId="0" applyFont="1" applyFill="1" applyBorder="1" applyAlignment="1">
      <alignment horizontal="center" vertical="center" wrapText="1"/>
    </xf>
    <xf numFmtId="0" fontId="7" fillId="4" borderId="81" xfId="0" applyFont="1" applyFill="1" applyBorder="1" applyAlignment="1">
      <alignment horizontal="center" vertical="center"/>
    </xf>
    <xf numFmtId="4" fontId="44" fillId="4" borderId="81" xfId="0" applyNumberFormat="1" applyFont="1" applyFill="1" applyBorder="1" applyAlignment="1">
      <alignment horizontal="center" vertical="center" wrapText="1"/>
    </xf>
    <xf numFmtId="4" fontId="44" fillId="4" borderId="82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/>
    </xf>
    <xf numFmtId="4" fontId="44" fillId="4" borderId="66" xfId="0" applyNumberFormat="1" applyFont="1" applyFill="1" applyBorder="1" applyAlignment="1">
      <alignment horizontal="center" wrapText="1"/>
    </xf>
    <xf numFmtId="4" fontId="44" fillId="4" borderId="32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" fontId="44" fillId="4" borderId="31" xfId="0" applyNumberFormat="1" applyFont="1" applyFill="1" applyBorder="1" applyAlignment="1">
      <alignment horizontal="center" vertical="center" wrapText="1"/>
    </xf>
    <xf numFmtId="4" fontId="44" fillId="4" borderId="22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44" fillId="4" borderId="13" xfId="0" applyNumberFormat="1" applyFont="1" applyFill="1" applyBorder="1" applyAlignment="1">
      <alignment horizontal="center" vertical="center" wrapText="1"/>
    </xf>
    <xf numFmtId="4" fontId="44" fillId="4" borderId="21" xfId="0" applyNumberFormat="1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left" vertical="top" wrapText="1" indent="1"/>
    </xf>
    <xf numFmtId="0" fontId="7" fillId="4" borderId="13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4" fontId="44" fillId="4" borderId="32" xfId="0" applyNumberFormat="1" applyFont="1" applyFill="1" applyBorder="1" applyAlignment="1">
      <alignment horizontal="center" vertical="center" wrapText="1"/>
    </xf>
    <xf numFmtId="4" fontId="44" fillId="4" borderId="66" xfId="0" applyNumberFormat="1" applyFont="1" applyFill="1" applyBorder="1" applyAlignment="1">
      <alignment horizontal="center" vertical="center" wrapText="1"/>
    </xf>
    <xf numFmtId="43" fontId="44" fillId="4" borderId="13" xfId="1" applyFont="1" applyFill="1" applyBorder="1" applyAlignment="1">
      <alignment horizontal="center" wrapText="1"/>
    </xf>
    <xf numFmtId="0" fontId="7" fillId="4" borderId="31" xfId="0" applyFont="1" applyFill="1" applyBorder="1" applyAlignment="1">
      <alignment horizontal="center"/>
    </xf>
    <xf numFmtId="4" fontId="44" fillId="4" borderId="31" xfId="0" applyNumberFormat="1" applyFont="1" applyFill="1" applyBorder="1" applyAlignment="1">
      <alignment horizontal="center"/>
    </xf>
    <xf numFmtId="4" fontId="44" fillId="4" borderId="22" xfId="0" applyNumberFormat="1" applyFont="1" applyFill="1" applyBorder="1" applyAlignment="1">
      <alignment horizontal="center" wrapText="1"/>
    </xf>
    <xf numFmtId="4" fontId="44" fillId="4" borderId="22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51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52" fillId="4" borderId="0" xfId="0" applyFont="1" applyFill="1" applyAlignment="1">
      <alignment horizontal="center"/>
    </xf>
    <xf numFmtId="0" fontId="44" fillId="4" borderId="68" xfId="0" applyFont="1" applyFill="1" applyBorder="1" applyAlignment="1">
      <alignment horizontal="center" vertical="center" wrapText="1"/>
    </xf>
    <xf numFmtId="0" fontId="44" fillId="4" borderId="68" xfId="0" applyFont="1" applyFill="1" applyBorder="1" applyAlignment="1">
      <alignment horizontal="center" vertical="center"/>
    </xf>
    <xf numFmtId="4" fontId="44" fillId="4" borderId="68" xfId="0" applyNumberFormat="1" applyFont="1" applyFill="1" applyBorder="1" applyAlignment="1">
      <alignment horizontal="center" vertical="center" wrapText="1"/>
    </xf>
    <xf numFmtId="4" fontId="44" fillId="4" borderId="43" xfId="0" applyNumberFormat="1" applyFont="1" applyFill="1" applyBorder="1" applyAlignment="1">
      <alignment horizontal="center" vertical="center" wrapText="1"/>
    </xf>
    <xf numFmtId="0" fontId="44" fillId="4" borderId="46" xfId="0" applyFont="1" applyFill="1" applyBorder="1" applyAlignment="1">
      <alignment vertical="center" wrapText="1"/>
    </xf>
    <xf numFmtId="0" fontId="44" fillId="4" borderId="74" xfId="0" applyFont="1" applyFill="1" applyBorder="1" applyAlignment="1">
      <alignment vertical="center" wrapText="1"/>
    </xf>
    <xf numFmtId="0" fontId="44" fillId="4" borderId="68" xfId="0" applyFont="1" applyFill="1" applyBorder="1" applyAlignment="1">
      <alignment vertical="center" wrapText="1"/>
    </xf>
    <xf numFmtId="0" fontId="49" fillId="4" borderId="68" xfId="0" applyFont="1" applyFill="1" applyBorder="1" applyAlignment="1">
      <alignment horizontal="left" wrapText="1"/>
    </xf>
    <xf numFmtId="4" fontId="44" fillId="4" borderId="75" xfId="0" applyNumberFormat="1" applyFont="1" applyFill="1" applyBorder="1" applyAlignment="1">
      <alignment horizontal="center" vertical="center" wrapText="1"/>
    </xf>
    <xf numFmtId="4" fontId="44" fillId="4" borderId="0" xfId="0" applyNumberFormat="1" applyFont="1" applyFill="1" applyAlignment="1">
      <alignment horizontal="center" vertical="center" wrapText="1"/>
    </xf>
    <xf numFmtId="43" fontId="5" fillId="4" borderId="15" xfId="1" applyFont="1" applyFill="1" applyBorder="1"/>
    <xf numFmtId="0" fontId="5" fillId="4" borderId="15" xfId="0" applyFont="1" applyFill="1" applyBorder="1"/>
    <xf numFmtId="0" fontId="49" fillId="4" borderId="0" xfId="0" applyFont="1" applyFill="1" applyAlignment="1">
      <alignment horizontal="center" wrapText="1"/>
    </xf>
    <xf numFmtId="43" fontId="5" fillId="4" borderId="13" xfId="1" applyFont="1" applyFill="1" applyBorder="1"/>
    <xf numFmtId="43" fontId="54" fillId="4" borderId="13" xfId="1" applyFont="1" applyFill="1" applyBorder="1"/>
    <xf numFmtId="0" fontId="54" fillId="4" borderId="13" xfId="0" applyFont="1" applyFill="1" applyBorder="1"/>
    <xf numFmtId="0" fontId="54" fillId="4" borderId="0" xfId="0" applyFont="1" applyFill="1" applyAlignment="1">
      <alignment wrapText="1"/>
    </xf>
    <xf numFmtId="0" fontId="53" fillId="4" borderId="0" xfId="0" applyFont="1" applyFill="1" applyAlignment="1">
      <alignment horizontal="right"/>
    </xf>
    <xf numFmtId="0" fontId="53" fillId="4" borderId="0" xfId="0" applyFont="1" applyFill="1" applyAlignment="1">
      <alignment horizontal="left"/>
    </xf>
    <xf numFmtId="0" fontId="54" fillId="4" borderId="0" xfId="0" applyFont="1" applyFill="1"/>
    <xf numFmtId="0" fontId="49" fillId="4" borderId="0" xfId="0" applyFont="1" applyFill="1"/>
    <xf numFmtId="0" fontId="46" fillId="4" borderId="0" xfId="0" applyFont="1" applyFill="1" applyAlignment="1">
      <alignment horizontal="right" vertical="top" wrapText="1"/>
    </xf>
    <xf numFmtId="170" fontId="71" fillId="4" borderId="0" xfId="0" applyNumberFormat="1" applyFont="1" applyFill="1"/>
    <xf numFmtId="0" fontId="32" fillId="4" borderId="0" xfId="0" applyFont="1" applyFill="1" applyAlignment="1">
      <alignment shrinkToFit="1"/>
    </xf>
    <xf numFmtId="0" fontId="2" fillId="4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01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43" fontId="8" fillId="4" borderId="15" xfId="1" applyFont="1" applyFill="1" applyBorder="1" applyAlignment="1">
      <alignment horizontal="right" wrapText="1"/>
    </xf>
    <xf numFmtId="2" fontId="8" fillId="4" borderId="15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right" wrapText="1"/>
    </xf>
    <xf numFmtId="0" fontId="32" fillId="4" borderId="15" xfId="0" applyFont="1" applyFill="1" applyBorder="1" applyAlignment="1">
      <alignment horizontal="left" wrapText="1"/>
    </xf>
    <xf numFmtId="2" fontId="32" fillId="4" borderId="0" xfId="0" applyNumberFormat="1" applyFont="1" applyFill="1"/>
    <xf numFmtId="49" fontId="2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43" fontId="2" fillId="4" borderId="13" xfId="1" applyFont="1" applyFill="1" applyBorder="1" applyAlignment="1">
      <alignment horizontal="right" wrapText="1"/>
    </xf>
    <xf numFmtId="43" fontId="43" fillId="4" borderId="13" xfId="1" applyFont="1" applyFill="1" applyBorder="1"/>
    <xf numFmtId="2" fontId="2" fillId="4" borderId="13" xfId="0" applyNumberFormat="1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32" fillId="4" borderId="13" xfId="0" applyFont="1" applyFill="1" applyBorder="1" applyAlignment="1">
      <alignment horizontal="left"/>
    </xf>
    <xf numFmtId="170" fontId="2" fillId="4" borderId="13" xfId="0" applyNumberFormat="1" applyFont="1" applyFill="1" applyBorder="1" applyAlignment="1">
      <alignment horizontal="right" wrapText="1"/>
    </xf>
    <xf numFmtId="43" fontId="32" fillId="4" borderId="13" xfId="1" applyFont="1" applyFill="1" applyBorder="1"/>
    <xf numFmtId="0" fontId="32" fillId="4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0" fontId="43" fillId="4" borderId="21" xfId="0" applyFont="1" applyFill="1" applyBorder="1" applyAlignment="1">
      <alignment vertical="top" wrapText="1"/>
    </xf>
    <xf numFmtId="2" fontId="1" fillId="4" borderId="13" xfId="0" applyNumberFormat="1" applyFont="1" applyFill="1" applyBorder="1" applyAlignment="1">
      <alignment horizontal="right" wrapText="1"/>
    </xf>
    <xf numFmtId="0" fontId="54" fillId="4" borderId="13" xfId="0" applyFont="1" applyFill="1" applyBorder="1" applyAlignment="1">
      <alignment wrapText="1"/>
    </xf>
    <xf numFmtId="0" fontId="72" fillId="0" borderId="0" xfId="0" applyFont="1"/>
    <xf numFmtId="2" fontId="54" fillId="4" borderId="13" xfId="0" applyNumberFormat="1" applyFont="1" applyFill="1" applyBorder="1"/>
    <xf numFmtId="0" fontId="41" fillId="5" borderId="0" xfId="0" applyFont="1" applyFill="1"/>
    <xf numFmtId="0" fontId="5" fillId="5" borderId="0" xfId="0" applyFont="1" applyFill="1"/>
    <xf numFmtId="0" fontId="49" fillId="4" borderId="13" xfId="0" applyFont="1" applyFill="1" applyBorder="1" applyAlignment="1">
      <alignment vertical="top" wrapText="1"/>
    </xf>
    <xf numFmtId="4" fontId="5" fillId="4" borderId="13" xfId="0" applyNumberFormat="1" applyFont="1" applyFill="1" applyBorder="1" applyAlignment="1">
      <alignment horizontal="right" wrapText="1"/>
    </xf>
    <xf numFmtId="4" fontId="49" fillId="4" borderId="13" xfId="0" applyNumberFormat="1" applyFont="1" applyFill="1" applyBorder="1" applyAlignment="1">
      <alignment horizontal="right" wrapText="1"/>
    </xf>
    <xf numFmtId="0" fontId="73" fillId="4" borderId="13" xfId="0" applyFont="1" applyFill="1" applyBorder="1" applyAlignment="1">
      <alignment vertical="top" wrapText="1"/>
    </xf>
    <xf numFmtId="0" fontId="49" fillId="4" borderId="21" xfId="0" applyFont="1" applyFill="1" applyBorder="1" applyAlignment="1">
      <alignment vertical="top" wrapText="1"/>
    </xf>
    <xf numFmtId="0" fontId="5" fillId="4" borderId="13" xfId="0" applyFont="1" applyFill="1" applyBorder="1" applyAlignment="1">
      <alignment horizontal="right"/>
    </xf>
    <xf numFmtId="2" fontId="5" fillId="4" borderId="13" xfId="0" applyNumberFormat="1" applyFont="1" applyFill="1" applyBorder="1" applyAlignment="1">
      <alignment horizontal="right"/>
    </xf>
    <xf numFmtId="4" fontId="5" fillId="4" borderId="13" xfId="0" applyNumberFormat="1" applyFont="1" applyFill="1" applyBorder="1"/>
    <xf numFmtId="2" fontId="5" fillId="4" borderId="0" xfId="0" applyNumberFormat="1" applyFont="1" applyFill="1"/>
    <xf numFmtId="0" fontId="63" fillId="4" borderId="60" xfId="0" applyFont="1" applyFill="1" applyBorder="1" applyAlignment="1">
      <alignment horizontal="center" vertical="center" wrapText="1"/>
    </xf>
    <xf numFmtId="0" fontId="63" fillId="4" borderId="56" xfId="0" applyFont="1" applyFill="1" applyBorder="1" applyAlignment="1">
      <alignment horizontal="center" vertical="center"/>
    </xf>
    <xf numFmtId="0" fontId="63" fillId="4" borderId="99" xfId="0" applyFont="1" applyFill="1" applyBorder="1" applyAlignment="1">
      <alignment horizontal="center" vertical="center" wrapText="1"/>
    </xf>
    <xf numFmtId="0" fontId="63" fillId="4" borderId="99" xfId="0" applyFont="1" applyFill="1" applyBorder="1" applyAlignment="1">
      <alignment horizontal="center" vertical="center"/>
    </xf>
    <xf numFmtId="0" fontId="63" fillId="14" borderId="56" xfId="0" applyFont="1" applyFill="1" applyBorder="1" applyAlignment="1">
      <alignment horizontal="center"/>
    </xf>
    <xf numFmtId="0" fontId="64" fillId="14" borderId="99" xfId="0" applyFont="1" applyFill="1" applyBorder="1" applyAlignment="1">
      <alignment horizontal="left" wrapText="1"/>
    </xf>
    <xf numFmtId="3" fontId="65" fillId="14" borderId="99" xfId="0" applyNumberFormat="1" applyFont="1" applyFill="1" applyBorder="1" applyAlignment="1">
      <alignment horizontal="center"/>
    </xf>
    <xf numFmtId="4" fontId="65" fillId="14" borderId="99" xfId="0" applyNumberFormat="1" applyFont="1" applyFill="1" applyBorder="1" applyAlignment="1">
      <alignment horizontal="center"/>
    </xf>
    <xf numFmtId="172" fontId="63" fillId="4" borderId="56" xfId="0" applyNumberFormat="1" applyFont="1" applyFill="1" applyBorder="1" applyAlignment="1">
      <alignment horizontal="center"/>
    </xf>
    <xf numFmtId="0" fontId="63" fillId="4" borderId="99" xfId="0" applyFont="1" applyFill="1" applyBorder="1" applyAlignment="1">
      <alignment horizontal="left" wrapText="1"/>
    </xf>
    <xf numFmtId="3" fontId="63" fillId="4" borderId="99" xfId="0" applyNumberFormat="1" applyFont="1" applyFill="1" applyBorder="1" applyAlignment="1">
      <alignment horizontal="center"/>
    </xf>
    <xf numFmtId="174" fontId="63" fillId="4" borderId="99" xfId="0" applyNumberFormat="1" applyFont="1" applyFill="1" applyBorder="1" applyAlignment="1">
      <alignment horizontal="center"/>
    </xf>
    <xf numFmtId="3" fontId="64" fillId="4" borderId="99" xfId="0" applyNumberFormat="1" applyFont="1" applyFill="1" applyBorder="1" applyAlignment="1">
      <alignment horizontal="center"/>
    </xf>
    <xf numFmtId="169" fontId="64" fillId="4" borderId="99" xfId="1" applyNumberFormat="1" applyFont="1" applyFill="1" applyBorder="1" applyAlignment="1">
      <alignment horizontal="center"/>
    </xf>
    <xf numFmtId="173" fontId="63" fillId="4" borderId="99" xfId="0" applyNumberFormat="1" applyFont="1" applyFill="1" applyBorder="1" applyAlignment="1">
      <alignment horizontal="center"/>
    </xf>
    <xf numFmtId="172" fontId="64" fillId="4" borderId="56" xfId="0" applyNumberFormat="1" applyFont="1" applyFill="1" applyBorder="1" applyAlignment="1">
      <alignment horizontal="center"/>
    </xf>
    <xf numFmtId="0" fontId="64" fillId="4" borderId="99" xfId="0" applyFont="1" applyFill="1" applyBorder="1" applyAlignment="1">
      <alignment horizontal="left" wrapText="1"/>
    </xf>
    <xf numFmtId="174" fontId="64" fillId="4" borderId="99" xfId="0" applyNumberFormat="1" applyFont="1" applyFill="1" applyBorder="1" applyAlignment="1">
      <alignment horizontal="center"/>
    </xf>
    <xf numFmtId="4" fontId="64" fillId="4" borderId="99" xfId="0" applyNumberFormat="1" applyFont="1" applyFill="1" applyBorder="1" applyAlignment="1">
      <alignment horizontal="center"/>
    </xf>
    <xf numFmtId="0" fontId="63" fillId="15" borderId="56" xfId="0" applyFont="1" applyFill="1" applyBorder="1" applyAlignment="1">
      <alignment horizontal="center"/>
    </xf>
    <xf numFmtId="0" fontId="64" fillId="15" borderId="99" xfId="0" applyFont="1" applyFill="1" applyBorder="1" applyAlignment="1">
      <alignment horizontal="left" wrapText="1"/>
    </xf>
    <xf numFmtId="3" fontId="65" fillId="15" borderId="99" xfId="0" applyNumberFormat="1" applyFont="1" applyFill="1" applyBorder="1" applyAlignment="1">
      <alignment horizontal="center"/>
    </xf>
    <xf numFmtId="173" fontId="65" fillId="15" borderId="99" xfId="0" applyNumberFormat="1" applyFont="1" applyFill="1" applyBorder="1" applyAlignment="1">
      <alignment horizontal="center"/>
    </xf>
    <xf numFmtId="4" fontId="64" fillId="15" borderId="99" xfId="0" applyNumberFormat="1" applyFont="1" applyFill="1" applyBorder="1" applyAlignment="1">
      <alignment horizontal="center"/>
    </xf>
    <xf numFmtId="3" fontId="64" fillId="15" borderId="99" xfId="0" applyNumberFormat="1" applyFont="1" applyFill="1" applyBorder="1" applyAlignment="1">
      <alignment horizontal="center"/>
    </xf>
    <xf numFmtId="0" fontId="32" fillId="0" borderId="0" xfId="0" applyFont="1" applyAlignment="1">
      <alignment vertical="center" wrapText="1"/>
    </xf>
    <xf numFmtId="0" fontId="32" fillId="0" borderId="13" xfId="0" applyFont="1" applyBorder="1" applyAlignment="1">
      <alignment wrapText="1"/>
    </xf>
    <xf numFmtId="0" fontId="32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2" fontId="32" fillId="0" borderId="13" xfId="0" applyNumberFormat="1" applyFont="1" applyBorder="1" applyAlignment="1">
      <alignment vertical="center" wrapText="1"/>
    </xf>
    <xf numFmtId="43" fontId="32" fillId="0" borderId="13" xfId="0" applyNumberFormat="1" applyFont="1" applyBorder="1" applyAlignment="1">
      <alignment vertical="center" wrapText="1"/>
    </xf>
    <xf numFmtId="170" fontId="32" fillId="0" borderId="13" xfId="0" applyNumberFormat="1" applyFont="1" applyBorder="1" applyAlignment="1">
      <alignment vertical="center" wrapText="1"/>
    </xf>
    <xf numFmtId="2" fontId="32" fillId="0" borderId="13" xfId="0" applyNumberFormat="1" applyFont="1" applyBorder="1" applyAlignment="1">
      <alignment wrapText="1"/>
    </xf>
    <xf numFmtId="0" fontId="43" fillId="0" borderId="13" xfId="0" applyFont="1" applyBorder="1" applyAlignment="1">
      <alignment wrapText="1"/>
    </xf>
    <xf numFmtId="0" fontId="43" fillId="0" borderId="13" xfId="0" applyFont="1" applyBorder="1" applyAlignment="1">
      <alignment vertical="center" wrapText="1"/>
    </xf>
    <xf numFmtId="2" fontId="43" fillId="0" borderId="13" xfId="0" applyNumberFormat="1" applyFont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8" fillId="4" borderId="86" xfId="0" applyNumberFormat="1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left" vertical="center" wrapText="1"/>
    </xf>
    <xf numFmtId="43" fontId="8" fillId="4" borderId="87" xfId="1" applyFont="1" applyFill="1" applyBorder="1" applyAlignment="1">
      <alignment horizontal="right" wrapText="1"/>
    </xf>
    <xf numFmtId="49" fontId="2" fillId="4" borderId="21" xfId="0" applyNumberFormat="1" applyFont="1" applyFill="1" applyBorder="1" applyAlignment="1">
      <alignment horizontal="center" vertical="center" wrapText="1"/>
    </xf>
    <xf numFmtId="43" fontId="2" fillId="4" borderId="25" xfId="1" applyFont="1" applyFill="1" applyBorder="1" applyAlignment="1">
      <alignment horizontal="right" wrapText="1"/>
    </xf>
    <xf numFmtId="2" fontId="2" fillId="4" borderId="13" xfId="0" applyNumberFormat="1" applyFont="1" applyFill="1" applyBorder="1" applyAlignment="1">
      <alignment horizontal="center" wrapText="1"/>
    </xf>
    <xf numFmtId="43" fontId="43" fillId="4" borderId="13" xfId="1" applyFont="1" applyFill="1" applyBorder="1" applyAlignment="1">
      <alignment horizontal="right"/>
    </xf>
    <xf numFmtId="2" fontId="2" fillId="4" borderId="25" xfId="0" applyNumberFormat="1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center" wrapText="1"/>
    </xf>
    <xf numFmtId="43" fontId="2" fillId="4" borderId="13" xfId="1" applyFont="1" applyFill="1" applyBorder="1" applyAlignment="1">
      <alignment horizontal="right" vertical="top" wrapText="1"/>
    </xf>
    <xf numFmtId="0" fontId="2" fillId="4" borderId="25" xfId="0" applyFont="1" applyFill="1" applyBorder="1" applyAlignment="1">
      <alignment horizontal="right" wrapText="1"/>
    </xf>
    <xf numFmtId="43" fontId="32" fillId="4" borderId="25" xfId="1" applyFont="1" applyFill="1" applyBorder="1" applyAlignment="1">
      <alignment horizontal="right" vertical="center"/>
    </xf>
    <xf numFmtId="43" fontId="2" fillId="4" borderId="13" xfId="1" applyFont="1" applyFill="1" applyBorder="1" applyAlignment="1">
      <alignment horizontal="right" vertical="center" wrapText="1"/>
    </xf>
    <xf numFmtId="0" fontId="47" fillId="4" borderId="13" xfId="0" applyFont="1" applyFill="1" applyBorder="1" applyAlignment="1">
      <alignment horizontal="right" wrapText="1"/>
    </xf>
    <xf numFmtId="0" fontId="32" fillId="4" borderId="0" xfId="0" applyFont="1" applyFill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2" fontId="45" fillId="4" borderId="0" xfId="0" applyNumberFormat="1" applyFont="1" applyFill="1"/>
    <xf numFmtId="0" fontId="45" fillId="4" borderId="0" xfId="0" applyFont="1" applyFill="1" applyAlignment="1">
      <alignment horizontal="left" vertical="center" wrapText="1"/>
    </xf>
    <xf numFmtId="170" fontId="38" fillId="10" borderId="24" xfId="0" applyNumberFormat="1" applyFont="1" applyFill="1" applyBorder="1" applyAlignment="1">
      <alignment wrapText="1"/>
    </xf>
    <xf numFmtId="170" fontId="38" fillId="10" borderId="25" xfId="0" applyNumberFormat="1" applyFont="1" applyFill="1" applyBorder="1" applyAlignment="1">
      <alignment wrapText="1"/>
    </xf>
    <xf numFmtId="2" fontId="38" fillId="10" borderId="24" xfId="0" applyNumberFormat="1" applyFont="1" applyFill="1" applyBorder="1" applyAlignment="1">
      <alignment vertical="center" wrapText="1"/>
    </xf>
    <xf numFmtId="2" fontId="38" fillId="10" borderId="25" xfId="0" applyNumberFormat="1" applyFont="1" applyFill="1" applyBorder="1" applyAlignment="1">
      <alignment vertical="center" wrapText="1"/>
    </xf>
    <xf numFmtId="2" fontId="32" fillId="0" borderId="0" xfId="0" applyNumberFormat="1" applyFont="1" applyAlignment="1">
      <alignment vertical="center" wrapText="1"/>
    </xf>
    <xf numFmtId="2" fontId="27" fillId="10" borderId="21" xfId="0" applyNumberFormat="1" applyFont="1" applyFill="1" applyBorder="1" applyAlignment="1">
      <alignment vertical="top" wrapText="1"/>
    </xf>
    <xf numFmtId="43" fontId="27" fillId="10" borderId="23" xfId="1" applyFont="1" applyFill="1" applyBorder="1" applyAlignment="1">
      <alignment vertical="center" wrapText="1"/>
    </xf>
    <xf numFmtId="43" fontId="27" fillId="10" borderId="70" xfId="1" applyFont="1" applyFill="1" applyBorder="1" applyAlignment="1">
      <alignment vertical="center" wrapText="1"/>
    </xf>
    <xf numFmtId="2" fontId="27" fillId="10" borderId="0" xfId="0" applyNumberFormat="1" applyFont="1" applyFill="1" applyAlignment="1">
      <alignment vertical="top" wrapText="1"/>
    </xf>
    <xf numFmtId="0" fontId="2" fillId="4" borderId="17" xfId="0" applyFont="1" applyFill="1" applyBorder="1" applyAlignment="1">
      <alignment horizontal="center" vertical="center" wrapText="1"/>
    </xf>
    <xf numFmtId="0" fontId="70" fillId="4" borderId="15" xfId="0" applyFont="1" applyFill="1" applyBorder="1" applyAlignment="1">
      <alignment horizontal="center" vertical="center" wrapText="1"/>
    </xf>
    <xf numFmtId="0" fontId="70" fillId="4" borderId="13" xfId="0" applyFont="1" applyFill="1" applyBorder="1" applyAlignment="1">
      <alignment vertical="center" wrapText="1"/>
    </xf>
    <xf numFmtId="43" fontId="70" fillId="4" borderId="15" xfId="1" applyFont="1" applyFill="1" applyBorder="1" applyAlignment="1">
      <alignment horizontal="center" vertical="center" wrapText="1"/>
    </xf>
    <xf numFmtId="49" fontId="16" fillId="4" borderId="13" xfId="0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 wrapText="1"/>
    </xf>
    <xf numFmtId="170" fontId="8" fillId="4" borderId="15" xfId="0" applyNumberFormat="1" applyFont="1" applyFill="1" applyBorder="1" applyAlignment="1">
      <alignment horizontal="center" vertical="center" wrapText="1"/>
    </xf>
    <xf numFmtId="170" fontId="32" fillId="4" borderId="0" xfId="0" applyNumberFormat="1" applyFont="1" applyFill="1"/>
    <xf numFmtId="0" fontId="32" fillId="4" borderId="13" xfId="0" applyFont="1" applyFill="1" applyBorder="1" applyAlignment="1">
      <alignment vertical="top" wrapText="1"/>
    </xf>
    <xf numFmtId="43" fontId="32" fillId="4" borderId="13" xfId="1" applyFont="1" applyFill="1" applyBorder="1" applyAlignment="1">
      <alignment vertical="top" wrapText="1"/>
    </xf>
    <xf numFmtId="2" fontId="32" fillId="4" borderId="13" xfId="0" applyNumberFormat="1" applyFont="1" applyFill="1" applyBorder="1" applyAlignment="1">
      <alignment vertical="top" wrapText="1"/>
    </xf>
    <xf numFmtId="167" fontId="32" fillId="4" borderId="13" xfId="0" applyNumberFormat="1" applyFont="1" applyFill="1" applyBorder="1" applyAlignment="1">
      <alignment vertical="top" wrapText="1"/>
    </xf>
    <xf numFmtId="171" fontId="32" fillId="4" borderId="13" xfId="0" applyNumberFormat="1" applyFont="1" applyFill="1" applyBorder="1" applyAlignment="1">
      <alignment vertical="top" wrapTex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43" fillId="4" borderId="13" xfId="0" applyFont="1" applyFill="1" applyBorder="1" applyAlignment="1">
      <alignment vertical="top" wrapText="1"/>
    </xf>
    <xf numFmtId="2" fontId="43" fillId="4" borderId="13" xfId="0" applyNumberFormat="1" applyFont="1" applyFill="1" applyBorder="1" applyAlignment="1">
      <alignment vertical="top" wrapText="1"/>
    </xf>
    <xf numFmtId="2" fontId="43" fillId="4" borderId="0" xfId="0" applyNumberFormat="1" applyFont="1" applyFill="1"/>
    <xf numFmtId="43" fontId="8" fillId="4" borderId="13" xfId="1" applyFont="1" applyFill="1" applyBorder="1" applyAlignment="1">
      <alignment horizontal="center" vertical="center" wrapText="1"/>
    </xf>
    <xf numFmtId="43" fontId="8" fillId="4" borderId="13" xfId="1" applyFont="1" applyFill="1" applyBorder="1" applyAlignment="1">
      <alignment vertical="center" wrapText="1"/>
    </xf>
    <xf numFmtId="43" fontId="43" fillId="4" borderId="13" xfId="1" applyFont="1" applyFill="1" applyBorder="1" applyAlignment="1">
      <alignment vertical="top" wrapText="1"/>
    </xf>
    <xf numFmtId="49" fontId="10" fillId="4" borderId="13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vertical="top" wrapText="1"/>
    </xf>
    <xf numFmtId="43" fontId="57" fillId="4" borderId="13" xfId="1" applyFont="1" applyFill="1" applyBorder="1" applyAlignment="1">
      <alignment vertical="top" wrapText="1"/>
    </xf>
    <xf numFmtId="2" fontId="57" fillId="4" borderId="13" xfId="0" applyNumberFormat="1" applyFont="1" applyFill="1" applyBorder="1" applyAlignment="1">
      <alignment vertical="top" wrapText="1"/>
    </xf>
    <xf numFmtId="49" fontId="57" fillId="4" borderId="13" xfId="0" applyNumberFormat="1" applyFont="1" applyFill="1" applyBorder="1" applyAlignment="1">
      <alignment horizontal="center" vertical="center" wrapText="1"/>
    </xf>
    <xf numFmtId="0" fontId="57" fillId="4" borderId="0" xfId="0" applyFont="1" applyFill="1" applyAlignment="1">
      <alignment vertical="top" wrapText="1"/>
    </xf>
    <xf numFmtId="0" fontId="57" fillId="4" borderId="13" xfId="0" applyFont="1" applyFill="1" applyBorder="1" applyAlignment="1">
      <alignment vertical="top" wrapText="1"/>
    </xf>
    <xf numFmtId="0" fontId="2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top" wrapText="1"/>
    </xf>
    <xf numFmtId="0" fontId="47" fillId="4" borderId="0" xfId="0" applyFont="1" applyFill="1" applyAlignment="1">
      <alignment vertical="top" wrapText="1"/>
    </xf>
    <xf numFmtId="2" fontId="27" fillId="10" borderId="66" xfId="0" applyNumberFormat="1" applyFont="1" applyFill="1" applyBorder="1" applyAlignment="1">
      <alignment vertical="top" wrapText="1"/>
    </xf>
    <xf numFmtId="43" fontId="27" fillId="10" borderId="13" xfId="1" applyFont="1" applyFill="1" applyBorder="1" applyAlignment="1">
      <alignment vertical="center" wrapText="1"/>
    </xf>
    <xf numFmtId="170" fontId="38" fillId="10" borderId="13" xfId="0" applyNumberFormat="1" applyFont="1" applyFill="1" applyBorder="1" applyAlignment="1">
      <alignment vertical="center" wrapText="1"/>
    </xf>
    <xf numFmtId="2" fontId="38" fillId="10" borderId="13" xfId="0" applyNumberFormat="1" applyFont="1" applyFill="1" applyBorder="1" applyAlignment="1">
      <alignment horizontal="center" vertical="center" wrapText="1"/>
    </xf>
    <xf numFmtId="0" fontId="57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32" fillId="4" borderId="0" xfId="0" applyFont="1" applyFill="1" applyAlignment="1">
      <alignment vertical="center" wrapText="1"/>
    </xf>
    <xf numFmtId="0" fontId="5" fillId="4" borderId="55" xfId="0" applyFont="1" applyFill="1" applyBorder="1" applyAlignment="1">
      <alignment vertical="top" wrapText="1"/>
    </xf>
    <xf numFmtId="0" fontId="5" fillId="4" borderId="13" xfId="0" applyFont="1" applyFill="1" applyBorder="1" applyAlignment="1">
      <alignment vertical="top" wrapText="1"/>
    </xf>
    <xf numFmtId="43" fontId="5" fillId="4" borderId="13" xfId="1" applyFont="1" applyFill="1" applyBorder="1" applyAlignment="1">
      <alignment vertical="top" wrapText="1"/>
    </xf>
    <xf numFmtId="0" fontId="5" fillId="4" borderId="25" xfId="0" applyFont="1" applyFill="1" applyBorder="1" applyAlignment="1">
      <alignment vertical="top" wrapText="1"/>
    </xf>
    <xf numFmtId="0" fontId="16" fillId="4" borderId="13" xfId="0" applyFont="1" applyFill="1" applyBorder="1" applyAlignment="1">
      <alignment vertical="top" wrapText="1"/>
    </xf>
    <xf numFmtId="43" fontId="16" fillId="4" borderId="13" xfId="1" applyFont="1" applyFill="1" applyBorder="1" applyAlignment="1">
      <alignment vertical="top" wrapText="1"/>
    </xf>
    <xf numFmtId="170" fontId="5" fillId="4" borderId="0" xfId="0" applyNumberFormat="1" applyFont="1" applyFill="1"/>
    <xf numFmtId="0" fontId="5" fillId="4" borderId="0" xfId="0" applyFont="1" applyFill="1" applyAlignment="1">
      <alignment vertical="top" wrapText="1"/>
    </xf>
    <xf numFmtId="2" fontId="5" fillId="4" borderId="0" xfId="0" applyNumberFormat="1" applyFont="1" applyFill="1" applyAlignment="1">
      <alignment vertical="top"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top"/>
    </xf>
    <xf numFmtId="0" fontId="32" fillId="4" borderId="0" xfId="0" applyFont="1" applyFill="1" applyAlignment="1">
      <alignment horizontal="center" wrapText="1"/>
    </xf>
    <xf numFmtId="0" fontId="32" fillId="4" borderId="0" xfId="0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13" xfId="0" applyFont="1" applyBorder="1" applyAlignment="1">
      <alignment horizontal="center" wrapText="1"/>
    </xf>
    <xf numFmtId="0" fontId="43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left" wrapText="1"/>
    </xf>
    <xf numFmtId="0" fontId="2" fillId="4" borderId="15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43" fillId="4" borderId="13" xfId="0" applyFont="1" applyFill="1" applyBorder="1" applyAlignment="1">
      <alignment vertical="top" wrapText="1"/>
    </xf>
    <xf numFmtId="43" fontId="43" fillId="4" borderId="13" xfId="1" applyFont="1" applyFill="1" applyBorder="1" applyAlignment="1">
      <alignment vertical="top" wrapText="1"/>
    </xf>
    <xf numFmtId="0" fontId="10" fillId="4" borderId="13" xfId="0" applyFont="1" applyFill="1" applyBorder="1" applyAlignment="1">
      <alignment vertical="top" wrapText="1"/>
    </xf>
    <xf numFmtId="0" fontId="2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left" vertical="center" wrapText="1"/>
    </xf>
    <xf numFmtId="170" fontId="38" fillId="4" borderId="21" xfId="0" applyNumberFormat="1" applyFont="1" applyFill="1" applyBorder="1" applyAlignment="1">
      <alignment horizontal="center" wrapText="1"/>
    </xf>
    <xf numFmtId="170" fontId="38" fillId="4" borderId="24" xfId="0" applyNumberFormat="1" applyFont="1" applyFill="1" applyBorder="1" applyAlignment="1">
      <alignment horizontal="center" wrapText="1"/>
    </xf>
    <xf numFmtId="170" fontId="38" fillId="4" borderId="25" xfId="0" applyNumberFormat="1" applyFont="1" applyFill="1" applyBorder="1" applyAlignment="1">
      <alignment horizontal="center" wrapText="1"/>
    </xf>
    <xf numFmtId="2" fontId="38" fillId="4" borderId="21" xfId="0" applyNumberFormat="1" applyFont="1" applyFill="1" applyBorder="1" applyAlignment="1">
      <alignment horizontal="right" vertical="center" wrapText="1"/>
    </xf>
    <xf numFmtId="2" fontId="38" fillId="4" borderId="24" xfId="0" applyNumberFormat="1" applyFont="1" applyFill="1" applyBorder="1" applyAlignment="1">
      <alignment horizontal="right" vertical="center" wrapText="1"/>
    </xf>
    <xf numFmtId="2" fontId="38" fillId="4" borderId="25" xfId="0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4" fillId="4" borderId="10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70" xfId="0" applyFont="1" applyFill="1" applyBorder="1" applyAlignment="1">
      <alignment horizontal="center" vertical="center" wrapText="1"/>
    </xf>
    <xf numFmtId="0" fontId="4" fillId="4" borderId="8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87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vertical="center" wrapText="1"/>
    </xf>
    <xf numFmtId="0" fontId="4" fillId="4" borderId="10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2" fillId="4" borderId="86" xfId="0" applyFont="1" applyFill="1" applyBorder="1" applyAlignment="1">
      <alignment horizontal="center" vertical="center" wrapText="1"/>
    </xf>
    <xf numFmtId="0" fontId="2" fillId="4" borderId="8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vertical="top" wrapText="1"/>
    </xf>
    <xf numFmtId="0" fontId="5" fillId="4" borderId="25" xfId="0" applyFont="1" applyFill="1" applyBorder="1" applyAlignment="1">
      <alignment vertical="top" wrapText="1"/>
    </xf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2" fontId="54" fillId="4" borderId="13" xfId="0" applyNumberFormat="1" applyFont="1" applyFill="1" applyBorder="1" applyAlignment="1">
      <alignment horizontal="right" vertical="top" wrapText="1"/>
    </xf>
    <xf numFmtId="43" fontId="54" fillId="4" borderId="13" xfId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16" fillId="4" borderId="13" xfId="0" applyFont="1" applyFill="1" applyBorder="1" applyAlignment="1">
      <alignment vertical="top" wrapText="1"/>
    </xf>
    <xf numFmtId="0" fontId="32" fillId="0" borderId="0" xfId="0" applyFont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2" fillId="8" borderId="13" xfId="0" applyFont="1" applyFill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0" fontId="32" fillId="0" borderId="0" xfId="0" applyFont="1" applyAlignment="1">
      <alignment horizontal="center" wrapText="1"/>
    </xf>
    <xf numFmtId="0" fontId="10" fillId="7" borderId="13" xfId="0" applyFont="1" applyFill="1" applyBorder="1" applyAlignment="1">
      <alignment vertical="top" wrapText="1"/>
    </xf>
    <xf numFmtId="0" fontId="43" fillId="10" borderId="13" xfId="0" applyFont="1" applyFill="1" applyBorder="1" applyAlignment="1">
      <alignment vertical="top" wrapText="1"/>
    </xf>
    <xf numFmtId="43" fontId="43" fillId="0" borderId="13" xfId="1" applyFont="1" applyFill="1" applyBorder="1" applyAlignment="1">
      <alignment vertical="top" wrapText="1"/>
    </xf>
    <xf numFmtId="0" fontId="32" fillId="7" borderId="13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4" borderId="13" xfId="0" applyFill="1" applyBorder="1" applyAlignment="1">
      <alignment vertical="top" wrapText="1"/>
    </xf>
    <xf numFmtId="0" fontId="68" fillId="7" borderId="13" xfId="0" applyFont="1" applyFill="1" applyBorder="1" applyAlignment="1">
      <alignment vertical="top" wrapText="1"/>
    </xf>
    <xf numFmtId="0" fontId="0" fillId="10" borderId="13" xfId="0" applyFill="1" applyBorder="1" applyAlignment="1">
      <alignment vertical="top" wrapText="1"/>
    </xf>
    <xf numFmtId="0" fontId="0" fillId="12" borderId="13" xfId="0" applyFill="1" applyBorder="1" applyAlignment="1">
      <alignment vertical="top" wrapText="1"/>
    </xf>
    <xf numFmtId="0" fontId="0" fillId="4" borderId="21" xfId="0" applyFill="1" applyBorder="1" applyAlignment="1">
      <alignment vertical="top" wrapText="1"/>
    </xf>
    <xf numFmtId="0" fontId="0" fillId="4" borderId="25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13" fillId="4" borderId="0" xfId="0" applyFont="1" applyFill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32" fillId="0" borderId="62" xfId="2" applyFont="1" applyBorder="1" applyAlignment="1">
      <alignment horizontal="right" vertical="top" wrapText="1"/>
    </xf>
    <xf numFmtId="0" fontId="32" fillId="0" borderId="0" xfId="2" applyFont="1" applyAlignment="1">
      <alignment horizontal="right" vertical="top" wrapText="1"/>
    </xf>
    <xf numFmtId="0" fontId="2" fillId="0" borderId="0" xfId="2" applyFont="1" applyAlignment="1">
      <alignment horizontal="center" wrapText="1"/>
    </xf>
    <xf numFmtId="0" fontId="10" fillId="0" borderId="13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/>
    </xf>
    <xf numFmtId="0" fontId="27" fillId="0" borderId="95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57" fillId="4" borderId="13" xfId="0" applyFont="1" applyFill="1" applyBorder="1" applyAlignment="1">
      <alignment horizontal="center" vertical="center" wrapText="1"/>
    </xf>
    <xf numFmtId="0" fontId="57" fillId="4" borderId="13" xfId="0" applyFont="1" applyFill="1" applyBorder="1" applyAlignment="1">
      <alignment horizontal="center" vertical="center"/>
    </xf>
    <xf numFmtId="0" fontId="10" fillId="4" borderId="0" xfId="2" applyFont="1" applyFill="1" applyAlignment="1">
      <alignment horizontal="center" wrapText="1"/>
    </xf>
    <xf numFmtId="0" fontId="38" fillId="4" borderId="0" xfId="2" applyFont="1" applyFill="1" applyAlignment="1">
      <alignment horizontal="center" vertical="center"/>
    </xf>
    <xf numFmtId="0" fontId="54" fillId="4" borderId="96" xfId="3" applyFont="1" applyFill="1" applyBorder="1" applyAlignment="1">
      <alignment horizontal="center" vertical="center" wrapText="1"/>
    </xf>
    <xf numFmtId="0" fontId="17" fillId="4" borderId="97" xfId="3" applyFont="1" applyFill="1" applyBorder="1"/>
    <xf numFmtId="0" fontId="17" fillId="4" borderId="0" xfId="3" applyFont="1" applyFill="1"/>
    <xf numFmtId="0" fontId="17" fillId="4" borderId="61" xfId="3" applyFont="1" applyFill="1" applyBorder="1"/>
    <xf numFmtId="4" fontId="5" fillId="4" borderId="96" xfId="3" applyNumberFormat="1" applyFont="1" applyFill="1" applyBorder="1" applyAlignment="1">
      <alignment vertical="center" wrapText="1"/>
    </xf>
    <xf numFmtId="4" fontId="5" fillId="4" borderId="62" xfId="3" applyNumberFormat="1" applyFont="1" applyFill="1" applyBorder="1" applyAlignment="1">
      <alignment vertical="center" wrapText="1"/>
    </xf>
    <xf numFmtId="0" fontId="17" fillId="4" borderId="98" xfId="3" applyFont="1" applyFill="1" applyBorder="1"/>
    <xf numFmtId="0" fontId="5" fillId="4" borderId="60" xfId="3" applyFont="1" applyFill="1" applyBorder="1" applyAlignment="1">
      <alignment horizontal="center" vertical="center" wrapText="1"/>
    </xf>
    <xf numFmtId="0" fontId="17" fillId="4" borderId="56" xfId="3" applyFont="1" applyFill="1" applyBorder="1"/>
    <xf numFmtId="0" fontId="54" fillId="4" borderId="59" xfId="3" applyFont="1" applyFill="1" applyBorder="1" applyAlignment="1">
      <alignment horizontal="center" vertical="center" wrapText="1"/>
    </xf>
    <xf numFmtId="0" fontId="17" fillId="4" borderId="58" xfId="3" applyFont="1" applyFill="1" applyBorder="1"/>
    <xf numFmtId="0" fontId="20" fillId="4" borderId="15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4" fontId="22" fillId="4" borderId="13" xfId="0" applyNumberFormat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/>
    </xf>
    <xf numFmtId="164" fontId="20" fillId="4" borderId="13" xfId="0" applyNumberFormat="1" applyFont="1" applyFill="1" applyBorder="1" applyAlignment="1">
      <alignment horizontal="left"/>
    </xf>
    <xf numFmtId="0" fontId="38" fillId="0" borderId="0" xfId="2" applyFont="1" applyAlignment="1">
      <alignment horizontal="center" wrapText="1"/>
    </xf>
    <xf numFmtId="0" fontId="36" fillId="0" borderId="0" xfId="2" applyFont="1" applyAlignment="1">
      <alignment horizontal="center" wrapText="1"/>
    </xf>
    <xf numFmtId="0" fontId="17" fillId="0" borderId="31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2" fontId="17" fillId="0" borderId="31" xfId="2" applyNumberFormat="1" applyFont="1" applyBorder="1" applyAlignment="1">
      <alignment horizontal="center" vertical="center" wrapText="1"/>
    </xf>
    <xf numFmtId="2" fontId="17" fillId="0" borderId="32" xfId="2" applyNumberFormat="1" applyFont="1" applyBorder="1" applyAlignment="1">
      <alignment horizontal="center" vertical="center" wrapText="1"/>
    </xf>
    <xf numFmtId="2" fontId="17" fillId="0" borderId="15" xfId="2" applyNumberFormat="1" applyFont="1" applyBorder="1" applyAlignment="1">
      <alignment horizontal="center" vertical="center" wrapText="1"/>
    </xf>
    <xf numFmtId="0" fontId="17" fillId="0" borderId="31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left" vertical="center" wrapText="1"/>
    </xf>
    <xf numFmtId="0" fontId="55" fillId="0" borderId="0" xfId="2" applyFont="1" applyAlignment="1">
      <alignment vertical="top" wrapText="1"/>
    </xf>
    <xf numFmtId="0" fontId="17" fillId="0" borderId="13" xfId="2" applyFont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165" fontId="16" fillId="4" borderId="31" xfId="0" applyNumberFormat="1" applyFont="1" applyFill="1" applyBorder="1" applyAlignment="1">
      <alignment horizontal="center"/>
    </xf>
    <xf numFmtId="165" fontId="16" fillId="4" borderId="32" xfId="0" applyNumberFormat="1" applyFont="1" applyFill="1" applyBorder="1" applyAlignment="1">
      <alignment horizontal="center"/>
    </xf>
    <xf numFmtId="165" fontId="16" fillId="4" borderId="15" xfId="0" applyNumberFormat="1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86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87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/>
    </xf>
    <xf numFmtId="0" fontId="48" fillId="4" borderId="13" xfId="0" applyFont="1" applyFill="1" applyBorder="1" applyAlignment="1">
      <alignment horizontal="center" textRotation="90" wrapText="1"/>
    </xf>
    <xf numFmtId="43" fontId="48" fillId="4" borderId="13" xfId="1" applyFont="1" applyFill="1" applyBorder="1" applyAlignment="1">
      <alignment horizontal="center" textRotation="90" wrapText="1"/>
    </xf>
    <xf numFmtId="43" fontId="48" fillId="4" borderId="13" xfId="1" applyFont="1" applyFill="1" applyBorder="1" applyAlignment="1">
      <alignment horizontal="center" wrapText="1"/>
    </xf>
    <xf numFmtId="0" fontId="53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3" fillId="4" borderId="0" xfId="0" applyFont="1" applyFill="1" applyAlignment="1">
      <alignment horizontal="left"/>
    </xf>
    <xf numFmtId="0" fontId="53" fillId="4" borderId="0" xfId="0" applyFont="1" applyFill="1" applyAlignment="1">
      <alignment horizontal="center"/>
    </xf>
    <xf numFmtId="0" fontId="46" fillId="4" borderId="0" xfId="0" applyFont="1" applyFill="1" applyAlignment="1">
      <alignment vertical="top" wrapText="1"/>
    </xf>
    <xf numFmtId="0" fontId="46" fillId="4" borderId="0" xfId="0" applyFont="1" applyFill="1" applyAlignment="1">
      <alignment horizontal="right" vertical="top" wrapText="1"/>
    </xf>
    <xf numFmtId="0" fontId="49" fillId="4" borderId="0" xfId="0" applyFont="1" applyFill="1" applyAlignment="1">
      <alignment horizontal="center" wrapText="1"/>
    </xf>
    <xf numFmtId="0" fontId="53" fillId="4" borderId="0" xfId="0" applyFont="1" applyFill="1" applyAlignment="1">
      <alignment horizontal="right" wrapText="1"/>
    </xf>
    <xf numFmtId="0" fontId="53" fillId="4" borderId="0" xfId="0" applyFont="1" applyFill="1" applyAlignment="1">
      <alignment horizontal="left" wrapText="1"/>
    </xf>
    <xf numFmtId="0" fontId="44" fillId="4" borderId="88" xfId="0" applyFont="1" applyFill="1" applyBorder="1" applyAlignment="1">
      <alignment horizontal="center" vertical="center" wrapText="1"/>
    </xf>
    <xf numFmtId="0" fontId="44" fillId="4" borderId="68" xfId="0" applyFont="1" applyFill="1" applyBorder="1" applyAlignment="1">
      <alignment horizontal="center" vertical="center" wrapText="1"/>
    </xf>
    <xf numFmtId="0" fontId="5" fillId="4" borderId="6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5" fillId="4" borderId="91" xfId="0" applyFont="1" applyFill="1" applyBorder="1" applyAlignment="1">
      <alignment horizontal="center" vertical="center" wrapText="1"/>
    </xf>
    <xf numFmtId="0" fontId="5" fillId="4" borderId="92" xfId="0" applyFont="1" applyFill="1" applyBorder="1" applyAlignment="1">
      <alignment horizontal="center" vertical="center" wrapText="1"/>
    </xf>
    <xf numFmtId="0" fontId="48" fillId="4" borderId="41" xfId="0" applyFont="1" applyFill="1" applyBorder="1" applyAlignment="1">
      <alignment horizontal="center" vertical="center" wrapText="1"/>
    </xf>
    <xf numFmtId="0" fontId="48" fillId="4" borderId="93" xfId="0" applyFont="1" applyFill="1" applyBorder="1" applyAlignment="1">
      <alignment horizontal="center" vertical="center" wrapText="1"/>
    </xf>
    <xf numFmtId="0" fontId="49" fillId="4" borderId="22" xfId="0" applyFont="1" applyFill="1" applyBorder="1" applyAlignment="1">
      <alignment horizontal="center" vertical="center" wrapText="1"/>
    </xf>
    <xf numFmtId="0" fontId="49" fillId="4" borderId="70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vertical="center" wrapText="1"/>
    </xf>
    <xf numFmtId="0" fontId="49" fillId="4" borderId="25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horizontal="center" wrapText="1"/>
    </xf>
    <xf numFmtId="0" fontId="7" fillId="4" borderId="44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48" fillId="4" borderId="83" xfId="0" applyFont="1" applyFill="1" applyBorder="1" applyAlignment="1">
      <alignment horizontal="center" vertical="center" wrapText="1"/>
    </xf>
    <xf numFmtId="0" fontId="48" fillId="4" borderId="85" xfId="0" applyFont="1" applyFill="1" applyBorder="1" applyAlignment="1">
      <alignment horizontal="center" vertical="center" wrapText="1"/>
    </xf>
    <xf numFmtId="0" fontId="5" fillId="4" borderId="85" xfId="0" applyFont="1" applyFill="1" applyBorder="1" applyAlignment="1">
      <alignment horizontal="center" vertical="center" wrapText="1"/>
    </xf>
    <xf numFmtId="0" fontId="49" fillId="4" borderId="25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horizontal="center" vertical="center" wrapText="1"/>
    </xf>
    <xf numFmtId="0" fontId="49" fillId="4" borderId="66" xfId="0" applyFont="1" applyFill="1" applyBorder="1" applyAlignment="1">
      <alignment horizontal="center" vertical="center" wrapText="1"/>
    </xf>
    <xf numFmtId="0" fontId="49" fillId="4" borderId="67" xfId="0" applyFont="1" applyFill="1" applyBorder="1" applyAlignment="1">
      <alignment horizontal="center" vertical="center" wrapText="1"/>
    </xf>
    <xf numFmtId="0" fontId="49" fillId="4" borderId="82" xfId="0" applyFont="1" applyFill="1" applyBorder="1" applyAlignment="1">
      <alignment horizontal="center" wrapText="1"/>
    </xf>
    <xf numFmtId="0" fontId="49" fillId="4" borderId="80" xfId="0" applyFont="1" applyFill="1" applyBorder="1" applyAlignment="1">
      <alignment horizontal="center" wrapText="1"/>
    </xf>
    <xf numFmtId="0" fontId="49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49" fillId="4" borderId="42" xfId="0" applyFont="1" applyFill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center" vertical="center" wrapText="1"/>
    </xf>
    <xf numFmtId="0" fontId="49" fillId="4" borderId="86" xfId="0" applyFont="1" applyFill="1" applyBorder="1" applyAlignment="1">
      <alignment horizontal="center" vertical="center" wrapText="1"/>
    </xf>
    <xf numFmtId="0" fontId="49" fillId="4" borderId="87" xfId="0" applyFont="1" applyFill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5" fillId="4" borderId="74" xfId="0" applyFont="1" applyFill="1" applyBorder="1" applyAlignment="1">
      <alignment horizontal="center" vertical="center" wrapText="1"/>
    </xf>
    <xf numFmtId="0" fontId="48" fillId="4" borderId="6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49" fillId="4" borderId="73" xfId="0" applyFont="1" applyFill="1" applyBorder="1" applyAlignment="1">
      <alignment horizontal="center" wrapText="1"/>
    </xf>
    <xf numFmtId="0" fontId="5" fillId="4" borderId="72" xfId="0" applyFont="1" applyFill="1" applyBorder="1" applyAlignment="1">
      <alignment horizontal="center" wrapText="1"/>
    </xf>
    <xf numFmtId="0" fontId="49" fillId="4" borderId="39" xfId="0" applyFont="1" applyFill="1" applyBorder="1" applyAlignment="1">
      <alignment horizontal="center" wrapText="1"/>
    </xf>
    <xf numFmtId="0" fontId="49" fillId="4" borderId="84" xfId="0" applyFont="1" applyFill="1" applyBorder="1" applyAlignment="1">
      <alignment horizontal="center" wrapText="1"/>
    </xf>
    <xf numFmtId="0" fontId="49" fillId="4" borderId="82" xfId="0" applyFont="1" applyFill="1" applyBorder="1" applyAlignment="1">
      <alignment horizontal="center" vertical="center" wrapText="1"/>
    </xf>
    <xf numFmtId="0" fontId="49" fillId="4" borderId="8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48" fillId="4" borderId="63" xfId="0" applyFont="1" applyFill="1" applyBorder="1" applyAlignment="1">
      <alignment horizontal="center" textRotation="90" wrapText="1"/>
    </xf>
    <xf numFmtId="0" fontId="48" fillId="4" borderId="31" xfId="0" applyFont="1" applyFill="1" applyBorder="1" applyAlignment="1">
      <alignment horizontal="center" textRotation="90" wrapText="1"/>
    </xf>
    <xf numFmtId="0" fontId="48" fillId="4" borderId="65" xfId="0" applyFont="1" applyFill="1" applyBorder="1" applyAlignment="1">
      <alignment horizontal="center" textRotation="90" wrapText="1"/>
    </xf>
    <xf numFmtId="0" fontId="5" fillId="4" borderId="32" xfId="0" applyFont="1" applyFill="1" applyBorder="1" applyAlignment="1">
      <alignment horizontal="center" textRotation="90" wrapText="1"/>
    </xf>
    <xf numFmtId="0" fontId="5" fillId="4" borderId="68" xfId="0" applyFont="1" applyFill="1" applyBorder="1" applyAlignment="1">
      <alignment horizontal="center" textRotation="90" wrapText="1"/>
    </xf>
    <xf numFmtId="0" fontId="48" fillId="4" borderId="39" xfId="0" applyFont="1" applyFill="1" applyBorder="1" applyAlignment="1">
      <alignment horizontal="center" textRotation="90" wrapText="1"/>
    </xf>
    <xf numFmtId="0" fontId="48" fillId="4" borderId="21" xfId="0" applyFont="1" applyFill="1" applyBorder="1" applyAlignment="1">
      <alignment horizontal="center" textRotation="90" wrapText="1"/>
    </xf>
    <xf numFmtId="0" fontId="48" fillId="4" borderId="22" xfId="0" applyFont="1" applyFill="1" applyBorder="1" applyAlignment="1">
      <alignment horizontal="center" textRotation="90" wrapText="1"/>
    </xf>
    <xf numFmtId="0" fontId="44" fillId="4" borderId="69" xfId="0" applyFont="1" applyFill="1" applyBorder="1" applyAlignment="1">
      <alignment horizontal="center" vertical="center" wrapText="1"/>
    </xf>
    <xf numFmtId="0" fontId="5" fillId="4" borderId="70" xfId="0" applyFont="1" applyFill="1" applyBorder="1" applyAlignment="1">
      <alignment horizontal="center" vertical="center" wrapText="1"/>
    </xf>
    <xf numFmtId="0" fontId="48" fillId="4" borderId="42" xfId="0" applyFon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49" fillId="4" borderId="36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49" fillId="4" borderId="76" xfId="0" applyFont="1" applyFill="1" applyBorder="1" applyAlignment="1">
      <alignment horizontal="center" wrapText="1"/>
    </xf>
    <xf numFmtId="0" fontId="5" fillId="4" borderId="77" xfId="0" applyFont="1" applyFill="1" applyBorder="1" applyAlignment="1">
      <alignment horizontal="center" wrapText="1"/>
    </xf>
    <xf numFmtId="0" fontId="49" fillId="4" borderId="78" xfId="0" applyFont="1" applyFill="1" applyBorder="1" applyAlignment="1">
      <alignment horizontal="center" wrapText="1"/>
    </xf>
    <xf numFmtId="0" fontId="49" fillId="4" borderId="79" xfId="0" applyFont="1" applyFill="1" applyBorder="1" applyAlignment="1">
      <alignment horizontal="center" wrapText="1"/>
    </xf>
    <xf numFmtId="0" fontId="48" fillId="4" borderId="35" xfId="0" applyFont="1" applyFill="1" applyBorder="1" applyAlignment="1">
      <alignment horizontal="center" vertical="center" wrapText="1"/>
    </xf>
    <xf numFmtId="0" fontId="48" fillId="4" borderId="63" xfId="0" applyFont="1" applyFill="1" applyBorder="1" applyAlignment="1">
      <alignment horizontal="center" vertical="center" wrapText="1"/>
    </xf>
    <xf numFmtId="0" fontId="48" fillId="4" borderId="40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48" fillId="4" borderId="31" xfId="0" applyFont="1" applyFill="1" applyBorder="1" applyAlignment="1">
      <alignment horizontal="center" vertical="center" wrapText="1"/>
    </xf>
    <xf numFmtId="0" fontId="48" fillId="4" borderId="64" xfId="0" applyFont="1" applyFill="1" applyBorder="1" applyAlignment="1">
      <alignment horizontal="center" vertical="center" wrapText="1"/>
    </xf>
    <xf numFmtId="0" fontId="48" fillId="4" borderId="66" xfId="0" applyFont="1" applyFill="1" applyBorder="1" applyAlignment="1">
      <alignment horizontal="center" vertical="center" wrapText="1"/>
    </xf>
    <xf numFmtId="0" fontId="48" fillId="4" borderId="67" xfId="0" applyFont="1" applyFill="1" applyBorder="1" applyAlignment="1">
      <alignment horizontal="center" vertical="center" wrapText="1"/>
    </xf>
    <xf numFmtId="0" fontId="44" fillId="4" borderId="63" xfId="0" applyFont="1" applyFill="1" applyBorder="1" applyAlignment="1">
      <alignment horizontal="center" vertical="center" textRotation="90" wrapText="1"/>
    </xf>
    <xf numFmtId="0" fontId="44" fillId="4" borderId="13" xfId="0" applyFont="1" applyFill="1" applyBorder="1" applyAlignment="1">
      <alignment horizontal="center" vertical="center" textRotation="90" wrapText="1"/>
    </xf>
    <xf numFmtId="0" fontId="44" fillId="4" borderId="31" xfId="0" applyFont="1" applyFill="1" applyBorder="1" applyAlignment="1">
      <alignment horizontal="center" vertical="center" textRotation="90" wrapText="1"/>
    </xf>
    <xf numFmtId="43" fontId="5" fillId="4" borderId="26" xfId="1" applyFont="1" applyFill="1" applyBorder="1" applyAlignment="1">
      <alignment horizontal="center"/>
    </xf>
    <xf numFmtId="0" fontId="42" fillId="4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wrapText="1"/>
    </xf>
    <xf numFmtId="0" fontId="32" fillId="4" borderId="0" xfId="0" applyFont="1" applyFill="1" applyAlignment="1">
      <alignment vertical="top" wrapText="1"/>
    </xf>
    <xf numFmtId="0" fontId="46" fillId="4" borderId="0" xfId="0" applyFont="1" applyFill="1" applyAlignment="1">
      <alignment horizontal="center" vertical="top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wrapText="1"/>
    </xf>
    <xf numFmtId="0" fontId="32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6" fillId="0" borderId="0" xfId="0" applyFont="1" applyAlignment="1">
      <alignment horizontal="center" vertical="top" wrapText="1"/>
    </xf>
    <xf numFmtId="0" fontId="0" fillId="3" borderId="21" xfId="0" applyFill="1" applyBorder="1" applyAlignment="1">
      <alignment horizontal="center" vertical="center" textRotation="90" wrapText="1"/>
    </xf>
    <xf numFmtId="0" fontId="0" fillId="3" borderId="25" xfId="0" applyFill="1" applyBorder="1" applyAlignment="1">
      <alignment horizontal="center" vertical="center" textRotation="90" wrapText="1"/>
    </xf>
    <xf numFmtId="0" fontId="0" fillId="3" borderId="23" xfId="0" applyFill="1" applyBorder="1" applyAlignment="1">
      <alignment horizontal="center"/>
    </xf>
    <xf numFmtId="0" fontId="0" fillId="3" borderId="31" xfId="0" applyFill="1" applyBorder="1" applyAlignment="1">
      <alignment horizontal="left" vertical="center" wrapText="1"/>
    </xf>
    <xf numFmtId="0" fontId="0" fillId="3" borderId="32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1" xfId="0" applyFill="1" applyBorder="1" applyAlignment="1">
      <alignment horizontal="left" vertical="center"/>
    </xf>
    <xf numFmtId="0" fontId="0" fillId="3" borderId="32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/>
    </xf>
    <xf numFmtId="0" fontId="32" fillId="4" borderId="34" xfId="0" applyFont="1" applyFill="1" applyBorder="1" applyAlignment="1">
      <alignment horizontal="center" vertical="center"/>
    </xf>
    <xf numFmtId="0" fontId="45" fillId="4" borderId="44" xfId="0" applyFont="1" applyFill="1" applyBorder="1" applyAlignment="1">
      <alignment horizontal="center" vertical="center" wrapText="1"/>
    </xf>
    <xf numFmtId="0" fontId="45" fillId="4" borderId="45" xfId="0" applyFont="1" applyFill="1" applyBorder="1" applyAlignment="1">
      <alignment horizontal="center" vertical="center" wrapText="1"/>
    </xf>
    <xf numFmtId="0" fontId="45" fillId="4" borderId="4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65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63" fillId="4" borderId="60" xfId="0" applyFont="1" applyFill="1" applyBorder="1" applyAlignment="1">
      <alignment horizontal="center" vertical="center"/>
    </xf>
    <xf numFmtId="0" fontId="29" fillId="4" borderId="102" xfId="0" applyFont="1" applyFill="1" applyBorder="1"/>
    <xf numFmtId="0" fontId="29" fillId="4" borderId="56" xfId="0" applyFont="1" applyFill="1" applyBorder="1"/>
    <xf numFmtId="0" fontId="63" fillId="4" borderId="60" xfId="0" applyFont="1" applyFill="1" applyBorder="1" applyAlignment="1">
      <alignment horizontal="center" vertical="center" wrapText="1"/>
    </xf>
    <xf numFmtId="0" fontId="29" fillId="4" borderId="102" xfId="0" applyFont="1" applyFill="1" applyBorder="1" applyAlignment="1">
      <alignment wrapText="1"/>
    </xf>
    <xf numFmtId="0" fontId="29" fillId="4" borderId="56" xfId="0" applyFont="1" applyFill="1" applyBorder="1" applyAlignment="1">
      <alignment wrapText="1"/>
    </xf>
    <xf numFmtId="0" fontId="63" fillId="4" borderId="102" xfId="0" applyFont="1" applyFill="1" applyBorder="1" applyAlignment="1">
      <alignment horizontal="center" vertical="center" wrapText="1"/>
    </xf>
    <xf numFmtId="0" fontId="63" fillId="4" borderId="56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13" xfId="0" applyBorder="1" applyAlignment="1">
      <alignment horizontal="center"/>
    </xf>
  </cellXfs>
  <cellStyles count="5">
    <cellStyle name="Гіперпосилання" xfId="4" builtinId="8"/>
    <cellStyle name="Звичайний" xfId="0" builtinId="0"/>
    <cellStyle name="Обычный 2" xfId="2" xr:uid="{F763E9DF-9880-486D-841E-2EA189AEEB79}"/>
    <cellStyle name="Обычный 6" xfId="3" xr:uid="{D0B33FB8-AC58-46A6-A1BC-987845FF1E02}"/>
    <cellStyle name="Фінансовий" xfId="1" builtinId="3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cheva/Documents/&#1056;&#1040;&#1041;&#1054;&#1058;&#1040;/&#1052;&#1059;&#1057;&#1054;&#1056;%20&#1050;&#1054;&#1053;&#1050;&#1059;&#1056;&#1057;/&#1058;&#1040;&#1056;&#1048;&#1060;%202023/2024%20%20&#1086;&#1073;&#1086;&#1088;&#1086;&#1090;&#108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2;&#1072;&#1083;&#1100;&#1082;&#1091;&#1083;&#1103;&#1094;&#1080;&#1103;%202,472/&#1063;&#1086;&#1088;&#1085;&#1086;&#1084;&#1086;&#1088;&#1089;&#1100;&#1082;%202.472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.контейнера"/>
      <sheetName val="прочая амортиз."/>
      <sheetName val="закупка контейнеров"/>
      <sheetName val="аморт.автомобілі"/>
      <sheetName val="мойка авто"/>
      <sheetName val="мойка Опель"/>
      <sheetName val="ремонт авто"/>
      <sheetName val="ремонті маш.и конт."/>
      <sheetName val="страховка"/>
      <sheetName val="ореда база"/>
      <sheetName val="оренда газель"/>
      <sheetName val="утиліз.шин.ак."/>
      <sheetName val="обсл.банка"/>
      <sheetName val="форма"/>
      <sheetName val="штатка"/>
      <sheetName val="розрахун.книжки"/>
      <sheetName val="рукавички"/>
      <sheetName val="канцтов"/>
      <sheetName val="МБП"/>
      <sheetName val="суборенда"/>
      <sheetName val="комун"/>
      <sheetName val="телефон интер"/>
      <sheetName val="обслуживание программі"/>
      <sheetName val="охр.кноп база"/>
      <sheetName val="охр.Черн.офис"/>
      <sheetName val="оренда Черном."/>
      <sheetName val="трудойстр."/>
      <sheetName val="юр.услуги"/>
      <sheetName val="пож.сигн.база"/>
      <sheetName val="обучение"/>
      <sheetName val="посл.GPS"/>
      <sheetName val="серт.сист.мен.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>
            <v>1274.98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"/>
      <sheetName val="Додаток 2"/>
      <sheetName val="Табл 1 ТПВ"/>
      <sheetName val="Табл 2 ВГВ"/>
      <sheetName val="Табл 3 ТПВ"/>
      <sheetName val="Табл 4 ВГВ"/>
      <sheetName val="Калькуляція ТПВ, ВГВ"/>
      <sheetName val="Додаток 3"/>
      <sheetName val="Додаток 4"/>
      <sheetName val="Норма накопичення"/>
      <sheetName val="Лист1"/>
    </sheetNames>
    <sheetDataSet>
      <sheetData sheetId="0" refreshError="1">
        <row r="7">
          <cell r="C7">
            <v>18.143265</v>
          </cell>
        </row>
        <row r="8">
          <cell r="C8">
            <v>18.143265</v>
          </cell>
        </row>
        <row r="15">
          <cell r="C15">
            <v>20.112461999999997</v>
          </cell>
        </row>
        <row r="18">
          <cell r="C18">
            <v>4.59</v>
          </cell>
        </row>
        <row r="19">
          <cell r="C19">
            <v>4.59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zakon.rada.gov.ua/laws/show/v0162832-16" TargetMode="External"/><Relationship Id="rId13" Type="http://schemas.openxmlformats.org/officeDocument/2006/relationships/hyperlink" Target="https://zakon.rada.gov.ua/laws/show/v0345832-15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s://zakon.rada.gov.ua/laws/show/z0336-13" TargetMode="External"/><Relationship Id="rId7" Type="http://schemas.openxmlformats.org/officeDocument/2006/relationships/hyperlink" Target="https://zakon.rada.gov.ua/laws/show/v0321832-13" TargetMode="External"/><Relationship Id="rId12" Type="http://schemas.openxmlformats.org/officeDocument/2006/relationships/hyperlink" Target="https://zakon.rada.gov.ua/laws/show/v0308667-06" TargetMode="External"/><Relationship Id="rId17" Type="http://schemas.openxmlformats.org/officeDocument/2006/relationships/hyperlink" Target="https://zakon.rada.gov.ua/laws/show/z1052-15" TargetMode="External"/><Relationship Id="rId2" Type="http://schemas.openxmlformats.org/officeDocument/2006/relationships/hyperlink" Target="https://zakon.rada.gov.ua/laws/show/z1172-18/print" TargetMode="External"/><Relationship Id="rId16" Type="http://schemas.openxmlformats.org/officeDocument/2006/relationships/hyperlink" Target="https://zakon.rada.gov.ua/laws/show/z0783-15" TargetMode="External"/><Relationship Id="rId1" Type="http://schemas.openxmlformats.org/officeDocument/2006/relationships/hyperlink" Target="https://zakon.rada.gov.ua/laws/show/z1172-18/print" TargetMode="External"/><Relationship Id="rId6" Type="http://schemas.openxmlformats.org/officeDocument/2006/relationships/hyperlink" Target="https://zakon.rada.gov.ua/laws/show/v0160832-18" TargetMode="External"/><Relationship Id="rId11" Type="http://schemas.openxmlformats.org/officeDocument/2006/relationships/hyperlink" Target="https://zakon.rada.gov.ua/laws/show/v0243832-14" TargetMode="External"/><Relationship Id="rId5" Type="http://schemas.openxmlformats.org/officeDocument/2006/relationships/hyperlink" Target="https://zakon.rada.gov.ua/laws/show/v0090832-16" TargetMode="External"/><Relationship Id="rId15" Type="http://schemas.openxmlformats.org/officeDocument/2006/relationships/hyperlink" Target="https://zakon.rada.gov.ua/laws/show/z1415-15" TargetMode="External"/><Relationship Id="rId10" Type="http://schemas.openxmlformats.org/officeDocument/2006/relationships/hyperlink" Target="https://zakon.rada.gov.ua/laws/show/z0382-15" TargetMode="External"/><Relationship Id="rId4" Type="http://schemas.openxmlformats.org/officeDocument/2006/relationships/hyperlink" Target="https://zakon.rada.gov.ua/laws/show/z0336-13" TargetMode="External"/><Relationship Id="rId9" Type="http://schemas.openxmlformats.org/officeDocument/2006/relationships/hyperlink" Target="https://zakon.rada.gov.ua/laws/show/v0162832-16" TargetMode="External"/><Relationship Id="rId14" Type="http://schemas.openxmlformats.org/officeDocument/2006/relationships/hyperlink" Target="https://zakon.rada.gov.ua/laws/show/v0259832-1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1DCD-3CFF-4948-83AB-BFAD116CFB10}">
  <sheetPr>
    <tabColor rgb="FFFFFF00"/>
  </sheetPr>
  <dimension ref="A1:Y13"/>
  <sheetViews>
    <sheetView workbookViewId="0">
      <selection activeCell="G1" sqref="G1:I1"/>
    </sheetView>
  </sheetViews>
  <sheetFormatPr defaultColWidth="8.85546875" defaultRowHeight="15.75" x14ac:dyDescent="0.25"/>
  <cols>
    <col min="1" max="1" width="27.7109375" style="122" customWidth="1"/>
    <col min="2" max="2" width="16.85546875" style="122" customWidth="1"/>
    <col min="3" max="3" width="12.28515625" style="122" customWidth="1"/>
    <col min="4" max="4" width="13.7109375" style="122" customWidth="1"/>
    <col min="5" max="5" width="12.5703125" style="122" customWidth="1"/>
    <col min="6" max="6" width="14.140625" style="122" customWidth="1"/>
    <col min="7" max="7" width="11.7109375" style="122" customWidth="1"/>
    <col min="8" max="8" width="10.7109375" style="122" customWidth="1"/>
    <col min="9" max="9" width="11.140625" style="122" customWidth="1"/>
    <col min="10" max="16384" width="8.85546875" style="122"/>
  </cols>
  <sheetData>
    <row r="1" spans="1:25" ht="66.599999999999994" customHeight="1" x14ac:dyDescent="0.25">
      <c r="G1" s="635" t="s">
        <v>643</v>
      </c>
      <c r="H1" s="635"/>
      <c r="I1" s="635"/>
      <c r="J1" s="378"/>
      <c r="K1" s="378"/>
      <c r="L1" s="378"/>
      <c r="M1" s="378"/>
    </row>
    <row r="2" spans="1:25" ht="59.45" customHeight="1" x14ac:dyDescent="0.25">
      <c r="A2" s="637" t="s">
        <v>642</v>
      </c>
      <c r="B2" s="637"/>
      <c r="C2" s="637"/>
      <c r="D2" s="637"/>
      <c r="E2" s="637"/>
      <c r="F2" s="637"/>
      <c r="G2" s="637"/>
      <c r="H2" s="637"/>
      <c r="I2" s="637"/>
    </row>
    <row r="3" spans="1:25" ht="48" customHeight="1" x14ac:dyDescent="0.25">
      <c r="A3" s="639" t="s">
        <v>609</v>
      </c>
      <c r="B3" s="638" t="s">
        <v>623</v>
      </c>
      <c r="C3" s="638"/>
      <c r="D3" s="638"/>
      <c r="E3" s="638"/>
      <c r="F3" s="638" t="s">
        <v>630</v>
      </c>
      <c r="G3" s="638"/>
      <c r="H3" s="638"/>
      <c r="I3" s="638"/>
    </row>
    <row r="4" spans="1:25" ht="47.25" x14ac:dyDescent="0.25">
      <c r="A4" s="639"/>
      <c r="B4" s="539" t="s">
        <v>618</v>
      </c>
      <c r="C4" s="540" t="s">
        <v>614</v>
      </c>
      <c r="D4" s="540" t="s">
        <v>615</v>
      </c>
      <c r="E4" s="540" t="s">
        <v>616</v>
      </c>
      <c r="F4" s="539" t="s">
        <v>619</v>
      </c>
      <c r="G4" s="540" t="s">
        <v>614</v>
      </c>
      <c r="H4" s="540" t="s">
        <v>615</v>
      </c>
      <c r="I4" s="540" t="s">
        <v>616</v>
      </c>
      <c r="J4" s="538"/>
      <c r="K4" s="538"/>
      <c r="L4" s="538"/>
      <c r="M4" s="538"/>
    </row>
    <row r="5" spans="1:25" ht="31.5" x14ac:dyDescent="0.25">
      <c r="A5" s="541" t="s">
        <v>617</v>
      </c>
      <c r="B5" s="640">
        <v>2.472</v>
      </c>
      <c r="C5" s="640"/>
      <c r="D5" s="640"/>
      <c r="E5" s="640"/>
      <c r="F5" s="640">
        <v>0.2472</v>
      </c>
      <c r="G5" s="640"/>
      <c r="H5" s="640"/>
      <c r="I5" s="640"/>
      <c r="J5" s="538"/>
      <c r="K5" s="538"/>
      <c r="L5" s="538"/>
      <c r="M5" s="538"/>
    </row>
    <row r="6" spans="1:25" x14ac:dyDescent="0.25">
      <c r="A6" s="121" t="s">
        <v>610</v>
      </c>
      <c r="B6" s="174">
        <f>'ПОВ СОБ ТПВ'!O38</f>
        <v>182161.68</v>
      </c>
      <c r="C6" s="542">
        <f>'ПОВ СОБ ТПВ'!P37</f>
        <v>53.416058616384184</v>
      </c>
      <c r="D6" s="542">
        <f>B5*C6</f>
        <v>132.0444968997017</v>
      </c>
      <c r="E6" s="542">
        <f>D6/12</f>
        <v>11.003708074975142</v>
      </c>
      <c r="F6" s="543">
        <f>'ПОВННА СОБ ВГВ'!O36</f>
        <v>18201.43</v>
      </c>
      <c r="G6" s="543">
        <f>'ПОВННА СОБ ВГВ'!P35</f>
        <v>122.81324019290265</v>
      </c>
      <c r="H6" s="544">
        <f>G6*F5</f>
        <v>30.359432975685536</v>
      </c>
      <c r="I6" s="544">
        <f>H6/12</f>
        <v>2.5299527479737947</v>
      </c>
      <c r="J6" s="538"/>
      <c r="K6" s="538"/>
      <c r="L6" s="538"/>
      <c r="M6" s="538"/>
    </row>
    <row r="7" spans="1:25" x14ac:dyDescent="0.25">
      <c r="A7" s="121" t="s">
        <v>611</v>
      </c>
      <c r="B7" s="174">
        <f>'ПОВ СОБ ТПВ'!R38</f>
        <v>182161.68</v>
      </c>
      <c r="C7" s="542">
        <f>'ПОВ СОБ ТПВ'!S37</f>
        <v>53.088318726947684</v>
      </c>
      <c r="D7" s="542">
        <f>C7*B5</f>
        <v>131.23432389301468</v>
      </c>
      <c r="E7" s="542">
        <f t="shared" ref="E7:E9" si="0">D7/12</f>
        <v>10.936193657751224</v>
      </c>
      <c r="F7" s="543">
        <f>'ПОВННА СОБ ВГВ'!R36</f>
        <v>18201.43</v>
      </c>
      <c r="G7" s="543">
        <f>'ПОВННА СОБ ВГВ'!S35</f>
        <v>181.96268822247598</v>
      </c>
      <c r="H7" s="544">
        <f>G7*F5</f>
        <v>44.981176528596059</v>
      </c>
      <c r="I7" s="544">
        <f>H7/12</f>
        <v>3.7484313773830049</v>
      </c>
      <c r="J7" s="538"/>
      <c r="K7" s="538"/>
      <c r="L7" s="538"/>
      <c r="M7" s="538"/>
    </row>
    <row r="8" spans="1:25" x14ac:dyDescent="0.25">
      <c r="A8" s="121" t="s">
        <v>613</v>
      </c>
      <c r="B8" s="174">
        <f>'ПОВ СОБ ТПВ'!V38</f>
        <v>46870.200263999985</v>
      </c>
      <c r="C8" s="542">
        <f>'ПОВ СОБ ТПВ'!W37</f>
        <v>0</v>
      </c>
      <c r="D8" s="542">
        <f>C8*B5</f>
        <v>0</v>
      </c>
      <c r="E8" s="542">
        <f t="shared" si="0"/>
        <v>0</v>
      </c>
      <c r="F8" s="543">
        <f>'ПОВННА СОБ ВГВ'!V36</f>
        <v>18201.43</v>
      </c>
      <c r="G8" s="540"/>
      <c r="H8" s="540"/>
      <c r="I8" s="540"/>
      <c r="J8" s="538"/>
      <c r="K8" s="538"/>
      <c r="L8" s="538"/>
      <c r="M8" s="538"/>
    </row>
    <row r="9" spans="1:25" ht="31.5" x14ac:dyDescent="0.25">
      <c r="A9" s="539" t="s">
        <v>612</v>
      </c>
      <c r="B9" s="545">
        <f>'ПОВ СОБ ТПВ'!X38</f>
        <v>135291.47973600001</v>
      </c>
      <c r="C9" s="542">
        <f>'ПОВ СОБ ТПВ'!Y37</f>
        <v>22.899599999999996</v>
      </c>
      <c r="D9" s="542">
        <f>C9*B5</f>
        <v>56.607811199999986</v>
      </c>
      <c r="E9" s="542">
        <f t="shared" si="0"/>
        <v>4.7173175999999986</v>
      </c>
      <c r="F9" s="543">
        <f>'ПОВННА СОБ ВГВ'!X36</f>
        <v>18201.43</v>
      </c>
      <c r="G9" s="543">
        <f>'ПОВННА СОБ ВГВ'!W35</f>
        <v>24.720000000000002</v>
      </c>
      <c r="H9" s="544">
        <f>G9*F5</f>
        <v>6.1107840000000007</v>
      </c>
      <c r="I9" s="544">
        <f>H9/12</f>
        <v>0.50923200000000002</v>
      </c>
      <c r="J9" s="538"/>
      <c r="K9" s="538"/>
      <c r="L9" s="538"/>
      <c r="M9" s="538"/>
    </row>
    <row r="10" spans="1:25" ht="72" customHeight="1" x14ac:dyDescent="0.25">
      <c r="A10" s="546" t="s">
        <v>639</v>
      </c>
      <c r="B10" s="546"/>
      <c r="C10" s="548">
        <f>'ПОВ СОБ ТПВ'!O40</f>
        <v>123.51191026333188</v>
      </c>
      <c r="D10" s="548">
        <f>C10*B5</f>
        <v>305.3214421709564</v>
      </c>
      <c r="E10" s="548">
        <f>D10/12</f>
        <v>25.443453514246368</v>
      </c>
      <c r="F10" s="547"/>
      <c r="G10" s="548">
        <f>'ПОВННА СОБ ВГВ'!O38</f>
        <v>329.49592841537867</v>
      </c>
      <c r="H10" s="548">
        <f>G10*F5</f>
        <v>81.451393504281612</v>
      </c>
      <c r="I10" s="548">
        <f>H10/12</f>
        <v>6.7876161253568013</v>
      </c>
      <c r="J10" s="573">
        <f>E10+I10</f>
        <v>32.23106963960317</v>
      </c>
      <c r="K10" s="538"/>
      <c r="L10" s="538"/>
      <c r="M10" s="538"/>
    </row>
    <row r="11" spans="1:25" x14ac:dyDescent="0.25">
      <c r="C11" s="183"/>
      <c r="G11" s="234"/>
    </row>
    <row r="12" spans="1:25" ht="15.6" customHeight="1" x14ac:dyDescent="0.25">
      <c r="A12" s="636" t="s">
        <v>641</v>
      </c>
      <c r="B12" s="636"/>
      <c r="C12" s="636"/>
      <c r="D12" s="636"/>
      <c r="E12" s="636"/>
      <c r="F12" s="636"/>
      <c r="G12" s="636"/>
      <c r="H12" s="636"/>
      <c r="I12" s="636"/>
      <c r="J12" s="623"/>
      <c r="K12" s="623"/>
      <c r="L12" s="623"/>
      <c r="M12" s="623"/>
      <c r="N12" s="623"/>
      <c r="O12" s="623"/>
      <c r="P12" s="623"/>
      <c r="Q12" s="623"/>
      <c r="R12" s="623"/>
      <c r="S12" s="623"/>
      <c r="T12" s="623"/>
      <c r="U12" s="623"/>
      <c r="V12" s="623"/>
      <c r="W12" s="623"/>
      <c r="X12" s="623"/>
      <c r="Y12" s="623"/>
    </row>
    <row r="13" spans="1:25" x14ac:dyDescent="0.25">
      <c r="A13" s="636"/>
      <c r="B13" s="636"/>
      <c r="C13" s="636"/>
      <c r="D13" s="636"/>
      <c r="E13" s="636"/>
      <c r="F13" s="636"/>
      <c r="G13" s="636"/>
      <c r="H13" s="636"/>
      <c r="I13" s="636"/>
    </row>
  </sheetData>
  <mergeCells count="8">
    <mergeCell ref="G1:I1"/>
    <mergeCell ref="A12:I13"/>
    <mergeCell ref="A2:I2"/>
    <mergeCell ref="B3:E3"/>
    <mergeCell ref="F3:I3"/>
    <mergeCell ref="A3:A4"/>
    <mergeCell ref="B5:E5"/>
    <mergeCell ref="F5:I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A8E2-D2FB-4417-BEA2-1F244D867489}">
  <sheetPr>
    <tabColor rgb="FFC00000"/>
    <pageSetUpPr fitToPage="1"/>
  </sheetPr>
  <dimension ref="A1:AI31"/>
  <sheetViews>
    <sheetView topLeftCell="X4" zoomScale="82" zoomScaleNormal="82" zoomScaleSheetLayoutView="89" workbookViewId="0">
      <selection activeCell="AE14" sqref="AE14"/>
    </sheetView>
  </sheetViews>
  <sheetFormatPr defaultColWidth="8.85546875" defaultRowHeight="12.75" x14ac:dyDescent="0.2"/>
  <cols>
    <col min="1" max="1" width="7.28515625" style="325" hidden="1" customWidth="1"/>
    <col min="2" max="2" width="26.28515625" style="325" hidden="1" customWidth="1"/>
    <col min="3" max="3" width="11.7109375" style="325" hidden="1" customWidth="1"/>
    <col min="4" max="4" width="11.140625" style="325" hidden="1" customWidth="1"/>
    <col min="5" max="5" width="13" style="325" hidden="1" customWidth="1"/>
    <col min="6" max="6" width="14.28515625" style="325" hidden="1" customWidth="1"/>
    <col min="7" max="7" width="14.42578125" style="325" hidden="1" customWidth="1"/>
    <col min="8" max="23" width="8.85546875" style="325" hidden="1" customWidth="1"/>
    <col min="24" max="24" width="8.85546875" style="124" customWidth="1"/>
    <col min="25" max="25" width="0.42578125" style="124" customWidth="1"/>
    <col min="26" max="26" width="13" style="124" customWidth="1"/>
    <col min="27" max="27" width="20.7109375" style="124" customWidth="1"/>
    <col min="28" max="28" width="10.28515625" style="124" customWidth="1"/>
    <col min="29" max="29" width="26" style="124" hidden="1" customWidth="1"/>
    <col min="30" max="30" width="13" style="124" customWidth="1"/>
    <col min="31" max="31" width="21.85546875" style="124" customWidth="1"/>
    <col min="32" max="32" width="20" style="124" customWidth="1"/>
    <col min="33" max="33" width="51" style="124" hidden="1" customWidth="1"/>
    <col min="34" max="34" width="16.42578125" style="124" customWidth="1"/>
    <col min="35" max="16384" width="8.85546875" style="124"/>
  </cols>
  <sheetData>
    <row r="1" spans="2:35" ht="39" customHeight="1" x14ac:dyDescent="0.2">
      <c r="Z1" s="788" t="s">
        <v>526</v>
      </c>
      <c r="AA1" s="788"/>
      <c r="AB1" s="788"/>
      <c r="AC1" s="788"/>
      <c r="AD1" s="788"/>
      <c r="AE1" s="788"/>
      <c r="AF1" s="788"/>
      <c r="AG1" s="788"/>
      <c r="AH1" s="788"/>
    </row>
    <row r="2" spans="2:35" ht="17.25" customHeight="1" x14ac:dyDescent="0.25">
      <c r="Z2" s="796" t="s">
        <v>326</v>
      </c>
      <c r="AA2" s="798" t="s">
        <v>325</v>
      </c>
      <c r="AB2" s="792"/>
      <c r="AC2" s="799"/>
      <c r="AD2" s="125"/>
      <c r="AE2" s="798" t="s">
        <v>324</v>
      </c>
      <c r="AF2" s="792"/>
      <c r="AG2" s="799"/>
      <c r="AH2" s="152"/>
    </row>
    <row r="3" spans="2:35" ht="45" x14ac:dyDescent="0.2">
      <c r="Z3" s="797"/>
      <c r="AA3" s="126" t="s">
        <v>322</v>
      </c>
      <c r="AB3" s="126" t="s">
        <v>323</v>
      </c>
      <c r="AC3" s="126" t="s">
        <v>321</v>
      </c>
      <c r="AD3" s="126" t="s">
        <v>525</v>
      </c>
      <c r="AE3" s="126" t="s">
        <v>322</v>
      </c>
      <c r="AF3" s="126" t="str">
        <f>AB3</f>
        <v>Ціна, грн.</v>
      </c>
      <c r="AG3" s="153" t="s">
        <v>321</v>
      </c>
      <c r="AH3" s="126" t="s">
        <v>525</v>
      </c>
      <c r="AI3" s="127"/>
    </row>
    <row r="4" spans="2:35" ht="22.9" customHeight="1" x14ac:dyDescent="0.25">
      <c r="B4" s="325" t="s">
        <v>320</v>
      </c>
      <c r="C4" s="325" t="s">
        <v>319</v>
      </c>
      <c r="D4" s="325" t="s">
        <v>318</v>
      </c>
      <c r="E4" s="325" t="s">
        <v>317</v>
      </c>
      <c r="F4" s="325" t="s">
        <v>316</v>
      </c>
      <c r="Z4" s="128">
        <v>8322</v>
      </c>
      <c r="AA4" s="798" t="s">
        <v>315</v>
      </c>
      <c r="AB4" s="792"/>
      <c r="AC4" s="792"/>
      <c r="AD4" s="792"/>
      <c r="AE4" s="792"/>
      <c r="AF4" s="792"/>
      <c r="AG4" s="792"/>
      <c r="AH4" s="158"/>
    </row>
    <row r="5" spans="2:35" ht="91.9" customHeight="1" x14ac:dyDescent="0.25">
      <c r="B5" s="325" t="s">
        <v>314</v>
      </c>
      <c r="C5" s="325">
        <v>1</v>
      </c>
      <c r="D5" s="325">
        <v>1</v>
      </c>
      <c r="E5" s="325">
        <v>433.33</v>
      </c>
      <c r="F5" s="325">
        <f t="shared" ref="F5:F18" si="0">E5*D5</f>
        <v>433.33</v>
      </c>
      <c r="Z5" s="128"/>
      <c r="AA5" s="129" t="s">
        <v>515</v>
      </c>
      <c r="AB5" s="130">
        <f>AF5</f>
        <v>793.48</v>
      </c>
      <c r="AC5" s="131" t="s">
        <v>307</v>
      </c>
      <c r="AD5" s="148"/>
      <c r="AE5" s="129" t="s">
        <v>515</v>
      </c>
      <c r="AF5" s="132">
        <v>793.48</v>
      </c>
      <c r="AG5" s="154" t="s">
        <v>306</v>
      </c>
      <c r="AH5" s="159"/>
    </row>
    <row r="6" spans="2:35" ht="91.9" customHeight="1" x14ac:dyDescent="0.25">
      <c r="Z6" s="128"/>
      <c r="AA6" s="129" t="s">
        <v>517</v>
      </c>
      <c r="AB6" s="133">
        <v>1726.82</v>
      </c>
      <c r="AC6" s="131"/>
      <c r="AD6" s="148"/>
      <c r="AE6" s="129" t="s">
        <v>518</v>
      </c>
      <c r="AF6" s="133">
        <v>809.98</v>
      </c>
      <c r="AG6" s="155"/>
      <c r="AH6" s="159"/>
    </row>
    <row r="7" spans="2:35" ht="64.150000000000006" customHeight="1" x14ac:dyDescent="0.25">
      <c r="B7" s="325" t="s">
        <v>313</v>
      </c>
      <c r="C7" s="325">
        <v>1</v>
      </c>
      <c r="D7" s="325">
        <v>1</v>
      </c>
      <c r="E7" s="325">
        <v>383.33</v>
      </c>
      <c r="F7" s="325">
        <f t="shared" si="0"/>
        <v>383.33</v>
      </c>
      <c r="Z7" s="134"/>
      <c r="AA7" s="129" t="s">
        <v>516</v>
      </c>
      <c r="AB7" s="135">
        <f>[1]форма!$C$9</f>
        <v>1274.98</v>
      </c>
      <c r="AC7" s="134" t="s">
        <v>305</v>
      </c>
      <c r="AD7" s="149"/>
      <c r="AE7" s="129" t="s">
        <v>519</v>
      </c>
      <c r="AF7" s="133">
        <v>731.23</v>
      </c>
      <c r="AG7" s="793" t="s">
        <v>304</v>
      </c>
      <c r="AH7" s="160"/>
    </row>
    <row r="8" spans="2:35" ht="49.15" customHeight="1" x14ac:dyDescent="0.2">
      <c r="B8" s="325" t="s">
        <v>312</v>
      </c>
      <c r="C8" s="325">
        <v>1</v>
      </c>
      <c r="D8" s="325">
        <v>1</v>
      </c>
      <c r="E8" s="325">
        <v>386.67</v>
      </c>
      <c r="F8" s="325">
        <f t="shared" si="0"/>
        <v>386.67</v>
      </c>
      <c r="Z8" s="136"/>
      <c r="AA8" s="136" t="s">
        <v>311</v>
      </c>
      <c r="AB8" s="137">
        <f>AB5+AB6+AB7</f>
        <v>3795.28</v>
      </c>
      <c r="AC8" s="136" t="s">
        <v>302</v>
      </c>
      <c r="AD8" s="128">
        <f>AB8/2</f>
        <v>1897.64</v>
      </c>
      <c r="AE8" s="136" t="s">
        <v>302</v>
      </c>
      <c r="AF8" s="137">
        <f>AF5+AF6+AF7</f>
        <v>2334.69</v>
      </c>
      <c r="AG8" s="795"/>
      <c r="AH8" s="326">
        <f>AF8/2</f>
        <v>1167.345</v>
      </c>
    </row>
    <row r="9" spans="2:35" ht="22.15" customHeight="1" x14ac:dyDescent="0.25">
      <c r="B9" s="325" t="s">
        <v>310</v>
      </c>
      <c r="C9" s="325">
        <v>1</v>
      </c>
      <c r="D9" s="325">
        <v>1</v>
      </c>
      <c r="E9" s="325">
        <v>66.67</v>
      </c>
      <c r="F9" s="325">
        <f t="shared" si="0"/>
        <v>66.67</v>
      </c>
      <c r="Z9" s="139">
        <v>9333</v>
      </c>
      <c r="AA9" s="789" t="s">
        <v>309</v>
      </c>
      <c r="AB9" s="790"/>
      <c r="AC9" s="790"/>
      <c r="AD9" s="791"/>
      <c r="AE9" s="790"/>
      <c r="AF9" s="790"/>
      <c r="AG9" s="792"/>
      <c r="AH9" s="158"/>
    </row>
    <row r="10" spans="2:35" ht="58.9" customHeight="1" x14ac:dyDescent="0.25">
      <c r="B10" s="325" t="s">
        <v>308</v>
      </c>
      <c r="C10" s="325">
        <v>1</v>
      </c>
      <c r="D10" s="325">
        <v>1</v>
      </c>
      <c r="E10" s="325">
        <v>100.83</v>
      </c>
      <c r="F10" s="325">
        <f t="shared" si="0"/>
        <v>100.83</v>
      </c>
      <c r="Z10" s="142"/>
      <c r="AA10" s="129" t="s">
        <v>515</v>
      </c>
      <c r="AB10" s="143">
        <f>AB5</f>
        <v>793.48</v>
      </c>
      <c r="AC10" s="144" t="s">
        <v>307</v>
      </c>
      <c r="AD10" s="144"/>
      <c r="AE10" s="129" t="s">
        <v>515</v>
      </c>
      <c r="AF10" s="145">
        <f>AF5</f>
        <v>793.48</v>
      </c>
      <c r="AG10" s="156" t="s">
        <v>306</v>
      </c>
      <c r="AH10" s="159"/>
    </row>
    <row r="11" spans="2:35" ht="46.9" customHeight="1" x14ac:dyDescent="0.25">
      <c r="Z11" s="142"/>
      <c r="AA11" s="129" t="str">
        <f>AA6</f>
        <v>Куртка утепл. Портовик-1</v>
      </c>
      <c r="AB11" s="129">
        <f>AB6</f>
        <v>1726.82</v>
      </c>
      <c r="AC11" s="144"/>
      <c r="AD11" s="144"/>
      <c r="AE11" s="129" t="str">
        <f>AE6</f>
        <v>Куртка робоча "Новатор" с логотипом</v>
      </c>
      <c r="AF11" s="129">
        <f>AF6</f>
        <v>809.98</v>
      </c>
      <c r="AG11" s="157"/>
      <c r="AH11" s="159"/>
    </row>
    <row r="12" spans="2:35" ht="37.9" customHeight="1" x14ac:dyDescent="0.25">
      <c r="Z12" s="142"/>
      <c r="AA12" s="129" t="str">
        <f>AA7</f>
        <v>Напівкомбінезон утепл. Портовик-1</v>
      </c>
      <c r="AB12" s="129">
        <f>AB7</f>
        <v>1274.98</v>
      </c>
      <c r="AC12" s="144"/>
      <c r="AD12" s="144"/>
      <c r="AE12" s="129" t="str">
        <f>AE7</f>
        <v>Напівкомбінезон  "Новатор"</v>
      </c>
      <c r="AF12" s="129">
        <f>AF7</f>
        <v>731.23</v>
      </c>
      <c r="AG12" s="157"/>
      <c r="AH12" s="159"/>
    </row>
    <row r="13" spans="2:35" ht="37.15" customHeight="1" x14ac:dyDescent="0.25">
      <c r="Z13" s="142"/>
      <c r="AA13" s="129" t="s">
        <v>520</v>
      </c>
      <c r="AB13" s="143">
        <v>173.04</v>
      </c>
      <c r="AC13" s="144"/>
      <c r="AD13" s="144"/>
      <c r="AE13" s="129" t="s">
        <v>520</v>
      </c>
      <c r="AF13" s="143">
        <v>173.04</v>
      </c>
      <c r="AG13" s="157"/>
      <c r="AH13" s="159"/>
    </row>
    <row r="14" spans="2:35" ht="81.599999999999994" customHeight="1" x14ac:dyDescent="0.2">
      <c r="B14" s="325" t="s">
        <v>294</v>
      </c>
      <c r="C14" s="325">
        <v>12</v>
      </c>
      <c r="D14" s="325">
        <v>3</v>
      </c>
      <c r="E14" s="325">
        <v>78.45</v>
      </c>
      <c r="F14" s="325">
        <f t="shared" si="0"/>
        <v>235.35000000000002</v>
      </c>
      <c r="Z14" s="140"/>
      <c r="AA14" s="140" t="s">
        <v>521</v>
      </c>
      <c r="AB14" s="141">
        <v>231.57</v>
      </c>
      <c r="AC14" s="140" t="s">
        <v>305</v>
      </c>
      <c r="AD14" s="140"/>
      <c r="AE14" s="140" t="s">
        <v>521</v>
      </c>
      <c r="AF14" s="141">
        <v>231.57</v>
      </c>
      <c r="AG14" s="793" t="s">
        <v>304</v>
      </c>
      <c r="AH14" s="160"/>
    </row>
    <row r="15" spans="2:35" ht="34.9" customHeight="1" x14ac:dyDescent="0.2">
      <c r="Z15" s="146"/>
      <c r="AA15" s="147" t="s">
        <v>522</v>
      </c>
      <c r="AB15" s="141">
        <v>391.87</v>
      </c>
      <c r="AC15" s="146"/>
      <c r="AD15" s="150"/>
      <c r="AE15" s="147" t="s">
        <v>523</v>
      </c>
      <c r="AF15" s="141">
        <f>AB15*2</f>
        <v>783.74</v>
      </c>
      <c r="AG15" s="794"/>
      <c r="AH15" s="160"/>
    </row>
    <row r="16" spans="2:35" ht="39.6" customHeight="1" x14ac:dyDescent="0.2">
      <c r="Z16" s="146"/>
      <c r="AA16" s="147" t="s">
        <v>524</v>
      </c>
      <c r="AB16" s="147">
        <f>15.04*36</f>
        <v>541.43999999999994</v>
      </c>
      <c r="AC16" s="141">
        <f>15</f>
        <v>15</v>
      </c>
      <c r="AD16" s="151"/>
      <c r="AE16" s="147" t="s">
        <v>524</v>
      </c>
      <c r="AF16" s="141">
        <f>15.04*36</f>
        <v>541.43999999999994</v>
      </c>
      <c r="AG16" s="794"/>
      <c r="AH16" s="160"/>
    </row>
    <row r="17" spans="2:34" ht="42" customHeight="1" x14ac:dyDescent="0.2">
      <c r="B17" s="325" t="s">
        <v>293</v>
      </c>
      <c r="C17" s="325">
        <v>24</v>
      </c>
      <c r="D17" s="325">
        <v>3</v>
      </c>
      <c r="E17" s="325">
        <v>212.45</v>
      </c>
      <c r="F17" s="325">
        <f t="shared" si="0"/>
        <v>637.34999999999991</v>
      </c>
      <c r="Z17" s="136"/>
      <c r="AA17" s="136" t="s">
        <v>303</v>
      </c>
      <c r="AB17" s="137">
        <f>AB10+AB11+AB12+AB13+AB14+AB15+AB16</f>
        <v>5133.2</v>
      </c>
      <c r="AC17" s="136" t="s">
        <v>302</v>
      </c>
      <c r="AD17" s="327">
        <f>AB17/2</f>
        <v>2566.6</v>
      </c>
      <c r="AE17" s="136" t="s">
        <v>302</v>
      </c>
      <c r="AF17" s="137">
        <f>AF10+AF11+AF12+AF13+AF14+AF16+AF15</f>
        <v>4064.4800000000005</v>
      </c>
      <c r="AG17" s="795"/>
      <c r="AH17" s="326">
        <f>AF17/2</f>
        <v>2032.2400000000002</v>
      </c>
    </row>
    <row r="18" spans="2:34" x14ac:dyDescent="0.2">
      <c r="B18" s="325" t="s">
        <v>301</v>
      </c>
      <c r="C18" s="325">
        <v>72</v>
      </c>
      <c r="D18" s="325">
        <v>72</v>
      </c>
      <c r="E18" s="325">
        <v>11.08</v>
      </c>
      <c r="F18" s="325">
        <f t="shared" si="0"/>
        <v>797.76</v>
      </c>
    </row>
    <row r="19" spans="2:34" ht="58.9" customHeight="1" x14ac:dyDescent="0.25">
      <c r="F19" s="325">
        <f>ROUND(SUM(F5:F18),0)</f>
        <v>3041</v>
      </c>
      <c r="Z19" s="138"/>
      <c r="AA19" s="161"/>
      <c r="AB19" s="161"/>
      <c r="AC19" s="161"/>
      <c r="AD19" s="161" t="s">
        <v>383</v>
      </c>
      <c r="AE19" s="161"/>
      <c r="AF19" s="161"/>
      <c r="AG19" s="138"/>
      <c r="AH19" s="138"/>
    </row>
    <row r="21" spans="2:34" x14ac:dyDescent="0.2">
      <c r="B21" s="325" t="s">
        <v>300</v>
      </c>
    </row>
    <row r="22" spans="2:34" x14ac:dyDescent="0.2">
      <c r="B22" s="325" t="s">
        <v>299</v>
      </c>
      <c r="C22" s="325">
        <v>1</v>
      </c>
      <c r="D22" s="325">
        <v>1</v>
      </c>
      <c r="E22" s="325">
        <v>891.67</v>
      </c>
      <c r="F22" s="325">
        <f t="shared" ref="F22:F30" si="1">E22*D22</f>
        <v>891.67</v>
      </c>
    </row>
    <row r="23" spans="2:34" x14ac:dyDescent="0.2">
      <c r="B23" s="325" t="s">
        <v>298</v>
      </c>
      <c r="C23" s="325">
        <v>1</v>
      </c>
      <c r="D23" s="325">
        <v>1</v>
      </c>
      <c r="E23" s="325">
        <v>550</v>
      </c>
      <c r="F23" s="325">
        <f t="shared" si="1"/>
        <v>550</v>
      </c>
    </row>
    <row r="24" spans="2:34" x14ac:dyDescent="0.2">
      <c r="B24" s="325" t="s">
        <v>297</v>
      </c>
      <c r="C24" s="325">
        <v>1</v>
      </c>
      <c r="D24" s="325">
        <v>1</v>
      </c>
      <c r="E24" s="325">
        <v>541.66999999999996</v>
      </c>
      <c r="F24" s="325">
        <f t="shared" si="1"/>
        <v>541.66999999999996</v>
      </c>
    </row>
    <row r="25" spans="2:34" x14ac:dyDescent="0.2">
      <c r="B25" s="325" t="s">
        <v>296</v>
      </c>
      <c r="C25" s="325">
        <v>1</v>
      </c>
      <c r="D25" s="325">
        <v>1</v>
      </c>
      <c r="E25" s="325">
        <v>118.33</v>
      </c>
      <c r="F25" s="325">
        <f t="shared" si="1"/>
        <v>118.33</v>
      </c>
    </row>
    <row r="26" spans="2:34" x14ac:dyDescent="0.2">
      <c r="B26" s="325" t="s">
        <v>295</v>
      </c>
      <c r="C26" s="325">
        <v>1</v>
      </c>
      <c r="D26" s="325">
        <v>1</v>
      </c>
      <c r="E26" s="325">
        <v>108.33</v>
      </c>
      <c r="F26" s="325">
        <f t="shared" si="1"/>
        <v>108.33</v>
      </c>
    </row>
    <row r="27" spans="2:34" x14ac:dyDescent="0.2">
      <c r="B27" s="325" t="s">
        <v>294</v>
      </c>
      <c r="C27" s="325">
        <v>12</v>
      </c>
      <c r="D27" s="325">
        <v>2</v>
      </c>
      <c r="E27" s="325">
        <v>78.45</v>
      </c>
      <c r="F27" s="325">
        <f t="shared" si="1"/>
        <v>156.9</v>
      </c>
    </row>
    <row r="28" spans="2:34" x14ac:dyDescent="0.2">
      <c r="B28" s="325" t="s">
        <v>293</v>
      </c>
      <c r="C28" s="325">
        <v>24</v>
      </c>
      <c r="D28" s="325">
        <v>2</v>
      </c>
      <c r="E28" s="325">
        <v>212.45</v>
      </c>
      <c r="F28" s="325">
        <f t="shared" si="1"/>
        <v>424.9</v>
      </c>
    </row>
    <row r="29" spans="2:34" x14ac:dyDescent="0.2">
      <c r="B29" s="325" t="s">
        <v>292</v>
      </c>
      <c r="C29" s="325">
        <v>12</v>
      </c>
      <c r="D29" s="325">
        <v>12</v>
      </c>
      <c r="E29" s="325">
        <v>67.08</v>
      </c>
      <c r="F29" s="325">
        <f t="shared" si="1"/>
        <v>804.96</v>
      </c>
    </row>
    <row r="30" spans="2:34" x14ac:dyDescent="0.2">
      <c r="B30" s="325" t="s">
        <v>291</v>
      </c>
      <c r="C30" s="325">
        <v>36</v>
      </c>
      <c r="D30" s="325">
        <v>36</v>
      </c>
      <c r="E30" s="325">
        <v>25.67</v>
      </c>
      <c r="F30" s="325">
        <f t="shared" si="1"/>
        <v>924.12000000000012</v>
      </c>
    </row>
    <row r="31" spans="2:34" x14ac:dyDescent="0.2">
      <c r="F31" s="325">
        <f>ROUND(SUM(F22:F30),0)</f>
        <v>4521</v>
      </c>
    </row>
  </sheetData>
  <mergeCells count="8">
    <mergeCell ref="Z1:AH1"/>
    <mergeCell ref="AA9:AG9"/>
    <mergeCell ref="AG14:AG17"/>
    <mergeCell ref="Z2:Z3"/>
    <mergeCell ref="AA2:AC2"/>
    <mergeCell ref="AE2:AG2"/>
    <mergeCell ref="AA4:AG4"/>
    <mergeCell ref="AG7:AG8"/>
  </mergeCells>
  <pageMargins left="0.25" right="0.25" top="0.3" bottom="0.75" header="0.3" footer="0.3"/>
  <pageSetup paperSize="9" scale="85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25"/>
  <sheetViews>
    <sheetView zoomScale="142" zoomScaleNormal="142" workbookViewId="0">
      <selection activeCell="Q10" sqref="Q10"/>
    </sheetView>
  </sheetViews>
  <sheetFormatPr defaultColWidth="8.85546875" defaultRowHeight="15" x14ac:dyDescent="0.25"/>
  <cols>
    <col min="1" max="1" width="13.28515625" style="119" customWidth="1"/>
    <col min="2" max="2" width="14.7109375" style="119" customWidth="1"/>
    <col min="3" max="3" width="8.7109375" style="119" customWidth="1"/>
    <col min="4" max="4" width="7.7109375" style="119" customWidth="1"/>
    <col min="5" max="5" width="8.5703125" style="119" customWidth="1"/>
    <col min="6" max="6" width="7.7109375" style="119" customWidth="1"/>
    <col min="7" max="7" width="8.42578125" style="119" customWidth="1"/>
    <col min="8" max="8" width="6.140625" style="119" customWidth="1"/>
    <col min="9" max="9" width="7.85546875" style="119" customWidth="1"/>
    <col min="10" max="10" width="9.28515625" style="119" customWidth="1"/>
    <col min="11" max="11" width="10.85546875" style="119" customWidth="1"/>
    <col min="12" max="12" width="7.42578125" style="119" customWidth="1"/>
    <col min="13" max="13" width="6.85546875" style="119" customWidth="1"/>
    <col min="14" max="14" width="12.28515625" style="119" customWidth="1"/>
    <col min="15" max="15" width="7.5703125" style="119" customWidth="1"/>
    <col min="16" max="16" width="10.7109375" style="119" customWidth="1"/>
    <col min="17" max="17" width="8" style="119" customWidth="1"/>
    <col min="18" max="18" width="0" style="119" hidden="1" customWidth="1"/>
    <col min="19" max="19" width="0" style="348" hidden="1" customWidth="1"/>
    <col min="20" max="20" width="10" style="101" hidden="1" customWidth="1"/>
    <col min="21" max="69" width="0" style="101" hidden="1" customWidth="1"/>
    <col min="70" max="16384" width="8.85546875" style="101"/>
  </cols>
  <sheetData>
    <row r="1" spans="1:20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328"/>
      <c r="S1" s="329"/>
    </row>
    <row r="2" spans="1:20" x14ac:dyDescent="0.25">
      <c r="A2" s="800" t="s">
        <v>495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  <c r="R2" s="330"/>
      <c r="S2" s="331"/>
    </row>
    <row r="3" spans="1:20" x14ac:dyDescent="0.25">
      <c r="A3" s="801" t="s">
        <v>284</v>
      </c>
      <c r="B3" s="801" t="s">
        <v>113</v>
      </c>
      <c r="C3" s="801" t="s">
        <v>114</v>
      </c>
      <c r="D3" s="801" t="s">
        <v>115</v>
      </c>
      <c r="E3" s="801" t="s">
        <v>286</v>
      </c>
      <c r="F3" s="802" t="s">
        <v>116</v>
      </c>
      <c r="G3" s="802"/>
      <c r="H3" s="802"/>
      <c r="I3" s="802"/>
      <c r="J3" s="802"/>
      <c r="K3" s="801" t="s">
        <v>117</v>
      </c>
      <c r="L3" s="803" t="s">
        <v>118</v>
      </c>
      <c r="M3" s="803"/>
      <c r="N3" s="803"/>
      <c r="O3" s="803" t="s">
        <v>119</v>
      </c>
      <c r="P3" s="803"/>
      <c r="Q3" s="801" t="s">
        <v>120</v>
      </c>
      <c r="R3" s="330"/>
      <c r="S3" s="331"/>
    </row>
    <row r="4" spans="1:20" x14ac:dyDescent="0.25">
      <c r="A4" s="801"/>
      <c r="B4" s="801"/>
      <c r="C4" s="801"/>
      <c r="D4" s="801"/>
      <c r="E4" s="801"/>
      <c r="F4" s="803" t="s">
        <v>118</v>
      </c>
      <c r="G4" s="803"/>
      <c r="H4" s="803"/>
      <c r="I4" s="803" t="s">
        <v>119</v>
      </c>
      <c r="J4" s="803"/>
      <c r="K4" s="801"/>
      <c r="L4" s="802" t="s">
        <v>121</v>
      </c>
      <c r="M4" s="802" t="s">
        <v>122</v>
      </c>
      <c r="N4" s="802" t="s">
        <v>123</v>
      </c>
      <c r="O4" s="802" t="s">
        <v>121</v>
      </c>
      <c r="P4" s="802" t="s">
        <v>122</v>
      </c>
      <c r="Q4" s="801"/>
      <c r="R4" s="330"/>
      <c r="S4" s="331"/>
    </row>
    <row r="5" spans="1:20" ht="50.45" customHeight="1" x14ac:dyDescent="0.25">
      <c r="A5" s="801"/>
      <c r="B5" s="801"/>
      <c r="C5" s="801"/>
      <c r="D5" s="801"/>
      <c r="E5" s="801"/>
      <c r="F5" s="332" t="s">
        <v>121</v>
      </c>
      <c r="G5" s="332" t="s">
        <v>122</v>
      </c>
      <c r="H5" s="332" t="s">
        <v>123</v>
      </c>
      <c r="I5" s="332" t="s">
        <v>121</v>
      </c>
      <c r="J5" s="332" t="s">
        <v>122</v>
      </c>
      <c r="K5" s="801"/>
      <c r="L5" s="802"/>
      <c r="M5" s="802"/>
      <c r="N5" s="802"/>
      <c r="O5" s="802"/>
      <c r="P5" s="802"/>
      <c r="Q5" s="801"/>
      <c r="R5" s="330"/>
      <c r="S5" s="331"/>
    </row>
    <row r="6" spans="1:20" x14ac:dyDescent="0.25">
      <c r="A6" s="804" t="s">
        <v>496</v>
      </c>
      <c r="B6" s="804"/>
      <c r="C6" s="804"/>
      <c r="D6" s="804"/>
      <c r="E6" s="804"/>
      <c r="F6" s="804"/>
      <c r="G6" s="804"/>
      <c r="H6" s="804"/>
      <c r="I6" s="804"/>
      <c r="J6" s="804"/>
      <c r="K6" s="804"/>
      <c r="L6" s="804"/>
      <c r="M6" s="804"/>
      <c r="N6" s="804"/>
      <c r="O6" s="804"/>
      <c r="P6" s="804"/>
      <c r="Q6" s="804"/>
      <c r="R6" s="333"/>
      <c r="S6" s="334"/>
    </row>
    <row r="7" spans="1:20" ht="27" customHeight="1" x14ac:dyDescent="0.25">
      <c r="A7" s="335" t="s">
        <v>124</v>
      </c>
      <c r="B7" s="336" t="s">
        <v>125</v>
      </c>
      <c r="C7" s="94">
        <v>18.143265</v>
      </c>
      <c r="D7" s="95">
        <f>'Інф про пробіг та ходки'!P16*4/12</f>
        <v>42.79999999999999</v>
      </c>
      <c r="E7" s="96">
        <v>14.4</v>
      </c>
      <c r="F7" s="97">
        <v>33.783074999999997</v>
      </c>
      <c r="G7" s="97">
        <v>55.232342774999992</v>
      </c>
      <c r="H7" s="97">
        <v>44.507708887499994</v>
      </c>
      <c r="I7" s="97">
        <v>25.024499999999996</v>
      </c>
      <c r="J7" s="97">
        <v>36.024124499999999</v>
      </c>
      <c r="K7" s="97">
        <f t="shared" ref="K7:K9" si="0">SUM(L7:P7)</f>
        <v>52387.199999999983</v>
      </c>
      <c r="L7" s="97">
        <f>15*12*D7</f>
        <v>7703.9999999999982</v>
      </c>
      <c r="M7" s="97">
        <f>7*12*D7</f>
        <v>3595.1999999999994</v>
      </c>
      <c r="N7" s="97">
        <f>29*12*D7</f>
        <v>14894.399999999996</v>
      </c>
      <c r="O7" s="97">
        <f>29*12*D7</f>
        <v>14894.399999999996</v>
      </c>
      <c r="P7" s="97">
        <f>22*12*D7</f>
        <v>11299.199999999997</v>
      </c>
      <c r="Q7" s="98">
        <f>D7*6.5</f>
        <v>278.19999999999993</v>
      </c>
      <c r="R7" s="99">
        <f>D7*5.46</f>
        <v>233.68799999999993</v>
      </c>
      <c r="S7" s="99">
        <f>(F7*L7+G7*M7+H7*N7)/100</f>
        <v>11217.517477986596</v>
      </c>
      <c r="T7" s="100">
        <f>R7+S7</f>
        <v>11451.205477986596</v>
      </c>
    </row>
    <row r="8" spans="1:20" ht="25.9" customHeight="1" x14ac:dyDescent="0.25">
      <c r="A8" s="335" t="s">
        <v>472</v>
      </c>
      <c r="B8" s="336" t="s">
        <v>125</v>
      </c>
      <c r="C8" s="94">
        <v>18.143265</v>
      </c>
      <c r="D8" s="95">
        <f>'Інф про пробіг та ходки'!P17*4/12</f>
        <v>42.79999999999999</v>
      </c>
      <c r="E8" s="96">
        <v>14.4</v>
      </c>
      <c r="F8" s="97">
        <v>33.783074999999997</v>
      </c>
      <c r="G8" s="97">
        <v>55.232342774999992</v>
      </c>
      <c r="H8" s="97">
        <v>44.507708887499994</v>
      </c>
      <c r="I8" s="97">
        <v>25.024499999999996</v>
      </c>
      <c r="J8" s="97">
        <v>36.024124499999999</v>
      </c>
      <c r="K8" s="97">
        <f t="shared" si="0"/>
        <v>52387.199999999983</v>
      </c>
      <c r="L8" s="97">
        <f t="shared" ref="L8:L9" si="1">15*12*D8</f>
        <v>7703.9999999999982</v>
      </c>
      <c r="M8" s="97">
        <f t="shared" ref="M8:M9" si="2">7*12*D8</f>
        <v>3595.1999999999994</v>
      </c>
      <c r="N8" s="97">
        <f t="shared" ref="N8:N9" si="3">29*12*D8</f>
        <v>14894.399999999996</v>
      </c>
      <c r="O8" s="97">
        <f t="shared" ref="O8:O9" si="4">29*12*D8</f>
        <v>14894.399999999996</v>
      </c>
      <c r="P8" s="97">
        <f t="shared" ref="P8:P9" si="5">22*12*D8</f>
        <v>11299.199999999997</v>
      </c>
      <c r="Q8" s="98">
        <f>D8*6.5</f>
        <v>278.19999999999993</v>
      </c>
      <c r="R8" s="99"/>
      <c r="S8" s="102"/>
    </row>
    <row r="9" spans="1:20" ht="20.45" customHeight="1" x14ac:dyDescent="0.25">
      <c r="A9" s="335" t="s">
        <v>473</v>
      </c>
      <c r="B9" s="336" t="s">
        <v>126</v>
      </c>
      <c r="C9" s="94">
        <v>20.112461999999997</v>
      </c>
      <c r="D9" s="95">
        <f>'Інф про пробіг та ходки'!P15*4/12</f>
        <v>51.6</v>
      </c>
      <c r="E9" s="96">
        <v>11.2</v>
      </c>
      <c r="F9" s="97">
        <v>38.640239999999999</v>
      </c>
      <c r="G9" s="97">
        <v>61.519458959999994</v>
      </c>
      <c r="H9" s="97">
        <v>50.079849479999993</v>
      </c>
      <c r="I9" s="97">
        <v>29.248514999999994</v>
      </c>
      <c r="J9" s="97">
        <v>41.238105704999995</v>
      </c>
      <c r="K9" s="97">
        <f t="shared" si="0"/>
        <v>63158.400000000001</v>
      </c>
      <c r="L9" s="97">
        <f t="shared" si="1"/>
        <v>9288</v>
      </c>
      <c r="M9" s="97">
        <f t="shared" si="2"/>
        <v>4334.4000000000005</v>
      </c>
      <c r="N9" s="97">
        <f t="shared" si="3"/>
        <v>17956.8</v>
      </c>
      <c r="O9" s="97">
        <f t="shared" si="4"/>
        <v>17956.8</v>
      </c>
      <c r="P9" s="97">
        <f t="shared" si="5"/>
        <v>13622.4</v>
      </c>
      <c r="Q9" s="98">
        <f>D9*6.5</f>
        <v>335.40000000000003</v>
      </c>
      <c r="R9" s="99"/>
      <c r="S9" s="102"/>
    </row>
    <row r="10" spans="1:20" x14ac:dyDescent="0.25">
      <c r="A10" s="337" t="s">
        <v>127</v>
      </c>
      <c r="B10" s="338"/>
      <c r="C10" s="338"/>
      <c r="D10" s="339">
        <f>SUM(D7:D9)</f>
        <v>137.19999999999999</v>
      </c>
      <c r="E10" s="338"/>
      <c r="F10" s="338"/>
      <c r="G10" s="338"/>
      <c r="H10" s="338"/>
      <c r="I10" s="338"/>
      <c r="J10" s="338"/>
      <c r="K10" s="116">
        <f>SUM(K7:K9)</f>
        <v>167932.79999999996</v>
      </c>
      <c r="L10" s="338">
        <f t="shared" ref="L10:P10" si="6">SUM(L7:L9)</f>
        <v>24695.999999999996</v>
      </c>
      <c r="M10" s="338">
        <f t="shared" si="6"/>
        <v>11524.8</v>
      </c>
      <c r="N10" s="338">
        <f t="shared" si="6"/>
        <v>47745.599999999991</v>
      </c>
      <c r="O10" s="338">
        <f t="shared" si="6"/>
        <v>47745.599999999991</v>
      </c>
      <c r="P10" s="338">
        <f t="shared" si="6"/>
        <v>36220.799999999996</v>
      </c>
      <c r="Q10" s="116">
        <f>SUM(Q7:Q9)</f>
        <v>891.8</v>
      </c>
      <c r="R10" s="99"/>
      <c r="S10" s="102"/>
    </row>
    <row r="11" spans="1:20" x14ac:dyDescent="0.25">
      <c r="A11" s="805" t="s">
        <v>128</v>
      </c>
      <c r="B11" s="805"/>
      <c r="C11" s="805"/>
      <c r="D11" s="805"/>
      <c r="E11" s="805"/>
      <c r="F11" s="805"/>
      <c r="G11" s="805"/>
      <c r="H11" s="805"/>
      <c r="I11" s="805"/>
      <c r="J11" s="805"/>
      <c r="K11" s="805"/>
      <c r="L11" s="340"/>
      <c r="M11" s="340"/>
      <c r="N11" s="340"/>
      <c r="O11" s="340"/>
      <c r="P11" s="340"/>
      <c r="Q11" s="116"/>
      <c r="R11" s="341"/>
      <c r="S11" s="342"/>
    </row>
    <row r="12" spans="1:20" x14ac:dyDescent="0.25">
      <c r="A12" s="335" t="s">
        <v>129</v>
      </c>
      <c r="B12" s="336" t="s">
        <v>130</v>
      </c>
      <c r="C12" s="94">
        <v>4.59</v>
      </c>
      <c r="D12" s="97">
        <f>'ПММ збирання'!N20</f>
        <v>37.919645833333334</v>
      </c>
      <c r="E12" s="97">
        <v>12</v>
      </c>
      <c r="F12" s="97">
        <v>30.526874999999997</v>
      </c>
      <c r="G12" s="97">
        <v>51.976142774999992</v>
      </c>
      <c r="H12" s="97">
        <v>41.251508887499995</v>
      </c>
      <c r="I12" s="97">
        <v>22.612499999999997</v>
      </c>
      <c r="J12" s="97">
        <v>33.612124499999993</v>
      </c>
      <c r="K12" s="97">
        <f>SUM(L12:P12)</f>
        <v>38678.03875</v>
      </c>
      <c r="L12" s="98">
        <f>D12*12*21</f>
        <v>9555.7507499999992</v>
      </c>
      <c r="M12" s="98">
        <f>D12*12*18</f>
        <v>8190.6435000000001</v>
      </c>
      <c r="N12" s="98"/>
      <c r="O12" s="98">
        <f>D12*12*23</f>
        <v>10465.822250000001</v>
      </c>
      <c r="P12" s="98">
        <f>D12*12*23</f>
        <v>10465.822250000001</v>
      </c>
      <c r="Q12" s="98">
        <f>D12*4.5</f>
        <v>170.63840625</v>
      </c>
      <c r="R12" s="99">
        <f>D12*6.6</f>
        <v>250.26966249999998</v>
      </c>
      <c r="S12" s="102"/>
    </row>
    <row r="13" spans="1:20" x14ac:dyDescent="0.25">
      <c r="A13" s="335" t="s">
        <v>131</v>
      </c>
      <c r="B13" s="336" t="s">
        <v>130</v>
      </c>
      <c r="C13" s="94">
        <v>4.59</v>
      </c>
      <c r="D13" s="97">
        <f>'ПММ збирання'!N20</f>
        <v>37.919645833333334</v>
      </c>
      <c r="E13" s="97">
        <v>12</v>
      </c>
      <c r="F13" s="97">
        <v>30.526874999999997</v>
      </c>
      <c r="G13" s="97">
        <v>51.976142774999992</v>
      </c>
      <c r="H13" s="97">
        <v>41.251508887499995</v>
      </c>
      <c r="I13" s="97">
        <v>22.612499999999997</v>
      </c>
      <c r="J13" s="97">
        <v>33.612124499999993</v>
      </c>
      <c r="K13" s="97">
        <f t="shared" ref="K13" si="7">SUM(L13:P13)</f>
        <v>38678.03875</v>
      </c>
      <c r="L13" s="98">
        <f>D13*12*21</f>
        <v>9555.7507499999992</v>
      </c>
      <c r="M13" s="98">
        <f>D13*12*18</f>
        <v>8190.6435000000001</v>
      </c>
      <c r="N13" s="98"/>
      <c r="O13" s="98">
        <f>D13*12*23</f>
        <v>10465.822250000001</v>
      </c>
      <c r="P13" s="98">
        <f>D13*12*23</f>
        <v>10465.822250000001</v>
      </c>
      <c r="Q13" s="98">
        <f>D13*4.5</f>
        <v>170.63840625</v>
      </c>
      <c r="R13" s="99"/>
      <c r="S13" s="102"/>
    </row>
    <row r="14" spans="1:20" x14ac:dyDescent="0.25">
      <c r="A14" s="343" t="s">
        <v>127</v>
      </c>
      <c r="B14" s="344"/>
      <c r="C14" s="345"/>
      <c r="D14" s="346">
        <f>SUM(D12:D13)</f>
        <v>75.839291666666668</v>
      </c>
      <c r="E14" s="345"/>
      <c r="F14" s="345"/>
      <c r="G14" s="345"/>
      <c r="H14" s="345"/>
      <c r="I14" s="345"/>
      <c r="J14" s="345"/>
      <c r="K14" s="346">
        <f>SUM(K12:K13)</f>
        <v>77356.077499999999</v>
      </c>
      <c r="L14" s="345"/>
      <c r="M14" s="345"/>
      <c r="N14" s="345"/>
      <c r="O14" s="345"/>
      <c r="P14" s="345"/>
      <c r="Q14" s="347">
        <f>SUM(Q12:Q13)</f>
        <v>341.27681250000001</v>
      </c>
    </row>
    <row r="15" spans="1:20" x14ac:dyDescent="0.2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20" ht="15.75" x14ac:dyDescent="0.25">
      <c r="A16" s="787" t="s">
        <v>383</v>
      </c>
      <c r="B16" s="787"/>
      <c r="C16" s="787"/>
      <c r="D16" s="787"/>
      <c r="E16" s="787"/>
      <c r="F16" s="787"/>
      <c r="G16" s="787"/>
      <c r="H16" s="349"/>
      <c r="I16" s="349"/>
      <c r="J16" s="349"/>
      <c r="K16" s="349"/>
      <c r="L16" s="118"/>
      <c r="M16" s="118"/>
      <c r="N16" s="118"/>
      <c r="O16" s="118"/>
      <c r="P16" s="118"/>
      <c r="Q16" s="118"/>
      <c r="R16" s="350"/>
    </row>
    <row r="17" spans="1:19" x14ac:dyDescent="0.25">
      <c r="A17" s="118"/>
      <c r="B17" s="118"/>
      <c r="C17" s="118"/>
      <c r="D17" s="118"/>
      <c r="E17" s="118"/>
      <c r="F17" s="118"/>
      <c r="G17" s="351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350"/>
      <c r="S17" s="352"/>
    </row>
    <row r="18" spans="1:19" x14ac:dyDescent="0.25">
      <c r="A18" s="118"/>
      <c r="B18" s="118"/>
      <c r="C18" s="118"/>
      <c r="D18" s="353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350"/>
    </row>
    <row r="19" spans="1:19" x14ac:dyDescent="0.2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350"/>
    </row>
    <row r="20" spans="1:19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350"/>
    </row>
    <row r="21" spans="1:19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350"/>
    </row>
    <row r="22" spans="1:19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</row>
    <row r="25" spans="1:19" x14ac:dyDescent="0.25">
      <c r="D25" s="119">
        <f>K11/70/12</f>
        <v>0</v>
      </c>
    </row>
  </sheetData>
  <mergeCells count="21">
    <mergeCell ref="L4:L5"/>
    <mergeCell ref="M4:M5"/>
    <mergeCell ref="N4:N5"/>
    <mergeCell ref="O4:O5"/>
    <mergeCell ref="P4:P5"/>
    <mergeCell ref="A16:G16"/>
    <mergeCell ref="A2:Q2"/>
    <mergeCell ref="A3:A5"/>
    <mergeCell ref="B3:B5"/>
    <mergeCell ref="C3:C5"/>
    <mergeCell ref="D3:D5"/>
    <mergeCell ref="E3:E5"/>
    <mergeCell ref="F3:J3"/>
    <mergeCell ref="K3:K5"/>
    <mergeCell ref="L3:N3"/>
    <mergeCell ref="O3:P3"/>
    <mergeCell ref="A6:Q6"/>
    <mergeCell ref="A11:K11"/>
    <mergeCell ref="Q3:Q5"/>
    <mergeCell ref="F4:H4"/>
    <mergeCell ref="I4:J4"/>
  </mergeCells>
  <pageMargins left="0" right="0" top="0.52" bottom="0" header="0" footer="0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D33C-72C3-4DC7-BF03-E84F55C416A5}">
  <sheetPr>
    <tabColor rgb="FFC00000"/>
    <pageSetUpPr fitToPage="1"/>
  </sheetPr>
  <dimension ref="A1:J41"/>
  <sheetViews>
    <sheetView workbookViewId="0">
      <selection sqref="A1:G22"/>
    </sheetView>
  </sheetViews>
  <sheetFormatPr defaultColWidth="8.85546875" defaultRowHeight="18.75" x14ac:dyDescent="0.3"/>
  <cols>
    <col min="1" max="1" width="5.28515625" style="77" customWidth="1"/>
    <col min="2" max="2" width="13.7109375" style="77" customWidth="1"/>
    <col min="3" max="3" width="34.42578125" style="77" customWidth="1"/>
    <col min="4" max="4" width="9.42578125" style="77" customWidth="1"/>
    <col min="5" max="5" width="11" style="77" customWidth="1"/>
    <col min="6" max="7" width="14.5703125" style="77" customWidth="1"/>
    <col min="8" max="8" width="9.140625" style="61" hidden="1" customWidth="1"/>
    <col min="9" max="9" width="0" style="61" hidden="1" customWidth="1"/>
    <col min="10" max="16384" width="8.85546875" style="61"/>
  </cols>
  <sheetData>
    <row r="1" spans="1:9" ht="22.5" customHeight="1" x14ac:dyDescent="0.3">
      <c r="A1" s="806" t="s">
        <v>398</v>
      </c>
      <c r="B1" s="806"/>
      <c r="C1" s="806"/>
      <c r="D1" s="806"/>
      <c r="E1" s="806"/>
      <c r="F1" s="806"/>
      <c r="G1" s="806"/>
    </row>
    <row r="3" spans="1:9" ht="81.599999999999994" customHeight="1" x14ac:dyDescent="0.2">
      <c r="A3" s="103" t="s">
        <v>397</v>
      </c>
      <c r="B3" s="816" t="s">
        <v>396</v>
      </c>
      <c r="C3" s="816"/>
      <c r="D3" s="103" t="s">
        <v>395</v>
      </c>
      <c r="E3" s="103" t="s">
        <v>394</v>
      </c>
      <c r="F3" s="103" t="s">
        <v>510</v>
      </c>
      <c r="G3" s="103" t="s">
        <v>599</v>
      </c>
    </row>
    <row r="4" spans="1:9" ht="30" x14ac:dyDescent="0.2">
      <c r="A4" s="813">
        <v>1</v>
      </c>
      <c r="B4" s="813" t="s">
        <v>393</v>
      </c>
      <c r="C4" s="104" t="s">
        <v>498</v>
      </c>
      <c r="D4" s="103">
        <v>20</v>
      </c>
      <c r="E4" s="103">
        <v>2424</v>
      </c>
      <c r="F4" s="105">
        <f>E4/D4</f>
        <v>121.2</v>
      </c>
      <c r="G4" s="810">
        <f>(F4+F6+F7+F5)/4</f>
        <v>103.41778846153846</v>
      </c>
    </row>
    <row r="5" spans="1:9" ht="30" x14ac:dyDescent="0.2">
      <c r="A5" s="814"/>
      <c r="B5" s="814"/>
      <c r="C5" s="104" t="s">
        <v>392</v>
      </c>
      <c r="D5" s="103">
        <v>20</v>
      </c>
      <c r="E5" s="103">
        <v>2797.5</v>
      </c>
      <c r="F5" s="105">
        <f t="shared" ref="F5:F8" si="0">E5/D5</f>
        <v>139.875</v>
      </c>
      <c r="G5" s="811"/>
      <c r="H5" s="106">
        <f>G4</f>
        <v>103.41778846153846</v>
      </c>
    </row>
    <row r="6" spans="1:9" ht="30" x14ac:dyDescent="0.2">
      <c r="A6" s="814"/>
      <c r="B6" s="814"/>
      <c r="C6" s="104" t="s">
        <v>392</v>
      </c>
      <c r="D6" s="103">
        <v>208</v>
      </c>
      <c r="E6" s="103">
        <v>31740</v>
      </c>
      <c r="F6" s="105">
        <f t="shared" si="0"/>
        <v>152.59615384615384</v>
      </c>
      <c r="G6" s="811"/>
      <c r="I6" s="162">
        <v>103.42</v>
      </c>
    </row>
    <row r="7" spans="1:9" ht="30" x14ac:dyDescent="0.2">
      <c r="A7" s="815"/>
      <c r="B7" s="815"/>
      <c r="C7" s="104" t="s">
        <v>391</v>
      </c>
      <c r="D7" s="103"/>
      <c r="E7" s="103"/>
      <c r="F7" s="105"/>
      <c r="G7" s="812"/>
      <c r="I7" s="162"/>
    </row>
    <row r="8" spans="1:9" ht="30" x14ac:dyDescent="0.2">
      <c r="A8" s="813">
        <v>2</v>
      </c>
      <c r="B8" s="808" t="s">
        <v>390</v>
      </c>
      <c r="C8" s="104" t="s">
        <v>389</v>
      </c>
      <c r="D8" s="103">
        <v>200</v>
      </c>
      <c r="E8" s="103">
        <v>16083.33</v>
      </c>
      <c r="F8" s="105">
        <f t="shared" si="0"/>
        <v>80.416650000000004</v>
      </c>
      <c r="G8" s="810">
        <f>F8</f>
        <v>80.416650000000004</v>
      </c>
      <c r="H8" s="106">
        <f>G8</f>
        <v>80.416650000000004</v>
      </c>
      <c r="I8" s="162"/>
    </row>
    <row r="9" spans="1:9" ht="30" x14ac:dyDescent="0.2">
      <c r="A9" s="815"/>
      <c r="B9" s="809"/>
      <c r="C9" s="104" t="s">
        <v>389</v>
      </c>
      <c r="D9" s="103"/>
      <c r="E9" s="103"/>
      <c r="F9" s="105"/>
      <c r="G9" s="812"/>
      <c r="I9" s="162">
        <v>80.42</v>
      </c>
    </row>
    <row r="10" spans="1:9" ht="18.75" customHeight="1" x14ac:dyDescent="0.2">
      <c r="A10" s="813">
        <v>3</v>
      </c>
      <c r="B10" s="813" t="s">
        <v>388</v>
      </c>
      <c r="C10" s="104" t="s">
        <v>499</v>
      </c>
      <c r="D10" s="103">
        <v>20</v>
      </c>
      <c r="E10" s="103">
        <v>3195</v>
      </c>
      <c r="F10" s="105">
        <f>E10/D10</f>
        <v>159.75</v>
      </c>
      <c r="G10" s="810">
        <f>(F10+F11+F12+F13)/4</f>
        <v>158.215</v>
      </c>
      <c r="H10" s="106">
        <f>G10</f>
        <v>158.215</v>
      </c>
      <c r="I10" s="162"/>
    </row>
    <row r="11" spans="1:9" ht="30" x14ac:dyDescent="0.2">
      <c r="A11" s="814"/>
      <c r="B11" s="814"/>
      <c r="C11" s="104" t="s">
        <v>500</v>
      </c>
      <c r="D11" s="103">
        <v>20</v>
      </c>
      <c r="E11" s="103">
        <v>3112.2</v>
      </c>
      <c r="F11" s="105">
        <f t="shared" ref="F11:F16" si="1">E11/D11</f>
        <v>155.60999999999999</v>
      </c>
      <c r="G11" s="811"/>
      <c r="I11" s="162">
        <v>158.22</v>
      </c>
    </row>
    <row r="12" spans="1:9" ht="15" x14ac:dyDescent="0.2">
      <c r="A12" s="814"/>
      <c r="B12" s="814"/>
      <c r="C12" s="104" t="s">
        <v>387</v>
      </c>
      <c r="D12" s="103">
        <v>20</v>
      </c>
      <c r="E12" s="103">
        <v>3332.5</v>
      </c>
      <c r="F12" s="105">
        <f t="shared" si="1"/>
        <v>166.625</v>
      </c>
      <c r="G12" s="811"/>
      <c r="I12" s="162"/>
    </row>
    <row r="13" spans="1:9" ht="15" x14ac:dyDescent="0.2">
      <c r="A13" s="815"/>
      <c r="B13" s="815"/>
      <c r="C13" s="104" t="s">
        <v>501</v>
      </c>
      <c r="D13" s="103">
        <v>20</v>
      </c>
      <c r="E13" s="103">
        <v>3017.5</v>
      </c>
      <c r="F13" s="105">
        <f t="shared" si="1"/>
        <v>150.875</v>
      </c>
      <c r="G13" s="812"/>
      <c r="I13" s="162"/>
    </row>
    <row r="14" spans="1:9" ht="30" x14ac:dyDescent="0.25">
      <c r="A14" s="108">
        <v>4</v>
      </c>
      <c r="B14" s="107" t="s">
        <v>386</v>
      </c>
      <c r="C14" s="104" t="s">
        <v>502</v>
      </c>
      <c r="D14" s="103">
        <v>16</v>
      </c>
      <c r="E14" s="103">
        <v>2357.5</v>
      </c>
      <c r="F14" s="105">
        <f t="shared" si="1"/>
        <v>147.34375</v>
      </c>
      <c r="G14" s="105">
        <f>F14</f>
        <v>147.34375</v>
      </c>
      <c r="H14" s="106">
        <f>G14</f>
        <v>147.34375</v>
      </c>
      <c r="I14" s="162">
        <v>147.34</v>
      </c>
    </row>
    <row r="15" spans="1:9" ht="30" x14ac:dyDescent="0.2">
      <c r="A15" s="813">
        <v>5</v>
      </c>
      <c r="B15" s="808" t="s">
        <v>264</v>
      </c>
      <c r="C15" s="104" t="s">
        <v>503</v>
      </c>
      <c r="D15" s="103">
        <v>4</v>
      </c>
      <c r="E15" s="103">
        <v>38853.33</v>
      </c>
      <c r="F15" s="103">
        <f t="shared" si="1"/>
        <v>9713.3325000000004</v>
      </c>
      <c r="G15" s="810">
        <f>(F15+F16+F17)/3</f>
        <v>6102.4991666666674</v>
      </c>
      <c r="H15" s="106">
        <f>G15</f>
        <v>6102.4991666666674</v>
      </c>
      <c r="I15" s="162"/>
    </row>
    <row r="16" spans="1:9" ht="30" x14ac:dyDescent="0.2">
      <c r="A16" s="814"/>
      <c r="B16" s="817"/>
      <c r="C16" s="104" t="s">
        <v>504</v>
      </c>
      <c r="D16" s="103">
        <v>2</v>
      </c>
      <c r="E16" s="103">
        <v>17188.330000000002</v>
      </c>
      <c r="F16" s="103">
        <f t="shared" si="1"/>
        <v>8594.1650000000009</v>
      </c>
      <c r="G16" s="811"/>
      <c r="I16" s="162">
        <v>6102.5</v>
      </c>
    </row>
    <row r="17" spans="1:10" ht="15" x14ac:dyDescent="0.2">
      <c r="A17" s="815"/>
      <c r="B17" s="809"/>
      <c r="C17" s="104"/>
      <c r="D17" s="103"/>
      <c r="E17" s="103"/>
      <c r="F17" s="103"/>
      <c r="G17" s="812"/>
      <c r="I17" s="162"/>
      <c r="J17" s="109">
        <f>G20</f>
        <v>41.81080623735577</v>
      </c>
    </row>
    <row r="18" spans="1:10" ht="30" x14ac:dyDescent="0.2">
      <c r="A18" s="813">
        <v>6</v>
      </c>
      <c r="B18" s="808" t="s">
        <v>385</v>
      </c>
      <c r="C18" s="104" t="s">
        <v>505</v>
      </c>
      <c r="D18" s="103">
        <v>2</v>
      </c>
      <c r="E18" s="103">
        <v>8669.85</v>
      </c>
      <c r="F18" s="103">
        <f>E18/D18</f>
        <v>4334.9250000000002</v>
      </c>
      <c r="G18" s="810">
        <f>(F18+F19)/2</f>
        <v>5000.6025</v>
      </c>
      <c r="H18" s="106">
        <f>G18</f>
        <v>5000.6025</v>
      </c>
      <c r="I18" s="162"/>
    </row>
    <row r="19" spans="1:10" ht="27" customHeight="1" x14ac:dyDescent="0.2">
      <c r="A19" s="815"/>
      <c r="B19" s="809"/>
      <c r="C19" s="104" t="s">
        <v>506</v>
      </c>
      <c r="D19" s="103">
        <v>2</v>
      </c>
      <c r="E19" s="103">
        <v>11332.56</v>
      </c>
      <c r="F19" s="103">
        <f>E19/D19</f>
        <v>5666.28</v>
      </c>
      <c r="G19" s="812"/>
      <c r="I19" s="162">
        <v>5000.6000000000004</v>
      </c>
    </row>
    <row r="20" spans="1:10" ht="18" customHeight="1" x14ac:dyDescent="0.2">
      <c r="A20" s="816">
        <v>7</v>
      </c>
      <c r="B20" s="819" t="s">
        <v>384</v>
      </c>
      <c r="C20" s="110" t="s">
        <v>507</v>
      </c>
      <c r="D20" s="110">
        <v>25249.48</v>
      </c>
      <c r="E20" s="105">
        <v>1019359.92</v>
      </c>
      <c r="F20" s="105">
        <f>E20/D20</f>
        <v>40.371521314498359</v>
      </c>
      <c r="G20" s="810">
        <f>(F20+F21+F22)/3</f>
        <v>41.81080623735577</v>
      </c>
      <c r="I20" s="162"/>
    </row>
    <row r="21" spans="1:10" ht="18" customHeight="1" x14ac:dyDescent="0.2">
      <c r="A21" s="816"/>
      <c r="B21" s="819"/>
      <c r="C21" s="110" t="s">
        <v>508</v>
      </c>
      <c r="D21" s="110">
        <v>24007.47</v>
      </c>
      <c r="E21" s="105">
        <v>1001973.31</v>
      </c>
      <c r="F21" s="105">
        <f t="shared" ref="F21:F22" si="2">E21/D21</f>
        <v>41.735897618532896</v>
      </c>
      <c r="G21" s="811"/>
      <c r="I21" s="162">
        <v>41.81</v>
      </c>
    </row>
    <row r="22" spans="1:10" ht="18" customHeight="1" x14ac:dyDescent="0.2">
      <c r="A22" s="816"/>
      <c r="B22" s="819"/>
      <c r="C22" s="110" t="s">
        <v>509</v>
      </c>
      <c r="D22" s="110">
        <v>24890.94</v>
      </c>
      <c r="E22" s="103">
        <v>1078399.97</v>
      </c>
      <c r="F22" s="105">
        <f t="shared" si="2"/>
        <v>43.324999779036069</v>
      </c>
      <c r="G22" s="812"/>
      <c r="I22" s="162"/>
    </row>
    <row r="23" spans="1:10" x14ac:dyDescent="0.3">
      <c r="F23" s="111"/>
    </row>
    <row r="24" spans="1:10" x14ac:dyDescent="0.3">
      <c r="A24" s="807" t="s">
        <v>383</v>
      </c>
      <c r="B24" s="807"/>
      <c r="C24" s="807"/>
      <c r="D24" s="807"/>
      <c r="E24" s="807"/>
      <c r="F24" s="807"/>
      <c r="G24" s="807"/>
    </row>
    <row r="25" spans="1:10" ht="11.25" customHeight="1" x14ac:dyDescent="0.3"/>
    <row r="26" spans="1:10" hidden="1" x14ac:dyDescent="0.3"/>
    <row r="27" spans="1:10" hidden="1" x14ac:dyDescent="0.3"/>
    <row r="28" spans="1:10" hidden="1" x14ac:dyDescent="0.3"/>
    <row r="29" spans="1:10" hidden="1" x14ac:dyDescent="0.3"/>
    <row r="30" spans="1:10" hidden="1" x14ac:dyDescent="0.3">
      <c r="C30" s="61" t="s">
        <v>382</v>
      </c>
      <c r="D30" s="61"/>
    </row>
    <row r="31" spans="1:10" hidden="1" x14ac:dyDescent="0.3">
      <c r="C31" s="61" t="s">
        <v>381</v>
      </c>
      <c r="D31" s="61"/>
    </row>
    <row r="32" spans="1:10" hidden="1" x14ac:dyDescent="0.3">
      <c r="C32" s="61" t="s">
        <v>380</v>
      </c>
      <c r="D32" s="61"/>
      <c r="H32" s="61">
        <f>G20/27.03*100</f>
        <v>154.68296795174166</v>
      </c>
    </row>
    <row r="33" spans="3:8" hidden="1" x14ac:dyDescent="0.3">
      <c r="C33" s="61" t="s">
        <v>379</v>
      </c>
      <c r="D33" s="61"/>
    </row>
    <row r="34" spans="3:8" hidden="1" x14ac:dyDescent="0.3">
      <c r="C34" s="61" t="s">
        <v>378</v>
      </c>
      <c r="D34" s="61"/>
      <c r="H34" s="61">
        <f>6700/3723*100</f>
        <v>179.96239591727101</v>
      </c>
    </row>
    <row r="35" spans="3:8" hidden="1" x14ac:dyDescent="0.3">
      <c r="C35" s="61" t="s">
        <v>377</v>
      </c>
      <c r="D35" s="61"/>
    </row>
    <row r="36" spans="3:8" hidden="1" x14ac:dyDescent="0.3">
      <c r="C36" s="61" t="s">
        <v>376</v>
      </c>
      <c r="D36" s="61"/>
    </row>
    <row r="37" spans="3:8" hidden="1" x14ac:dyDescent="0.3">
      <c r="C37" s="61" t="s">
        <v>375</v>
      </c>
      <c r="D37" s="61"/>
    </row>
    <row r="38" spans="3:8" hidden="1" x14ac:dyDescent="0.3">
      <c r="C38" s="61" t="s">
        <v>374</v>
      </c>
      <c r="D38" s="61"/>
    </row>
    <row r="39" spans="3:8" hidden="1" x14ac:dyDescent="0.3">
      <c r="C39" s="61" t="s">
        <v>373</v>
      </c>
      <c r="D39" s="61"/>
    </row>
    <row r="40" spans="3:8" hidden="1" x14ac:dyDescent="0.3">
      <c r="C40" s="61" t="s">
        <v>372</v>
      </c>
      <c r="D40" s="61"/>
    </row>
    <row r="41" spans="3:8" x14ac:dyDescent="0.3">
      <c r="C41" s="818"/>
      <c r="D41" s="818"/>
    </row>
  </sheetData>
  <mergeCells count="22">
    <mergeCell ref="C41:D41"/>
    <mergeCell ref="G4:G7"/>
    <mergeCell ref="A18:A19"/>
    <mergeCell ref="B8:B9"/>
    <mergeCell ref="B10:B13"/>
    <mergeCell ref="G20:G22"/>
    <mergeCell ref="A4:A7"/>
    <mergeCell ref="A8:A9"/>
    <mergeCell ref="B4:B7"/>
    <mergeCell ref="A10:A13"/>
    <mergeCell ref="A20:A22"/>
    <mergeCell ref="B20:B22"/>
    <mergeCell ref="A1:G1"/>
    <mergeCell ref="A24:G24"/>
    <mergeCell ref="B18:B19"/>
    <mergeCell ref="G15:G17"/>
    <mergeCell ref="G18:G19"/>
    <mergeCell ref="A15:A17"/>
    <mergeCell ref="B3:C3"/>
    <mergeCell ref="B15:B17"/>
    <mergeCell ref="G8:G9"/>
    <mergeCell ref="G10:G13"/>
  </mergeCells>
  <pageMargins left="0.73" right="0.25" top="0.28000000000000003" bottom="0.22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25"/>
  <sheetViews>
    <sheetView workbookViewId="0">
      <selection activeCell="M29" sqref="M29"/>
    </sheetView>
  </sheetViews>
  <sheetFormatPr defaultColWidth="8.85546875" defaultRowHeight="15.75" x14ac:dyDescent="0.25"/>
  <cols>
    <col min="1" max="1" width="12.140625" style="187" customWidth="1"/>
    <col min="2" max="2" width="11.5703125" style="101" customWidth="1"/>
    <col min="3" max="3" width="10.7109375" style="101" customWidth="1"/>
    <col min="4" max="4" width="11.140625" style="101" customWidth="1"/>
    <col min="5" max="5" width="12.42578125" style="101" customWidth="1"/>
    <col min="6" max="6" width="11.5703125" style="101" customWidth="1"/>
    <col min="7" max="7" width="13.28515625" style="101" customWidth="1"/>
    <col min="8" max="8" width="11.5703125" style="101" customWidth="1"/>
    <col min="9" max="11" width="10.7109375" style="101" customWidth="1"/>
    <col min="12" max="12" width="12.42578125" style="101" customWidth="1"/>
    <col min="13" max="13" width="10.7109375" style="101" customWidth="1"/>
    <col min="14" max="14" width="12.140625" style="352" customWidth="1"/>
    <col min="15" max="16384" width="8.85546875" style="101"/>
  </cols>
  <sheetData>
    <row r="1" spans="1:15" x14ac:dyDescent="0.25">
      <c r="A1" s="354"/>
      <c r="B1" s="355"/>
      <c r="C1" s="355"/>
      <c r="D1" s="356"/>
      <c r="E1" s="356"/>
      <c r="F1" s="355"/>
      <c r="G1" s="355"/>
      <c r="H1" s="355"/>
      <c r="I1" s="355"/>
      <c r="J1" s="355"/>
      <c r="K1" s="355"/>
      <c r="L1" s="355"/>
      <c r="M1" s="355"/>
      <c r="N1" s="357"/>
      <c r="O1" s="358"/>
    </row>
    <row r="2" spans="1:15" ht="34.15" customHeight="1" x14ac:dyDescent="0.25">
      <c r="A2" s="820" t="s">
        <v>511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359"/>
    </row>
    <row r="3" spans="1:15" ht="64.150000000000006" customHeight="1" x14ac:dyDescent="0.25">
      <c r="A3" s="169" t="s">
        <v>132</v>
      </c>
      <c r="B3" s="360" t="s">
        <v>133</v>
      </c>
      <c r="C3" s="360" t="s">
        <v>134</v>
      </c>
      <c r="D3" s="361" t="s">
        <v>135</v>
      </c>
      <c r="E3" s="361" t="s">
        <v>136</v>
      </c>
      <c r="F3" s="360" t="s">
        <v>137</v>
      </c>
      <c r="G3" s="360" t="s">
        <v>138</v>
      </c>
      <c r="H3" s="360" t="s">
        <v>139</v>
      </c>
      <c r="I3" s="360" t="s">
        <v>140</v>
      </c>
      <c r="J3" s="360" t="s">
        <v>141</v>
      </c>
      <c r="K3" s="360" t="s">
        <v>142</v>
      </c>
      <c r="L3" s="360" t="s">
        <v>143</v>
      </c>
      <c r="M3" s="360" t="s">
        <v>144</v>
      </c>
      <c r="N3" s="360" t="s">
        <v>145</v>
      </c>
      <c r="O3" s="362"/>
    </row>
    <row r="4" spans="1:15" ht="15" x14ac:dyDescent="0.25">
      <c r="A4" s="821" t="s">
        <v>497</v>
      </c>
      <c r="B4" s="821"/>
      <c r="C4" s="821"/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</row>
    <row r="5" spans="1:15" x14ac:dyDescent="0.25">
      <c r="A5" s="164" t="s">
        <v>124</v>
      </c>
      <c r="B5" s="163">
        <f>'[2]Додаток 1'!C7</f>
        <v>18.143265</v>
      </c>
      <c r="C5" s="163">
        <f>'Транспортні засоби'!D7*12</f>
        <v>513.59999999999991</v>
      </c>
      <c r="D5" s="113">
        <f>C5*B5</f>
        <v>9318.3809039999978</v>
      </c>
      <c r="E5" s="113">
        <f>D5*'ЦІНИ ПММ ШИНИ АКУМ'!I21</f>
        <v>389601.50559623993</v>
      </c>
      <c r="F5" s="113">
        <f>D5/100*3.36</f>
        <v>313.09759837439987</v>
      </c>
      <c r="G5" s="113">
        <f>F5*'ЦІНИ ПММ ШИНИ АКУМ'!I6</f>
        <v>32380.553623880434</v>
      </c>
      <c r="H5" s="113">
        <f>D5/100*0.48</f>
        <v>44.728228339199987</v>
      </c>
      <c r="I5" s="113">
        <f>H5*'ЦІНИ ПММ ШИНИ АКУМ'!I11</f>
        <v>7076.9002878282217</v>
      </c>
      <c r="J5" s="113">
        <f t="shared" ref="J5:J7" si="0">D5/100*0.12</f>
        <v>11.182057084799997</v>
      </c>
      <c r="K5" s="113">
        <f>J5*'ЦІНИ ПММ ШИНИ АКУМ'!I9</f>
        <v>899.26103075961578</v>
      </c>
      <c r="L5" s="113">
        <f t="shared" ref="L5:L7" si="1">D5/100*0.36</f>
        <v>33.546171254399987</v>
      </c>
      <c r="M5" s="113">
        <f>L5*'ЦІНИ ПММ ШИНИ АКУМ'!I14</f>
        <v>4942.6928726232945</v>
      </c>
      <c r="N5" s="822">
        <f>N8</f>
        <v>182161.68</v>
      </c>
    </row>
    <row r="6" spans="1:15" x14ac:dyDescent="0.25">
      <c r="A6" s="164" t="s">
        <v>472</v>
      </c>
      <c r="B6" s="163">
        <f>'[2]Додаток 1'!C8</f>
        <v>18.143265</v>
      </c>
      <c r="C6" s="163">
        <f>'Транспортні засоби'!D8*12</f>
        <v>513.59999999999991</v>
      </c>
      <c r="D6" s="113">
        <f t="shared" ref="D6:D7" si="2">C6*B6</f>
        <v>9318.3809039999978</v>
      </c>
      <c r="E6" s="113">
        <f>D6*'ЦІНИ ПММ ШИНИ АКУМ'!I21</f>
        <v>389601.50559623993</v>
      </c>
      <c r="F6" s="113">
        <f t="shared" ref="F6:F7" si="3">D6/100*3.36</f>
        <v>313.09759837439987</v>
      </c>
      <c r="G6" s="113">
        <f>F6*'ЦІНИ ПММ ШИНИ АКУМ'!I6</f>
        <v>32380.553623880434</v>
      </c>
      <c r="H6" s="113">
        <f t="shared" ref="H6:H7" si="4">D6/100*0.48</f>
        <v>44.728228339199987</v>
      </c>
      <c r="I6" s="113">
        <f>H6*'ЦІНИ ПММ ШИНИ АКУМ'!I11</f>
        <v>7076.9002878282217</v>
      </c>
      <c r="J6" s="113">
        <f t="shared" si="0"/>
        <v>11.182057084799997</v>
      </c>
      <c r="K6" s="113">
        <f>J6*'ЦІНИ ПММ ШИНИ АКУМ'!I9</f>
        <v>899.26103075961578</v>
      </c>
      <c r="L6" s="113">
        <f t="shared" si="1"/>
        <v>33.546171254399987</v>
      </c>
      <c r="M6" s="113">
        <f>L6*'ЦІНИ ПММ ШИНИ АКУМ'!I14</f>
        <v>4942.6928726232945</v>
      </c>
      <c r="N6" s="823"/>
    </row>
    <row r="7" spans="1:15" x14ac:dyDescent="0.25">
      <c r="A7" s="164" t="s">
        <v>473</v>
      </c>
      <c r="B7" s="163">
        <f>'[2]Додаток 1'!C15</f>
        <v>20.112461999999997</v>
      </c>
      <c r="C7" s="163">
        <f>'Транспортні засоби'!D9*12</f>
        <v>619.20000000000005</v>
      </c>
      <c r="D7" s="113">
        <f t="shared" si="2"/>
        <v>12453.636470399999</v>
      </c>
      <c r="E7" s="113">
        <f>D7*'ЦІНИ ПММ ШИНИ АКУМ'!I21</f>
        <v>520686.54082742397</v>
      </c>
      <c r="F7" s="113">
        <f t="shared" si="3"/>
        <v>418.44218540543994</v>
      </c>
      <c r="G7" s="113">
        <f>F7*'ЦІНИ ПММ ШИНИ АКУМ'!I6</f>
        <v>43275.2908146306</v>
      </c>
      <c r="H7" s="113">
        <f t="shared" si="4"/>
        <v>59.777455057919994</v>
      </c>
      <c r="I7" s="113">
        <f>H7*'ЦІНИ ПММ ШИНИ АКУМ'!I11</f>
        <v>9457.9889392641016</v>
      </c>
      <c r="J7" s="113">
        <f t="shared" si="0"/>
        <v>14.944363764479998</v>
      </c>
      <c r="K7" s="113">
        <f>J7*'ЦІНИ ПММ ШИНИ АКУМ'!I9</f>
        <v>1201.8257339394816</v>
      </c>
      <c r="L7" s="113">
        <f t="shared" si="1"/>
        <v>44.833091293439999</v>
      </c>
      <c r="M7" s="113">
        <f>L7*'ЦІНИ ПММ ШИНИ АКУМ'!I14</f>
        <v>6605.7076711754498</v>
      </c>
      <c r="N7" s="824"/>
    </row>
    <row r="8" spans="1:15" x14ac:dyDescent="0.25">
      <c r="A8" s="165" t="s">
        <v>127</v>
      </c>
      <c r="B8" s="114"/>
      <c r="C8" s="163">
        <f>C5+C6+C7</f>
        <v>1646.3999999999999</v>
      </c>
      <c r="D8" s="112">
        <f>SUM(D5:D7)</f>
        <v>31090.398278399996</v>
      </c>
      <c r="E8" s="112">
        <f>SUM(E5:E7)</f>
        <v>1299889.5520199039</v>
      </c>
      <c r="F8" s="114"/>
      <c r="G8" s="112">
        <f>SUM(G5:G7)</f>
        <v>108036.39806239147</v>
      </c>
      <c r="H8" s="114"/>
      <c r="I8" s="112">
        <f>SUM(I5:I7)</f>
        <v>23611.789514920543</v>
      </c>
      <c r="J8" s="114"/>
      <c r="K8" s="112">
        <f>SUM(K5:K7)</f>
        <v>3000.3477954587133</v>
      </c>
      <c r="L8" s="114"/>
      <c r="M8" s="112">
        <f>SUM(M5:M7)</f>
        <v>16491.093416422038</v>
      </c>
      <c r="N8" s="167">
        <f>'РІЧНИЙ  План'!O21</f>
        <v>182161.68</v>
      </c>
    </row>
    <row r="9" spans="1:15" ht="15" x14ac:dyDescent="0.25">
      <c r="A9" s="825" t="s">
        <v>146</v>
      </c>
      <c r="B9" s="825"/>
      <c r="C9" s="825"/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</row>
    <row r="10" spans="1:15" x14ac:dyDescent="0.25">
      <c r="A10" s="164" t="s">
        <v>129</v>
      </c>
      <c r="B10" s="163">
        <f>'[2]Додаток 1'!C18</f>
        <v>4.59</v>
      </c>
      <c r="C10" s="163">
        <f>'Транспортні засоби'!D12*12</f>
        <v>455.03575000000001</v>
      </c>
      <c r="D10" s="112">
        <f>C10*B10</f>
        <v>2088.6140925</v>
      </c>
      <c r="E10" s="113">
        <f>D10*'ЦІНИ ПММ ШИНИ АКУМ'!I21</f>
        <v>87324.95520742501</v>
      </c>
      <c r="F10" s="113">
        <f>D10/100*3.36</f>
        <v>70.177433507999993</v>
      </c>
      <c r="G10" s="113">
        <f>F10*'ЦІНИ ПММ ШИНИ АКУМ'!I6</f>
        <v>7257.7501733973595</v>
      </c>
      <c r="H10" s="113">
        <f t="shared" ref="H10:H11" si="5">D10/100*0.48</f>
        <v>10.025347644</v>
      </c>
      <c r="I10" s="113">
        <f>H10*'ЦІНИ ПММ ШИНИ АКУМ'!I11</f>
        <v>1586.21050423368</v>
      </c>
      <c r="J10" s="113">
        <f t="shared" ref="J10:J11" si="6">D10/100*0.12</f>
        <v>2.506336911</v>
      </c>
      <c r="K10" s="113">
        <f>J10*'ЦІНИ ПММ ШИНИ АКУМ'!I9</f>
        <v>201.55961438262</v>
      </c>
      <c r="L10" s="113">
        <f t="shared" ref="L10:L11" si="7">D10/100*0.36</f>
        <v>7.5190107329999991</v>
      </c>
      <c r="M10" s="113">
        <f>L10*'ЦІНИ ПММ ШИНИ АКУМ'!I14</f>
        <v>1107.8510414002199</v>
      </c>
      <c r="N10" s="822">
        <f>N12</f>
        <v>18201.43</v>
      </c>
    </row>
    <row r="11" spans="1:15" x14ac:dyDescent="0.25">
      <c r="A11" s="164" t="s">
        <v>131</v>
      </c>
      <c r="B11" s="163">
        <f>'[2]Додаток 1'!C19</f>
        <v>4.59</v>
      </c>
      <c r="C11" s="163">
        <f>'Транспортні засоби'!D13*12</f>
        <v>455.03575000000001</v>
      </c>
      <c r="D11" s="112">
        <f t="shared" ref="D11" si="8">C11*B11</f>
        <v>2088.6140925</v>
      </c>
      <c r="E11" s="113">
        <f>D11*'ЦІНИ ПММ ШИНИ АКУМ'!I21</f>
        <v>87324.95520742501</v>
      </c>
      <c r="F11" s="113">
        <f t="shared" ref="F11" si="9">D11/100*3.36</f>
        <v>70.177433507999993</v>
      </c>
      <c r="G11" s="113">
        <f>F11*'ЦІНИ ПММ ШИНИ АКУМ'!I6</f>
        <v>7257.7501733973595</v>
      </c>
      <c r="H11" s="113">
        <f t="shared" si="5"/>
        <v>10.025347644</v>
      </c>
      <c r="I11" s="113">
        <f>H11*'ЦІНИ ПММ ШИНИ АКУМ'!I11</f>
        <v>1586.21050423368</v>
      </c>
      <c r="J11" s="113">
        <f t="shared" si="6"/>
        <v>2.506336911</v>
      </c>
      <c r="K11" s="113">
        <f>J11*'ЦІНИ ПММ ШИНИ АКУМ'!I9</f>
        <v>201.55961438262</v>
      </c>
      <c r="L11" s="113">
        <f t="shared" si="7"/>
        <v>7.5190107329999991</v>
      </c>
      <c r="M11" s="113">
        <f>L11*'ЦІНИ ПММ ШИНИ АКУМ'!I14</f>
        <v>1107.8510414002199</v>
      </c>
      <c r="N11" s="824"/>
    </row>
    <row r="12" spans="1:15" x14ac:dyDescent="0.25">
      <c r="A12" s="165" t="s">
        <v>127</v>
      </c>
      <c r="B12" s="114"/>
      <c r="C12" s="363">
        <f>C10+C11</f>
        <v>910.07150000000001</v>
      </c>
      <c r="D12" s="112">
        <f>SUM(D10:D11)</f>
        <v>4177.2281849999999</v>
      </c>
      <c r="E12" s="112">
        <f>SUM(E10:E11)</f>
        <v>174649.91041485002</v>
      </c>
      <c r="F12" s="112"/>
      <c r="G12" s="112">
        <f>SUM(G10:G11)</f>
        <v>14515.500346794719</v>
      </c>
      <c r="H12" s="112"/>
      <c r="I12" s="112">
        <f>SUM(I10:I11)</f>
        <v>3172.42100846736</v>
      </c>
      <c r="J12" s="112"/>
      <c r="K12" s="112">
        <f>SUM(K10:K11)</f>
        <v>403.11922876524</v>
      </c>
      <c r="L12" s="112"/>
      <c r="M12" s="112">
        <f>SUM(M10:M11)</f>
        <v>2215.7020828004397</v>
      </c>
      <c r="N12" s="167">
        <f>'РІЧНИЙ  План'!O22</f>
        <v>18201.43</v>
      </c>
    </row>
    <row r="13" spans="1:15" x14ac:dyDescent="0.25">
      <c r="A13" s="177"/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5"/>
    </row>
    <row r="14" spans="1:15" hidden="1" x14ac:dyDescent="0.25">
      <c r="A14" s="177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5"/>
    </row>
    <row r="15" spans="1:15" hidden="1" x14ac:dyDescent="0.25">
      <c r="A15" s="177"/>
      <c r="B15" s="364"/>
      <c r="C15" s="364"/>
      <c r="D15" s="364"/>
      <c r="E15" s="364"/>
      <c r="F15" s="364"/>
      <c r="G15" s="364"/>
      <c r="H15" s="364" t="s">
        <v>274</v>
      </c>
      <c r="I15" s="364"/>
      <c r="J15" s="364"/>
      <c r="K15" s="364">
        <v>3.0419999999999998</v>
      </c>
      <c r="L15" s="364" t="s">
        <v>272</v>
      </c>
      <c r="M15" s="364"/>
      <c r="N15" s="365"/>
    </row>
    <row r="16" spans="1:15" hidden="1" x14ac:dyDescent="0.25">
      <c r="A16" s="177"/>
      <c r="B16" s="364"/>
      <c r="C16" s="364"/>
      <c r="D16" s="364"/>
      <c r="E16" s="364"/>
      <c r="F16" s="364"/>
      <c r="G16" s="364"/>
      <c r="H16" s="364"/>
      <c r="I16" s="364"/>
      <c r="J16" s="364"/>
      <c r="K16" s="364">
        <v>20</v>
      </c>
      <c r="L16" s="364" t="s">
        <v>279</v>
      </c>
      <c r="M16" s="364"/>
      <c r="N16" s="365"/>
    </row>
    <row r="17" spans="1:15" hidden="1" x14ac:dyDescent="0.25">
      <c r="A17" s="179"/>
      <c r="B17" s="365"/>
      <c r="C17" s="365"/>
      <c r="D17" s="365"/>
      <c r="E17" s="365"/>
      <c r="F17" s="365"/>
      <c r="G17" s="366"/>
      <c r="H17" s="365"/>
      <c r="I17" s="365"/>
      <c r="J17" s="365"/>
      <c r="K17" s="365"/>
      <c r="L17" s="365"/>
      <c r="M17" s="365"/>
      <c r="N17" s="365"/>
      <c r="O17" s="352"/>
    </row>
    <row r="18" spans="1:15" hidden="1" x14ac:dyDescent="0.25">
      <c r="A18" s="177"/>
      <c r="B18" s="364"/>
      <c r="C18" s="364"/>
      <c r="D18" s="364"/>
      <c r="E18" s="364"/>
      <c r="F18" s="364"/>
      <c r="G18" s="364"/>
      <c r="H18" s="364"/>
      <c r="I18" s="364"/>
      <c r="J18" s="364" t="s">
        <v>277</v>
      </c>
      <c r="K18" s="364">
        <f>N8/(K15*K16)</f>
        <v>2994.1104536489152</v>
      </c>
      <c r="L18" s="364" t="s">
        <v>273</v>
      </c>
      <c r="M18" s="364" t="s">
        <v>278</v>
      </c>
      <c r="N18" s="367">
        <f>K18/12/3</f>
        <v>83.169734823580981</v>
      </c>
    </row>
    <row r="19" spans="1:15" hidden="1" x14ac:dyDescent="0.25">
      <c r="A19" s="177"/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7"/>
    </row>
    <row r="20" spans="1:15" hidden="1" x14ac:dyDescent="0.25">
      <c r="A20" s="177"/>
      <c r="B20" s="364"/>
      <c r="C20" s="364"/>
      <c r="D20" s="364"/>
      <c r="E20" s="364"/>
      <c r="F20" s="364"/>
      <c r="G20" s="364"/>
      <c r="H20" s="364" t="s">
        <v>275</v>
      </c>
      <c r="I20" s="364"/>
      <c r="J20" s="364" t="s">
        <v>277</v>
      </c>
      <c r="K20" s="364">
        <f>N10/20</f>
        <v>910.07150000000001</v>
      </c>
      <c r="L20" s="364" t="s">
        <v>276</v>
      </c>
      <c r="M20" s="364" t="s">
        <v>278</v>
      </c>
      <c r="N20" s="367">
        <f>K20/12/2</f>
        <v>37.919645833333334</v>
      </c>
    </row>
    <row r="21" spans="1:15" hidden="1" x14ac:dyDescent="0.25">
      <c r="A21" s="177"/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5"/>
    </row>
    <row r="22" spans="1:15" x14ac:dyDescent="0.25">
      <c r="A22" s="177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5"/>
    </row>
    <row r="23" spans="1:15" s="369" customFormat="1" x14ac:dyDescent="0.25">
      <c r="A23" s="349"/>
      <c r="B23" s="787" t="s">
        <v>383</v>
      </c>
      <c r="C23" s="787"/>
      <c r="D23" s="787"/>
      <c r="E23" s="787"/>
      <c r="F23" s="787"/>
      <c r="G23" s="787"/>
      <c r="H23" s="787"/>
      <c r="I23" s="368"/>
      <c r="J23" s="368"/>
      <c r="K23" s="368"/>
      <c r="L23" s="368"/>
      <c r="M23" s="368"/>
      <c r="N23" s="368"/>
    </row>
    <row r="24" spans="1:15" s="369" customFormat="1" x14ac:dyDescent="0.25">
      <c r="A24" s="370"/>
      <c r="N24" s="371"/>
    </row>
    <row r="25" spans="1:15" s="369" customFormat="1" x14ac:dyDescent="0.25">
      <c r="A25" s="370"/>
      <c r="N25" s="371"/>
    </row>
  </sheetData>
  <mergeCells count="6">
    <mergeCell ref="B23:H23"/>
    <mergeCell ref="A2:N2"/>
    <mergeCell ref="A4:N4"/>
    <mergeCell ref="N5:N7"/>
    <mergeCell ref="A9:N9"/>
    <mergeCell ref="N10:N11"/>
  </mergeCells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N23"/>
  <sheetViews>
    <sheetView view="pageLayout" workbookViewId="0">
      <selection activeCell="H24" sqref="H24"/>
    </sheetView>
  </sheetViews>
  <sheetFormatPr defaultColWidth="8.85546875" defaultRowHeight="15" x14ac:dyDescent="0.25"/>
  <cols>
    <col min="1" max="1" width="13.140625" style="101" customWidth="1"/>
    <col min="2" max="2" width="10.7109375" style="101" customWidth="1"/>
    <col min="3" max="3" width="13.85546875" style="101" customWidth="1"/>
    <col min="4" max="4" width="11.28515625" style="101" customWidth="1"/>
    <col min="5" max="5" width="12.85546875" style="101" customWidth="1"/>
    <col min="6" max="6" width="13.7109375" style="101" customWidth="1"/>
    <col min="7" max="7" width="13.42578125" style="101" customWidth="1"/>
    <col min="8" max="8" width="12.5703125" style="101" customWidth="1"/>
    <col min="9" max="9" width="11.7109375" style="101" customWidth="1"/>
    <col min="10" max="10" width="11" style="101" customWidth="1"/>
    <col min="11" max="11" width="11.28515625" style="101" customWidth="1"/>
    <col min="12" max="16384" width="8.85546875" style="101"/>
  </cols>
  <sheetData>
    <row r="1" spans="1:14" x14ac:dyDescent="0.25">
      <c r="A1" s="364"/>
      <c r="B1" s="372"/>
      <c r="C1" s="372"/>
      <c r="D1" s="373"/>
      <c r="E1" s="373"/>
      <c r="F1" s="373"/>
      <c r="G1" s="373"/>
      <c r="H1" s="373"/>
      <c r="I1" s="373"/>
      <c r="J1" s="373"/>
      <c r="K1" s="373"/>
    </row>
    <row r="3" spans="1:14" ht="70.900000000000006" customHeight="1" x14ac:dyDescent="0.25">
      <c r="A3" s="828" t="s">
        <v>512</v>
      </c>
      <c r="B3" s="829"/>
      <c r="C3" s="829"/>
      <c r="D3" s="829"/>
      <c r="E3" s="829"/>
      <c r="F3" s="829"/>
      <c r="G3" s="829"/>
      <c r="H3" s="829"/>
      <c r="I3" s="829"/>
      <c r="J3" s="829"/>
      <c r="K3" s="830"/>
      <c r="L3" s="374"/>
      <c r="M3" s="374"/>
      <c r="N3" s="374"/>
    </row>
    <row r="4" spans="1:14" ht="42.75" x14ac:dyDescent="0.25">
      <c r="A4" s="360" t="s">
        <v>132</v>
      </c>
      <c r="B4" s="361" t="s">
        <v>149</v>
      </c>
      <c r="C4" s="361" t="s">
        <v>150</v>
      </c>
      <c r="D4" s="360" t="s">
        <v>151</v>
      </c>
      <c r="E4" s="360" t="s">
        <v>152</v>
      </c>
      <c r="F4" s="360" t="s">
        <v>153</v>
      </c>
      <c r="G4" s="360" t="s">
        <v>154</v>
      </c>
      <c r="H4" s="360" t="s">
        <v>155</v>
      </c>
      <c r="I4" s="360" t="s">
        <v>156</v>
      </c>
      <c r="J4" s="360" t="s">
        <v>157</v>
      </c>
      <c r="K4" s="360" t="s">
        <v>158</v>
      </c>
    </row>
    <row r="5" spans="1:14" x14ac:dyDescent="0.25">
      <c r="A5" s="826" t="s">
        <v>496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</row>
    <row r="6" spans="1:14" x14ac:dyDescent="0.25">
      <c r="A6" s="93" t="s">
        <v>124</v>
      </c>
      <c r="B6" s="112">
        <f>('Транспортні засоби'!F7*'Транспортні засоби'!L7+'Транспортні засоби'!G7*'Транспортні засоби'!M7+'Транспортні засоби'!H7*'Транспортні засоби'!N7+'Транспортні засоби'!I7*'Транспортні засоби'!O7+'Транспортні засоби'!J7*'Транспортні засоби'!P7)/100</f>
        <v>19015.204481490593</v>
      </c>
      <c r="C6" s="112">
        <f>B6*'ЦІНИ ПММ ШИНИ АКУМ'!I21</f>
        <v>795025.69937112171</v>
      </c>
      <c r="D6" s="112">
        <f>B6/100*3.36</f>
        <v>638.91087057808397</v>
      </c>
      <c r="E6" s="112">
        <f>D6*'ЦІНИ ПММ ШИНИ АКУМ'!I6</f>
        <v>66076.162235185446</v>
      </c>
      <c r="F6" s="112">
        <f>B6/100*0.48</f>
        <v>91.272981511154839</v>
      </c>
      <c r="G6" s="112">
        <f>F6*'ЦІНИ ПММ ШИНИ АКУМ'!I11</f>
        <v>14441.211134694919</v>
      </c>
      <c r="H6" s="112">
        <f t="shared" ref="H6:H8" si="0">B6/100*0.12</f>
        <v>22.81824537778871</v>
      </c>
      <c r="I6" s="112">
        <f>H6*'ЦІНИ ПММ ШИНИ АКУМ'!I9</f>
        <v>1835.043293281768</v>
      </c>
      <c r="J6" s="112">
        <f t="shared" ref="J6:J8" si="1">B6/100*0.36</f>
        <v>68.45473613336614</v>
      </c>
      <c r="K6" s="112">
        <f>J6*'ЦІНИ ПММ ШИНИ АКУМ'!I14</f>
        <v>10086.120821890167</v>
      </c>
    </row>
    <row r="7" spans="1:14" x14ac:dyDescent="0.25">
      <c r="A7" s="93" t="s">
        <v>472</v>
      </c>
      <c r="B7" s="112">
        <f>('Транспортні засоби'!F8*'Транспортні засоби'!L8+'Транспортні засоби'!G8*'Транспортні засоби'!M8+'Транспортні засоби'!H8*'Транспортні засоби'!N8+'Транспортні засоби'!I8*'Транспортні засоби'!O8+'Транспортні засоби'!J8*'Транспортні засоби'!P8)/100</f>
        <v>19015.204481490593</v>
      </c>
      <c r="C7" s="112">
        <f>B7*'ЦІНИ ПММ ШИНИ АКУМ'!I21</f>
        <v>795025.69937112171</v>
      </c>
      <c r="D7" s="112">
        <f t="shared" ref="D7:D8" si="2">B7/100*3.36</f>
        <v>638.91087057808397</v>
      </c>
      <c r="E7" s="112">
        <f>D7*'ЦІНИ ПММ ШИНИ АКУМ'!I6</f>
        <v>66076.162235185446</v>
      </c>
      <c r="F7" s="112">
        <f t="shared" ref="F7:F8" si="3">B7/100*0.48</f>
        <v>91.272981511154839</v>
      </c>
      <c r="G7" s="112">
        <f>F7*'ЦІНИ ПММ ШИНИ АКУМ'!I11</f>
        <v>14441.211134694919</v>
      </c>
      <c r="H7" s="112">
        <f t="shared" si="0"/>
        <v>22.81824537778871</v>
      </c>
      <c r="I7" s="112">
        <f>H7*'ЦІНИ ПММ ШИНИ АКУМ'!I9</f>
        <v>1835.043293281768</v>
      </c>
      <c r="J7" s="112">
        <f t="shared" si="1"/>
        <v>68.45473613336614</v>
      </c>
      <c r="K7" s="112">
        <f>J7*'ЦІНИ ПММ ШИНИ АКУМ'!I14</f>
        <v>10086.120821890167</v>
      </c>
    </row>
    <row r="8" spans="1:14" x14ac:dyDescent="0.25">
      <c r="A8" s="93" t="s">
        <v>473</v>
      </c>
      <c r="B8" s="112">
        <f>('Транспортні засоби'!F9*'Транспортні засоби'!L9+'Транспортні засоби'!G9*'Транспортні засоби'!M9+'Транспортні засоби'!H9*'Транспортні засоби'!N9+'Транспортні засоби'!I9*'Транспортні засоби'!O9+'Транспортні засоби'!J9*'Транспортні засоби'!P9)/100</f>
        <v>26117.860384864798</v>
      </c>
      <c r="C8" s="112">
        <f>B8*'ЦІНИ ПММ ШИНИ АКУМ'!I21</f>
        <v>1091987.7426911972</v>
      </c>
      <c r="D8" s="112">
        <f t="shared" si="2"/>
        <v>877.56010893145719</v>
      </c>
      <c r="E8" s="112">
        <f>D8*'ЦІНИ ПММ ШИНИ АКУМ'!I6</f>
        <v>90757.266465691311</v>
      </c>
      <c r="F8" s="112">
        <f t="shared" si="3"/>
        <v>125.36572984735102</v>
      </c>
      <c r="G8" s="112">
        <f>F8*'ЦІНИ ПММ ШИНИ АКУМ'!I11</f>
        <v>19835.365776447878</v>
      </c>
      <c r="H8" s="112">
        <f t="shared" si="0"/>
        <v>31.341432461837755</v>
      </c>
      <c r="I8" s="112">
        <f>H8*'ЦІНИ ПММ ШИНИ АКУМ'!I9</f>
        <v>2520.4779985809923</v>
      </c>
      <c r="J8" s="112">
        <f t="shared" si="1"/>
        <v>94.024297385513265</v>
      </c>
      <c r="K8" s="112">
        <f>J8*'ЦІНИ ПММ ШИНИ АКУМ'!I14</f>
        <v>13853.539976781525</v>
      </c>
    </row>
    <row r="9" spans="1:14" x14ac:dyDescent="0.25">
      <c r="A9" s="167" t="s">
        <v>127</v>
      </c>
      <c r="B9" s="167">
        <f>SUM(B6:B8)</f>
        <v>64148.269347845984</v>
      </c>
      <c r="C9" s="167">
        <f>SUM(C6:C8)</f>
        <v>2682039.1414334406</v>
      </c>
      <c r="D9" s="167">
        <f>SUM(D6:D8)</f>
        <v>2155.381850087625</v>
      </c>
      <c r="E9" s="167">
        <f>SUM(E6:E8)</f>
        <v>222909.59093606222</v>
      </c>
      <c r="F9" s="167"/>
      <c r="G9" s="167">
        <f>SUM(G6:G8)</f>
        <v>48717.788045837719</v>
      </c>
      <c r="H9" s="167"/>
      <c r="I9" s="167">
        <f>SUM(I6:I8)</f>
        <v>6190.5645851445279</v>
      </c>
      <c r="J9" s="167"/>
      <c r="K9" s="167">
        <f>SUM(K6:K8)</f>
        <v>34025.781620561858</v>
      </c>
    </row>
    <row r="10" spans="1:14" ht="23.45" customHeight="1" x14ac:dyDescent="0.25">
      <c r="A10" s="827" t="s">
        <v>128</v>
      </c>
      <c r="B10" s="827"/>
      <c r="C10" s="827"/>
      <c r="D10" s="827"/>
      <c r="E10" s="827"/>
      <c r="F10" s="827"/>
      <c r="G10" s="827"/>
      <c r="H10" s="827"/>
      <c r="I10" s="827"/>
      <c r="J10" s="827"/>
      <c r="K10" s="827"/>
    </row>
    <row r="11" spans="1:14" ht="15.75" x14ac:dyDescent="0.25">
      <c r="A11" s="164" t="s">
        <v>129</v>
      </c>
      <c r="B11" s="112">
        <f>('Транспортні засоби'!F12*'Транспортні засоби'!L12+'Транспортні засоби'!G12*'Транспортні засоби'!M12+'Транспортні засоби'!H12*'Транспортні засоби'!N12+'Транспортні засоби'!I12*'Транспортні засоби'!O12+'Транспортні засоби'!J12*'Транспортні засоби'!P12)/100</f>
        <v>13058.621907415269</v>
      </c>
      <c r="C11" s="112">
        <f>B11*'ЦІНИ ПММ ШИНИ АКУМ'!I21</f>
        <v>545980.9819490324</v>
      </c>
      <c r="D11" s="112">
        <f t="shared" ref="D11:D12" si="4">B11/100*3.36</f>
        <v>438.76969608915306</v>
      </c>
      <c r="E11" s="112">
        <f>D11*'ЦІНИ ПММ ШИНИ АКУМ'!I6</f>
        <v>45377.561969540213</v>
      </c>
      <c r="F11" s="112">
        <f t="shared" ref="F11:F12" si="5">B11/100*0.48</f>
        <v>62.68138515559329</v>
      </c>
      <c r="G11" s="112">
        <f>F11*'ЦІНИ ПММ ШИНИ АКУМ'!I11</f>
        <v>9917.4487593179711</v>
      </c>
      <c r="H11" s="112">
        <f t="shared" ref="H11:H12" si="6">B11/100*0.12</f>
        <v>15.670346288898322</v>
      </c>
      <c r="I11" s="112">
        <f>H11*'ЦІНИ ПММ ШИНИ АКУМ'!I9</f>
        <v>1260.2092485532032</v>
      </c>
      <c r="J11" s="112">
        <f t="shared" ref="J11:J12" si="7">B11/100*0.36</f>
        <v>47.011038866694967</v>
      </c>
      <c r="K11" s="112">
        <f>J11*'ЦІНИ ПММ ШИНИ АКУМ'!I14</f>
        <v>6926.6064666188367</v>
      </c>
    </row>
    <row r="12" spans="1:14" ht="15.75" x14ac:dyDescent="0.25">
      <c r="A12" s="164" t="s">
        <v>131</v>
      </c>
      <c r="B12" s="112">
        <f>('Транспортні засоби'!F13*'Транспортні засоби'!L13+'Транспортні засоби'!G13*'Транспортні засоби'!M13+'Транспортні засоби'!H13*'Транспортні засоби'!N13+'Транспортні засоби'!I13*'Транспортні засоби'!O13+'Транспортні засоби'!J13*'Транспортні засоби'!P13)/100</f>
        <v>13058.621907415269</v>
      </c>
      <c r="C12" s="112">
        <f>B12*'ЦІНИ ПММ ШИНИ АКУМ'!I21</f>
        <v>545980.9819490324</v>
      </c>
      <c r="D12" s="112">
        <f t="shared" si="4"/>
        <v>438.76969608915306</v>
      </c>
      <c r="E12" s="112">
        <f>D12*'ЦІНИ ПММ ШИНИ АКУМ'!I6</f>
        <v>45377.561969540213</v>
      </c>
      <c r="F12" s="112">
        <f t="shared" si="5"/>
        <v>62.68138515559329</v>
      </c>
      <c r="G12" s="112">
        <f>F12*'ЦІНИ ПММ ШИНИ АКУМ'!I11</f>
        <v>9917.4487593179711</v>
      </c>
      <c r="H12" s="112">
        <f t="shared" si="6"/>
        <v>15.670346288898322</v>
      </c>
      <c r="I12" s="112">
        <f>H12*'ЦІНИ ПММ ШИНИ АКУМ'!I9</f>
        <v>1260.2092485532032</v>
      </c>
      <c r="J12" s="112">
        <f t="shared" si="7"/>
        <v>47.011038866694967</v>
      </c>
      <c r="K12" s="112">
        <f>J12*'ЦІНИ ПММ ШИНИ АКУМ'!I14</f>
        <v>6926.6064666188367</v>
      </c>
    </row>
    <row r="13" spans="1:14" x14ac:dyDescent="0.25">
      <c r="A13" s="112" t="s">
        <v>127</v>
      </c>
      <c r="B13" s="112">
        <f>B11+B12</f>
        <v>26117.243814830537</v>
      </c>
      <c r="C13" s="167">
        <f>SUM(C11:C12)</f>
        <v>1091961.9638980648</v>
      </c>
      <c r="D13" s="112">
        <f>D11+D12</f>
        <v>877.53939217830612</v>
      </c>
      <c r="E13" s="167">
        <f>SUM(E11:E12)</f>
        <v>90755.123939080426</v>
      </c>
      <c r="F13" s="167">
        <f t="shared" ref="F13:J13" si="8">SUM(F11:F12)</f>
        <v>125.36277031118658</v>
      </c>
      <c r="G13" s="167">
        <f t="shared" si="8"/>
        <v>19834.897518635942</v>
      </c>
      <c r="H13" s="167">
        <f t="shared" si="8"/>
        <v>31.340692577796645</v>
      </c>
      <c r="I13" s="167">
        <f t="shared" si="8"/>
        <v>2520.4184971064064</v>
      </c>
      <c r="J13" s="167">
        <f t="shared" si="8"/>
        <v>94.022077733389935</v>
      </c>
      <c r="K13" s="167">
        <f>SUM(K11:K12)</f>
        <v>13853.212933237673</v>
      </c>
    </row>
    <row r="14" spans="1:14" x14ac:dyDescent="0.25">
      <c r="A14" s="364"/>
      <c r="B14" s="364"/>
      <c r="C14" s="364"/>
      <c r="D14" s="364"/>
      <c r="E14" s="364"/>
      <c r="F14" s="364"/>
      <c r="G14" s="364"/>
      <c r="H14" s="364"/>
      <c r="I14" s="364"/>
      <c r="J14" s="364"/>
      <c r="K14" s="364"/>
    </row>
    <row r="15" spans="1:14" x14ac:dyDescent="0.25">
      <c r="A15" s="364"/>
      <c r="B15" s="364"/>
      <c r="C15" s="364"/>
      <c r="D15" s="364"/>
      <c r="E15" s="364"/>
      <c r="F15" s="364"/>
      <c r="G15" s="364"/>
      <c r="H15" s="364"/>
      <c r="I15" s="364"/>
      <c r="J15" s="364"/>
      <c r="K15" s="364"/>
    </row>
    <row r="16" spans="1:14" ht="15.75" x14ac:dyDescent="0.25">
      <c r="A16" s="365"/>
      <c r="B16" s="787" t="s">
        <v>383</v>
      </c>
      <c r="C16" s="787"/>
      <c r="D16" s="787"/>
      <c r="E16" s="787"/>
      <c r="F16" s="787"/>
      <c r="G16" s="787"/>
      <c r="H16" s="787"/>
      <c r="I16" s="365"/>
      <c r="J16" s="365"/>
      <c r="K16" s="365"/>
    </row>
    <row r="17" spans="1:11" x14ac:dyDescent="0.25">
      <c r="A17" s="364"/>
      <c r="B17" s="364"/>
      <c r="C17" s="364"/>
      <c r="D17" s="364"/>
      <c r="E17" s="364"/>
      <c r="F17" s="364"/>
      <c r="G17" s="364"/>
      <c r="H17" s="364"/>
      <c r="I17" s="364"/>
      <c r="J17" s="364"/>
      <c r="K17" s="364"/>
    </row>
    <row r="18" spans="1:11" x14ac:dyDescent="0.25">
      <c r="A18" s="364"/>
      <c r="B18" s="364"/>
      <c r="C18" s="364"/>
      <c r="D18" s="364"/>
      <c r="E18" s="364"/>
      <c r="F18" s="364"/>
      <c r="G18" s="364"/>
      <c r="H18" s="364"/>
      <c r="I18" s="364"/>
      <c r="J18" s="364"/>
      <c r="K18" s="364"/>
    </row>
    <row r="19" spans="1:11" x14ac:dyDescent="0.25">
      <c r="A19" s="364"/>
      <c r="B19" s="364"/>
      <c r="C19" s="364"/>
      <c r="D19" s="364"/>
      <c r="E19" s="364"/>
      <c r="F19" s="364"/>
      <c r="G19" s="364"/>
      <c r="H19" s="364"/>
      <c r="I19" s="364"/>
      <c r="J19" s="364"/>
      <c r="K19" s="364"/>
    </row>
    <row r="20" spans="1:11" x14ac:dyDescent="0.25">
      <c r="A20" s="364"/>
      <c r="B20" s="364"/>
      <c r="C20" s="364"/>
      <c r="D20" s="364"/>
      <c r="E20" s="364"/>
      <c r="F20" s="364"/>
      <c r="G20" s="364"/>
      <c r="H20" s="364"/>
      <c r="I20" s="364"/>
      <c r="J20" s="364"/>
      <c r="K20" s="364"/>
    </row>
    <row r="21" spans="1:11" x14ac:dyDescent="0.25">
      <c r="A21" s="364"/>
      <c r="B21" s="364"/>
      <c r="C21" s="364"/>
      <c r="D21" s="364"/>
      <c r="E21" s="364"/>
      <c r="F21" s="364"/>
      <c r="G21" s="364"/>
      <c r="H21" s="364"/>
      <c r="I21" s="364"/>
      <c r="J21" s="364"/>
      <c r="K21" s="364"/>
    </row>
    <row r="22" spans="1:11" ht="15.75" x14ac:dyDescent="0.25">
      <c r="D22" s="164"/>
    </row>
    <row r="23" spans="1:11" ht="15.75" x14ac:dyDescent="0.25">
      <c r="D23" s="164"/>
    </row>
  </sheetData>
  <mergeCells count="4">
    <mergeCell ref="A5:K5"/>
    <mergeCell ref="A10:K10"/>
    <mergeCell ref="B16:H16"/>
    <mergeCell ref="A3:K3"/>
  </mergeCells>
  <pageMargins left="0.38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FBE5-5866-4D83-9739-AAA27EC4A5B7}">
  <sheetPr>
    <tabColor rgb="FFC00000"/>
    <pageSetUpPr fitToPage="1"/>
  </sheetPr>
  <dimension ref="A1:U55"/>
  <sheetViews>
    <sheetView topLeftCell="A13" workbookViewId="0">
      <selection activeCell="O5" sqref="O5:P6"/>
    </sheetView>
  </sheetViews>
  <sheetFormatPr defaultColWidth="8.85546875" defaultRowHeight="15" x14ac:dyDescent="0.25"/>
  <cols>
    <col min="1" max="1" width="1.85546875" style="377" customWidth="1"/>
    <col min="2" max="2" width="2" style="377" customWidth="1"/>
    <col min="3" max="3" width="14.28515625" style="377" customWidth="1"/>
    <col min="4" max="4" width="11.85546875" style="377" customWidth="1"/>
    <col min="5" max="5" width="8.85546875" style="377"/>
    <col min="6" max="6" width="14" style="386" customWidth="1"/>
    <col min="7" max="7" width="7.28515625" style="377" customWidth="1"/>
    <col min="8" max="8" width="10.42578125" style="377" customWidth="1"/>
    <col min="9" max="9" width="8.5703125" style="377" customWidth="1"/>
    <col min="10" max="10" width="14.28515625" style="377" customWidth="1"/>
    <col min="11" max="11" width="9.5703125" style="377" customWidth="1"/>
    <col min="12" max="12" width="12.28515625" style="376" customWidth="1"/>
    <col min="13" max="13" width="9.28515625" style="376" customWidth="1"/>
    <col min="14" max="14" width="12.5703125" style="376" customWidth="1"/>
    <col min="15" max="15" width="15.28515625" style="376" customWidth="1"/>
    <col min="16" max="16" width="12.5703125" style="376" customWidth="1"/>
    <col min="17" max="17" width="15.85546875" style="377" customWidth="1"/>
    <col min="18" max="18" width="17.5703125" style="377" customWidth="1"/>
    <col min="19" max="19" width="13.85546875" style="377" hidden="1" customWidth="1"/>
    <col min="20" max="16384" width="8.85546875" style="377"/>
  </cols>
  <sheetData>
    <row r="1" spans="1:19" ht="100.15" customHeight="1" x14ac:dyDescent="0.25">
      <c r="A1" s="926" t="s">
        <v>399</v>
      </c>
      <c r="B1" s="927"/>
      <c r="C1" s="927"/>
      <c r="D1" s="927"/>
      <c r="E1" s="927"/>
      <c r="F1" s="927"/>
      <c r="G1" s="927"/>
      <c r="H1" s="927"/>
      <c r="I1" s="927"/>
      <c r="J1" s="927"/>
      <c r="K1" s="375"/>
    </row>
    <row r="2" spans="1:19" s="178" customFormat="1" ht="15.75" x14ac:dyDescent="0.25">
      <c r="A2" s="928"/>
      <c r="B2" s="929"/>
      <c r="C2" s="929"/>
      <c r="D2" s="929"/>
      <c r="E2" s="380"/>
      <c r="F2" s="381"/>
      <c r="G2" s="380"/>
      <c r="H2" s="380" t="s">
        <v>400</v>
      </c>
      <c r="I2" s="380"/>
      <c r="J2" s="380"/>
      <c r="K2" s="382"/>
      <c r="L2" s="383"/>
      <c r="M2" s="383"/>
      <c r="N2" s="383"/>
      <c r="O2" s="383"/>
      <c r="P2" s="384"/>
    </row>
    <row r="3" spans="1:19" s="178" customFormat="1" ht="31.9" customHeight="1" x14ac:dyDescent="0.25">
      <c r="A3" s="928"/>
      <c r="B3" s="929"/>
      <c r="C3" s="929"/>
      <c r="D3" s="929"/>
      <c r="E3" s="385"/>
      <c r="F3" s="386"/>
      <c r="G3" s="385"/>
      <c r="H3" s="929" t="s">
        <v>401</v>
      </c>
      <c r="I3" s="929"/>
      <c r="J3" s="929"/>
      <c r="K3" s="379"/>
      <c r="L3" s="383"/>
      <c r="M3" s="383"/>
      <c r="N3" s="383"/>
      <c r="O3" s="383"/>
      <c r="P3" s="384"/>
    </row>
    <row r="4" spans="1:19" ht="19.5" thickBot="1" x14ac:dyDescent="0.3">
      <c r="A4" s="378"/>
      <c r="B4" s="930" t="s">
        <v>402</v>
      </c>
      <c r="C4" s="930"/>
      <c r="D4" s="930"/>
      <c r="E4" s="930"/>
      <c r="F4" s="930"/>
      <c r="G4" s="930"/>
      <c r="H4" s="930"/>
      <c r="I4" s="930"/>
      <c r="J4" s="930"/>
      <c r="K4" s="387"/>
      <c r="O4" s="925" t="s">
        <v>600</v>
      </c>
      <c r="P4" s="925"/>
      <c r="Q4" s="925"/>
      <c r="R4" s="925"/>
    </row>
    <row r="5" spans="1:19" ht="15" customHeight="1" x14ac:dyDescent="0.25">
      <c r="A5" s="914" t="s">
        <v>164</v>
      </c>
      <c r="B5" s="915"/>
      <c r="C5" s="915" t="s">
        <v>404</v>
      </c>
      <c r="D5" s="905" t="s">
        <v>166</v>
      </c>
      <c r="E5" s="919"/>
      <c r="F5" s="922" t="s">
        <v>405</v>
      </c>
      <c r="G5" s="895" t="s">
        <v>168</v>
      </c>
      <c r="H5" s="895" t="s">
        <v>406</v>
      </c>
      <c r="I5" s="897" t="s">
        <v>407</v>
      </c>
      <c r="J5" s="900" t="s">
        <v>408</v>
      </c>
      <c r="K5" s="832" t="s">
        <v>466</v>
      </c>
      <c r="L5" s="833" t="s">
        <v>465</v>
      </c>
      <c r="M5" s="833" t="s">
        <v>514</v>
      </c>
      <c r="N5" s="833" t="s">
        <v>204</v>
      </c>
      <c r="O5" s="834" t="s">
        <v>467</v>
      </c>
      <c r="P5" s="834"/>
      <c r="Q5" s="831" t="s">
        <v>469</v>
      </c>
      <c r="R5" s="831" t="s">
        <v>471</v>
      </c>
      <c r="S5" s="831" t="s">
        <v>470</v>
      </c>
    </row>
    <row r="6" spans="1:19" x14ac:dyDescent="0.25">
      <c r="A6" s="916"/>
      <c r="B6" s="917"/>
      <c r="C6" s="917"/>
      <c r="D6" s="920"/>
      <c r="E6" s="921"/>
      <c r="F6" s="923"/>
      <c r="G6" s="832"/>
      <c r="H6" s="832"/>
      <c r="I6" s="898"/>
      <c r="J6" s="901"/>
      <c r="K6" s="832"/>
      <c r="L6" s="833"/>
      <c r="M6" s="833"/>
      <c r="N6" s="833"/>
      <c r="O6" s="834"/>
      <c r="P6" s="834"/>
      <c r="Q6" s="831"/>
      <c r="R6" s="831"/>
      <c r="S6" s="831"/>
    </row>
    <row r="7" spans="1:19" ht="39.6" customHeight="1" thickBot="1" x14ac:dyDescent="0.3">
      <c r="A7" s="850"/>
      <c r="B7" s="918"/>
      <c r="C7" s="918"/>
      <c r="D7" s="920"/>
      <c r="E7" s="921"/>
      <c r="F7" s="924"/>
      <c r="G7" s="896"/>
      <c r="H7" s="896"/>
      <c r="I7" s="899"/>
      <c r="J7" s="902"/>
      <c r="K7" s="832"/>
      <c r="L7" s="833"/>
      <c r="M7" s="833"/>
      <c r="N7" s="833"/>
      <c r="O7" s="388" t="s">
        <v>468</v>
      </c>
      <c r="P7" s="388" t="s">
        <v>212</v>
      </c>
      <c r="Q7" s="831"/>
      <c r="R7" s="831"/>
      <c r="S7" s="831"/>
    </row>
    <row r="8" spans="1:19" ht="15.6" customHeight="1" thickBot="1" x14ac:dyDescent="0.3">
      <c r="A8" s="903">
        <v>1</v>
      </c>
      <c r="B8" s="904"/>
      <c r="C8" s="905" t="s">
        <v>171</v>
      </c>
      <c r="D8" s="908" t="s">
        <v>409</v>
      </c>
      <c r="E8" s="909"/>
      <c r="F8" s="389" t="s">
        <v>173</v>
      </c>
      <c r="G8" s="390">
        <v>1</v>
      </c>
      <c r="H8" s="391">
        <v>55900.62</v>
      </c>
      <c r="I8" s="392"/>
      <c r="J8" s="392">
        <f>G8*H8</f>
        <v>55900.62</v>
      </c>
      <c r="K8" s="393">
        <v>1</v>
      </c>
      <c r="L8" s="180">
        <f>J8*12</f>
        <v>670807.44000000006</v>
      </c>
      <c r="M8" s="394">
        <v>0.2412</v>
      </c>
      <c r="N8" s="180">
        <f>L8/G8*K8*M8</f>
        <v>161798.75452800002</v>
      </c>
      <c r="O8" s="180"/>
      <c r="P8" s="180"/>
      <c r="Q8" s="133"/>
      <c r="R8" s="395">
        <f>N8</f>
        <v>161798.75452800002</v>
      </c>
      <c r="S8" s="133"/>
    </row>
    <row r="9" spans="1:19" ht="16.899999999999999" customHeight="1" thickBot="1" x14ac:dyDescent="0.3">
      <c r="A9" s="862"/>
      <c r="B9" s="882"/>
      <c r="C9" s="906"/>
      <c r="D9" s="908" t="s">
        <v>410</v>
      </c>
      <c r="E9" s="909"/>
      <c r="F9" s="396">
        <v>2429</v>
      </c>
      <c r="G9" s="397">
        <v>1</v>
      </c>
      <c r="H9" s="398">
        <v>21118</v>
      </c>
      <c r="I9" s="399"/>
      <c r="J9" s="399">
        <v>21118</v>
      </c>
      <c r="K9" s="393">
        <v>1</v>
      </c>
      <c r="L9" s="180">
        <f t="shared" ref="L9:L11" si="0">J9*12</f>
        <v>253416</v>
      </c>
      <c r="M9" s="394">
        <v>0.2412</v>
      </c>
      <c r="N9" s="180">
        <f t="shared" ref="N9:N42" si="1">L9/G9*K9*M9</f>
        <v>61123.939200000001</v>
      </c>
      <c r="O9" s="180"/>
      <c r="P9" s="180"/>
      <c r="Q9" s="133"/>
      <c r="R9" s="395">
        <f t="shared" ref="R9:R11" si="2">N9</f>
        <v>61123.939200000001</v>
      </c>
      <c r="S9" s="133"/>
    </row>
    <row r="10" spans="1:19" ht="16.899999999999999" customHeight="1" x14ac:dyDescent="0.25">
      <c r="A10" s="862"/>
      <c r="B10" s="882"/>
      <c r="C10" s="906"/>
      <c r="D10" s="910" t="s">
        <v>411</v>
      </c>
      <c r="E10" s="911"/>
      <c r="F10" s="400">
        <v>3423</v>
      </c>
      <c r="G10" s="401">
        <v>1</v>
      </c>
      <c r="H10" s="402">
        <v>10000</v>
      </c>
      <c r="I10" s="403">
        <v>2400</v>
      </c>
      <c r="J10" s="403">
        <v>12400</v>
      </c>
      <c r="K10" s="393">
        <v>1</v>
      </c>
      <c r="L10" s="180">
        <f t="shared" si="0"/>
        <v>148800</v>
      </c>
      <c r="M10" s="394">
        <v>0.2412</v>
      </c>
      <c r="N10" s="180">
        <f t="shared" si="1"/>
        <v>35890.559999999998</v>
      </c>
      <c r="O10" s="180"/>
      <c r="P10" s="180"/>
      <c r="Q10" s="133"/>
      <c r="R10" s="395">
        <f t="shared" si="2"/>
        <v>35890.559999999998</v>
      </c>
      <c r="S10" s="133"/>
    </row>
    <row r="11" spans="1:19" ht="16.149999999999999" customHeight="1" thickBot="1" x14ac:dyDescent="0.3">
      <c r="A11" s="862"/>
      <c r="B11" s="882"/>
      <c r="C11" s="906"/>
      <c r="D11" s="912" t="s">
        <v>180</v>
      </c>
      <c r="E11" s="913"/>
      <c r="F11" s="404">
        <v>4144</v>
      </c>
      <c r="G11" s="405">
        <v>1</v>
      </c>
      <c r="H11" s="406">
        <v>8000</v>
      </c>
      <c r="I11" s="407"/>
      <c r="J11" s="407">
        <f>G11*H11</f>
        <v>8000</v>
      </c>
      <c r="K11" s="393">
        <v>0.5</v>
      </c>
      <c r="L11" s="180">
        <f t="shared" si="0"/>
        <v>96000</v>
      </c>
      <c r="M11" s="394">
        <v>0.2412</v>
      </c>
      <c r="N11" s="180">
        <f t="shared" si="1"/>
        <v>11577.6</v>
      </c>
      <c r="O11" s="180"/>
      <c r="P11" s="180"/>
      <c r="Q11" s="133"/>
      <c r="R11" s="395">
        <f t="shared" si="2"/>
        <v>11577.6</v>
      </c>
      <c r="S11" s="133"/>
    </row>
    <row r="12" spans="1:19" ht="16.899999999999999" customHeight="1" thickBot="1" x14ac:dyDescent="0.3">
      <c r="A12" s="862"/>
      <c r="B12" s="882"/>
      <c r="C12" s="906"/>
      <c r="D12" s="908" t="s">
        <v>193</v>
      </c>
      <c r="E12" s="909"/>
      <c r="F12" s="396" t="s">
        <v>194</v>
      </c>
      <c r="G12" s="397">
        <v>1</v>
      </c>
      <c r="H12" s="398">
        <v>14702.48</v>
      </c>
      <c r="I12" s="399"/>
      <c r="J12" s="399">
        <f>H12</f>
        <v>14702.48</v>
      </c>
      <c r="K12" s="393">
        <v>0.5</v>
      </c>
      <c r="L12" s="180">
        <f t="shared" ref="L12:L42" si="3">J12*12</f>
        <v>176429.76</v>
      </c>
      <c r="M12" s="394">
        <v>0.2412</v>
      </c>
      <c r="N12" s="180">
        <f t="shared" si="1"/>
        <v>21277.429056000001</v>
      </c>
      <c r="O12" s="180"/>
      <c r="P12" s="180"/>
      <c r="Q12" s="395">
        <f>N12</f>
        <v>21277.429056000001</v>
      </c>
      <c r="R12" s="133"/>
      <c r="S12" s="133"/>
    </row>
    <row r="13" spans="1:19" ht="13.9" customHeight="1" thickBot="1" x14ac:dyDescent="0.3">
      <c r="A13" s="875"/>
      <c r="B13" s="883"/>
      <c r="C13" s="907"/>
      <c r="D13" s="908" t="s">
        <v>412</v>
      </c>
      <c r="E13" s="909"/>
      <c r="F13" s="389" t="s">
        <v>413</v>
      </c>
      <c r="G13" s="408">
        <v>1</v>
      </c>
      <c r="H13" s="409">
        <v>12422.36</v>
      </c>
      <c r="I13" s="410"/>
      <c r="J13" s="410">
        <f t="shared" ref="J13:J18" si="4">G13*H13</f>
        <v>12422.36</v>
      </c>
      <c r="K13" s="393">
        <v>0.5</v>
      </c>
      <c r="L13" s="180">
        <f t="shared" si="3"/>
        <v>149068.32</v>
      </c>
      <c r="M13" s="394">
        <v>0.2412</v>
      </c>
      <c r="N13" s="180">
        <f t="shared" si="1"/>
        <v>17977.639392000001</v>
      </c>
      <c r="O13" s="180"/>
      <c r="P13" s="180"/>
      <c r="Q13" s="395">
        <f>N13</f>
        <v>17977.639392000001</v>
      </c>
      <c r="R13" s="133"/>
      <c r="S13" s="133"/>
    </row>
    <row r="14" spans="1:19" ht="15" customHeight="1" x14ac:dyDescent="0.25">
      <c r="A14" s="858">
        <v>2</v>
      </c>
      <c r="B14" s="893"/>
      <c r="C14" s="863" t="s">
        <v>414</v>
      </c>
      <c r="D14" s="889" t="s">
        <v>182</v>
      </c>
      <c r="E14" s="890"/>
      <c r="F14" s="411">
        <v>1231</v>
      </c>
      <c r="G14" s="412">
        <v>1</v>
      </c>
      <c r="H14" s="413">
        <v>36024.839999999997</v>
      </c>
      <c r="I14" s="414"/>
      <c r="J14" s="414">
        <f t="shared" si="4"/>
        <v>36024.839999999997</v>
      </c>
      <c r="K14" s="393">
        <v>1</v>
      </c>
      <c r="L14" s="180">
        <f t="shared" si="3"/>
        <v>432298.07999999996</v>
      </c>
      <c r="M14" s="394">
        <v>0.2412</v>
      </c>
      <c r="N14" s="180">
        <f t="shared" si="1"/>
        <v>104270.29689599999</v>
      </c>
      <c r="O14" s="180"/>
      <c r="P14" s="180"/>
      <c r="Q14" s="133"/>
      <c r="R14" s="395">
        <f>N14</f>
        <v>104270.29689599999</v>
      </c>
      <c r="S14" s="133"/>
    </row>
    <row r="15" spans="1:19" x14ac:dyDescent="0.25">
      <c r="A15" s="860"/>
      <c r="B15" s="894"/>
      <c r="C15" s="864"/>
      <c r="D15" s="856" t="s">
        <v>415</v>
      </c>
      <c r="E15" s="866"/>
      <c r="F15" s="415" t="s">
        <v>416</v>
      </c>
      <c r="G15" s="401">
        <v>1</v>
      </c>
      <c r="H15" s="402">
        <v>15527.95</v>
      </c>
      <c r="I15" s="403"/>
      <c r="J15" s="403">
        <f t="shared" si="4"/>
        <v>15527.95</v>
      </c>
      <c r="K15" s="393">
        <v>1</v>
      </c>
      <c r="L15" s="180">
        <f t="shared" si="3"/>
        <v>186335.40000000002</v>
      </c>
      <c r="M15" s="394">
        <v>0.2412</v>
      </c>
      <c r="N15" s="180">
        <f t="shared" si="1"/>
        <v>44944.098480000008</v>
      </c>
      <c r="O15" s="180"/>
      <c r="P15" s="180"/>
      <c r="Q15" s="133"/>
      <c r="R15" s="395">
        <f t="shared" ref="R15:R16" si="5">N15</f>
        <v>44944.098480000008</v>
      </c>
      <c r="S15" s="133"/>
    </row>
    <row r="16" spans="1:19" x14ac:dyDescent="0.25">
      <c r="A16" s="860"/>
      <c r="B16" s="894"/>
      <c r="C16" s="864"/>
      <c r="D16" s="856" t="s">
        <v>183</v>
      </c>
      <c r="E16" s="866"/>
      <c r="F16" s="415">
        <v>3433</v>
      </c>
      <c r="G16" s="401">
        <v>4</v>
      </c>
      <c r="H16" s="402">
        <v>14906.83</v>
      </c>
      <c r="I16" s="403"/>
      <c r="J16" s="403">
        <f t="shared" si="4"/>
        <v>59627.32</v>
      </c>
      <c r="K16" s="393">
        <v>4</v>
      </c>
      <c r="L16" s="180">
        <f t="shared" si="3"/>
        <v>715527.84</v>
      </c>
      <c r="M16" s="394">
        <v>0.2412</v>
      </c>
      <c r="N16" s="180">
        <f t="shared" si="1"/>
        <v>172585.31500800001</v>
      </c>
      <c r="O16" s="180"/>
      <c r="P16" s="180"/>
      <c r="Q16" s="133"/>
      <c r="R16" s="395">
        <f t="shared" si="5"/>
        <v>172585.31500800001</v>
      </c>
      <c r="S16" s="133"/>
    </row>
    <row r="17" spans="1:21" x14ac:dyDescent="0.25">
      <c r="A17" s="860"/>
      <c r="B17" s="894"/>
      <c r="C17" s="864"/>
      <c r="D17" s="856" t="s">
        <v>417</v>
      </c>
      <c r="E17" s="866"/>
      <c r="F17" s="415">
        <v>2441.1999999999998</v>
      </c>
      <c r="G17" s="401">
        <v>1</v>
      </c>
      <c r="H17" s="402">
        <v>19875.78</v>
      </c>
      <c r="I17" s="403"/>
      <c r="J17" s="403">
        <f t="shared" si="4"/>
        <v>19875.78</v>
      </c>
      <c r="K17" s="393">
        <v>1</v>
      </c>
      <c r="L17" s="180">
        <f t="shared" si="3"/>
        <v>238509.36</v>
      </c>
      <c r="M17" s="394">
        <v>0.2412</v>
      </c>
      <c r="N17" s="180">
        <f t="shared" si="1"/>
        <v>57528.457631999998</v>
      </c>
      <c r="O17" s="180"/>
      <c r="P17" s="180"/>
      <c r="Q17" s="395"/>
      <c r="R17" s="395">
        <f>N17</f>
        <v>57528.457631999998</v>
      </c>
      <c r="S17" s="133"/>
    </row>
    <row r="18" spans="1:21" ht="31.15" customHeight="1" thickBot="1" x14ac:dyDescent="0.3">
      <c r="A18" s="860"/>
      <c r="B18" s="894"/>
      <c r="C18" s="864"/>
      <c r="D18" s="891" t="s">
        <v>418</v>
      </c>
      <c r="E18" s="892"/>
      <c r="F18" s="416">
        <v>4112</v>
      </c>
      <c r="G18" s="417">
        <v>9</v>
      </c>
      <c r="H18" s="418">
        <v>14906.83</v>
      </c>
      <c r="I18" s="419"/>
      <c r="J18" s="419">
        <f t="shared" si="4"/>
        <v>134161.47</v>
      </c>
      <c r="K18" s="393">
        <v>5</v>
      </c>
      <c r="L18" s="180">
        <f t="shared" si="3"/>
        <v>1609937.6400000001</v>
      </c>
      <c r="M18" s="394">
        <v>0.2412</v>
      </c>
      <c r="N18" s="180">
        <f t="shared" si="1"/>
        <v>215731.64376000001</v>
      </c>
      <c r="O18" s="180"/>
      <c r="P18" s="180"/>
      <c r="Q18" s="395"/>
      <c r="R18" s="395"/>
      <c r="S18" s="395">
        <f>N18</f>
        <v>215731.64376000001</v>
      </c>
    </row>
    <row r="19" spans="1:21" ht="28.9" customHeight="1" thickBot="1" x14ac:dyDescent="0.3">
      <c r="A19" s="858">
        <v>3</v>
      </c>
      <c r="B19" s="879"/>
      <c r="C19" s="884" t="s">
        <v>419</v>
      </c>
      <c r="D19" s="887" t="s">
        <v>420</v>
      </c>
      <c r="E19" s="888"/>
      <c r="F19" s="411">
        <v>1235</v>
      </c>
      <c r="G19" s="420">
        <v>1</v>
      </c>
      <c r="H19" s="413">
        <v>31055.9</v>
      </c>
      <c r="I19" s="421"/>
      <c r="J19" s="421">
        <v>31055.9</v>
      </c>
      <c r="K19" s="393">
        <v>1</v>
      </c>
      <c r="L19" s="180">
        <f t="shared" si="3"/>
        <v>372670.80000000005</v>
      </c>
      <c r="M19" s="394">
        <v>0.2412</v>
      </c>
      <c r="N19" s="180">
        <f t="shared" si="1"/>
        <v>89888.196960000016</v>
      </c>
      <c r="O19" s="180"/>
      <c r="P19" s="180"/>
      <c r="Q19" s="133"/>
      <c r="R19" s="133"/>
      <c r="S19" s="133"/>
    </row>
    <row r="20" spans="1:21" ht="21" customHeight="1" x14ac:dyDescent="0.25">
      <c r="A20" s="862"/>
      <c r="B20" s="882"/>
      <c r="C20" s="885"/>
      <c r="D20" s="889" t="s">
        <v>421</v>
      </c>
      <c r="E20" s="890"/>
      <c r="F20" s="411">
        <v>1235</v>
      </c>
      <c r="G20" s="412">
        <v>1</v>
      </c>
      <c r="H20" s="413">
        <v>21118</v>
      </c>
      <c r="I20" s="414"/>
      <c r="J20" s="414">
        <f t="shared" ref="J20:J36" si="6">G20*H20</f>
        <v>21118</v>
      </c>
      <c r="K20" s="393">
        <v>1</v>
      </c>
      <c r="L20" s="180">
        <f t="shared" si="3"/>
        <v>253416</v>
      </c>
      <c r="M20" s="394">
        <v>0.2412</v>
      </c>
      <c r="N20" s="180">
        <f>L20/G20*K20</f>
        <v>253416</v>
      </c>
      <c r="O20" s="180"/>
      <c r="P20" s="180"/>
      <c r="Q20" s="133"/>
      <c r="R20" s="133"/>
      <c r="S20" s="395">
        <f>N20</f>
        <v>253416</v>
      </c>
    </row>
    <row r="21" spans="1:21" ht="37.15" customHeight="1" thickBot="1" x14ac:dyDescent="0.3">
      <c r="A21" s="862"/>
      <c r="B21" s="882"/>
      <c r="C21" s="885"/>
      <c r="D21" s="891" t="s">
        <v>422</v>
      </c>
      <c r="E21" s="892"/>
      <c r="F21" s="416" t="s">
        <v>178</v>
      </c>
      <c r="G21" s="420">
        <v>3</v>
      </c>
      <c r="H21" s="422">
        <v>17391.3</v>
      </c>
      <c r="I21" s="421"/>
      <c r="J21" s="421">
        <f t="shared" si="6"/>
        <v>52173.899999999994</v>
      </c>
      <c r="K21" s="393">
        <v>2.5</v>
      </c>
      <c r="L21" s="180">
        <f t="shared" si="3"/>
        <v>626086.79999999993</v>
      </c>
      <c r="M21" s="394">
        <v>0.2412</v>
      </c>
      <c r="N21" s="180">
        <f t="shared" si="1"/>
        <v>125843.44679999999</v>
      </c>
      <c r="O21" s="180"/>
      <c r="P21" s="180"/>
      <c r="Q21" s="133"/>
      <c r="R21" s="133"/>
      <c r="S21" s="395">
        <f>N21</f>
        <v>125843.44679999999</v>
      </c>
    </row>
    <row r="22" spans="1:21" ht="22.15" customHeight="1" thickBot="1" x14ac:dyDescent="0.3">
      <c r="A22" s="862"/>
      <c r="B22" s="882"/>
      <c r="C22" s="885"/>
      <c r="D22" s="891" t="s">
        <v>423</v>
      </c>
      <c r="E22" s="892"/>
      <c r="F22" s="416" t="s">
        <v>178</v>
      </c>
      <c r="G22" s="417">
        <v>10</v>
      </c>
      <c r="H22" s="418">
        <v>14906.83</v>
      </c>
      <c r="I22" s="419"/>
      <c r="J22" s="419">
        <f t="shared" si="6"/>
        <v>149068.29999999999</v>
      </c>
      <c r="K22" s="393">
        <v>4.5</v>
      </c>
      <c r="L22" s="180">
        <f t="shared" si="3"/>
        <v>1788819.5999999999</v>
      </c>
      <c r="M22" s="394">
        <v>0.2412</v>
      </c>
      <c r="N22" s="180">
        <f t="shared" si="1"/>
        <v>194158.47938399998</v>
      </c>
      <c r="O22" s="180"/>
      <c r="P22" s="180"/>
      <c r="Q22" s="133"/>
      <c r="R22" s="133"/>
      <c r="S22" s="133">
        <f t="shared" ref="S22:S40" si="7">K22*H22</f>
        <v>67080.735000000001</v>
      </c>
    </row>
    <row r="23" spans="1:21" ht="18" customHeight="1" thickBot="1" x14ac:dyDescent="0.3">
      <c r="A23" s="875"/>
      <c r="B23" s="883"/>
      <c r="C23" s="886"/>
      <c r="D23" s="891" t="s">
        <v>424</v>
      </c>
      <c r="E23" s="892"/>
      <c r="F23" s="416">
        <v>9120</v>
      </c>
      <c r="G23" s="417">
        <v>7</v>
      </c>
      <c r="H23" s="418">
        <v>12422.36</v>
      </c>
      <c r="I23" s="419"/>
      <c r="J23" s="419">
        <f>G23*H23</f>
        <v>86956.52</v>
      </c>
      <c r="K23" s="393">
        <v>7</v>
      </c>
      <c r="L23" s="180">
        <f t="shared" si="3"/>
        <v>1043478.24</v>
      </c>
      <c r="M23" s="394">
        <v>0.2412</v>
      </c>
      <c r="N23" s="180">
        <f t="shared" si="1"/>
        <v>251686.95148799999</v>
      </c>
      <c r="O23" s="180"/>
      <c r="P23" s="180"/>
      <c r="Q23" s="133"/>
      <c r="R23" s="133"/>
      <c r="S23" s="395">
        <f>N23</f>
        <v>251686.95148799999</v>
      </c>
    </row>
    <row r="24" spans="1:21" ht="23.25" customHeight="1" x14ac:dyDescent="0.25">
      <c r="A24" s="858">
        <v>4</v>
      </c>
      <c r="B24" s="859"/>
      <c r="C24" s="863" t="s">
        <v>425</v>
      </c>
      <c r="D24" s="878" t="s">
        <v>426</v>
      </c>
      <c r="E24" s="879"/>
      <c r="F24" s="423">
        <v>3119</v>
      </c>
      <c r="G24" s="424">
        <v>1</v>
      </c>
      <c r="H24" s="425">
        <v>26086.959999999999</v>
      </c>
      <c r="I24" s="426"/>
      <c r="J24" s="426">
        <f t="shared" si="6"/>
        <v>26086.959999999999</v>
      </c>
      <c r="K24" s="393">
        <v>1</v>
      </c>
      <c r="L24" s="180">
        <f t="shared" si="3"/>
        <v>313043.52</v>
      </c>
      <c r="M24" s="394">
        <v>0.2412</v>
      </c>
      <c r="N24" s="180">
        <f t="shared" si="1"/>
        <v>75506.097024000002</v>
      </c>
      <c r="O24" s="180"/>
      <c r="P24" s="180"/>
      <c r="Q24" s="395">
        <f t="shared" ref="Q24:Q33" si="8">N24</f>
        <v>75506.097024000002</v>
      </c>
      <c r="R24" s="133"/>
      <c r="S24" s="133"/>
    </row>
    <row r="25" spans="1:21" ht="23.25" customHeight="1" x14ac:dyDescent="0.25">
      <c r="A25" s="860"/>
      <c r="B25" s="861"/>
      <c r="C25" s="864"/>
      <c r="D25" s="880" t="s">
        <v>427</v>
      </c>
      <c r="E25" s="881"/>
      <c r="F25" s="423">
        <v>3119</v>
      </c>
      <c r="G25" s="424">
        <v>3</v>
      </c>
      <c r="H25" s="425">
        <v>18352.53</v>
      </c>
      <c r="I25" s="426"/>
      <c r="J25" s="426">
        <f t="shared" si="6"/>
        <v>55057.59</v>
      </c>
      <c r="K25" s="393">
        <v>3</v>
      </c>
      <c r="L25" s="180">
        <f t="shared" si="3"/>
        <v>660691.07999999996</v>
      </c>
      <c r="M25" s="394">
        <v>0.2412</v>
      </c>
      <c r="N25" s="180">
        <f t="shared" si="1"/>
        <v>159358.68849599999</v>
      </c>
      <c r="O25" s="180"/>
      <c r="P25" s="180"/>
      <c r="Q25" s="395">
        <f t="shared" si="8"/>
        <v>159358.68849599999</v>
      </c>
      <c r="R25" s="133"/>
      <c r="S25" s="133"/>
    </row>
    <row r="26" spans="1:21" ht="23.25" customHeight="1" thickBot="1" x14ac:dyDescent="0.3">
      <c r="A26" s="875"/>
      <c r="B26" s="876"/>
      <c r="C26" s="877"/>
      <c r="D26" s="872" t="s">
        <v>428</v>
      </c>
      <c r="E26" s="873"/>
      <c r="F26" s="427">
        <v>3119</v>
      </c>
      <c r="G26" s="428">
        <v>2</v>
      </c>
      <c r="H26" s="429">
        <v>12422.36</v>
      </c>
      <c r="I26" s="429"/>
      <c r="J26" s="430">
        <f t="shared" si="6"/>
        <v>24844.720000000001</v>
      </c>
      <c r="K26" s="393">
        <v>2</v>
      </c>
      <c r="L26" s="180">
        <f t="shared" si="3"/>
        <v>298136.64</v>
      </c>
      <c r="M26" s="394">
        <v>0.2412</v>
      </c>
      <c r="N26" s="180">
        <f t="shared" si="1"/>
        <v>71910.557568000004</v>
      </c>
      <c r="O26" s="180"/>
      <c r="P26" s="180"/>
      <c r="Q26" s="395">
        <f t="shared" si="8"/>
        <v>71910.557568000004</v>
      </c>
      <c r="R26" s="133"/>
      <c r="S26" s="133"/>
    </row>
    <row r="27" spans="1:21" ht="16.149999999999999" customHeight="1" thickBot="1" x14ac:dyDescent="0.3">
      <c r="A27" s="858">
        <v>5</v>
      </c>
      <c r="B27" s="859"/>
      <c r="C27" s="863" t="s">
        <v>185</v>
      </c>
      <c r="D27" s="856" t="s">
        <v>429</v>
      </c>
      <c r="E27" s="866"/>
      <c r="F27" s="415" t="s">
        <v>430</v>
      </c>
      <c r="G27" s="401">
        <v>1</v>
      </c>
      <c r="H27" s="402">
        <v>32300</v>
      </c>
      <c r="I27" s="403"/>
      <c r="J27" s="403">
        <f t="shared" si="6"/>
        <v>32300</v>
      </c>
      <c r="K27" s="393">
        <v>1</v>
      </c>
      <c r="L27" s="180">
        <f t="shared" si="3"/>
        <v>387600</v>
      </c>
      <c r="M27" s="394">
        <v>0.2412</v>
      </c>
      <c r="N27" s="180">
        <f t="shared" si="1"/>
        <v>93489.12</v>
      </c>
      <c r="O27" s="180"/>
      <c r="P27" s="180"/>
      <c r="Q27" s="395">
        <f t="shared" si="8"/>
        <v>93489.12</v>
      </c>
      <c r="R27" s="133"/>
      <c r="S27" s="133"/>
      <c r="T27" s="431"/>
      <c r="U27" s="431"/>
    </row>
    <row r="28" spans="1:21" ht="16.149999999999999" customHeight="1" x14ac:dyDescent="0.25">
      <c r="A28" s="860"/>
      <c r="B28" s="861"/>
      <c r="C28" s="864"/>
      <c r="D28" s="854" t="s">
        <v>431</v>
      </c>
      <c r="E28" s="867"/>
      <c r="F28" s="432">
        <v>3152</v>
      </c>
      <c r="G28" s="401">
        <v>1</v>
      </c>
      <c r="H28" s="402">
        <v>37267.08</v>
      </c>
      <c r="I28" s="403"/>
      <c r="J28" s="403">
        <f t="shared" si="6"/>
        <v>37267.08</v>
      </c>
      <c r="K28" s="393">
        <v>0.5</v>
      </c>
      <c r="L28" s="180">
        <f t="shared" si="3"/>
        <v>447204.96</v>
      </c>
      <c r="M28" s="394">
        <v>0.2412</v>
      </c>
      <c r="N28" s="180">
        <f t="shared" si="1"/>
        <v>53932.918175999999</v>
      </c>
      <c r="O28" s="180"/>
      <c r="P28" s="180"/>
      <c r="Q28" s="395">
        <f t="shared" si="8"/>
        <v>53932.918175999999</v>
      </c>
      <c r="R28" s="133"/>
      <c r="S28" s="133"/>
    </row>
    <row r="29" spans="1:21" ht="18" customHeight="1" x14ac:dyDescent="0.25">
      <c r="A29" s="862"/>
      <c r="B29" s="861"/>
      <c r="C29" s="865"/>
      <c r="D29" s="856" t="s">
        <v>432</v>
      </c>
      <c r="E29" s="866"/>
      <c r="F29" s="415">
        <v>3231</v>
      </c>
      <c r="G29" s="401">
        <v>2</v>
      </c>
      <c r="H29" s="402">
        <v>12688</v>
      </c>
      <c r="I29" s="403"/>
      <c r="J29" s="403">
        <f t="shared" si="6"/>
        <v>25376</v>
      </c>
      <c r="K29" s="393">
        <v>1</v>
      </c>
      <c r="L29" s="180">
        <f t="shared" si="3"/>
        <v>304512</v>
      </c>
      <c r="M29" s="394">
        <v>0.2412</v>
      </c>
      <c r="N29" s="180">
        <f t="shared" si="1"/>
        <v>36724.147199999999</v>
      </c>
      <c r="O29" s="180"/>
      <c r="P29" s="180"/>
      <c r="Q29" s="395">
        <f t="shared" si="8"/>
        <v>36724.147199999999</v>
      </c>
      <c r="R29" s="133"/>
      <c r="S29" s="133"/>
    </row>
    <row r="30" spans="1:21" ht="23.25" customHeight="1" x14ac:dyDescent="0.25">
      <c r="A30" s="862"/>
      <c r="B30" s="861"/>
      <c r="C30" s="865"/>
      <c r="D30" s="854" t="s">
        <v>433</v>
      </c>
      <c r="E30" s="855"/>
      <c r="F30" s="415">
        <v>7132</v>
      </c>
      <c r="G30" s="428">
        <v>6</v>
      </c>
      <c r="H30" s="429">
        <v>19224.400000000001</v>
      </c>
      <c r="I30" s="430"/>
      <c r="J30" s="430">
        <f t="shared" si="6"/>
        <v>115346.40000000001</v>
      </c>
      <c r="K30" s="393">
        <v>6</v>
      </c>
      <c r="L30" s="180">
        <f t="shared" si="3"/>
        <v>1384156.8</v>
      </c>
      <c r="M30" s="394">
        <v>0.2412</v>
      </c>
      <c r="N30" s="180">
        <f t="shared" si="1"/>
        <v>333858.62015999999</v>
      </c>
      <c r="O30" s="180"/>
      <c r="P30" s="180"/>
      <c r="Q30" s="395">
        <f t="shared" si="8"/>
        <v>333858.62015999999</v>
      </c>
      <c r="R30" s="133"/>
      <c r="S30" s="133"/>
    </row>
    <row r="31" spans="1:21" ht="23.25" customHeight="1" x14ac:dyDescent="0.25">
      <c r="A31" s="862"/>
      <c r="B31" s="861"/>
      <c r="C31" s="865"/>
      <c r="D31" s="854" t="s">
        <v>434</v>
      </c>
      <c r="E31" s="855"/>
      <c r="F31" s="415">
        <v>7241</v>
      </c>
      <c r="G31" s="428">
        <v>3</v>
      </c>
      <c r="H31" s="429">
        <v>19224.400000000001</v>
      </c>
      <c r="I31" s="430"/>
      <c r="J31" s="430">
        <f t="shared" si="6"/>
        <v>57673.200000000004</v>
      </c>
      <c r="K31" s="393">
        <v>3</v>
      </c>
      <c r="L31" s="180">
        <f t="shared" si="3"/>
        <v>692078.4</v>
      </c>
      <c r="M31" s="394">
        <v>0.2412</v>
      </c>
      <c r="N31" s="180">
        <f t="shared" si="1"/>
        <v>166929.31008</v>
      </c>
      <c r="O31" s="180"/>
      <c r="P31" s="180"/>
      <c r="Q31" s="395">
        <f t="shared" si="8"/>
        <v>166929.31008</v>
      </c>
      <c r="R31" s="133"/>
      <c r="S31" s="133"/>
    </row>
    <row r="32" spans="1:21" ht="23.25" customHeight="1" x14ac:dyDescent="0.25">
      <c r="A32" s="862"/>
      <c r="B32" s="861"/>
      <c r="C32" s="865"/>
      <c r="D32" s="854" t="s">
        <v>435</v>
      </c>
      <c r="E32" s="867"/>
      <c r="F32" s="415">
        <v>3115</v>
      </c>
      <c r="G32" s="428">
        <v>1</v>
      </c>
      <c r="H32" s="429">
        <v>25202.67</v>
      </c>
      <c r="I32" s="430"/>
      <c r="J32" s="430">
        <f t="shared" si="6"/>
        <v>25202.67</v>
      </c>
      <c r="K32" s="393">
        <v>1</v>
      </c>
      <c r="L32" s="180">
        <f t="shared" si="3"/>
        <v>302432.03999999998</v>
      </c>
      <c r="M32" s="394">
        <v>0.2412</v>
      </c>
      <c r="N32" s="180">
        <f t="shared" si="1"/>
        <v>72946.608047999995</v>
      </c>
      <c r="O32" s="180"/>
      <c r="P32" s="180"/>
      <c r="Q32" s="395">
        <f t="shared" si="8"/>
        <v>72946.608047999995</v>
      </c>
      <c r="R32" s="133"/>
      <c r="S32" s="133"/>
    </row>
    <row r="33" spans="1:19" ht="15.6" customHeight="1" x14ac:dyDescent="0.25">
      <c r="A33" s="862"/>
      <c r="B33" s="861"/>
      <c r="C33" s="865"/>
      <c r="D33" s="854" t="s">
        <v>436</v>
      </c>
      <c r="E33" s="855"/>
      <c r="F33" s="415">
        <v>3115</v>
      </c>
      <c r="G33" s="401">
        <v>4</v>
      </c>
      <c r="H33" s="402">
        <v>13000</v>
      </c>
      <c r="I33" s="403"/>
      <c r="J33" s="403">
        <f t="shared" si="6"/>
        <v>52000</v>
      </c>
      <c r="K33" s="393">
        <v>1</v>
      </c>
      <c r="L33" s="180">
        <f t="shared" si="3"/>
        <v>624000</v>
      </c>
      <c r="M33" s="394">
        <v>0.2412</v>
      </c>
      <c r="N33" s="180">
        <f t="shared" si="1"/>
        <v>37627.199999999997</v>
      </c>
      <c r="O33" s="180"/>
      <c r="P33" s="180"/>
      <c r="Q33" s="395">
        <f t="shared" si="8"/>
        <v>37627.199999999997</v>
      </c>
      <c r="R33" s="133"/>
      <c r="S33" s="133"/>
    </row>
    <row r="34" spans="1:19" ht="19.149999999999999" customHeight="1" x14ac:dyDescent="0.25">
      <c r="A34" s="862"/>
      <c r="B34" s="861"/>
      <c r="C34" s="865"/>
      <c r="D34" s="868" t="s">
        <v>437</v>
      </c>
      <c r="E34" s="869"/>
      <c r="F34" s="433">
        <v>8322</v>
      </c>
      <c r="G34" s="434">
        <v>24</v>
      </c>
      <c r="H34" s="435">
        <v>24233.33</v>
      </c>
      <c r="I34" s="436"/>
      <c r="J34" s="436">
        <f t="shared" si="6"/>
        <v>581599.92000000004</v>
      </c>
      <c r="K34" s="393">
        <v>19</v>
      </c>
      <c r="L34" s="180">
        <f t="shared" si="3"/>
        <v>6979199.040000001</v>
      </c>
      <c r="M34" s="394">
        <v>0.2412</v>
      </c>
      <c r="N34" s="180">
        <f t="shared" si="1"/>
        <v>1332678.056688</v>
      </c>
      <c r="O34" s="437">
        <f>'Загальні відомості'!E10</f>
        <v>1781647.0471799998</v>
      </c>
      <c r="P34" s="437">
        <f>'Загальні відомості'!E14</f>
        <v>681806.26290830621</v>
      </c>
      <c r="Q34" s="133"/>
      <c r="R34" s="133"/>
      <c r="S34" s="133"/>
    </row>
    <row r="35" spans="1:19" ht="16.149999999999999" customHeight="1" x14ac:dyDescent="0.25">
      <c r="A35" s="862"/>
      <c r="B35" s="861"/>
      <c r="C35" s="865"/>
      <c r="D35" s="856" t="s">
        <v>438</v>
      </c>
      <c r="E35" s="857"/>
      <c r="F35" s="424">
        <v>9333</v>
      </c>
      <c r="G35" s="438">
        <v>45</v>
      </c>
      <c r="H35" s="439">
        <v>18841.330000000002</v>
      </c>
      <c r="I35" s="440"/>
      <c r="J35" s="441">
        <f t="shared" si="6"/>
        <v>847859.85000000009</v>
      </c>
      <c r="K35" s="393">
        <v>26</v>
      </c>
      <c r="L35" s="180">
        <f t="shared" si="3"/>
        <v>10174318.200000001</v>
      </c>
      <c r="M35" s="394">
        <v>0.2412</v>
      </c>
      <c r="N35" s="180">
        <f t="shared" si="1"/>
        <v>1417892.9843520003</v>
      </c>
      <c r="O35" s="437">
        <f>'Загальні відомості'!K10</f>
        <v>2771592.6157919997</v>
      </c>
      <c r="P35" s="437">
        <f>'Загальні відомості'!K14</f>
        <v>1060641.7</v>
      </c>
      <c r="Q35" s="133"/>
      <c r="R35" s="133"/>
      <c r="S35" s="133"/>
    </row>
    <row r="36" spans="1:19" ht="20.45" customHeight="1" x14ac:dyDescent="0.25">
      <c r="A36" s="862"/>
      <c r="B36" s="861"/>
      <c r="C36" s="865"/>
      <c r="D36" s="854" t="s">
        <v>439</v>
      </c>
      <c r="E36" s="867"/>
      <c r="F36" s="424">
        <v>8332</v>
      </c>
      <c r="G36" s="438">
        <v>1</v>
      </c>
      <c r="H36" s="439">
        <v>31696</v>
      </c>
      <c r="I36" s="440"/>
      <c r="J36" s="441">
        <f t="shared" si="6"/>
        <v>31696</v>
      </c>
      <c r="K36" s="393">
        <v>1</v>
      </c>
      <c r="L36" s="180">
        <f t="shared" si="3"/>
        <v>380352</v>
      </c>
      <c r="M36" s="394">
        <v>0.2412</v>
      </c>
      <c r="N36" s="180">
        <f t="shared" si="1"/>
        <v>91740.902400000006</v>
      </c>
      <c r="O36" s="180"/>
      <c r="P36" s="180"/>
      <c r="Q36" s="133"/>
      <c r="R36" s="133"/>
      <c r="S36" s="133"/>
    </row>
    <row r="37" spans="1:19" ht="13.15" customHeight="1" x14ac:dyDescent="0.25">
      <c r="A37" s="862"/>
      <c r="B37" s="861"/>
      <c r="C37" s="865"/>
      <c r="D37" s="856" t="s">
        <v>440</v>
      </c>
      <c r="E37" s="866"/>
      <c r="F37" s="415">
        <v>3422</v>
      </c>
      <c r="G37" s="401">
        <v>1</v>
      </c>
      <c r="H37" s="402">
        <v>19131</v>
      </c>
      <c r="I37" s="403"/>
      <c r="J37" s="403">
        <f>G37*H37</f>
        <v>19131</v>
      </c>
      <c r="K37" s="393">
        <v>1</v>
      </c>
      <c r="L37" s="180">
        <f t="shared" si="3"/>
        <v>229572</v>
      </c>
      <c r="M37" s="394">
        <v>0.2412</v>
      </c>
      <c r="N37" s="180">
        <f t="shared" si="1"/>
        <v>55372.7664</v>
      </c>
      <c r="O37" s="180"/>
      <c r="P37" s="180"/>
      <c r="Q37" s="395">
        <f>N37</f>
        <v>55372.7664</v>
      </c>
      <c r="R37" s="133"/>
      <c r="S37" s="133"/>
    </row>
    <row r="38" spans="1:19" ht="13.15" customHeight="1" thickBot="1" x14ac:dyDescent="0.3">
      <c r="A38" s="862"/>
      <c r="B38" s="861"/>
      <c r="C38" s="865"/>
      <c r="D38" s="870" t="s">
        <v>441</v>
      </c>
      <c r="E38" s="871"/>
      <c r="F38" s="416">
        <v>7212</v>
      </c>
      <c r="G38" s="405">
        <v>2</v>
      </c>
      <c r="H38" s="406">
        <v>21118</v>
      </c>
      <c r="I38" s="407"/>
      <c r="J38" s="407">
        <f>G38*H38</f>
        <v>42236</v>
      </c>
      <c r="K38" s="393">
        <v>1</v>
      </c>
      <c r="L38" s="180">
        <f t="shared" si="3"/>
        <v>506832</v>
      </c>
      <c r="M38" s="394">
        <v>0.2412</v>
      </c>
      <c r="N38" s="180">
        <f t="shared" si="1"/>
        <v>61123.939200000001</v>
      </c>
      <c r="O38" s="180"/>
      <c r="P38" s="180"/>
      <c r="Q38" s="395">
        <f>N38</f>
        <v>61123.939200000001</v>
      </c>
      <c r="R38" s="133"/>
      <c r="S38" s="133"/>
    </row>
    <row r="39" spans="1:19" ht="13.15" customHeight="1" x14ac:dyDescent="0.25">
      <c r="A39" s="862"/>
      <c r="B39" s="861"/>
      <c r="C39" s="865"/>
      <c r="D39" s="872" t="s">
        <v>442</v>
      </c>
      <c r="E39" s="873"/>
      <c r="F39" s="442">
        <v>9142</v>
      </c>
      <c r="G39" s="428">
        <v>2</v>
      </c>
      <c r="H39" s="429">
        <v>17392</v>
      </c>
      <c r="I39" s="429">
        <v>1739.2</v>
      </c>
      <c r="J39" s="430">
        <f>G39*(H39+I39)</f>
        <v>38262.400000000001</v>
      </c>
      <c r="K39" s="393">
        <v>2</v>
      </c>
      <c r="L39" s="180">
        <f t="shared" si="3"/>
        <v>459148.80000000005</v>
      </c>
      <c r="M39" s="394">
        <v>0.2412</v>
      </c>
      <c r="N39" s="180">
        <f t="shared" si="1"/>
        <v>110746.69056000002</v>
      </c>
      <c r="O39" s="180"/>
      <c r="P39" s="180"/>
      <c r="Q39" s="395">
        <f>N39</f>
        <v>110746.69056000002</v>
      </c>
      <c r="R39" s="133"/>
      <c r="S39" s="133"/>
    </row>
    <row r="40" spans="1:19" ht="13.15" customHeight="1" x14ac:dyDescent="0.25">
      <c r="A40" s="862"/>
      <c r="B40" s="861"/>
      <c r="C40" s="865"/>
      <c r="D40" s="874" t="s">
        <v>443</v>
      </c>
      <c r="E40" s="872"/>
      <c r="F40" s="443">
        <v>9322</v>
      </c>
      <c r="G40" s="444">
        <v>1</v>
      </c>
      <c r="H40" s="429"/>
      <c r="I40" s="133"/>
      <c r="J40" s="430">
        <f t="shared" ref="J40:J41" si="9">G40*H40</f>
        <v>0</v>
      </c>
      <c r="K40" s="393"/>
      <c r="L40" s="180">
        <f t="shared" si="3"/>
        <v>0</v>
      </c>
      <c r="M40" s="394">
        <v>0.2412</v>
      </c>
      <c r="N40" s="180">
        <f t="shared" si="1"/>
        <v>0</v>
      </c>
      <c r="O40" s="180"/>
      <c r="P40" s="180"/>
      <c r="Q40" s="133">
        <f t="shared" ref="Q40" si="10">K40*H40</f>
        <v>0</v>
      </c>
      <c r="R40" s="133">
        <f t="shared" ref="R40" si="11">K40*H40</f>
        <v>0</v>
      </c>
      <c r="S40" s="133">
        <f t="shared" si="7"/>
        <v>0</v>
      </c>
    </row>
    <row r="41" spans="1:19" ht="20.45" customHeight="1" x14ac:dyDescent="0.25">
      <c r="A41" s="846">
        <v>6</v>
      </c>
      <c r="B41" s="847"/>
      <c r="C41" s="850" t="s">
        <v>444</v>
      </c>
      <c r="D41" s="852" t="s">
        <v>445</v>
      </c>
      <c r="E41" s="853"/>
      <c r="F41" s="445" t="s">
        <v>446</v>
      </c>
      <c r="G41" s="424">
        <v>1</v>
      </c>
      <c r="H41" s="425">
        <v>27950</v>
      </c>
      <c r="I41" s="426"/>
      <c r="J41" s="426">
        <f t="shared" si="9"/>
        <v>27950</v>
      </c>
      <c r="K41" s="393">
        <v>1</v>
      </c>
      <c r="L41" s="180">
        <f t="shared" si="3"/>
        <v>335400</v>
      </c>
      <c r="M41" s="394">
        <v>0.2412</v>
      </c>
      <c r="N41" s="180">
        <f t="shared" si="1"/>
        <v>80898.48</v>
      </c>
      <c r="O41" s="180"/>
      <c r="P41" s="180"/>
      <c r="Q41" s="395">
        <f>N41</f>
        <v>80898.48</v>
      </c>
      <c r="R41" s="133"/>
      <c r="S41" s="133"/>
    </row>
    <row r="42" spans="1:19" ht="22.9" customHeight="1" x14ac:dyDescent="0.25">
      <c r="A42" s="848"/>
      <c r="B42" s="849"/>
      <c r="C42" s="851"/>
      <c r="D42" s="854" t="s">
        <v>447</v>
      </c>
      <c r="E42" s="855"/>
      <c r="F42" s="415">
        <v>9132</v>
      </c>
      <c r="G42" s="428">
        <v>3</v>
      </c>
      <c r="H42" s="429">
        <v>9316.77</v>
      </c>
      <c r="I42" s="430"/>
      <c r="J42" s="430">
        <f>H42*G42</f>
        <v>27950.31</v>
      </c>
      <c r="K42" s="393">
        <v>1.5</v>
      </c>
      <c r="L42" s="180">
        <f t="shared" si="3"/>
        <v>335403.72000000003</v>
      </c>
      <c r="M42" s="394">
        <v>0.2412</v>
      </c>
      <c r="N42" s="180">
        <f t="shared" si="1"/>
        <v>40449.688632000005</v>
      </c>
      <c r="O42" s="180"/>
      <c r="P42" s="180"/>
      <c r="Q42" s="395">
        <f>N42</f>
        <v>40449.688632000005</v>
      </c>
      <c r="R42" s="133"/>
      <c r="S42" s="133"/>
    </row>
    <row r="43" spans="1:19" ht="16.899999999999999" customHeight="1" thickBot="1" x14ac:dyDescent="0.3">
      <c r="A43" s="844" t="s">
        <v>448</v>
      </c>
      <c r="B43" s="845"/>
      <c r="C43" s="845"/>
      <c r="D43" s="845"/>
      <c r="E43" s="845"/>
      <c r="F43" s="446"/>
      <c r="G43" s="447">
        <v>151</v>
      </c>
      <c r="H43" s="448">
        <f>SUM(H8:H42)</f>
        <v>705726.90999999992</v>
      </c>
      <c r="I43" s="449"/>
      <c r="J43" s="449">
        <f>SUM(J8:J42)</f>
        <v>2797973.54</v>
      </c>
      <c r="K43" s="429">
        <f>SUM(K8:K42)</f>
        <v>104.5</v>
      </c>
      <c r="L43" s="429">
        <f t="shared" ref="L43:N43" si="12">SUM(L8:L42)</f>
        <v>33575682.480000004</v>
      </c>
      <c r="M43" s="429"/>
      <c r="N43" s="429">
        <f t="shared" si="12"/>
        <v>6112885.5835680012</v>
      </c>
      <c r="O43" s="180"/>
      <c r="P43" s="180"/>
      <c r="Q43" s="133"/>
      <c r="R43" s="133"/>
      <c r="S43" s="133"/>
    </row>
    <row r="44" spans="1:19" ht="0.6" customHeight="1" thickBot="1" x14ac:dyDescent="0.3">
      <c r="A44" s="450"/>
      <c r="B44" s="451"/>
      <c r="C44" s="452"/>
      <c r="D44" s="453"/>
      <c r="E44" s="453"/>
      <c r="F44" s="446"/>
      <c r="G44" s="447"/>
      <c r="H44" s="448"/>
      <c r="I44" s="449"/>
      <c r="J44" s="454">
        <f>SUM(J8:J43)</f>
        <v>5595947.0800000001</v>
      </c>
      <c r="K44" s="455"/>
      <c r="M44" s="456"/>
      <c r="N44" s="456"/>
      <c r="O44" s="456"/>
      <c r="P44" s="456"/>
      <c r="Q44" s="457"/>
      <c r="R44" s="457"/>
      <c r="S44" s="457"/>
    </row>
    <row r="45" spans="1:19" ht="22.9" customHeight="1" x14ac:dyDescent="0.25">
      <c r="A45" s="841" t="s">
        <v>449</v>
      </c>
      <c r="B45" s="841"/>
      <c r="C45" s="841"/>
      <c r="D45" s="841"/>
      <c r="E45" s="841"/>
      <c r="F45" s="841"/>
      <c r="G45" s="841"/>
      <c r="H45" s="841"/>
      <c r="I45" s="841"/>
      <c r="J45" s="841"/>
      <c r="K45" s="458"/>
      <c r="M45" s="459"/>
      <c r="N45" s="459"/>
      <c r="O45" s="460">
        <f>SUM(O8:O42)</f>
        <v>4553239.6629719995</v>
      </c>
      <c r="P45" s="461">
        <f t="shared" ref="P45" si="13">SUM(P8:P42)</f>
        <v>1742447.9629083062</v>
      </c>
      <c r="Q45" s="460">
        <f>SUM(Q8:Q42)</f>
        <v>1490129.8999919998</v>
      </c>
      <c r="R45" s="460">
        <f>SUM(R5:R43)</f>
        <v>649719.02174399991</v>
      </c>
      <c r="S45" s="460">
        <f>SUM(S8:S42)</f>
        <v>913758.77704800002</v>
      </c>
    </row>
    <row r="46" spans="1:19" ht="13.15" customHeight="1" x14ac:dyDescent="0.25">
      <c r="A46" s="842" t="s">
        <v>428</v>
      </c>
      <c r="B46" s="842"/>
      <c r="C46" s="842"/>
      <c r="D46" s="842"/>
      <c r="E46" s="842"/>
      <c r="F46" s="843" t="s">
        <v>450</v>
      </c>
      <c r="G46" s="843"/>
      <c r="H46" s="843"/>
      <c r="I46" s="843"/>
      <c r="J46" s="462">
        <v>105.88</v>
      </c>
      <c r="K46" s="458"/>
      <c r="Q46" s="468">
        <f>L42+L41+L40+L39+L38+L37+L33+L32+L31+L30+L29+L28+L27+L26+L25+L24+L13+L12</f>
        <v>7605710.0399999991</v>
      </c>
      <c r="R46" s="468">
        <f>L8+L9+L10+L11+L14+L15+L16+L17</f>
        <v>2741694.1199999996</v>
      </c>
    </row>
    <row r="47" spans="1:19" ht="13.9" customHeight="1" x14ac:dyDescent="0.25">
      <c r="A47" s="842" t="s">
        <v>451</v>
      </c>
      <c r="B47" s="842"/>
      <c r="C47" s="842"/>
      <c r="D47" s="842"/>
      <c r="E47" s="842"/>
      <c r="F47" s="843" t="s">
        <v>452</v>
      </c>
      <c r="G47" s="843"/>
      <c r="H47" s="843"/>
      <c r="I47" s="843"/>
      <c r="J47" s="462">
        <v>139.75</v>
      </c>
      <c r="K47" s="458"/>
    </row>
    <row r="48" spans="1:19" x14ac:dyDescent="0.25">
      <c r="A48" s="835" t="s">
        <v>453</v>
      </c>
      <c r="B48" s="835"/>
      <c r="C48" s="835"/>
      <c r="D48" s="835"/>
      <c r="E48" s="836"/>
      <c r="F48" s="837" t="s">
        <v>454</v>
      </c>
      <c r="G48" s="837"/>
      <c r="H48" s="837"/>
      <c r="J48" s="462">
        <v>108.7</v>
      </c>
    </row>
    <row r="49" spans="1:11" x14ac:dyDescent="0.25">
      <c r="A49" s="835" t="s">
        <v>455</v>
      </c>
      <c r="B49" s="835"/>
      <c r="C49" s="835"/>
      <c r="D49" s="835"/>
      <c r="E49" s="836"/>
      <c r="F49" s="837" t="s">
        <v>456</v>
      </c>
      <c r="G49" s="837"/>
      <c r="H49" s="837"/>
      <c r="J49" s="465">
        <v>73.2</v>
      </c>
    </row>
    <row r="50" spans="1:11" x14ac:dyDescent="0.25">
      <c r="A50" s="835" t="s">
        <v>457</v>
      </c>
      <c r="B50" s="835"/>
      <c r="C50" s="835"/>
      <c r="D50" s="835"/>
      <c r="E50" s="836"/>
      <c r="F50" s="837" t="s">
        <v>458</v>
      </c>
      <c r="G50" s="837"/>
      <c r="H50" s="837"/>
      <c r="J50" s="465">
        <v>75</v>
      </c>
    </row>
    <row r="51" spans="1:11" x14ac:dyDescent="0.25">
      <c r="A51" s="463"/>
      <c r="B51" s="463"/>
      <c r="C51" s="835" t="s">
        <v>459</v>
      </c>
      <c r="D51" s="835"/>
      <c r="E51" s="835"/>
      <c r="F51" s="464" t="s">
        <v>460</v>
      </c>
      <c r="G51" s="464"/>
      <c r="H51" s="464">
        <v>25202.67</v>
      </c>
      <c r="J51" s="465">
        <v>145.4</v>
      </c>
    </row>
    <row r="52" spans="1:11" x14ac:dyDescent="0.25">
      <c r="A52" s="835" t="s">
        <v>461</v>
      </c>
      <c r="B52" s="835"/>
      <c r="C52" s="835"/>
      <c r="D52" s="835"/>
      <c r="E52" s="836"/>
      <c r="F52" s="837" t="s">
        <v>462</v>
      </c>
      <c r="G52" s="837"/>
      <c r="H52" s="837"/>
      <c r="J52" s="465">
        <v>110.91</v>
      </c>
    </row>
    <row r="53" spans="1:11" x14ac:dyDescent="0.25">
      <c r="A53" s="463"/>
      <c r="B53" s="463"/>
      <c r="C53" s="838" t="s">
        <v>463</v>
      </c>
      <c r="D53" s="838"/>
      <c r="E53" s="838"/>
      <c r="F53" s="464" t="s">
        <v>462</v>
      </c>
      <c r="G53" s="464"/>
      <c r="H53" s="464"/>
      <c r="J53" s="465">
        <v>110.91</v>
      </c>
    </row>
    <row r="54" spans="1:11" ht="11.25" customHeight="1" x14ac:dyDescent="0.25">
      <c r="A54" s="466"/>
    </row>
    <row r="55" spans="1:11" ht="18.75" x14ac:dyDescent="0.25">
      <c r="A55" s="839" t="s">
        <v>172</v>
      </c>
      <c r="B55" s="839"/>
      <c r="C55" s="839"/>
      <c r="F55" s="840" t="s">
        <v>464</v>
      </c>
      <c r="G55" s="840"/>
      <c r="H55" s="840"/>
      <c r="I55" s="840"/>
      <c r="J55" s="840"/>
      <c r="K55" s="467"/>
    </row>
  </sheetData>
  <mergeCells count="87">
    <mergeCell ref="O4:R4"/>
    <mergeCell ref="A1:J1"/>
    <mergeCell ref="A2:A3"/>
    <mergeCell ref="B2:D3"/>
    <mergeCell ref="H3:J3"/>
    <mergeCell ref="B4:J4"/>
    <mergeCell ref="H5:H7"/>
    <mergeCell ref="I5:I7"/>
    <mergeCell ref="J5:J7"/>
    <mergeCell ref="A8:B13"/>
    <mergeCell ref="C8:C13"/>
    <mergeCell ref="D8:E8"/>
    <mergeCell ref="D9:E9"/>
    <mergeCell ref="D10:E10"/>
    <mergeCell ref="D11:E11"/>
    <mergeCell ref="D12:E12"/>
    <mergeCell ref="A5:B7"/>
    <mergeCell ref="C5:C7"/>
    <mergeCell ref="D5:E7"/>
    <mergeCell ref="F5:F7"/>
    <mergeCell ref="G5:G7"/>
    <mergeCell ref="D13:E13"/>
    <mergeCell ref="A14:B18"/>
    <mergeCell ref="C14:C18"/>
    <mergeCell ref="D14:E14"/>
    <mergeCell ref="D15:E15"/>
    <mergeCell ref="D16:E16"/>
    <mergeCell ref="D17:E17"/>
    <mergeCell ref="D18:E18"/>
    <mergeCell ref="A19:B23"/>
    <mergeCell ref="C19:C23"/>
    <mergeCell ref="D19:E19"/>
    <mergeCell ref="D20:E20"/>
    <mergeCell ref="D21:E21"/>
    <mergeCell ref="D22:E22"/>
    <mergeCell ref="D23:E23"/>
    <mergeCell ref="A24:B26"/>
    <mergeCell ref="C24:C26"/>
    <mergeCell ref="D24:E24"/>
    <mergeCell ref="D25:E25"/>
    <mergeCell ref="D26:E26"/>
    <mergeCell ref="D35:E35"/>
    <mergeCell ref="A27:B40"/>
    <mergeCell ref="C27:C40"/>
    <mergeCell ref="D27:E27"/>
    <mergeCell ref="D28:E28"/>
    <mergeCell ref="D29:E29"/>
    <mergeCell ref="D36:E36"/>
    <mergeCell ref="D30:E30"/>
    <mergeCell ref="D31:E31"/>
    <mergeCell ref="D32:E32"/>
    <mergeCell ref="D33:E33"/>
    <mergeCell ref="D34:E34"/>
    <mergeCell ref="D37:E37"/>
    <mergeCell ref="D38:E38"/>
    <mergeCell ref="D39:E39"/>
    <mergeCell ref="D40:E40"/>
    <mergeCell ref="A43:E43"/>
    <mergeCell ref="A41:B42"/>
    <mergeCell ref="C41:C42"/>
    <mergeCell ref="D41:E41"/>
    <mergeCell ref="D42:E42"/>
    <mergeCell ref="A45:J45"/>
    <mergeCell ref="A46:E46"/>
    <mergeCell ref="F46:I46"/>
    <mergeCell ref="A47:E47"/>
    <mergeCell ref="F47:I47"/>
    <mergeCell ref="A48:E48"/>
    <mergeCell ref="F48:H48"/>
    <mergeCell ref="A49:E49"/>
    <mergeCell ref="F49:H49"/>
    <mergeCell ref="A50:E50"/>
    <mergeCell ref="F50:H50"/>
    <mergeCell ref="C51:E51"/>
    <mergeCell ref="A52:E52"/>
    <mergeCell ref="F52:H52"/>
    <mergeCell ref="C53:E53"/>
    <mergeCell ref="A55:C55"/>
    <mergeCell ref="F55:J55"/>
    <mergeCell ref="Q5:Q7"/>
    <mergeCell ref="R5:R7"/>
    <mergeCell ref="S5:S7"/>
    <mergeCell ref="K5:K7"/>
    <mergeCell ref="L5:L7"/>
    <mergeCell ref="N5:N7"/>
    <mergeCell ref="O5:P6"/>
    <mergeCell ref="M5:M7"/>
  </mergeCells>
  <pageMargins left="0.7" right="0.7" top="0.43" bottom="0.71" header="0.59" footer="0.7"/>
  <pageSetup paperSize="9"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W38"/>
  <sheetViews>
    <sheetView topLeftCell="A4" workbookViewId="0">
      <selection activeCell="J18" sqref="J18"/>
    </sheetView>
  </sheetViews>
  <sheetFormatPr defaultRowHeight="15" x14ac:dyDescent="0.25"/>
  <cols>
    <col min="1" max="1" width="5" customWidth="1"/>
    <col min="2" max="2" width="14.7109375" customWidth="1"/>
    <col min="3" max="3" width="22.28515625" customWidth="1"/>
    <col min="5" max="5" width="9.140625" customWidth="1"/>
    <col min="6" max="6" width="10" customWidth="1"/>
    <col min="7" max="7" width="12.140625" customWidth="1"/>
    <col min="8" max="8" width="8.7109375" customWidth="1"/>
    <col min="9" max="9" width="10.85546875" customWidth="1"/>
    <col min="10" max="10" width="14.7109375" customWidth="1"/>
    <col min="11" max="11" width="12" customWidth="1"/>
    <col min="13" max="13" width="12.7109375" customWidth="1"/>
  </cols>
  <sheetData>
    <row r="1" spans="1:23" ht="90.6" customHeight="1" x14ac:dyDescent="0.25">
      <c r="A1" s="931" t="s">
        <v>403</v>
      </c>
      <c r="B1" s="932"/>
      <c r="C1" s="932"/>
      <c r="D1" s="932"/>
      <c r="E1" s="932"/>
      <c r="F1" s="932"/>
      <c r="G1" s="932"/>
      <c r="H1" s="932"/>
      <c r="I1" s="932"/>
      <c r="J1" s="932"/>
      <c r="K1" s="37"/>
      <c r="L1" s="37"/>
      <c r="M1" s="37"/>
      <c r="N1" s="37"/>
    </row>
    <row r="2" spans="1:23" ht="15.75" x14ac:dyDescent="0.25">
      <c r="A2" s="933"/>
      <c r="B2" s="934"/>
      <c r="C2" s="934"/>
      <c r="D2" s="934"/>
      <c r="E2" s="81"/>
      <c r="F2" s="82"/>
      <c r="G2" s="81"/>
      <c r="H2" s="81" t="s">
        <v>400</v>
      </c>
      <c r="I2" s="81"/>
      <c r="J2" s="81"/>
      <c r="K2" s="37"/>
      <c r="L2" s="37"/>
      <c r="M2" s="37"/>
      <c r="N2" s="37"/>
    </row>
    <row r="3" spans="1:23" ht="48" customHeight="1" x14ac:dyDescent="0.25">
      <c r="A3" s="933"/>
      <c r="B3" s="934"/>
      <c r="C3" s="934"/>
      <c r="D3" s="934"/>
      <c r="E3" s="83"/>
      <c r="F3" s="84"/>
      <c r="G3" s="83"/>
      <c r="H3" s="934" t="s">
        <v>401</v>
      </c>
      <c r="I3" s="935"/>
      <c r="J3" s="935"/>
      <c r="K3" s="37"/>
      <c r="L3" s="37"/>
      <c r="M3" s="37"/>
      <c r="N3" s="37"/>
    </row>
    <row r="4" spans="1:23" ht="18.75" x14ac:dyDescent="0.25">
      <c r="A4" s="79"/>
      <c r="B4" s="936" t="s">
        <v>402</v>
      </c>
      <c r="C4" s="936"/>
      <c r="D4" s="936"/>
      <c r="E4" s="936"/>
      <c r="F4" s="936"/>
      <c r="G4" s="936"/>
      <c r="H4" s="936"/>
      <c r="I4" s="936"/>
      <c r="J4" s="936"/>
      <c r="K4" s="37"/>
      <c r="L4" s="37"/>
      <c r="M4" s="37"/>
      <c r="N4" s="37"/>
      <c r="O4" s="26" t="s">
        <v>287</v>
      </c>
      <c r="P4" s="26"/>
      <c r="Q4" s="26"/>
      <c r="R4" s="26"/>
      <c r="S4" s="26"/>
      <c r="T4" s="26"/>
      <c r="U4" s="26"/>
      <c r="V4" s="26"/>
      <c r="W4" s="26"/>
    </row>
    <row r="5" spans="1:23" x14ac:dyDescent="0.25">
      <c r="A5" s="38"/>
      <c r="B5" s="38"/>
      <c r="C5" s="38"/>
      <c r="D5" s="38"/>
      <c r="E5" s="38"/>
      <c r="F5" s="38"/>
      <c r="G5" s="38"/>
      <c r="H5" s="37"/>
      <c r="I5" s="37"/>
      <c r="J5" s="37"/>
      <c r="K5" s="37"/>
      <c r="L5" s="37"/>
      <c r="M5" s="37"/>
      <c r="N5" s="37"/>
      <c r="O5" s="26" t="s">
        <v>288</v>
      </c>
      <c r="P5" s="26"/>
      <c r="Q5" s="26"/>
      <c r="R5" s="26"/>
      <c r="S5" s="26"/>
      <c r="T5" s="26"/>
      <c r="U5" s="26"/>
      <c r="V5" s="26"/>
      <c r="W5" s="26"/>
    </row>
    <row r="6" spans="1:23" x14ac:dyDescent="0.25">
      <c r="A6" s="39"/>
      <c r="B6" s="39"/>
      <c r="C6" s="39"/>
      <c r="D6" s="39"/>
      <c r="E6" s="39"/>
      <c r="F6" s="39"/>
      <c r="G6" s="39"/>
      <c r="H6" s="37"/>
      <c r="I6" s="37"/>
      <c r="J6" s="37"/>
      <c r="K6" s="37"/>
      <c r="L6" s="37"/>
      <c r="M6" s="37"/>
      <c r="N6" s="37"/>
    </row>
    <row r="7" spans="1:23" ht="94.5" x14ac:dyDescent="0.25">
      <c r="A7" s="40" t="s">
        <v>164</v>
      </c>
      <c r="B7" s="41" t="s">
        <v>165</v>
      </c>
      <c r="C7" s="41" t="s">
        <v>166</v>
      </c>
      <c r="D7" s="42" t="s">
        <v>167</v>
      </c>
      <c r="E7" s="42" t="s">
        <v>168</v>
      </c>
      <c r="F7" s="42" t="s">
        <v>169</v>
      </c>
      <c r="G7" s="43" t="s">
        <v>170</v>
      </c>
      <c r="H7" s="44" t="s">
        <v>205</v>
      </c>
      <c r="I7" s="44" t="s">
        <v>204</v>
      </c>
      <c r="J7" s="937" t="s">
        <v>206</v>
      </c>
      <c r="K7" s="938"/>
      <c r="L7" s="42" t="s">
        <v>207</v>
      </c>
      <c r="M7" s="42" t="s">
        <v>20</v>
      </c>
      <c r="N7" s="37"/>
    </row>
    <row r="8" spans="1:23" x14ac:dyDescent="0.25">
      <c r="A8" s="40"/>
      <c r="B8" s="41"/>
      <c r="C8" s="41"/>
      <c r="D8" s="42"/>
      <c r="E8" s="42"/>
      <c r="F8" s="42"/>
      <c r="G8" s="43"/>
      <c r="H8" s="44"/>
      <c r="I8" s="44"/>
      <c r="J8" s="41" t="s">
        <v>211</v>
      </c>
      <c r="K8" s="41" t="s">
        <v>212</v>
      </c>
      <c r="L8" s="42"/>
      <c r="M8" s="42"/>
      <c r="N8" s="37"/>
    </row>
    <row r="9" spans="1:23" x14ac:dyDescent="0.25">
      <c r="A9" s="40">
        <v>1</v>
      </c>
      <c r="B9" s="45" t="s">
        <v>171</v>
      </c>
      <c r="C9" s="45" t="s">
        <v>172</v>
      </c>
      <c r="D9" s="40" t="s">
        <v>173</v>
      </c>
      <c r="E9" s="40">
        <v>1</v>
      </c>
      <c r="F9" s="13">
        <v>11100</v>
      </c>
      <c r="G9" s="46">
        <f>F9</f>
        <v>11100</v>
      </c>
      <c r="H9" s="13">
        <f>F9*E9*12</f>
        <v>133200</v>
      </c>
      <c r="I9" s="13">
        <f>H9*0.2388</f>
        <v>31808.16</v>
      </c>
      <c r="J9" s="13" t="s">
        <v>208</v>
      </c>
      <c r="K9" s="13"/>
      <c r="L9" s="13" t="s">
        <v>208</v>
      </c>
      <c r="M9" s="13">
        <f>I9</f>
        <v>31808.16</v>
      </c>
      <c r="N9" s="37"/>
    </row>
    <row r="10" spans="1:23" ht="43.15" customHeight="1" x14ac:dyDescent="0.25">
      <c r="A10" s="943">
        <v>2</v>
      </c>
      <c r="B10" s="940" t="s">
        <v>174</v>
      </c>
      <c r="C10" s="47" t="s">
        <v>175</v>
      </c>
      <c r="D10" s="40" t="s">
        <v>176</v>
      </c>
      <c r="E10" s="40">
        <v>1</v>
      </c>
      <c r="F10" s="13">
        <v>8800</v>
      </c>
      <c r="G10" s="46">
        <f t="shared" ref="G10:G19" si="0">E10*F10</f>
        <v>8800</v>
      </c>
      <c r="H10" s="13">
        <f t="shared" ref="H10:H24" si="1">F10*E10*12</f>
        <v>105600</v>
      </c>
      <c r="I10" s="13">
        <f t="shared" ref="I10:I24" si="2">H10*0.2388</f>
        <v>25217.280000000002</v>
      </c>
      <c r="J10" s="13" t="s">
        <v>208</v>
      </c>
      <c r="K10" s="13"/>
      <c r="L10" s="13" t="s">
        <v>208</v>
      </c>
      <c r="M10" s="13">
        <f t="shared" ref="M10:M16" si="3">I10</f>
        <v>25217.280000000002</v>
      </c>
      <c r="N10" s="37"/>
    </row>
    <row r="11" spans="1:23" ht="45" x14ac:dyDescent="0.25">
      <c r="A11" s="944"/>
      <c r="B11" s="941"/>
      <c r="C11" s="47" t="s">
        <v>177</v>
      </c>
      <c r="D11" s="40" t="s">
        <v>178</v>
      </c>
      <c r="E11" s="40">
        <v>6</v>
      </c>
      <c r="F11" s="13">
        <v>8100</v>
      </c>
      <c r="G11" s="46">
        <f t="shared" si="0"/>
        <v>48600</v>
      </c>
      <c r="H11" s="13">
        <f t="shared" si="1"/>
        <v>583200</v>
      </c>
      <c r="I11" s="13">
        <f t="shared" si="2"/>
        <v>139268.16</v>
      </c>
      <c r="J11" s="13" t="s">
        <v>208</v>
      </c>
      <c r="K11" s="13"/>
      <c r="L11" s="13" t="s">
        <v>208</v>
      </c>
      <c r="M11" s="13">
        <f t="shared" si="3"/>
        <v>139268.16</v>
      </c>
      <c r="N11" s="37"/>
    </row>
    <row r="12" spans="1:23" ht="30" x14ac:dyDescent="0.25">
      <c r="A12" s="944"/>
      <c r="B12" s="941"/>
      <c r="C12" s="47" t="s">
        <v>179</v>
      </c>
      <c r="D12" s="40">
        <v>1232</v>
      </c>
      <c r="E12" s="40">
        <f>1*(0.25)</f>
        <v>0.25</v>
      </c>
      <c r="F12" s="13">
        <v>8800</v>
      </c>
      <c r="G12" s="46">
        <f>F12*0.25</f>
        <v>2200</v>
      </c>
      <c r="H12" s="13">
        <f t="shared" si="1"/>
        <v>26400</v>
      </c>
      <c r="I12" s="13">
        <f t="shared" si="2"/>
        <v>6304.3200000000006</v>
      </c>
      <c r="J12" s="13" t="s">
        <v>208</v>
      </c>
      <c r="K12" s="13"/>
      <c r="L12" s="13" t="s">
        <v>210</v>
      </c>
      <c r="M12" s="13">
        <f t="shared" si="3"/>
        <v>6304.3200000000006</v>
      </c>
      <c r="N12" s="37"/>
    </row>
    <row r="13" spans="1:23" x14ac:dyDescent="0.25">
      <c r="A13" s="945"/>
      <c r="B13" s="942"/>
      <c r="C13" s="45" t="s">
        <v>180</v>
      </c>
      <c r="D13" s="40">
        <v>4144</v>
      </c>
      <c r="E13" s="40">
        <f>2*(0.5)</f>
        <v>1</v>
      </c>
      <c r="F13" s="13">
        <v>6600</v>
      </c>
      <c r="G13" s="46">
        <f>2*0.5*F13</f>
        <v>6600</v>
      </c>
      <c r="H13" s="13">
        <f t="shared" si="1"/>
        <v>79200</v>
      </c>
      <c r="I13" s="13">
        <f t="shared" si="2"/>
        <v>18912.960000000003</v>
      </c>
      <c r="J13" s="13" t="s">
        <v>208</v>
      </c>
      <c r="K13" s="13"/>
      <c r="L13" s="13" t="s">
        <v>208</v>
      </c>
      <c r="M13" s="13">
        <f t="shared" si="3"/>
        <v>18912.960000000003</v>
      </c>
      <c r="N13" s="37"/>
    </row>
    <row r="14" spans="1:23" x14ac:dyDescent="0.25">
      <c r="A14" s="943">
        <v>3</v>
      </c>
      <c r="B14" s="946" t="s">
        <v>181</v>
      </c>
      <c r="C14" s="45" t="s">
        <v>182</v>
      </c>
      <c r="D14" s="40">
        <v>1231</v>
      </c>
      <c r="E14" s="48">
        <v>1</v>
      </c>
      <c r="F14" s="13">
        <v>10300</v>
      </c>
      <c r="G14" s="46">
        <f t="shared" si="0"/>
        <v>10300</v>
      </c>
      <c r="H14" s="13">
        <f t="shared" si="1"/>
        <v>123600</v>
      </c>
      <c r="I14" s="13">
        <f t="shared" si="2"/>
        <v>29515.68</v>
      </c>
      <c r="J14" s="13" t="s">
        <v>208</v>
      </c>
      <c r="K14" s="13"/>
      <c r="L14" s="13" t="s">
        <v>208</v>
      </c>
      <c r="M14" s="13">
        <f t="shared" si="3"/>
        <v>29515.68</v>
      </c>
      <c r="N14" s="37"/>
    </row>
    <row r="15" spans="1:23" x14ac:dyDescent="0.25">
      <c r="A15" s="944"/>
      <c r="B15" s="947"/>
      <c r="C15" s="45" t="s">
        <v>183</v>
      </c>
      <c r="D15" s="40">
        <v>3433</v>
      </c>
      <c r="E15" s="40">
        <v>2</v>
      </c>
      <c r="F15" s="13">
        <v>8600</v>
      </c>
      <c r="G15" s="46">
        <f t="shared" si="0"/>
        <v>17200</v>
      </c>
      <c r="H15" s="13">
        <f t="shared" si="1"/>
        <v>206400</v>
      </c>
      <c r="I15" s="13">
        <f t="shared" si="2"/>
        <v>49288.32</v>
      </c>
      <c r="J15" s="13" t="s">
        <v>208</v>
      </c>
      <c r="K15" s="13"/>
      <c r="L15" s="13" t="s">
        <v>208</v>
      </c>
      <c r="M15" s="13">
        <f t="shared" si="3"/>
        <v>49288.32</v>
      </c>
      <c r="N15" s="37"/>
    </row>
    <row r="16" spans="1:23" x14ac:dyDescent="0.25">
      <c r="A16" s="945"/>
      <c r="B16" s="948"/>
      <c r="C16" s="45" t="s">
        <v>184</v>
      </c>
      <c r="D16" s="40" t="s">
        <v>178</v>
      </c>
      <c r="E16" s="40">
        <v>1</v>
      </c>
      <c r="F16" s="13">
        <v>8600</v>
      </c>
      <c r="G16" s="46">
        <f t="shared" si="0"/>
        <v>8600</v>
      </c>
      <c r="H16" s="13">
        <f t="shared" si="1"/>
        <v>103200</v>
      </c>
      <c r="I16" s="13">
        <f t="shared" si="2"/>
        <v>24644.16</v>
      </c>
      <c r="J16" s="13" t="s">
        <v>208</v>
      </c>
      <c r="K16" s="13"/>
      <c r="L16" s="13" t="s">
        <v>210</v>
      </c>
      <c r="M16" s="13">
        <f t="shared" si="3"/>
        <v>24644.16</v>
      </c>
      <c r="N16" s="37"/>
    </row>
    <row r="17" spans="1:15" ht="28.9" customHeight="1" x14ac:dyDescent="0.25">
      <c r="A17" s="943">
        <v>4</v>
      </c>
      <c r="B17" s="940" t="s">
        <v>185</v>
      </c>
      <c r="C17" s="45" t="s">
        <v>186</v>
      </c>
      <c r="D17" s="40">
        <v>8322</v>
      </c>
      <c r="E17" s="40">
        <v>1</v>
      </c>
      <c r="F17" s="13">
        <v>8100</v>
      </c>
      <c r="G17" s="46">
        <f t="shared" si="0"/>
        <v>8100</v>
      </c>
      <c r="H17" s="13">
        <f t="shared" si="1"/>
        <v>97200</v>
      </c>
      <c r="I17" s="13">
        <f t="shared" si="2"/>
        <v>23211.360000000001</v>
      </c>
      <c r="J17" s="13" t="s">
        <v>208</v>
      </c>
      <c r="K17" s="13"/>
      <c r="L17" s="13">
        <f>I17</f>
        <v>23211.360000000001</v>
      </c>
      <c r="M17" s="13"/>
      <c r="N17" s="37"/>
    </row>
    <row r="18" spans="1:15" x14ac:dyDescent="0.25">
      <c r="A18" s="944"/>
      <c r="B18" s="941"/>
      <c r="C18" s="45" t="s">
        <v>187</v>
      </c>
      <c r="D18" s="40">
        <v>8322</v>
      </c>
      <c r="E18" s="40">
        <v>17</v>
      </c>
      <c r="F18" s="13">
        <v>9100</v>
      </c>
      <c r="G18" s="46">
        <f t="shared" si="0"/>
        <v>154700</v>
      </c>
      <c r="H18" s="13">
        <f>E18*(996*A33+996*(A33+A33*0.2))</f>
        <v>2040949.416</v>
      </c>
      <c r="I18" s="49"/>
      <c r="J18" s="13">
        <f>(((('Транспортні засоби'!Q10/2)*Штатне!A33)+('Транспортні засоби'!Q10/2)*(Штатне!A33+Штатне!A33*0.2)))*12*1.083</f>
        <v>698507.63302319997</v>
      </c>
      <c r="K18" s="13">
        <f>((('Транспортні засоби'!Q14/2)*Штатне!A33)+('Транспортні засоби'!Q14/2)*(Штатне!A33+Штатне!A33*0.2))*12*1.083</f>
        <v>267307.08511446224</v>
      </c>
      <c r="L18" s="13"/>
      <c r="M18" s="13"/>
      <c r="N18" s="37" t="s">
        <v>270</v>
      </c>
      <c r="O18" t="s">
        <v>271</v>
      </c>
    </row>
    <row r="19" spans="1:15" ht="30" x14ac:dyDescent="0.25">
      <c r="A19" s="944"/>
      <c r="B19" s="941"/>
      <c r="C19" s="47" t="s">
        <v>188</v>
      </c>
      <c r="D19" s="40">
        <v>9333</v>
      </c>
      <c r="E19" s="40">
        <v>24</v>
      </c>
      <c r="F19" s="13">
        <v>7100</v>
      </c>
      <c r="G19" s="46">
        <f t="shared" si="0"/>
        <v>170400</v>
      </c>
      <c r="H19" s="13">
        <f>E19*(996*A31+996*(A31+A31*0.2))</f>
        <v>2248171.1999999997</v>
      </c>
      <c r="I19" s="49"/>
      <c r="J19" s="49">
        <f>((((('Транспортні засоби'!Q10/2)*2)*Штатне!A31)+(('Транспортні засоби'!Q10/2)*2)*(Штатне!A31+Штатне!A31*0.2)))*12*1.083</f>
        <v>1090023.7748399999</v>
      </c>
      <c r="K19" s="49">
        <f>((('Транспортні засоби'!Q14/2)*2)*Штатне!A31)+(('Транспортні засоби'!Q14/2)*2)*(Штатне!A31+Штатне!A31*0.2)*12*1.083</f>
        <v>242117.0599887</v>
      </c>
      <c r="L19" s="13"/>
      <c r="M19" s="13"/>
      <c r="N19" s="37"/>
    </row>
    <row r="20" spans="1:15" x14ac:dyDescent="0.25">
      <c r="A20" s="944"/>
      <c r="B20" s="941"/>
      <c r="C20" s="45" t="s">
        <v>189</v>
      </c>
      <c r="D20" s="40" t="s">
        <v>190</v>
      </c>
      <c r="E20" s="40">
        <f>1*(0.25)</f>
        <v>0.25</v>
      </c>
      <c r="F20" s="13">
        <v>6600</v>
      </c>
      <c r="G20" s="46">
        <f>1*0.25*F20</f>
        <v>1650</v>
      </c>
      <c r="H20" s="13">
        <f t="shared" si="1"/>
        <v>19800</v>
      </c>
      <c r="I20" s="13">
        <f t="shared" si="2"/>
        <v>4728.2400000000007</v>
      </c>
      <c r="J20" s="13" t="s">
        <v>208</v>
      </c>
      <c r="K20" s="13"/>
      <c r="L20" s="13">
        <f>I20</f>
        <v>4728.2400000000007</v>
      </c>
      <c r="M20" s="13"/>
      <c r="N20" s="37"/>
    </row>
    <row r="21" spans="1:15" x14ac:dyDescent="0.25">
      <c r="A21" s="944"/>
      <c r="B21" s="941"/>
      <c r="C21" s="45" t="s">
        <v>191</v>
      </c>
      <c r="D21" s="40" t="s">
        <v>190</v>
      </c>
      <c r="E21" s="40">
        <v>1</v>
      </c>
      <c r="F21" s="13">
        <v>10300</v>
      </c>
      <c r="G21" s="46">
        <f>E21*F21</f>
        <v>10300</v>
      </c>
      <c r="H21" s="13">
        <f t="shared" si="1"/>
        <v>123600</v>
      </c>
      <c r="I21" s="13">
        <f t="shared" si="2"/>
        <v>29515.68</v>
      </c>
      <c r="J21" s="13" t="s">
        <v>208</v>
      </c>
      <c r="K21" s="13"/>
      <c r="L21" s="13">
        <f>I21</f>
        <v>29515.68</v>
      </c>
      <c r="M21" s="13"/>
      <c r="N21" s="37"/>
    </row>
    <row r="22" spans="1:15" x14ac:dyDescent="0.25">
      <c r="A22" s="944"/>
      <c r="B22" s="941"/>
      <c r="C22" s="45" t="s">
        <v>192</v>
      </c>
      <c r="D22" s="40">
        <v>3115</v>
      </c>
      <c r="E22" s="40">
        <f>2*(0.25)</f>
        <v>0.5</v>
      </c>
      <c r="F22" s="13">
        <v>6600</v>
      </c>
      <c r="G22" s="46">
        <f>2*0.25*F22</f>
        <v>3300</v>
      </c>
      <c r="H22" s="13">
        <f t="shared" si="1"/>
        <v>39600</v>
      </c>
      <c r="I22" s="13">
        <f t="shared" si="2"/>
        <v>9456.4800000000014</v>
      </c>
      <c r="J22" s="13" t="s">
        <v>208</v>
      </c>
      <c r="K22" s="13"/>
      <c r="L22" s="13">
        <f>I22</f>
        <v>9456.4800000000014</v>
      </c>
      <c r="M22" s="13"/>
      <c r="N22" s="37"/>
    </row>
    <row r="23" spans="1:15" x14ac:dyDescent="0.25">
      <c r="A23" s="944"/>
      <c r="B23" s="941"/>
      <c r="C23" s="45" t="s">
        <v>193</v>
      </c>
      <c r="D23" s="40" t="s">
        <v>194</v>
      </c>
      <c r="E23" s="40">
        <f>1*(0.5)</f>
        <v>0.5</v>
      </c>
      <c r="F23" s="13">
        <v>6600</v>
      </c>
      <c r="G23" s="46">
        <f>1*0.5*F23</f>
        <v>3300</v>
      </c>
      <c r="H23" s="13">
        <f t="shared" si="1"/>
        <v>39600</v>
      </c>
      <c r="I23" s="13">
        <f>H23*0.2388</f>
        <v>9456.4800000000014</v>
      </c>
      <c r="J23" s="13" t="s">
        <v>208</v>
      </c>
      <c r="K23" s="13"/>
      <c r="L23" s="13">
        <f>I23</f>
        <v>9456.4800000000014</v>
      </c>
      <c r="M23" s="13"/>
      <c r="N23" s="37"/>
    </row>
    <row r="24" spans="1:15" x14ac:dyDescent="0.25">
      <c r="A24" s="945"/>
      <c r="B24" s="942"/>
      <c r="C24" s="45" t="s">
        <v>195</v>
      </c>
      <c r="D24" s="40">
        <v>7233</v>
      </c>
      <c r="E24" s="40">
        <v>1</v>
      </c>
      <c r="F24" s="13">
        <v>8150</v>
      </c>
      <c r="G24" s="46">
        <f>E24*F24</f>
        <v>8150</v>
      </c>
      <c r="H24" s="13">
        <f t="shared" si="1"/>
        <v>97800</v>
      </c>
      <c r="I24" s="13">
        <f t="shared" si="2"/>
        <v>23354.639999999999</v>
      </c>
      <c r="J24" s="13" t="s">
        <v>208</v>
      </c>
      <c r="K24" s="13"/>
      <c r="L24" s="13">
        <f>I24</f>
        <v>23354.639999999999</v>
      </c>
      <c r="M24" s="13"/>
      <c r="N24" s="37"/>
    </row>
    <row r="25" spans="1:15" x14ac:dyDescent="0.25">
      <c r="A25" s="50" t="s">
        <v>60</v>
      </c>
      <c r="B25" s="51"/>
      <c r="C25" s="51"/>
      <c r="D25" s="52"/>
      <c r="E25" s="13">
        <f>E9+E10+E11+0.25+1+E14+E15+E16+E17+E18+E19+0.25+E21+0.5+0.5+E24</f>
        <v>58.5</v>
      </c>
      <c r="F25" s="53">
        <f>SUM(G9:G25)</f>
        <v>473300</v>
      </c>
      <c r="G25" s="54"/>
      <c r="H25" s="13"/>
      <c r="I25" s="13"/>
      <c r="J25" s="13">
        <f>SUM(J9:J24)</f>
        <v>1788531.4078631997</v>
      </c>
      <c r="K25" s="13">
        <f>SUM(K9:K24)</f>
        <v>509424.14510316227</v>
      </c>
      <c r="L25" s="13">
        <f>SUM(L9:L24)</f>
        <v>99722.87999999999</v>
      </c>
      <c r="M25" s="13">
        <f>SUM(M9:M24)</f>
        <v>324959.03999999998</v>
      </c>
      <c r="N25" s="37"/>
    </row>
    <row r="26" spans="1:1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939">
        <f>J25+K25</f>
        <v>2297955.5529663619</v>
      </c>
      <c r="K26" s="939"/>
      <c r="L26" s="37"/>
      <c r="M26" s="37"/>
      <c r="N26" s="37"/>
    </row>
    <row r="27" spans="1:15" x14ac:dyDescent="0.25">
      <c r="A27" s="55" t="s">
        <v>196</v>
      </c>
      <c r="B27" s="55"/>
      <c r="C27" s="55"/>
      <c r="D27" s="55"/>
      <c r="E27" s="55"/>
      <c r="F27" s="55"/>
      <c r="G27" s="55"/>
      <c r="H27" s="37"/>
      <c r="I27" s="37"/>
      <c r="J27" s="56"/>
      <c r="K27" s="37"/>
      <c r="L27" s="37"/>
      <c r="M27" s="37"/>
      <c r="N27" s="37"/>
    </row>
    <row r="28" spans="1:15" x14ac:dyDescent="0.25">
      <c r="A28" s="55" t="s">
        <v>197</v>
      </c>
      <c r="B28" s="55"/>
      <c r="C28" s="55"/>
      <c r="D28" s="55"/>
      <c r="E28" s="55"/>
      <c r="F28" s="55"/>
      <c r="G28" s="55"/>
      <c r="H28" s="37"/>
      <c r="I28" s="37"/>
      <c r="J28" s="37"/>
      <c r="K28" s="37"/>
      <c r="L28" s="37"/>
      <c r="M28" s="37"/>
      <c r="N28" s="37"/>
    </row>
    <row r="29" spans="1:15" x14ac:dyDescent="0.25">
      <c r="A29" s="55" t="s">
        <v>198</v>
      </c>
      <c r="B29" s="55"/>
      <c r="C29" s="55"/>
      <c r="D29" s="55"/>
      <c r="E29" s="55"/>
      <c r="F29" s="55"/>
      <c r="G29" s="55"/>
      <c r="H29" s="37"/>
      <c r="I29" s="37"/>
      <c r="J29" s="56"/>
      <c r="K29" s="37"/>
      <c r="L29" s="37"/>
      <c r="M29" s="37"/>
      <c r="N29" s="37"/>
    </row>
    <row r="30" spans="1:15" x14ac:dyDescent="0.25">
      <c r="A30" s="55"/>
      <c r="B30" s="55"/>
      <c r="C30" s="55"/>
      <c r="D30" s="55"/>
      <c r="E30" s="55"/>
      <c r="F30" s="55"/>
      <c r="G30" s="55"/>
      <c r="H30" s="37"/>
      <c r="I30" s="37"/>
      <c r="J30" s="56"/>
      <c r="K30" s="37"/>
      <c r="L30" s="37"/>
      <c r="M30" s="37"/>
      <c r="N30" s="37"/>
    </row>
    <row r="31" spans="1:15" x14ac:dyDescent="0.25">
      <c r="A31" s="55">
        <v>42.75</v>
      </c>
      <c r="B31" s="55" t="s">
        <v>199</v>
      </c>
      <c r="C31" s="57">
        <f>A31*1993/12</f>
        <v>7100.0625</v>
      </c>
      <c r="D31" s="55"/>
      <c r="E31" s="58"/>
      <c r="F31" s="55"/>
      <c r="G31" s="55" t="s">
        <v>200</v>
      </c>
      <c r="H31" s="37"/>
      <c r="I31" s="37"/>
      <c r="J31" s="37"/>
      <c r="K31" s="37"/>
      <c r="L31" s="37"/>
      <c r="M31" s="37"/>
      <c r="N31" s="37"/>
    </row>
    <row r="32" spans="1:15" x14ac:dyDescent="0.25">
      <c r="A32" s="55">
        <v>39.74</v>
      </c>
      <c r="B32" s="55" t="s">
        <v>199</v>
      </c>
      <c r="C32" s="57">
        <f>A32*1993/12</f>
        <v>6600.1516666666676</v>
      </c>
      <c r="D32" s="55"/>
      <c r="E32" s="58"/>
      <c r="F32" s="55"/>
      <c r="G32" s="55" t="s">
        <v>209</v>
      </c>
      <c r="H32" s="37"/>
      <c r="I32" s="37"/>
      <c r="J32" s="37"/>
      <c r="K32" s="37"/>
      <c r="L32" s="37"/>
      <c r="M32" s="37"/>
      <c r="N32" s="37"/>
    </row>
    <row r="33" spans="1:14" x14ac:dyDescent="0.25">
      <c r="A33" s="55">
        <v>54.79</v>
      </c>
      <c r="B33" s="55" t="s">
        <v>199</v>
      </c>
      <c r="C33" s="57">
        <f>A33*1993/12</f>
        <v>9099.7058333333334</v>
      </c>
      <c r="D33" s="55"/>
      <c r="E33" s="58"/>
      <c r="F33" s="55"/>
      <c r="G33" s="55" t="s">
        <v>201</v>
      </c>
      <c r="H33" s="37"/>
      <c r="I33" s="37"/>
      <c r="J33" s="37"/>
      <c r="K33" s="37"/>
      <c r="L33" s="37"/>
      <c r="M33" s="37"/>
      <c r="N33" s="37"/>
    </row>
    <row r="34" spans="1:14" x14ac:dyDescent="0.25">
      <c r="A34" s="55"/>
      <c r="B34" s="55"/>
      <c r="C34" s="55"/>
      <c r="D34" s="55"/>
      <c r="E34" s="55"/>
      <c r="F34" s="55"/>
      <c r="G34" s="55"/>
      <c r="H34" s="37"/>
      <c r="I34" s="37"/>
      <c r="J34" s="37"/>
      <c r="K34" s="37"/>
      <c r="L34" s="37"/>
      <c r="M34" s="37"/>
      <c r="N34" s="37"/>
    </row>
    <row r="35" spans="1:14" x14ac:dyDescent="0.25">
      <c r="A35" s="55" t="s">
        <v>202</v>
      </c>
      <c r="B35" s="55"/>
      <c r="C35" s="55"/>
      <c r="D35" s="55"/>
      <c r="E35" s="55"/>
      <c r="F35" s="55"/>
      <c r="G35" s="55"/>
      <c r="H35" s="37"/>
      <c r="I35" s="37"/>
      <c r="J35" s="37"/>
      <c r="K35" s="37"/>
      <c r="L35" s="37"/>
      <c r="M35" s="37"/>
      <c r="N35" s="37"/>
    </row>
    <row r="36" spans="1:14" x14ac:dyDescent="0.25">
      <c r="A36" s="37" t="s">
        <v>203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x14ac:dyDescent="0.25">
      <c r="A38" t="s">
        <v>172</v>
      </c>
    </row>
  </sheetData>
  <mergeCells count="13">
    <mergeCell ref="J7:K7"/>
    <mergeCell ref="J26:K26"/>
    <mergeCell ref="B10:B13"/>
    <mergeCell ref="A10:A13"/>
    <mergeCell ref="A14:A16"/>
    <mergeCell ref="B17:B24"/>
    <mergeCell ref="B14:B16"/>
    <mergeCell ref="A17:A24"/>
    <mergeCell ref="A1:J1"/>
    <mergeCell ref="A2:A3"/>
    <mergeCell ref="B2:D3"/>
    <mergeCell ref="H3:J3"/>
    <mergeCell ref="B4:J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R29"/>
  <sheetViews>
    <sheetView view="pageLayout" topLeftCell="A14" zoomScaleNormal="84" workbookViewId="0">
      <selection activeCell="A5" sqref="A5:J28"/>
    </sheetView>
  </sheetViews>
  <sheetFormatPr defaultColWidth="8.85546875" defaultRowHeight="15.75" x14ac:dyDescent="0.25"/>
  <cols>
    <col min="1" max="1" width="18.42578125" style="178" customWidth="1"/>
    <col min="2" max="2" width="62.7109375" style="178" customWidth="1"/>
    <col min="3" max="3" width="0" style="178" hidden="1" customWidth="1"/>
    <col min="4" max="4" width="23.7109375" style="178" customWidth="1"/>
    <col min="5" max="5" width="31.28515625" style="178" customWidth="1"/>
    <col min="6" max="6" width="15.7109375" style="178" hidden="1" customWidth="1"/>
    <col min="7" max="8" width="10.7109375" style="178" hidden="1" customWidth="1"/>
    <col min="9" max="9" width="21.7109375" style="178" hidden="1" customWidth="1"/>
    <col min="10" max="10" width="33.28515625" style="178" hidden="1" customWidth="1"/>
    <col min="11" max="11" width="9.7109375" style="178" customWidth="1"/>
    <col min="12" max="12" width="13.7109375" style="178" hidden="1" customWidth="1"/>
    <col min="13" max="13" width="9.85546875" style="178" hidden="1" customWidth="1"/>
    <col min="14" max="14" width="15.140625" style="178" hidden="1" customWidth="1"/>
    <col min="15" max="15" width="2.7109375" style="178" hidden="1" customWidth="1"/>
    <col min="16" max="16" width="13" style="178" hidden="1" customWidth="1"/>
    <col min="17" max="17" width="10.85546875" style="178" hidden="1" customWidth="1"/>
    <col min="18" max="18" width="14.7109375" style="178" hidden="1" customWidth="1"/>
    <col min="19" max="16384" width="8.85546875" style="178"/>
  </cols>
  <sheetData>
    <row r="1" spans="1:18" ht="8.4499999999999993" customHeight="1" x14ac:dyDescent="0.25">
      <c r="B1" s="349"/>
    </row>
    <row r="2" spans="1:18" hidden="1" x14ac:dyDescent="0.25"/>
    <row r="3" spans="1:18" hidden="1" x14ac:dyDescent="0.25"/>
    <row r="4" spans="1:18" s="469" customFormat="1" ht="24.6" hidden="1" customHeight="1" x14ac:dyDescent="0.25">
      <c r="A4" s="949"/>
      <c r="B4" s="949"/>
      <c r="C4" s="949"/>
      <c r="D4" s="949"/>
      <c r="E4" s="949"/>
      <c r="F4" s="949"/>
      <c r="G4" s="949"/>
      <c r="H4" s="949"/>
      <c r="I4" s="949"/>
    </row>
    <row r="5" spans="1:18" s="469" customFormat="1" ht="27" customHeight="1" x14ac:dyDescent="0.25">
      <c r="A5" s="949" t="s">
        <v>111</v>
      </c>
      <c r="B5" s="949"/>
      <c r="C5" s="949"/>
      <c r="D5" s="949"/>
      <c r="E5" s="949"/>
      <c r="F5" s="949"/>
      <c r="G5" s="949"/>
      <c r="H5" s="949"/>
      <c r="I5" s="949"/>
      <c r="J5" s="949"/>
    </row>
    <row r="6" spans="1:18" s="469" customFormat="1" ht="44.45" customHeight="1" thickBot="1" x14ac:dyDescent="0.3">
      <c r="A6" s="949" t="s">
        <v>601</v>
      </c>
      <c r="B6" s="949"/>
      <c r="C6" s="949"/>
      <c r="D6" s="949"/>
      <c r="E6" s="949"/>
      <c r="F6" s="949"/>
      <c r="G6" s="949"/>
      <c r="H6" s="949"/>
      <c r="I6" s="949"/>
      <c r="J6" s="949"/>
    </row>
    <row r="7" spans="1:18" ht="41.45" customHeight="1" x14ac:dyDescent="0.25">
      <c r="A7" s="642" t="s">
        <v>553</v>
      </c>
      <c r="B7" s="642" t="s">
        <v>41</v>
      </c>
      <c r="C7" s="642" t="s">
        <v>2</v>
      </c>
      <c r="D7" s="648" t="s">
        <v>539</v>
      </c>
      <c r="E7" s="470" t="s">
        <v>269</v>
      </c>
      <c r="F7" s="470"/>
      <c r="G7" s="470"/>
      <c r="H7" s="470"/>
      <c r="I7" s="470"/>
      <c r="J7" s="952" t="s">
        <v>112</v>
      </c>
    </row>
    <row r="8" spans="1:18" ht="47.45" customHeight="1" x14ac:dyDescent="0.25">
      <c r="A8" s="643"/>
      <c r="B8" s="643"/>
      <c r="C8" s="643"/>
      <c r="D8" s="951"/>
      <c r="E8" s="471" t="s">
        <v>602</v>
      </c>
      <c r="F8" s="470" t="s">
        <v>540</v>
      </c>
      <c r="G8" s="470" t="s">
        <v>541</v>
      </c>
      <c r="H8" s="470" t="s">
        <v>542</v>
      </c>
      <c r="I8" s="470" t="s">
        <v>543</v>
      </c>
      <c r="J8" s="953"/>
    </row>
    <row r="9" spans="1:18" ht="37.9" customHeight="1" thickBot="1" x14ac:dyDescent="0.3">
      <c r="A9" s="950"/>
      <c r="B9" s="950"/>
      <c r="C9" s="950"/>
      <c r="D9" s="651"/>
      <c r="E9" s="471" t="s">
        <v>544</v>
      </c>
      <c r="F9" s="471" t="s">
        <v>545</v>
      </c>
      <c r="G9" s="471" t="s">
        <v>545</v>
      </c>
      <c r="H9" s="471" t="s">
        <v>545</v>
      </c>
      <c r="I9" s="471" t="s">
        <v>545</v>
      </c>
      <c r="J9" s="953"/>
    </row>
    <row r="10" spans="1:18" ht="16.5" thickBot="1" x14ac:dyDescent="0.3">
      <c r="A10" s="473">
        <v>1</v>
      </c>
      <c r="B10" s="473">
        <v>2</v>
      </c>
      <c r="C10" s="473" t="s">
        <v>11</v>
      </c>
      <c r="D10" s="473">
        <v>3</v>
      </c>
      <c r="E10" s="474">
        <v>4</v>
      </c>
      <c r="F10" s="475"/>
      <c r="G10" s="475"/>
      <c r="H10" s="475"/>
      <c r="I10" s="475">
        <v>3</v>
      </c>
      <c r="J10" s="476">
        <v>5</v>
      </c>
      <c r="L10" s="178" t="s">
        <v>253</v>
      </c>
      <c r="N10" s="178" t="s">
        <v>254</v>
      </c>
    </row>
    <row r="11" spans="1:18" ht="66" customHeight="1" x14ac:dyDescent="0.25">
      <c r="A11" s="193"/>
      <c r="B11" s="477" t="s">
        <v>42</v>
      </c>
      <c r="C11" s="478">
        <v>1</v>
      </c>
      <c r="D11" s="479">
        <f>D12+D15+D20+D21+D23+D24+D25</f>
        <v>11072948.248799998</v>
      </c>
      <c r="E11" s="479">
        <f>E12+E15+E20+E21+E23+E24+E25</f>
        <v>2458206.9363902397</v>
      </c>
      <c r="F11" s="480"/>
      <c r="G11" s="480"/>
      <c r="H11" s="480"/>
      <c r="I11" s="481"/>
      <c r="J11" s="482" t="s">
        <v>257</v>
      </c>
      <c r="L11" s="383">
        <f>'ПОВ СОБ ТПВ'!O11</f>
        <v>5704369.6727633364</v>
      </c>
      <c r="M11" s="483">
        <v>8.3193049000000006</v>
      </c>
      <c r="N11" s="483">
        <f>'ПОВ СОБ ТПВ'!R11</f>
        <v>5669369.9080056464</v>
      </c>
      <c r="P11" s="483" t="e">
        <f>P12+P13+P15+#REF!</f>
        <v>#REF!</v>
      </c>
      <c r="Q11" s="178">
        <f>Q12+Q15</f>
        <v>1257351.7804294336</v>
      </c>
      <c r="R11" s="483">
        <f>E11-Q11</f>
        <v>1200855.1559608062</v>
      </c>
    </row>
    <row r="12" spans="1:18" ht="48.75" customHeight="1" x14ac:dyDescent="0.25">
      <c r="A12" s="484">
        <v>1</v>
      </c>
      <c r="B12" s="485" t="s">
        <v>43</v>
      </c>
      <c r="C12" s="471">
        <v>2</v>
      </c>
      <c r="D12" s="486">
        <f>D13+D14</f>
        <v>9278966.2487999983</v>
      </c>
      <c r="E12" s="487">
        <f>E13+E14</f>
        <v>1817958.4779902399</v>
      </c>
      <c r="F12" s="480"/>
      <c r="G12" s="488"/>
      <c r="H12" s="488"/>
      <c r="I12" s="489"/>
      <c r="J12" s="490"/>
      <c r="L12" s="178">
        <f>M11*L11/100</f>
        <v>474563.90570031427</v>
      </c>
      <c r="N12" s="178">
        <f>N11*M11/100</f>
        <v>471652.16855583928</v>
      </c>
      <c r="P12" s="178">
        <f>'ПОВ СОБ ТПВ'!O28</f>
        <v>927804.21749156446</v>
      </c>
      <c r="Q12" s="178">
        <f>L12+N12</f>
        <v>946216.07425615354</v>
      </c>
    </row>
    <row r="13" spans="1:18" ht="29.25" customHeight="1" x14ac:dyDescent="0.25">
      <c r="A13" s="484" t="s">
        <v>24</v>
      </c>
      <c r="B13" s="485" t="s">
        <v>44</v>
      </c>
      <c r="C13" s="471">
        <v>3</v>
      </c>
      <c r="D13" s="486">
        <f>'Штатне 2024'!Q46</f>
        <v>7605710.0399999991</v>
      </c>
      <c r="E13" s="487">
        <f>'Штатне 2024'!Q45</f>
        <v>1490129.8999919998</v>
      </c>
      <c r="F13" s="480"/>
      <c r="G13" s="488"/>
      <c r="H13" s="488"/>
      <c r="I13" s="489"/>
      <c r="J13" s="490" t="s">
        <v>231</v>
      </c>
      <c r="L13" s="178" t="s">
        <v>255</v>
      </c>
      <c r="N13" s="178" t="s">
        <v>256</v>
      </c>
      <c r="P13" s="178">
        <f>'ПОВ СОБ ТПВ'!R28</f>
        <v>922111.57637322205</v>
      </c>
    </row>
    <row r="14" spans="1:18" ht="31.5" x14ac:dyDescent="0.25">
      <c r="A14" s="484" t="s">
        <v>27</v>
      </c>
      <c r="B14" s="485" t="s">
        <v>17</v>
      </c>
      <c r="C14" s="471">
        <v>4</v>
      </c>
      <c r="D14" s="488">
        <f>D13*0.22</f>
        <v>1673256.2087999999</v>
      </c>
      <c r="E14" s="488">
        <f>E13*0.22</f>
        <v>327828.57799823995</v>
      </c>
      <c r="F14" s="480"/>
      <c r="G14" s="488"/>
      <c r="H14" s="488"/>
      <c r="I14" s="489"/>
      <c r="J14" s="490"/>
      <c r="L14" s="178">
        <f>'ПОВННА СОБ ВГВ'!O11</f>
        <v>1507048.8823478029</v>
      </c>
      <c r="M14" s="483"/>
      <c r="N14" s="178">
        <f>'ПОВННА СОБ ВГВ'!R11</f>
        <v>2232875.4251899594</v>
      </c>
    </row>
    <row r="15" spans="1:18" ht="47.25" x14ac:dyDescent="0.25">
      <c r="A15" s="484" t="s">
        <v>32</v>
      </c>
      <c r="B15" s="485" t="s">
        <v>45</v>
      </c>
      <c r="C15" s="471">
        <v>7</v>
      </c>
      <c r="D15" s="491">
        <f>D16+D17+D18+D19</f>
        <v>1653771</v>
      </c>
      <c r="E15" s="491">
        <f>E16+E17+E18+E19</f>
        <v>606429.56520000019</v>
      </c>
      <c r="F15" s="488"/>
      <c r="G15" s="488"/>
      <c r="H15" s="488"/>
      <c r="I15" s="489"/>
      <c r="J15" s="490"/>
      <c r="L15" s="178">
        <f>L14*M11/100</f>
        <v>125375.99151455599</v>
      </c>
      <c r="N15" s="178">
        <f>N14*M11/100</f>
        <v>185759.71465872414</v>
      </c>
      <c r="P15" s="483">
        <f>'ПОВННА СОБ ВГВ'!O27</f>
        <v>245118.45992107579</v>
      </c>
      <c r="Q15" s="178">
        <f>L15+N15</f>
        <v>311135.70617328014</v>
      </c>
    </row>
    <row r="16" spans="1:18" x14ac:dyDescent="0.25">
      <c r="A16" s="484" t="s">
        <v>250</v>
      </c>
      <c r="B16" s="485" t="s">
        <v>243</v>
      </c>
      <c r="C16" s="471">
        <v>9</v>
      </c>
      <c r="D16" s="492">
        <f>1148416+201600</f>
        <v>1350016</v>
      </c>
      <c r="E16" s="488">
        <f>D16*0.2412+207540</f>
        <v>533163.85920000006</v>
      </c>
      <c r="F16" s="488"/>
      <c r="G16" s="488"/>
      <c r="H16" s="488"/>
      <c r="I16" s="489"/>
      <c r="J16" s="490" t="s">
        <v>245</v>
      </c>
    </row>
    <row r="17" spans="1:14" ht="31.5" x14ac:dyDescent="0.25">
      <c r="A17" s="484" t="s">
        <v>251</v>
      </c>
      <c r="B17" s="485" t="s">
        <v>546</v>
      </c>
      <c r="C17" s="471"/>
      <c r="D17" s="492">
        <v>77755</v>
      </c>
      <c r="E17" s="488">
        <f>D17*0.2412</f>
        <v>18754.506000000001</v>
      </c>
      <c r="F17" s="488"/>
      <c r="G17" s="488"/>
      <c r="H17" s="488"/>
      <c r="I17" s="489"/>
      <c r="J17" s="490"/>
    </row>
    <row r="18" spans="1:14" ht="31.5" x14ac:dyDescent="0.25">
      <c r="A18" s="484" t="s">
        <v>252</v>
      </c>
      <c r="B18" s="485" t="s">
        <v>547</v>
      </c>
      <c r="C18" s="471">
        <v>10</v>
      </c>
      <c r="D18" s="489">
        <v>4000</v>
      </c>
      <c r="E18" s="488">
        <f>D18*0.2412</f>
        <v>964.8</v>
      </c>
      <c r="F18" s="488"/>
      <c r="G18" s="488"/>
      <c r="H18" s="488"/>
      <c r="I18" s="489"/>
      <c r="J18" s="490" t="s">
        <v>246</v>
      </c>
    </row>
    <row r="19" spans="1:14" x14ac:dyDescent="0.25">
      <c r="A19" s="484" t="s">
        <v>552</v>
      </c>
      <c r="B19" s="485" t="s">
        <v>248</v>
      </c>
      <c r="C19" s="471"/>
      <c r="D19" s="489">
        <v>222000</v>
      </c>
      <c r="E19" s="488">
        <f>D19*0.2412</f>
        <v>53546.400000000001</v>
      </c>
      <c r="F19" s="488"/>
      <c r="G19" s="488"/>
      <c r="H19" s="488"/>
      <c r="I19" s="489"/>
      <c r="J19" s="490" t="s">
        <v>249</v>
      </c>
    </row>
    <row r="20" spans="1:14" ht="31.5" x14ac:dyDescent="0.25">
      <c r="A20" s="484" t="s">
        <v>33</v>
      </c>
      <c r="B20" s="485" t="s">
        <v>46</v>
      </c>
      <c r="C20" s="471">
        <v>25</v>
      </c>
      <c r="D20" s="489">
        <f>4500+5400</f>
        <v>9900</v>
      </c>
      <c r="E20" s="488">
        <f>D20*0.2412</f>
        <v>2387.88</v>
      </c>
      <c r="F20" s="488"/>
      <c r="G20" s="488"/>
      <c r="H20" s="488"/>
      <c r="I20" s="489"/>
      <c r="J20" s="490"/>
    </row>
    <row r="21" spans="1:14" ht="47.25" x14ac:dyDescent="0.25">
      <c r="A21" s="484" t="s">
        <v>34</v>
      </c>
      <c r="B21" s="485" t="s">
        <v>47</v>
      </c>
      <c r="C21" s="471">
        <v>29</v>
      </c>
      <c r="D21" s="489">
        <f>D22</f>
        <v>27000</v>
      </c>
      <c r="E21" s="489">
        <f>E22</f>
        <v>6512.4</v>
      </c>
      <c r="F21" s="488"/>
      <c r="G21" s="488"/>
      <c r="H21" s="488"/>
      <c r="I21" s="489"/>
      <c r="J21" s="490"/>
      <c r="N21" s="483"/>
    </row>
    <row r="22" spans="1:14" x14ac:dyDescent="0.25">
      <c r="A22" s="484" t="s">
        <v>91</v>
      </c>
      <c r="B22" s="485" t="s">
        <v>548</v>
      </c>
      <c r="C22" s="471"/>
      <c r="D22" s="489">
        <v>27000</v>
      </c>
      <c r="E22" s="488">
        <f>D22*0.2412</f>
        <v>6512.4</v>
      </c>
      <c r="F22" s="488"/>
      <c r="G22" s="488"/>
      <c r="H22" s="488"/>
      <c r="I22" s="489"/>
      <c r="J22" s="490"/>
      <c r="N22" s="483"/>
    </row>
    <row r="23" spans="1:14" x14ac:dyDescent="0.25">
      <c r="A23" s="484" t="s">
        <v>35</v>
      </c>
      <c r="B23" s="485" t="s">
        <v>549</v>
      </c>
      <c r="C23" s="471"/>
      <c r="D23" s="489">
        <v>32620</v>
      </c>
      <c r="E23" s="488">
        <f>D23*0.2412</f>
        <v>7867.9439999999995</v>
      </c>
      <c r="F23" s="488"/>
      <c r="G23" s="488"/>
      <c r="H23" s="488"/>
      <c r="I23" s="489"/>
      <c r="J23" s="490"/>
      <c r="N23" s="483"/>
    </row>
    <row r="24" spans="1:14" ht="31.5" x14ac:dyDescent="0.25">
      <c r="A24" s="484" t="s">
        <v>36</v>
      </c>
      <c r="B24" s="485" t="s">
        <v>550</v>
      </c>
      <c r="C24" s="471">
        <v>33</v>
      </c>
      <c r="D24" s="489">
        <v>41378</v>
      </c>
      <c r="E24" s="488">
        <f>D24*0.2412</f>
        <v>9980.3736000000008</v>
      </c>
      <c r="F24" s="488"/>
      <c r="G24" s="488"/>
      <c r="H24" s="488"/>
      <c r="I24" s="489"/>
      <c r="J24" s="490" t="s">
        <v>247</v>
      </c>
    </row>
    <row r="25" spans="1:14" x14ac:dyDescent="0.25">
      <c r="A25" s="493">
        <v>7</v>
      </c>
      <c r="B25" s="494" t="s">
        <v>551</v>
      </c>
      <c r="C25" s="493"/>
      <c r="D25" s="495">
        <v>29313</v>
      </c>
      <c r="E25" s="488">
        <f>D25*0.2412</f>
        <v>7070.2956000000004</v>
      </c>
      <c r="F25" s="315"/>
      <c r="G25" s="315"/>
      <c r="H25" s="315"/>
      <c r="I25" s="315"/>
    </row>
    <row r="26" spans="1:14" x14ac:dyDescent="0.25">
      <c r="A26" s="186"/>
      <c r="B26" s="186"/>
      <c r="C26" s="186"/>
      <c r="D26" s="186"/>
    </row>
    <row r="27" spans="1:14" ht="33.75" customHeight="1" x14ac:dyDescent="0.25">
      <c r="A27" s="787" t="s">
        <v>383</v>
      </c>
      <c r="B27" s="787"/>
      <c r="C27" s="787"/>
      <c r="D27" s="787"/>
      <c r="E27" s="787"/>
      <c r="F27" s="787"/>
      <c r="G27" s="787"/>
    </row>
    <row r="28" spans="1:14" x14ac:dyDescent="0.25">
      <c r="A28" s="496"/>
      <c r="B28" s="667"/>
      <c r="C28" s="667"/>
      <c r="D28" s="667"/>
      <c r="E28" s="667"/>
      <c r="F28" s="667"/>
      <c r="G28" s="667"/>
      <c r="H28" s="667"/>
      <c r="I28" s="667"/>
    </row>
    <row r="29" spans="1:14" ht="47.45" customHeight="1" x14ac:dyDescent="0.25"/>
  </sheetData>
  <mergeCells count="10">
    <mergeCell ref="A4:I4"/>
    <mergeCell ref="A5:J5"/>
    <mergeCell ref="A6:J6"/>
    <mergeCell ref="B28:I28"/>
    <mergeCell ref="B7:B9"/>
    <mergeCell ref="C7:C9"/>
    <mergeCell ref="D7:D9"/>
    <mergeCell ref="J7:J9"/>
    <mergeCell ref="A7:A9"/>
    <mergeCell ref="A27:G27"/>
  </mergeCells>
  <phoneticPr fontId="60" type="noConversion"/>
  <pageMargins left="0" right="0" top="0.35" bottom="0" header="0" footer="0"/>
  <pageSetup paperSize="9" scale="69" fitToHeight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R238"/>
  <sheetViews>
    <sheetView view="pageLayout" topLeftCell="A17" zoomScaleNormal="86" workbookViewId="0">
      <selection activeCell="A10" sqref="A10:I32"/>
    </sheetView>
  </sheetViews>
  <sheetFormatPr defaultColWidth="8.85546875" defaultRowHeight="15.75" x14ac:dyDescent="0.25"/>
  <cols>
    <col min="1" max="1" width="9" style="166" bestFit="1" customWidth="1"/>
    <col min="2" max="2" width="49.7109375" style="188" customWidth="1"/>
    <col min="3" max="3" width="22.5703125" style="185" customWidth="1"/>
    <col min="4" max="4" width="27.28515625" style="166" hidden="1" customWidth="1"/>
    <col min="5" max="5" width="21.5703125" style="166" customWidth="1"/>
    <col min="6" max="6" width="18" style="166" hidden="1" customWidth="1"/>
    <col min="7" max="7" width="10.42578125" style="166" hidden="1" customWidth="1"/>
    <col min="8" max="8" width="11.85546875" style="166" hidden="1" customWidth="1"/>
    <col min="9" max="9" width="11.28515625" style="166" hidden="1" customWidth="1"/>
    <col min="10" max="10" width="11.28515625" style="187" hidden="1" customWidth="1"/>
    <col min="11" max="11" width="14.140625" style="187" hidden="1" customWidth="1"/>
    <col min="12" max="12" width="8.7109375" style="187" hidden="1" customWidth="1"/>
    <col min="13" max="13" width="0.140625" style="187" hidden="1" customWidth="1"/>
    <col min="14" max="14" width="9" style="187" hidden="1" customWidth="1"/>
    <col min="15" max="16" width="15.140625" style="187" hidden="1" customWidth="1"/>
    <col min="17" max="17" width="0" style="187" hidden="1" customWidth="1"/>
    <col min="18" max="18" width="15.140625" style="187" hidden="1" customWidth="1"/>
    <col min="19" max="16384" width="8.85546875" style="166"/>
  </cols>
  <sheetData>
    <row r="1" spans="1:18" ht="50.45" hidden="1" customHeight="1" x14ac:dyDescent="0.25">
      <c r="A1" s="184"/>
      <c r="E1" s="742"/>
      <c r="F1" s="742"/>
    </row>
    <row r="2" spans="1:18" hidden="1" x14ac:dyDescent="0.25">
      <c r="A2" s="184"/>
      <c r="E2" s="742"/>
      <c r="F2" s="742"/>
    </row>
    <row r="3" spans="1:18" ht="50.45" hidden="1" customHeight="1" x14ac:dyDescent="0.25">
      <c r="A3" s="184"/>
      <c r="E3" s="742"/>
      <c r="F3" s="742"/>
    </row>
    <row r="4" spans="1:18" hidden="1" x14ac:dyDescent="0.25">
      <c r="A4" s="184"/>
      <c r="E4" s="742"/>
      <c r="F4" s="742"/>
    </row>
    <row r="5" spans="1:18" hidden="1" x14ac:dyDescent="0.25">
      <c r="A5" s="184"/>
      <c r="E5" s="742"/>
      <c r="F5" s="742"/>
    </row>
    <row r="6" spans="1:18" ht="50.45" hidden="1" customHeight="1" x14ac:dyDescent="0.25">
      <c r="A6" s="184"/>
      <c r="E6" s="742"/>
      <c r="F6" s="742"/>
    </row>
    <row r="7" spans="1:18" hidden="1" x14ac:dyDescent="0.25">
      <c r="A7" s="184"/>
    </row>
    <row r="8" spans="1:18" ht="10.9" customHeight="1" x14ac:dyDescent="0.25">
      <c r="A8" s="184"/>
      <c r="C8" s="187"/>
    </row>
    <row r="9" spans="1:18" ht="50.45" hidden="1" customHeight="1" x14ac:dyDescent="0.25">
      <c r="A9" s="747"/>
      <c r="B9" s="747"/>
      <c r="C9" s="747"/>
      <c r="D9" s="747"/>
      <c r="E9" s="747"/>
      <c r="F9" s="747"/>
    </row>
    <row r="10" spans="1:18" ht="49.9" customHeight="1" thickBot="1" x14ac:dyDescent="0.3">
      <c r="A10" s="641" t="s">
        <v>564</v>
      </c>
      <c r="B10" s="641"/>
      <c r="C10" s="641"/>
      <c r="D10" s="641"/>
      <c r="E10" s="641"/>
      <c r="F10" s="641"/>
      <c r="G10" s="641"/>
      <c r="H10" s="641"/>
      <c r="I10" s="641"/>
    </row>
    <row r="11" spans="1:18" ht="30.75" customHeight="1" thickBot="1" x14ac:dyDescent="0.3">
      <c r="A11" s="957" t="s">
        <v>553</v>
      </c>
      <c r="B11" s="654" t="s">
        <v>51</v>
      </c>
      <c r="C11" s="649" t="s">
        <v>587</v>
      </c>
      <c r="D11" s="549" t="s">
        <v>269</v>
      </c>
      <c r="E11" s="960" t="s">
        <v>269</v>
      </c>
      <c r="F11" s="960"/>
      <c r="G11" s="960"/>
      <c r="H11" s="960"/>
      <c r="I11" s="960"/>
      <c r="J11" s="189"/>
      <c r="K11" s="954"/>
      <c r="L11" s="201"/>
      <c r="M11" s="201"/>
      <c r="N11" s="201"/>
      <c r="O11" s="201"/>
      <c r="P11" s="201"/>
      <c r="Q11" s="201"/>
      <c r="R11" s="201"/>
    </row>
    <row r="12" spans="1:18" ht="87.6" customHeight="1" thickBot="1" x14ac:dyDescent="0.3">
      <c r="A12" s="958"/>
      <c r="B12" s="654"/>
      <c r="C12" s="667"/>
      <c r="D12" s="549" t="s">
        <v>244</v>
      </c>
      <c r="E12" s="471" t="s">
        <v>554</v>
      </c>
      <c r="F12" s="470" t="s">
        <v>540</v>
      </c>
      <c r="G12" s="470" t="s">
        <v>541</v>
      </c>
      <c r="H12" s="470" t="s">
        <v>542</v>
      </c>
      <c r="I12" s="470" t="s">
        <v>543</v>
      </c>
      <c r="J12" s="190"/>
      <c r="K12" s="955"/>
      <c r="L12" s="201"/>
      <c r="M12" s="201"/>
      <c r="N12" s="201"/>
      <c r="O12" s="201"/>
      <c r="P12" s="201"/>
      <c r="Q12" s="201"/>
      <c r="R12" s="201"/>
    </row>
    <row r="13" spans="1:18" ht="26.25" customHeight="1" thickBot="1" x14ac:dyDescent="0.3">
      <c r="A13" s="959"/>
      <c r="B13" s="654"/>
      <c r="C13" s="653"/>
      <c r="D13" s="472" t="s">
        <v>7</v>
      </c>
      <c r="E13" s="471" t="s">
        <v>544</v>
      </c>
      <c r="F13" s="471" t="s">
        <v>545</v>
      </c>
      <c r="G13" s="471" t="s">
        <v>545</v>
      </c>
      <c r="H13" s="471" t="s">
        <v>545</v>
      </c>
      <c r="I13" s="471" t="s">
        <v>545</v>
      </c>
      <c r="J13" s="191"/>
      <c r="K13" s="956"/>
      <c r="L13" s="201"/>
      <c r="M13" s="201"/>
      <c r="N13" s="201"/>
      <c r="O13" s="201"/>
      <c r="P13" s="201"/>
      <c r="Q13" s="201"/>
      <c r="R13" s="201"/>
    </row>
    <row r="14" spans="1:18" ht="16.5" thickBot="1" x14ac:dyDescent="0.3">
      <c r="A14" s="192">
        <v>1</v>
      </c>
      <c r="B14" s="471">
        <v>2</v>
      </c>
      <c r="C14" s="550">
        <v>3</v>
      </c>
      <c r="D14" s="473">
        <v>4</v>
      </c>
      <c r="E14" s="474">
        <v>4</v>
      </c>
      <c r="F14" s="475"/>
      <c r="G14" s="475"/>
      <c r="H14" s="475"/>
      <c r="I14" s="475">
        <v>3</v>
      </c>
      <c r="J14" s="192"/>
      <c r="K14" s="196"/>
      <c r="L14" s="201"/>
      <c r="M14" s="201"/>
      <c r="N14" s="201"/>
      <c r="O14" s="201"/>
      <c r="P14" s="201"/>
      <c r="Q14" s="201"/>
      <c r="R14" s="201"/>
    </row>
    <row r="15" spans="1:18" ht="39" customHeight="1" x14ac:dyDescent="0.25">
      <c r="A15" s="551"/>
      <c r="B15" s="552" t="s">
        <v>562</v>
      </c>
      <c r="C15" s="553">
        <f>C16+C17+C18+C19+C20+C21+C27+C28+C26</f>
        <v>4659035.7368999999</v>
      </c>
      <c r="D15" s="553" t="e">
        <f t="shared" ref="D15" si="0">D16+D17+D18+D19+D20+D21+D27+D28+D26</f>
        <v>#REF!</v>
      </c>
      <c r="E15" s="553">
        <f>E16+E17+E18+E19+E20+E21+E27+E28+E26</f>
        <v>1109634.7477402799</v>
      </c>
      <c r="F15" s="480"/>
      <c r="G15" s="480"/>
      <c r="H15" s="480"/>
      <c r="I15" s="481"/>
      <c r="J15" s="193"/>
      <c r="K15" s="197"/>
      <c r="L15" s="202"/>
      <c r="M15" s="202"/>
      <c r="N15" s="203"/>
      <c r="O15" s="202"/>
      <c r="P15" s="202"/>
      <c r="Q15" s="201"/>
      <c r="R15" s="202"/>
    </row>
    <row r="16" spans="1:18" ht="45.6" customHeight="1" x14ac:dyDescent="0.25">
      <c r="A16" s="554">
        <v>1</v>
      </c>
      <c r="B16" s="485" t="s">
        <v>52</v>
      </c>
      <c r="C16" s="555">
        <f>'Штатне 2024'!R46</f>
        <v>2741694.1199999996</v>
      </c>
      <c r="D16" s="556">
        <f>C16*0.2388</f>
        <v>654716.55585599993</v>
      </c>
      <c r="E16" s="557">
        <f>'Штатне 2024'!R45</f>
        <v>649719.02174399991</v>
      </c>
      <c r="F16" s="480"/>
      <c r="G16" s="488"/>
      <c r="H16" s="488"/>
      <c r="I16" s="489"/>
      <c r="J16" s="194"/>
      <c r="K16" s="198"/>
      <c r="L16" s="202"/>
      <c r="M16" s="202"/>
      <c r="N16" s="201"/>
      <c r="O16" s="202"/>
      <c r="P16" s="202"/>
      <c r="Q16" s="201"/>
      <c r="R16" s="201"/>
    </row>
    <row r="17" spans="1:18" ht="47.45" customHeight="1" x14ac:dyDescent="0.25">
      <c r="A17" s="554">
        <v>2</v>
      </c>
      <c r="B17" s="485" t="s">
        <v>53</v>
      </c>
      <c r="C17" s="558">
        <f>C16*0.22</f>
        <v>603172.70639999991</v>
      </c>
      <c r="D17" s="556">
        <f t="shared" ref="D17:E17" si="1">D16*0.22</f>
        <v>144037.64228832</v>
      </c>
      <c r="E17" s="486">
        <f t="shared" si="1"/>
        <v>142938.18478367999</v>
      </c>
      <c r="F17" s="480"/>
      <c r="G17" s="488"/>
      <c r="H17" s="488"/>
      <c r="I17" s="489"/>
      <c r="J17" s="194"/>
      <c r="K17" s="198"/>
      <c r="L17" s="201"/>
      <c r="M17" s="201"/>
      <c r="N17" s="201"/>
      <c r="O17" s="201"/>
      <c r="P17" s="201"/>
      <c r="Q17" s="201"/>
      <c r="R17" s="201"/>
    </row>
    <row r="18" spans="1:18" ht="47.25" x14ac:dyDescent="0.25">
      <c r="A18" s="554" t="s">
        <v>33</v>
      </c>
      <c r="B18" s="485" t="s">
        <v>561</v>
      </c>
      <c r="C18" s="558">
        <f>'Амортизація Ремонт дезін мийка'!B12</f>
        <v>28822.44</v>
      </c>
      <c r="D18" s="556">
        <f>C18*0.2388</f>
        <v>6882.7986719999999</v>
      </c>
      <c r="E18" s="488">
        <f t="shared" ref="E18:E28" si="2">C18*0.2412</f>
        <v>6951.9725279999993</v>
      </c>
      <c r="F18" s="480"/>
      <c r="G18" s="488"/>
      <c r="H18" s="488"/>
      <c r="I18" s="489"/>
      <c r="J18" s="194"/>
      <c r="K18" s="199"/>
      <c r="L18" s="201"/>
      <c r="M18" s="202"/>
      <c r="N18" s="202"/>
      <c r="O18" s="202"/>
      <c r="P18" s="201"/>
      <c r="Q18" s="201"/>
      <c r="R18" s="201"/>
    </row>
    <row r="19" spans="1:18" ht="43.9" customHeight="1" x14ac:dyDescent="0.25">
      <c r="A19" s="554" t="s">
        <v>34</v>
      </c>
      <c r="B19" s="485" t="s">
        <v>54</v>
      </c>
      <c r="C19" s="558">
        <v>119986</v>
      </c>
      <c r="D19" s="556">
        <f>C19*0.2388</f>
        <v>28652.656800000001</v>
      </c>
      <c r="E19" s="491">
        <f t="shared" si="2"/>
        <v>28940.623199999998</v>
      </c>
      <c r="F19" s="488"/>
      <c r="G19" s="488"/>
      <c r="H19" s="488"/>
      <c r="I19" s="489"/>
      <c r="J19" s="194"/>
      <c r="K19" s="200"/>
      <c r="L19" s="201"/>
      <c r="M19" s="202"/>
      <c r="N19" s="202"/>
      <c r="O19" s="202"/>
      <c r="P19" s="202"/>
      <c r="Q19" s="201"/>
      <c r="R19" s="201"/>
    </row>
    <row r="20" spans="1:18" ht="31.5" x14ac:dyDescent="0.25">
      <c r="A20" s="554" t="s">
        <v>35</v>
      </c>
      <c r="B20" s="485" t="s">
        <v>556</v>
      </c>
      <c r="C20" s="558">
        <f>C21+C22+C23+C24+C25</f>
        <v>457593</v>
      </c>
      <c r="D20" s="559" t="e">
        <f>#REF!</f>
        <v>#REF!</v>
      </c>
      <c r="E20" s="488">
        <f t="shared" si="2"/>
        <v>110371.4316</v>
      </c>
      <c r="F20" s="488"/>
      <c r="G20" s="488"/>
      <c r="H20" s="488"/>
      <c r="I20" s="489"/>
      <c r="J20" s="194"/>
      <c r="K20" s="195"/>
    </row>
    <row r="21" spans="1:18" ht="31.5" x14ac:dyDescent="0.25">
      <c r="A21" s="554" t="s">
        <v>36</v>
      </c>
      <c r="B21" s="485" t="s">
        <v>55</v>
      </c>
      <c r="C21" s="558">
        <f>C22+C26</f>
        <v>314830</v>
      </c>
      <c r="D21" s="556">
        <f>D22+D26</f>
        <v>75181.40400000001</v>
      </c>
      <c r="E21" s="488">
        <f t="shared" si="2"/>
        <v>75936.995999999999</v>
      </c>
      <c r="F21" s="489"/>
      <c r="G21" s="187"/>
      <c r="H21" s="187"/>
      <c r="I21" s="187"/>
    </row>
    <row r="22" spans="1:18" ht="22.15" customHeight="1" x14ac:dyDescent="0.25">
      <c r="A22" s="554" t="s">
        <v>57</v>
      </c>
      <c r="B22" s="485" t="s">
        <v>558</v>
      </c>
      <c r="C22" s="558">
        <v>124002</v>
      </c>
      <c r="D22" s="559">
        <f>C22*0.2388</f>
        <v>29611.677600000003</v>
      </c>
      <c r="E22" s="488">
        <f t="shared" si="2"/>
        <v>29909.2824</v>
      </c>
      <c r="F22" s="489"/>
      <c r="G22" s="187"/>
      <c r="H22" s="187"/>
      <c r="I22" s="187"/>
    </row>
    <row r="23" spans="1:18" x14ac:dyDescent="0.25">
      <c r="A23" s="554" t="s">
        <v>588</v>
      </c>
      <c r="B23" s="485" t="s">
        <v>557</v>
      </c>
      <c r="C23" s="558">
        <v>10711</v>
      </c>
      <c r="D23" s="559"/>
      <c r="E23" s="488">
        <f t="shared" si="2"/>
        <v>2583.4931999999999</v>
      </c>
      <c r="F23" s="489"/>
      <c r="G23" s="187"/>
      <c r="H23" s="187"/>
      <c r="I23" s="187"/>
    </row>
    <row r="24" spans="1:18" x14ac:dyDescent="0.25">
      <c r="A24" s="554" t="s">
        <v>589</v>
      </c>
      <c r="B24" s="485" t="s">
        <v>560</v>
      </c>
      <c r="C24" s="558">
        <v>4814</v>
      </c>
      <c r="D24" s="559"/>
      <c r="E24" s="488">
        <f t="shared" si="2"/>
        <v>1161.1368</v>
      </c>
      <c r="F24" s="489"/>
      <c r="G24" s="187"/>
      <c r="H24" s="187"/>
      <c r="I24" s="187"/>
    </row>
    <row r="25" spans="1:18" x14ac:dyDescent="0.25">
      <c r="A25" s="554" t="s">
        <v>590</v>
      </c>
      <c r="B25" s="485" t="s">
        <v>559</v>
      </c>
      <c r="C25" s="558">
        <v>3236</v>
      </c>
      <c r="D25" s="559"/>
      <c r="E25" s="488">
        <f t="shared" si="2"/>
        <v>780.52319999999997</v>
      </c>
      <c r="F25" s="489"/>
      <c r="G25" s="187"/>
      <c r="H25" s="187"/>
      <c r="I25" s="187"/>
    </row>
    <row r="26" spans="1:18" ht="31.5" x14ac:dyDescent="0.25">
      <c r="A26" s="554" t="s">
        <v>267</v>
      </c>
      <c r="B26" s="485" t="s">
        <v>563</v>
      </c>
      <c r="C26" s="555">
        <f>157728+33100</f>
        <v>190828</v>
      </c>
      <c r="D26" s="556">
        <f>C26*0.2388</f>
        <v>45569.7264</v>
      </c>
      <c r="E26" s="560">
        <f t="shared" si="2"/>
        <v>46027.713600000003</v>
      </c>
      <c r="F26" s="489"/>
      <c r="G26" s="187"/>
      <c r="H26" s="187"/>
      <c r="I26" s="187"/>
    </row>
    <row r="27" spans="1:18" x14ac:dyDescent="0.25">
      <c r="A27" s="554" t="s">
        <v>268</v>
      </c>
      <c r="B27" s="485" t="s">
        <v>555</v>
      </c>
      <c r="C27" s="561">
        <v>30770</v>
      </c>
      <c r="D27" s="556" t="e">
        <f>#REF!</f>
        <v>#REF!</v>
      </c>
      <c r="E27" s="560">
        <f t="shared" si="2"/>
        <v>7421.7240000000002</v>
      </c>
      <c r="F27" s="489"/>
      <c r="G27" s="187"/>
      <c r="H27" s="187"/>
      <c r="I27" s="187"/>
    </row>
    <row r="28" spans="1:18" ht="52.9" customHeight="1" x14ac:dyDescent="0.25">
      <c r="A28" s="554" t="s">
        <v>37</v>
      </c>
      <c r="B28" s="485" t="s">
        <v>56</v>
      </c>
      <c r="C28" s="562">
        <f>4098.05*'ЦІНИ ПММ ШИНИ АКУМ'!I21</f>
        <v>171339.47050000002</v>
      </c>
      <c r="D28" s="556" t="e">
        <f>#REF!</f>
        <v>#REF!</v>
      </c>
      <c r="E28" s="563">
        <f t="shared" si="2"/>
        <v>41327.080284600008</v>
      </c>
      <c r="F28" s="564"/>
      <c r="G28" s="187"/>
      <c r="H28" s="187"/>
      <c r="I28" s="187"/>
    </row>
    <row r="29" spans="1:18" ht="57" hidden="1" customHeight="1" x14ac:dyDescent="0.25">
      <c r="A29" s="565"/>
      <c r="B29" s="493"/>
      <c r="C29" s="565"/>
      <c r="D29" s="187"/>
      <c r="E29" s="187"/>
      <c r="F29" s="187"/>
      <c r="G29" s="187"/>
      <c r="H29" s="187"/>
      <c r="I29" s="187"/>
    </row>
    <row r="30" spans="1:18" x14ac:dyDescent="0.25">
      <c r="A30" s="186"/>
      <c r="B30" s="566"/>
      <c r="C30" s="186"/>
      <c r="D30" s="567"/>
      <c r="E30" s="187"/>
      <c r="F30" s="187"/>
      <c r="G30" s="187"/>
      <c r="H30" s="187"/>
      <c r="I30" s="187"/>
    </row>
    <row r="31" spans="1:18" x14ac:dyDescent="0.25">
      <c r="A31" s="496"/>
      <c r="B31" s="568"/>
      <c r="C31" s="187"/>
      <c r="D31" s="187"/>
      <c r="E31" s="187"/>
      <c r="F31" s="187"/>
      <c r="G31" s="187"/>
      <c r="H31" s="187"/>
      <c r="I31" s="187"/>
    </row>
    <row r="32" spans="1:18" ht="45" customHeight="1" x14ac:dyDescent="0.25">
      <c r="A32" s="496"/>
      <c r="B32" s="787" t="s">
        <v>383</v>
      </c>
      <c r="C32" s="787"/>
      <c r="D32" s="787"/>
      <c r="E32" s="787"/>
      <c r="F32" s="787"/>
      <c r="G32" s="787"/>
      <c r="H32" s="787"/>
      <c r="I32" s="187"/>
    </row>
    <row r="33" spans="1:9" x14ac:dyDescent="0.25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x14ac:dyDescent="0.25">
      <c r="A34" s="187"/>
      <c r="B34" s="187"/>
      <c r="C34" s="187"/>
      <c r="D34" s="187"/>
      <c r="E34" s="187"/>
      <c r="F34" s="187"/>
      <c r="G34" s="187"/>
      <c r="H34" s="187"/>
      <c r="I34" s="187"/>
    </row>
    <row r="35" spans="1:9" x14ac:dyDescent="0.25">
      <c r="A35" s="187"/>
      <c r="B35" s="187"/>
      <c r="C35" s="187"/>
      <c r="D35" s="187"/>
      <c r="E35" s="187"/>
      <c r="F35" s="187"/>
      <c r="G35" s="187"/>
      <c r="H35" s="187"/>
      <c r="I35" s="187"/>
    </row>
    <row r="36" spans="1:9" x14ac:dyDescent="0.25">
      <c r="A36" s="187"/>
      <c r="B36" s="187"/>
      <c r="C36" s="187"/>
      <c r="D36" s="187"/>
      <c r="E36" s="187"/>
      <c r="F36" s="187"/>
      <c r="G36" s="187"/>
      <c r="H36" s="187"/>
      <c r="I36" s="187"/>
    </row>
    <row r="37" spans="1:9" ht="19.5" customHeight="1" x14ac:dyDescent="0.25">
      <c r="A37" s="187"/>
      <c r="B37" s="187"/>
      <c r="C37" s="187"/>
      <c r="D37" s="187"/>
      <c r="E37" s="187"/>
      <c r="F37" s="187"/>
      <c r="G37" s="187"/>
      <c r="H37" s="187"/>
      <c r="I37" s="187"/>
    </row>
    <row r="38" spans="1:9" x14ac:dyDescent="0.25">
      <c r="A38" s="187"/>
      <c r="B38" s="187"/>
      <c r="C38" s="187"/>
      <c r="D38" s="187"/>
      <c r="E38" s="187"/>
      <c r="F38" s="187"/>
      <c r="G38" s="187"/>
      <c r="H38" s="187"/>
      <c r="I38" s="187"/>
    </row>
    <row r="39" spans="1:9" x14ac:dyDescent="0.25">
      <c r="A39" s="187"/>
      <c r="B39" s="187"/>
      <c r="C39" s="187"/>
      <c r="D39" s="187"/>
      <c r="E39" s="187"/>
      <c r="F39" s="187"/>
      <c r="G39" s="187"/>
      <c r="H39" s="187"/>
      <c r="I39" s="187"/>
    </row>
    <row r="40" spans="1:9" x14ac:dyDescent="0.25">
      <c r="A40" s="187"/>
      <c r="B40" s="187"/>
      <c r="C40" s="187"/>
      <c r="D40" s="187"/>
      <c r="E40" s="187"/>
      <c r="F40" s="187"/>
      <c r="G40" s="187"/>
      <c r="H40" s="187"/>
      <c r="I40" s="187"/>
    </row>
    <row r="41" spans="1:9" x14ac:dyDescent="0.25">
      <c r="A41" s="187"/>
      <c r="B41" s="187"/>
      <c r="C41" s="187"/>
      <c r="D41" s="187"/>
      <c r="E41" s="187"/>
      <c r="F41" s="187"/>
      <c r="G41" s="187"/>
      <c r="H41" s="187"/>
      <c r="I41" s="187"/>
    </row>
    <row r="42" spans="1:9" x14ac:dyDescent="0.25">
      <c r="A42" s="187"/>
      <c r="B42" s="204"/>
      <c r="C42" s="187"/>
      <c r="D42" s="187"/>
      <c r="E42" s="187"/>
      <c r="F42" s="187"/>
      <c r="G42" s="187"/>
      <c r="H42" s="187"/>
      <c r="I42" s="187"/>
    </row>
    <row r="43" spans="1:9" x14ac:dyDescent="0.25">
      <c r="A43" s="187"/>
      <c r="B43" s="201"/>
      <c r="C43" s="187"/>
      <c r="D43" s="187"/>
      <c r="E43" s="187"/>
      <c r="F43" s="187"/>
      <c r="G43" s="187"/>
      <c r="H43" s="187"/>
      <c r="I43" s="187"/>
    </row>
    <row r="44" spans="1:9" x14ac:dyDescent="0.25">
      <c r="A44" s="187"/>
      <c r="B44" s="201"/>
      <c r="C44" s="187"/>
      <c r="D44" s="187"/>
      <c r="E44" s="187"/>
      <c r="F44" s="187"/>
      <c r="G44" s="187"/>
      <c r="H44" s="187"/>
      <c r="I44" s="187"/>
    </row>
    <row r="45" spans="1:9" x14ac:dyDescent="0.25">
      <c r="A45" s="187"/>
      <c r="B45" s="201"/>
      <c r="C45" s="187"/>
      <c r="D45" s="187"/>
      <c r="E45" s="187"/>
      <c r="F45" s="187"/>
      <c r="G45" s="187"/>
      <c r="H45" s="187"/>
      <c r="I45" s="187"/>
    </row>
    <row r="46" spans="1:9" x14ac:dyDescent="0.25">
      <c r="A46" s="187"/>
      <c r="B46" s="201"/>
      <c r="C46" s="187"/>
      <c r="D46" s="187"/>
      <c r="E46" s="187"/>
      <c r="F46" s="187"/>
      <c r="G46" s="187"/>
      <c r="H46" s="187"/>
      <c r="I46" s="187"/>
    </row>
    <row r="47" spans="1:9" x14ac:dyDescent="0.25">
      <c r="A47" s="187"/>
      <c r="B47" s="201"/>
      <c r="C47" s="187"/>
      <c r="D47" s="187"/>
      <c r="E47" s="187"/>
      <c r="F47" s="187"/>
      <c r="G47" s="187"/>
      <c r="H47" s="187"/>
      <c r="I47" s="187"/>
    </row>
    <row r="48" spans="1:9" x14ac:dyDescent="0.25">
      <c r="A48" s="187"/>
      <c r="B48" s="201"/>
      <c r="C48" s="187"/>
      <c r="D48" s="187"/>
      <c r="E48" s="187"/>
      <c r="F48" s="187"/>
      <c r="G48" s="187"/>
      <c r="H48" s="187"/>
      <c r="I48" s="187"/>
    </row>
    <row r="49" spans="1:9" x14ac:dyDescent="0.25">
      <c r="A49" s="187"/>
      <c r="B49" s="201"/>
      <c r="C49" s="187"/>
      <c r="D49" s="187"/>
      <c r="E49" s="187"/>
      <c r="F49" s="187"/>
      <c r="G49" s="187"/>
      <c r="H49" s="187"/>
      <c r="I49" s="187"/>
    </row>
    <row r="50" spans="1:9" x14ac:dyDescent="0.25">
      <c r="A50" s="187"/>
      <c r="B50" s="201"/>
      <c r="C50" s="187"/>
      <c r="D50" s="187"/>
      <c r="E50" s="187"/>
      <c r="F50" s="187"/>
      <c r="G50" s="187"/>
      <c r="H50" s="187"/>
      <c r="I50" s="187"/>
    </row>
    <row r="51" spans="1:9" x14ac:dyDescent="0.25">
      <c r="A51" s="187"/>
      <c r="B51" s="201"/>
      <c r="C51" s="187"/>
      <c r="D51" s="187"/>
      <c r="E51" s="187"/>
      <c r="F51" s="187"/>
      <c r="G51" s="187"/>
      <c r="H51" s="187"/>
      <c r="I51" s="187"/>
    </row>
    <row r="52" spans="1:9" x14ac:dyDescent="0.25">
      <c r="A52" s="187"/>
      <c r="B52" s="201"/>
      <c r="C52" s="187"/>
      <c r="D52" s="187"/>
      <c r="E52" s="187"/>
      <c r="F52" s="187"/>
      <c r="G52" s="187"/>
      <c r="H52" s="187"/>
      <c r="I52" s="187"/>
    </row>
    <row r="53" spans="1:9" x14ac:dyDescent="0.25">
      <c r="A53" s="187"/>
      <c r="B53" s="201"/>
      <c r="C53" s="187"/>
      <c r="D53" s="187"/>
      <c r="E53" s="187"/>
      <c r="F53" s="187"/>
      <c r="G53" s="187"/>
      <c r="H53" s="187"/>
      <c r="I53" s="187"/>
    </row>
    <row r="54" spans="1:9" x14ac:dyDescent="0.25">
      <c r="A54" s="187"/>
      <c r="B54" s="201"/>
      <c r="C54" s="187"/>
      <c r="D54" s="187"/>
      <c r="E54" s="187"/>
      <c r="F54" s="187"/>
      <c r="G54" s="187"/>
      <c r="H54" s="187"/>
      <c r="I54" s="187"/>
    </row>
    <row r="55" spans="1:9" x14ac:dyDescent="0.25">
      <c r="A55" s="187"/>
      <c r="B55" s="201"/>
      <c r="C55" s="187"/>
      <c r="D55" s="187"/>
      <c r="E55" s="187"/>
      <c r="F55" s="187"/>
      <c r="G55" s="187"/>
      <c r="H55" s="187"/>
      <c r="I55" s="187"/>
    </row>
    <row r="56" spans="1:9" x14ac:dyDescent="0.25">
      <c r="A56" s="187"/>
      <c r="B56" s="201"/>
      <c r="C56" s="187"/>
      <c r="D56" s="187"/>
      <c r="E56" s="187"/>
      <c r="F56" s="187"/>
      <c r="G56" s="187"/>
      <c r="H56" s="187"/>
      <c r="I56" s="187"/>
    </row>
    <row r="57" spans="1:9" x14ac:dyDescent="0.25">
      <c r="A57" s="187"/>
      <c r="B57" s="201"/>
      <c r="C57" s="187"/>
      <c r="D57" s="187"/>
      <c r="E57" s="187"/>
      <c r="F57" s="187"/>
      <c r="G57" s="187"/>
      <c r="H57" s="187"/>
      <c r="I57" s="187"/>
    </row>
    <row r="58" spans="1:9" x14ac:dyDescent="0.25">
      <c r="A58" s="187"/>
      <c r="B58" s="201"/>
      <c r="C58" s="187"/>
      <c r="D58" s="187"/>
      <c r="E58" s="187"/>
      <c r="F58" s="187"/>
      <c r="G58" s="187"/>
      <c r="H58" s="187"/>
      <c r="I58" s="187"/>
    </row>
    <row r="59" spans="1:9" x14ac:dyDescent="0.25">
      <c r="A59" s="187"/>
      <c r="B59" s="201"/>
      <c r="C59" s="187"/>
      <c r="D59" s="187"/>
      <c r="E59" s="187"/>
      <c r="F59" s="187"/>
      <c r="G59" s="187"/>
      <c r="H59" s="187"/>
      <c r="I59" s="187"/>
    </row>
    <row r="60" spans="1:9" x14ac:dyDescent="0.25">
      <c r="A60" s="187"/>
      <c r="B60" s="201"/>
      <c r="C60" s="187"/>
      <c r="D60" s="187"/>
      <c r="E60" s="187"/>
      <c r="F60" s="187"/>
      <c r="G60" s="187"/>
      <c r="H60" s="187"/>
      <c r="I60" s="187"/>
    </row>
    <row r="61" spans="1:9" x14ac:dyDescent="0.25">
      <c r="A61" s="187"/>
      <c r="B61" s="201"/>
      <c r="C61" s="187"/>
      <c r="D61" s="187"/>
      <c r="E61" s="187"/>
      <c r="F61" s="187"/>
      <c r="G61" s="187"/>
      <c r="H61" s="187"/>
      <c r="I61" s="187"/>
    </row>
    <row r="62" spans="1:9" x14ac:dyDescent="0.25">
      <c r="A62" s="187"/>
      <c r="B62" s="201"/>
      <c r="C62" s="187"/>
      <c r="D62" s="187"/>
      <c r="E62" s="187"/>
      <c r="F62" s="187"/>
      <c r="G62" s="187"/>
      <c r="H62" s="187"/>
      <c r="I62" s="187"/>
    </row>
    <row r="63" spans="1:9" x14ac:dyDescent="0.25">
      <c r="A63" s="187"/>
      <c r="B63" s="201"/>
      <c r="C63" s="187"/>
      <c r="D63" s="187"/>
      <c r="E63" s="187"/>
      <c r="F63" s="187"/>
      <c r="G63" s="187"/>
      <c r="H63" s="187"/>
      <c r="I63" s="187"/>
    </row>
    <row r="64" spans="1:9" x14ac:dyDescent="0.25">
      <c r="A64" s="187"/>
      <c r="B64" s="201"/>
      <c r="C64" s="187"/>
      <c r="D64" s="187"/>
      <c r="E64" s="187"/>
      <c r="F64" s="187"/>
      <c r="G64" s="187"/>
      <c r="H64" s="187"/>
      <c r="I64" s="187"/>
    </row>
    <row r="65" spans="1:9" x14ac:dyDescent="0.25">
      <c r="A65" s="187"/>
      <c r="B65" s="201"/>
      <c r="C65" s="187"/>
      <c r="D65" s="187"/>
      <c r="E65" s="187"/>
      <c r="F65" s="187"/>
      <c r="G65" s="187"/>
      <c r="H65" s="187"/>
      <c r="I65" s="187"/>
    </row>
    <row r="66" spans="1:9" x14ac:dyDescent="0.25">
      <c r="A66" s="187"/>
      <c r="B66" s="201"/>
      <c r="C66" s="187"/>
      <c r="D66" s="187"/>
      <c r="E66" s="187"/>
      <c r="F66" s="187"/>
      <c r="G66" s="187"/>
      <c r="H66" s="187"/>
      <c r="I66" s="187"/>
    </row>
    <row r="67" spans="1:9" x14ac:dyDescent="0.25">
      <c r="A67" s="187"/>
      <c r="B67" s="201"/>
      <c r="C67" s="187"/>
      <c r="D67" s="187"/>
      <c r="E67" s="187"/>
      <c r="F67" s="187"/>
      <c r="G67" s="187"/>
      <c r="H67" s="187"/>
      <c r="I67" s="187"/>
    </row>
    <row r="68" spans="1:9" x14ac:dyDescent="0.25">
      <c r="A68" s="187"/>
      <c r="B68" s="201"/>
      <c r="C68" s="187"/>
      <c r="D68" s="187"/>
      <c r="E68" s="187"/>
      <c r="F68" s="187"/>
      <c r="G68" s="187"/>
      <c r="H68" s="187"/>
      <c r="I68" s="187"/>
    </row>
    <row r="69" spans="1:9" x14ac:dyDescent="0.25">
      <c r="A69" s="187"/>
      <c r="B69" s="201"/>
      <c r="C69" s="187"/>
      <c r="D69" s="187"/>
      <c r="E69" s="187"/>
      <c r="F69" s="187"/>
      <c r="G69" s="187"/>
      <c r="H69" s="187"/>
      <c r="I69" s="187"/>
    </row>
    <row r="70" spans="1:9" x14ac:dyDescent="0.25">
      <c r="A70" s="187"/>
      <c r="B70" s="201"/>
      <c r="C70" s="187"/>
      <c r="D70" s="187"/>
      <c r="E70" s="187"/>
      <c r="F70" s="187"/>
      <c r="G70" s="187"/>
      <c r="H70" s="187"/>
      <c r="I70" s="187"/>
    </row>
    <row r="71" spans="1:9" x14ac:dyDescent="0.25">
      <c r="A71" s="187"/>
      <c r="B71" s="201"/>
      <c r="C71" s="187"/>
      <c r="D71" s="187"/>
      <c r="E71" s="187"/>
      <c r="F71" s="187"/>
      <c r="G71" s="187"/>
      <c r="H71" s="187"/>
      <c r="I71" s="187"/>
    </row>
    <row r="72" spans="1:9" x14ac:dyDescent="0.25">
      <c r="A72" s="187"/>
      <c r="B72" s="201"/>
      <c r="C72" s="187"/>
      <c r="D72" s="187"/>
      <c r="E72" s="187"/>
      <c r="F72" s="187"/>
      <c r="G72" s="187"/>
      <c r="H72" s="187"/>
      <c r="I72" s="187"/>
    </row>
    <row r="73" spans="1:9" x14ac:dyDescent="0.25">
      <c r="A73" s="187"/>
      <c r="B73" s="201"/>
      <c r="C73" s="187"/>
      <c r="D73" s="187"/>
      <c r="E73" s="187"/>
      <c r="F73" s="187"/>
      <c r="G73" s="187"/>
      <c r="H73" s="187"/>
      <c r="I73" s="187"/>
    </row>
    <row r="74" spans="1:9" x14ac:dyDescent="0.25">
      <c r="A74" s="187"/>
      <c r="B74" s="201"/>
      <c r="C74" s="187"/>
      <c r="D74" s="187"/>
      <c r="E74" s="187"/>
      <c r="F74" s="187"/>
      <c r="G74" s="187"/>
      <c r="H74" s="187"/>
      <c r="I74" s="187"/>
    </row>
    <row r="75" spans="1:9" x14ac:dyDescent="0.25">
      <c r="A75" s="187"/>
      <c r="B75" s="201"/>
      <c r="C75" s="187"/>
      <c r="D75" s="187"/>
      <c r="E75" s="187"/>
      <c r="F75" s="187"/>
      <c r="G75" s="187"/>
      <c r="H75" s="187"/>
      <c r="I75" s="187"/>
    </row>
    <row r="76" spans="1:9" x14ac:dyDescent="0.25">
      <c r="A76" s="187"/>
      <c r="B76" s="201"/>
      <c r="C76" s="187"/>
      <c r="D76" s="187"/>
      <c r="E76" s="187"/>
      <c r="F76" s="187"/>
      <c r="G76" s="187"/>
      <c r="H76" s="187"/>
      <c r="I76" s="187"/>
    </row>
    <row r="77" spans="1:9" x14ac:dyDescent="0.25">
      <c r="A77" s="187"/>
      <c r="B77" s="201"/>
      <c r="C77" s="187"/>
      <c r="D77" s="187"/>
      <c r="E77" s="187"/>
      <c r="F77" s="187"/>
      <c r="G77" s="187"/>
      <c r="H77" s="187"/>
      <c r="I77" s="187"/>
    </row>
    <row r="78" spans="1:9" x14ac:dyDescent="0.25">
      <c r="A78" s="187"/>
      <c r="B78" s="201"/>
      <c r="C78" s="187"/>
      <c r="D78" s="187"/>
      <c r="E78" s="187"/>
      <c r="F78" s="187"/>
      <c r="G78" s="187"/>
      <c r="H78" s="187"/>
      <c r="I78" s="187"/>
    </row>
    <row r="79" spans="1:9" x14ac:dyDescent="0.25">
      <c r="A79" s="187"/>
      <c r="B79" s="201"/>
      <c r="C79" s="187"/>
      <c r="D79" s="187"/>
      <c r="E79" s="187"/>
      <c r="F79" s="187"/>
      <c r="G79" s="187"/>
      <c r="H79" s="187"/>
      <c r="I79" s="187"/>
    </row>
    <row r="80" spans="1:9" x14ac:dyDescent="0.25">
      <c r="A80" s="187"/>
      <c r="B80" s="201"/>
      <c r="C80" s="187"/>
      <c r="D80" s="187"/>
      <c r="E80" s="187"/>
      <c r="F80" s="187"/>
      <c r="G80" s="187"/>
      <c r="H80" s="187"/>
      <c r="I80" s="187"/>
    </row>
    <row r="81" spans="1:9" x14ac:dyDescent="0.25">
      <c r="A81" s="187"/>
      <c r="B81" s="201"/>
      <c r="C81" s="187"/>
      <c r="D81" s="187"/>
      <c r="E81" s="187"/>
      <c r="F81" s="187"/>
      <c r="G81" s="187"/>
      <c r="H81" s="187"/>
      <c r="I81" s="187"/>
    </row>
    <row r="82" spans="1:9" x14ac:dyDescent="0.25">
      <c r="A82" s="187"/>
      <c r="B82" s="201"/>
      <c r="C82" s="187"/>
      <c r="D82" s="187"/>
      <c r="E82" s="187"/>
      <c r="F82" s="187"/>
      <c r="G82" s="187"/>
      <c r="H82" s="187"/>
      <c r="I82" s="187"/>
    </row>
    <row r="83" spans="1:9" x14ac:dyDescent="0.25">
      <c r="A83" s="187"/>
      <c r="B83" s="201"/>
      <c r="C83" s="187"/>
      <c r="D83" s="187"/>
      <c r="E83" s="187"/>
      <c r="F83" s="187"/>
      <c r="G83" s="187"/>
      <c r="H83" s="187"/>
      <c r="I83" s="187"/>
    </row>
    <row r="84" spans="1:9" x14ac:dyDescent="0.25">
      <c r="A84" s="187"/>
      <c r="B84" s="201"/>
      <c r="C84" s="187"/>
      <c r="D84" s="187"/>
      <c r="E84" s="187"/>
      <c r="F84" s="187"/>
      <c r="G84" s="187"/>
      <c r="H84" s="187"/>
      <c r="I84" s="187"/>
    </row>
    <row r="85" spans="1:9" x14ac:dyDescent="0.25">
      <c r="A85" s="187"/>
      <c r="B85" s="201"/>
      <c r="C85" s="187"/>
      <c r="D85" s="187"/>
      <c r="E85" s="187"/>
      <c r="F85" s="187"/>
      <c r="G85" s="187"/>
      <c r="H85" s="187"/>
      <c r="I85" s="187"/>
    </row>
    <row r="86" spans="1:9" x14ac:dyDescent="0.25">
      <c r="B86" s="201"/>
      <c r="C86" s="187"/>
      <c r="D86" s="187"/>
      <c r="E86" s="187"/>
      <c r="F86" s="187"/>
      <c r="G86" s="187"/>
      <c r="H86" s="187"/>
    </row>
    <row r="87" spans="1:9" x14ac:dyDescent="0.25">
      <c r="B87" s="201"/>
      <c r="C87" s="187"/>
      <c r="D87" s="187"/>
      <c r="E87" s="187"/>
      <c r="F87" s="187"/>
      <c r="G87" s="187"/>
      <c r="H87" s="187"/>
    </row>
    <row r="88" spans="1:9" x14ac:dyDescent="0.25">
      <c r="B88" s="201"/>
      <c r="C88" s="187"/>
      <c r="D88" s="187"/>
      <c r="E88" s="187"/>
      <c r="F88" s="187"/>
      <c r="G88" s="187"/>
      <c r="H88" s="187"/>
    </row>
    <row r="89" spans="1:9" x14ac:dyDescent="0.25">
      <c r="B89" s="201"/>
      <c r="C89" s="187"/>
      <c r="D89" s="187"/>
      <c r="E89" s="187"/>
      <c r="F89" s="187"/>
      <c r="G89" s="187"/>
      <c r="H89" s="187"/>
    </row>
    <row r="90" spans="1:9" x14ac:dyDescent="0.25">
      <c r="B90" s="201"/>
      <c r="C90" s="187"/>
      <c r="D90" s="187"/>
      <c r="E90" s="187"/>
      <c r="F90" s="187"/>
      <c r="G90" s="187"/>
      <c r="H90" s="187"/>
    </row>
    <row r="91" spans="1:9" x14ac:dyDescent="0.25">
      <c r="B91" s="201"/>
      <c r="C91" s="187"/>
      <c r="D91" s="187"/>
      <c r="E91" s="187"/>
      <c r="F91" s="187"/>
      <c r="G91" s="187"/>
      <c r="H91" s="187"/>
    </row>
    <row r="92" spans="1:9" x14ac:dyDescent="0.25">
      <c r="B92" s="201"/>
      <c r="C92" s="187"/>
      <c r="D92" s="187"/>
      <c r="E92" s="187"/>
      <c r="F92" s="187"/>
      <c r="G92" s="187"/>
      <c r="H92" s="187"/>
    </row>
    <row r="93" spans="1:9" x14ac:dyDescent="0.25">
      <c r="B93" s="201"/>
      <c r="C93" s="187"/>
      <c r="D93" s="187"/>
      <c r="E93" s="187"/>
      <c r="F93" s="187"/>
      <c r="G93" s="187"/>
      <c r="H93" s="187"/>
    </row>
    <row r="94" spans="1:9" x14ac:dyDescent="0.25">
      <c r="B94" s="201"/>
      <c r="C94" s="187"/>
      <c r="D94" s="187"/>
      <c r="E94" s="187"/>
      <c r="F94" s="187"/>
      <c r="G94" s="187"/>
      <c r="H94" s="187"/>
    </row>
    <row r="95" spans="1:9" x14ac:dyDescent="0.25">
      <c r="B95" s="201"/>
      <c r="C95" s="187"/>
      <c r="D95" s="187"/>
      <c r="E95" s="187"/>
      <c r="F95" s="187"/>
      <c r="G95" s="187"/>
      <c r="H95" s="187"/>
    </row>
    <row r="96" spans="1:9" x14ac:dyDescent="0.25">
      <c r="B96" s="201"/>
      <c r="C96" s="187"/>
      <c r="D96" s="187"/>
      <c r="E96" s="187"/>
      <c r="F96" s="187"/>
      <c r="G96" s="187"/>
      <c r="H96" s="187"/>
    </row>
    <row r="97" spans="2:8" x14ac:dyDescent="0.25">
      <c r="B97" s="201"/>
      <c r="C97" s="187"/>
      <c r="D97" s="187"/>
      <c r="E97" s="187"/>
      <c r="F97" s="187"/>
      <c r="G97" s="187"/>
      <c r="H97" s="187"/>
    </row>
    <row r="98" spans="2:8" x14ac:dyDescent="0.25">
      <c r="B98" s="201"/>
      <c r="C98" s="187"/>
      <c r="D98" s="187"/>
      <c r="E98" s="187"/>
      <c r="F98" s="187"/>
      <c r="G98" s="187"/>
      <c r="H98" s="187"/>
    </row>
    <row r="99" spans="2:8" x14ac:dyDescent="0.25">
      <c r="B99" s="201"/>
      <c r="C99" s="187"/>
      <c r="D99" s="187"/>
      <c r="E99" s="187"/>
      <c r="F99" s="187"/>
      <c r="G99" s="187"/>
      <c r="H99" s="187"/>
    </row>
    <row r="100" spans="2:8" x14ac:dyDescent="0.25">
      <c r="B100" s="201"/>
      <c r="C100" s="187"/>
      <c r="D100" s="187"/>
      <c r="E100" s="187"/>
      <c r="F100" s="187"/>
      <c r="G100" s="187"/>
      <c r="H100" s="187"/>
    </row>
    <row r="101" spans="2:8" x14ac:dyDescent="0.25">
      <c r="B101" s="201"/>
      <c r="C101" s="187"/>
      <c r="D101" s="187"/>
      <c r="E101" s="187"/>
      <c r="F101" s="187"/>
      <c r="G101" s="187"/>
      <c r="H101" s="187"/>
    </row>
    <row r="102" spans="2:8" x14ac:dyDescent="0.25">
      <c r="B102" s="201"/>
      <c r="C102" s="187"/>
      <c r="D102" s="187"/>
      <c r="E102" s="187"/>
      <c r="F102" s="187"/>
      <c r="G102" s="187"/>
      <c r="H102" s="187"/>
    </row>
    <row r="103" spans="2:8" x14ac:dyDescent="0.25">
      <c r="B103" s="201"/>
      <c r="C103" s="187"/>
      <c r="D103" s="187"/>
      <c r="E103" s="187"/>
      <c r="F103" s="187"/>
      <c r="G103" s="187"/>
      <c r="H103" s="187"/>
    </row>
    <row r="104" spans="2:8" x14ac:dyDescent="0.25">
      <c r="B104" s="201"/>
      <c r="C104" s="187"/>
      <c r="D104" s="187"/>
      <c r="E104" s="187"/>
      <c r="F104" s="187"/>
      <c r="G104" s="187"/>
      <c r="H104" s="187"/>
    </row>
    <row r="105" spans="2:8" x14ac:dyDescent="0.25">
      <c r="B105" s="201"/>
      <c r="C105" s="187"/>
      <c r="D105" s="187"/>
      <c r="E105" s="187"/>
      <c r="F105" s="187"/>
      <c r="G105" s="187"/>
      <c r="H105" s="187"/>
    </row>
    <row r="106" spans="2:8" x14ac:dyDescent="0.25">
      <c r="B106" s="201"/>
      <c r="C106" s="187"/>
      <c r="D106" s="187"/>
      <c r="E106" s="187"/>
      <c r="F106" s="187"/>
      <c r="G106" s="187"/>
      <c r="H106" s="187"/>
    </row>
    <row r="107" spans="2:8" x14ac:dyDescent="0.25">
      <c r="B107" s="201"/>
      <c r="C107" s="187"/>
      <c r="D107" s="187"/>
      <c r="E107" s="187"/>
      <c r="F107" s="187"/>
      <c r="G107" s="187"/>
      <c r="H107" s="187"/>
    </row>
    <row r="108" spans="2:8" x14ac:dyDescent="0.25">
      <c r="B108" s="201"/>
      <c r="C108" s="187"/>
      <c r="D108" s="187"/>
      <c r="E108" s="187"/>
      <c r="F108" s="187"/>
      <c r="G108" s="187"/>
      <c r="H108" s="187"/>
    </row>
    <row r="109" spans="2:8" x14ac:dyDescent="0.25">
      <c r="B109" s="201"/>
      <c r="C109" s="187"/>
      <c r="D109" s="187"/>
      <c r="E109" s="187"/>
      <c r="F109" s="187"/>
      <c r="G109" s="187"/>
      <c r="H109" s="187"/>
    </row>
    <row r="110" spans="2:8" x14ac:dyDescent="0.25">
      <c r="B110" s="201"/>
      <c r="C110" s="187"/>
      <c r="D110" s="187"/>
      <c r="E110" s="187"/>
      <c r="F110" s="187"/>
      <c r="G110" s="187"/>
      <c r="H110" s="187"/>
    </row>
    <row r="111" spans="2:8" x14ac:dyDescent="0.25">
      <c r="B111" s="201"/>
      <c r="C111" s="187"/>
      <c r="D111" s="187"/>
      <c r="E111" s="187"/>
      <c r="F111" s="187"/>
      <c r="G111" s="187"/>
      <c r="H111" s="187"/>
    </row>
    <row r="112" spans="2:8" x14ac:dyDescent="0.25">
      <c r="B112" s="201"/>
      <c r="C112" s="187"/>
      <c r="D112" s="187"/>
      <c r="E112" s="187"/>
      <c r="F112" s="187"/>
      <c r="G112" s="187"/>
      <c r="H112" s="187"/>
    </row>
    <row r="113" spans="2:8" x14ac:dyDescent="0.25">
      <c r="B113" s="201"/>
      <c r="C113" s="187"/>
      <c r="D113" s="187"/>
      <c r="E113" s="187"/>
      <c r="F113" s="187"/>
      <c r="G113" s="187"/>
      <c r="H113" s="187"/>
    </row>
    <row r="114" spans="2:8" x14ac:dyDescent="0.25">
      <c r="B114" s="201"/>
      <c r="C114" s="187"/>
      <c r="D114" s="187"/>
      <c r="E114" s="187"/>
      <c r="F114" s="187"/>
      <c r="G114" s="187"/>
      <c r="H114" s="187"/>
    </row>
    <row r="115" spans="2:8" x14ac:dyDescent="0.25">
      <c r="B115" s="201"/>
      <c r="C115" s="187"/>
      <c r="D115" s="187"/>
      <c r="E115" s="187"/>
      <c r="F115" s="187"/>
      <c r="G115" s="187"/>
      <c r="H115" s="187"/>
    </row>
    <row r="116" spans="2:8" x14ac:dyDescent="0.25">
      <c r="B116" s="201"/>
      <c r="C116" s="187"/>
      <c r="D116" s="187"/>
      <c r="E116" s="187"/>
      <c r="F116" s="187"/>
      <c r="G116" s="187"/>
      <c r="H116" s="187"/>
    </row>
    <row r="117" spans="2:8" x14ac:dyDescent="0.25">
      <c r="B117" s="201"/>
      <c r="C117" s="187"/>
      <c r="D117" s="187"/>
      <c r="E117" s="187"/>
      <c r="F117" s="187"/>
      <c r="G117" s="187"/>
      <c r="H117" s="187"/>
    </row>
    <row r="118" spans="2:8" x14ac:dyDescent="0.25">
      <c r="B118" s="201"/>
      <c r="C118" s="187"/>
      <c r="D118" s="187"/>
      <c r="E118" s="187"/>
      <c r="F118" s="187"/>
      <c r="G118" s="187"/>
      <c r="H118" s="187"/>
    </row>
    <row r="119" spans="2:8" x14ac:dyDescent="0.25">
      <c r="B119" s="201"/>
      <c r="C119" s="187"/>
      <c r="D119" s="187"/>
      <c r="E119" s="187"/>
      <c r="F119" s="187"/>
      <c r="G119" s="187"/>
      <c r="H119" s="187"/>
    </row>
    <row r="120" spans="2:8" x14ac:dyDescent="0.25">
      <c r="B120" s="201"/>
      <c r="C120" s="187"/>
      <c r="D120" s="187"/>
      <c r="E120" s="187"/>
      <c r="F120" s="187"/>
      <c r="G120" s="187"/>
      <c r="H120" s="187"/>
    </row>
    <row r="121" spans="2:8" x14ac:dyDescent="0.25">
      <c r="B121" s="201"/>
      <c r="C121" s="187"/>
      <c r="D121" s="187"/>
      <c r="E121" s="187"/>
      <c r="F121" s="187"/>
      <c r="G121" s="187"/>
      <c r="H121" s="187"/>
    </row>
    <row r="122" spans="2:8" x14ac:dyDescent="0.25">
      <c r="B122" s="201"/>
      <c r="C122" s="187"/>
      <c r="D122" s="187"/>
      <c r="E122" s="187"/>
      <c r="F122" s="187"/>
      <c r="G122" s="187"/>
      <c r="H122" s="187"/>
    </row>
    <row r="123" spans="2:8" x14ac:dyDescent="0.25">
      <c r="B123" s="201"/>
      <c r="C123" s="187"/>
      <c r="D123" s="187"/>
      <c r="E123" s="187"/>
      <c r="F123" s="187"/>
      <c r="G123" s="187"/>
      <c r="H123" s="187"/>
    </row>
    <row r="124" spans="2:8" x14ac:dyDescent="0.25">
      <c r="B124" s="201"/>
      <c r="C124" s="187"/>
      <c r="D124" s="187"/>
      <c r="E124" s="187"/>
      <c r="F124" s="187"/>
      <c r="G124" s="187"/>
      <c r="H124" s="187"/>
    </row>
    <row r="125" spans="2:8" x14ac:dyDescent="0.25">
      <c r="B125" s="201"/>
      <c r="C125" s="187"/>
      <c r="D125" s="187"/>
      <c r="E125" s="187"/>
      <c r="F125" s="187"/>
      <c r="G125" s="187"/>
      <c r="H125" s="187"/>
    </row>
    <row r="126" spans="2:8" x14ac:dyDescent="0.25">
      <c r="B126" s="201"/>
      <c r="C126" s="187"/>
      <c r="D126" s="187"/>
      <c r="E126" s="187"/>
      <c r="F126" s="187"/>
      <c r="G126" s="187"/>
      <c r="H126" s="187"/>
    </row>
    <row r="127" spans="2:8" x14ac:dyDescent="0.25">
      <c r="B127" s="201"/>
      <c r="C127" s="187"/>
      <c r="D127" s="187"/>
      <c r="E127" s="187"/>
      <c r="F127" s="187"/>
      <c r="G127" s="187"/>
      <c r="H127" s="187"/>
    </row>
    <row r="128" spans="2:8" x14ac:dyDescent="0.25">
      <c r="B128" s="201"/>
      <c r="C128" s="187"/>
      <c r="D128" s="187"/>
      <c r="E128" s="187"/>
      <c r="F128" s="187"/>
      <c r="G128" s="187"/>
      <c r="H128" s="187"/>
    </row>
    <row r="129" spans="2:8" x14ac:dyDescent="0.25">
      <c r="B129" s="201"/>
      <c r="C129" s="187"/>
      <c r="D129" s="187"/>
      <c r="E129" s="187"/>
      <c r="F129" s="187"/>
      <c r="G129" s="187"/>
      <c r="H129" s="187"/>
    </row>
    <row r="130" spans="2:8" x14ac:dyDescent="0.25">
      <c r="B130" s="201"/>
      <c r="C130" s="187"/>
      <c r="D130" s="187"/>
      <c r="E130" s="187"/>
      <c r="F130" s="187"/>
      <c r="G130" s="187"/>
      <c r="H130" s="187"/>
    </row>
    <row r="131" spans="2:8" x14ac:dyDescent="0.25">
      <c r="B131" s="201"/>
      <c r="C131" s="187"/>
      <c r="D131" s="187"/>
      <c r="E131" s="187"/>
      <c r="F131" s="187"/>
      <c r="G131" s="187"/>
      <c r="H131" s="187"/>
    </row>
    <row r="132" spans="2:8" x14ac:dyDescent="0.25">
      <c r="B132" s="201"/>
      <c r="C132" s="187"/>
      <c r="D132" s="187"/>
      <c r="E132" s="187"/>
      <c r="F132" s="187"/>
      <c r="G132" s="187"/>
      <c r="H132" s="187"/>
    </row>
    <row r="133" spans="2:8" x14ac:dyDescent="0.25">
      <c r="B133" s="201"/>
      <c r="C133" s="187"/>
      <c r="D133" s="187"/>
      <c r="E133" s="187"/>
      <c r="F133" s="187"/>
      <c r="G133" s="187"/>
      <c r="H133" s="187"/>
    </row>
    <row r="134" spans="2:8" x14ac:dyDescent="0.25">
      <c r="B134" s="201"/>
      <c r="C134" s="187"/>
      <c r="D134" s="187"/>
      <c r="E134" s="187"/>
      <c r="F134" s="187"/>
      <c r="G134" s="187"/>
      <c r="H134" s="187"/>
    </row>
    <row r="135" spans="2:8" x14ac:dyDescent="0.25">
      <c r="B135" s="201"/>
      <c r="C135" s="187"/>
      <c r="D135" s="187"/>
      <c r="E135" s="187"/>
      <c r="F135" s="187"/>
      <c r="G135" s="187"/>
      <c r="H135" s="187"/>
    </row>
    <row r="136" spans="2:8" x14ac:dyDescent="0.25">
      <c r="B136" s="201"/>
      <c r="C136" s="187"/>
      <c r="D136" s="187"/>
      <c r="E136" s="187"/>
      <c r="F136" s="187"/>
      <c r="G136" s="187"/>
      <c r="H136" s="187"/>
    </row>
    <row r="137" spans="2:8" x14ac:dyDescent="0.25">
      <c r="B137" s="201"/>
      <c r="C137" s="187"/>
      <c r="D137" s="187"/>
      <c r="E137" s="187"/>
      <c r="F137" s="187"/>
      <c r="G137" s="187"/>
      <c r="H137" s="187"/>
    </row>
    <row r="138" spans="2:8" x14ac:dyDescent="0.25">
      <c r="B138" s="201"/>
      <c r="C138" s="187"/>
      <c r="D138" s="187"/>
      <c r="E138" s="187"/>
      <c r="F138" s="187"/>
      <c r="G138" s="187"/>
      <c r="H138" s="187"/>
    </row>
    <row r="139" spans="2:8" x14ac:dyDescent="0.25">
      <c r="B139" s="201"/>
      <c r="C139" s="187"/>
      <c r="D139" s="187"/>
      <c r="E139" s="187"/>
      <c r="F139" s="187"/>
      <c r="G139" s="187"/>
      <c r="H139" s="187"/>
    </row>
    <row r="140" spans="2:8" x14ac:dyDescent="0.25">
      <c r="B140" s="201"/>
      <c r="C140" s="187"/>
      <c r="D140" s="187"/>
      <c r="E140" s="187"/>
      <c r="F140" s="187"/>
      <c r="G140" s="187"/>
      <c r="H140" s="187"/>
    </row>
    <row r="141" spans="2:8" x14ac:dyDescent="0.25">
      <c r="B141" s="201"/>
      <c r="C141" s="187"/>
      <c r="D141" s="187"/>
      <c r="E141" s="187"/>
      <c r="F141" s="187"/>
      <c r="G141" s="187"/>
      <c r="H141" s="187"/>
    </row>
    <row r="142" spans="2:8" x14ac:dyDescent="0.25">
      <c r="B142" s="201"/>
      <c r="C142" s="187"/>
      <c r="D142" s="187"/>
      <c r="E142" s="187"/>
      <c r="F142" s="187"/>
      <c r="G142" s="187"/>
      <c r="H142" s="187"/>
    </row>
    <row r="143" spans="2:8" x14ac:dyDescent="0.25">
      <c r="B143" s="201"/>
      <c r="C143" s="187"/>
      <c r="D143" s="187"/>
      <c r="E143" s="187"/>
      <c r="F143" s="187"/>
      <c r="G143" s="187"/>
      <c r="H143" s="187"/>
    </row>
    <row r="144" spans="2:8" x14ac:dyDescent="0.25">
      <c r="B144" s="201"/>
      <c r="C144" s="187"/>
      <c r="D144" s="187"/>
      <c r="E144" s="187"/>
      <c r="F144" s="187"/>
      <c r="G144" s="187"/>
      <c r="H144" s="187"/>
    </row>
    <row r="145" spans="2:8" x14ac:dyDescent="0.25">
      <c r="B145" s="201"/>
      <c r="C145" s="187"/>
      <c r="D145" s="187"/>
      <c r="E145" s="187"/>
      <c r="F145" s="187"/>
      <c r="G145" s="187"/>
      <c r="H145" s="187"/>
    </row>
    <row r="146" spans="2:8" x14ac:dyDescent="0.25">
      <c r="B146" s="201"/>
      <c r="C146" s="187"/>
      <c r="D146" s="187"/>
      <c r="E146" s="187"/>
      <c r="F146" s="187"/>
      <c r="G146" s="187"/>
      <c r="H146" s="187"/>
    </row>
    <row r="147" spans="2:8" x14ac:dyDescent="0.25">
      <c r="B147" s="201"/>
      <c r="C147" s="187"/>
      <c r="D147" s="187"/>
      <c r="E147" s="187"/>
      <c r="F147" s="187"/>
      <c r="G147" s="187"/>
      <c r="H147" s="187"/>
    </row>
    <row r="148" spans="2:8" x14ac:dyDescent="0.25">
      <c r="B148" s="201"/>
      <c r="C148" s="187"/>
      <c r="D148" s="187"/>
      <c r="E148" s="187"/>
      <c r="F148" s="187"/>
      <c r="G148" s="187"/>
      <c r="H148" s="187"/>
    </row>
    <row r="149" spans="2:8" x14ac:dyDescent="0.25">
      <c r="B149" s="201"/>
      <c r="C149" s="187"/>
      <c r="D149" s="187"/>
      <c r="E149" s="187"/>
      <c r="F149" s="187"/>
      <c r="G149" s="187"/>
      <c r="H149" s="187"/>
    </row>
    <row r="150" spans="2:8" x14ac:dyDescent="0.25">
      <c r="B150" s="201"/>
      <c r="C150" s="187"/>
      <c r="D150" s="187"/>
      <c r="E150" s="187"/>
      <c r="F150" s="187"/>
      <c r="G150" s="187"/>
      <c r="H150" s="187"/>
    </row>
    <row r="151" spans="2:8" x14ac:dyDescent="0.25">
      <c r="B151" s="201"/>
      <c r="C151" s="187"/>
      <c r="D151" s="187"/>
      <c r="E151" s="187"/>
      <c r="F151" s="187"/>
      <c r="G151" s="187"/>
      <c r="H151" s="187"/>
    </row>
    <row r="152" spans="2:8" x14ac:dyDescent="0.25">
      <c r="B152" s="201"/>
      <c r="C152" s="187"/>
      <c r="D152" s="187"/>
      <c r="E152" s="187"/>
      <c r="F152" s="187"/>
      <c r="G152" s="187"/>
      <c r="H152" s="187"/>
    </row>
    <row r="153" spans="2:8" x14ac:dyDescent="0.25">
      <c r="B153" s="201"/>
      <c r="C153" s="187"/>
      <c r="D153" s="187"/>
      <c r="E153" s="187"/>
      <c r="F153" s="187"/>
      <c r="G153" s="187"/>
      <c r="H153" s="187"/>
    </row>
    <row r="154" spans="2:8" x14ac:dyDescent="0.25">
      <c r="B154" s="201"/>
      <c r="C154" s="187"/>
      <c r="D154" s="187"/>
      <c r="E154" s="187"/>
      <c r="F154" s="187"/>
      <c r="G154" s="187"/>
      <c r="H154" s="187"/>
    </row>
    <row r="155" spans="2:8" x14ac:dyDescent="0.25">
      <c r="B155" s="201"/>
      <c r="C155" s="187"/>
      <c r="D155" s="187"/>
      <c r="E155" s="187"/>
      <c r="F155" s="187"/>
      <c r="G155" s="187"/>
      <c r="H155" s="187"/>
    </row>
    <row r="156" spans="2:8" x14ac:dyDescent="0.25">
      <c r="B156" s="201"/>
      <c r="C156" s="187"/>
      <c r="D156" s="187"/>
      <c r="E156" s="187"/>
      <c r="F156" s="187"/>
      <c r="G156" s="187"/>
      <c r="H156" s="187"/>
    </row>
    <row r="157" spans="2:8" x14ac:dyDescent="0.25">
      <c r="B157" s="201"/>
      <c r="C157" s="187"/>
      <c r="D157" s="187"/>
      <c r="E157" s="187"/>
      <c r="F157" s="187"/>
      <c r="G157" s="187"/>
      <c r="H157" s="187"/>
    </row>
    <row r="158" spans="2:8" x14ac:dyDescent="0.25">
      <c r="B158" s="201"/>
      <c r="C158" s="187"/>
      <c r="D158" s="187"/>
      <c r="E158" s="187"/>
      <c r="F158" s="187"/>
      <c r="G158" s="187"/>
      <c r="H158" s="187"/>
    </row>
    <row r="159" spans="2:8" x14ac:dyDescent="0.25">
      <c r="B159" s="201"/>
      <c r="C159" s="187"/>
      <c r="D159" s="187"/>
      <c r="E159" s="187"/>
      <c r="F159" s="187"/>
      <c r="G159" s="187"/>
      <c r="H159" s="187"/>
    </row>
    <row r="160" spans="2:8" x14ac:dyDescent="0.25">
      <c r="B160" s="201"/>
      <c r="C160" s="187"/>
      <c r="D160" s="187"/>
      <c r="E160" s="187"/>
      <c r="F160" s="187"/>
      <c r="G160" s="187"/>
      <c r="H160" s="187"/>
    </row>
    <row r="161" spans="2:8" x14ac:dyDescent="0.25">
      <c r="B161" s="201"/>
      <c r="C161" s="187"/>
      <c r="D161" s="187"/>
      <c r="E161" s="187"/>
      <c r="F161" s="187"/>
      <c r="G161" s="187"/>
      <c r="H161" s="187"/>
    </row>
    <row r="162" spans="2:8" x14ac:dyDescent="0.25">
      <c r="B162" s="201"/>
      <c r="C162" s="187"/>
      <c r="D162" s="187"/>
      <c r="E162" s="187"/>
      <c r="F162" s="187"/>
      <c r="G162" s="187"/>
      <c r="H162" s="187"/>
    </row>
    <row r="163" spans="2:8" x14ac:dyDescent="0.25">
      <c r="B163" s="201"/>
      <c r="C163" s="187"/>
      <c r="D163" s="187"/>
      <c r="E163" s="187"/>
      <c r="F163" s="187"/>
      <c r="G163" s="187"/>
      <c r="H163" s="187"/>
    </row>
    <row r="164" spans="2:8" x14ac:dyDescent="0.25">
      <c r="B164" s="201"/>
      <c r="C164" s="187"/>
      <c r="D164" s="187"/>
      <c r="E164" s="187"/>
      <c r="F164" s="187"/>
      <c r="G164" s="187"/>
      <c r="H164" s="187"/>
    </row>
    <row r="165" spans="2:8" x14ac:dyDescent="0.25">
      <c r="B165" s="201"/>
      <c r="C165" s="187"/>
      <c r="D165" s="187"/>
      <c r="E165" s="187"/>
      <c r="F165" s="187"/>
      <c r="G165" s="187"/>
      <c r="H165" s="187"/>
    </row>
    <row r="166" spans="2:8" x14ac:dyDescent="0.25">
      <c r="B166" s="201"/>
      <c r="C166" s="187"/>
      <c r="D166" s="187"/>
      <c r="E166" s="187"/>
      <c r="F166" s="187"/>
      <c r="G166" s="187"/>
      <c r="H166" s="187"/>
    </row>
    <row r="167" spans="2:8" x14ac:dyDescent="0.25">
      <c r="B167" s="201"/>
      <c r="C167" s="187"/>
      <c r="D167" s="187"/>
      <c r="E167" s="187"/>
      <c r="F167" s="187"/>
      <c r="G167" s="187"/>
      <c r="H167" s="187"/>
    </row>
    <row r="168" spans="2:8" x14ac:dyDescent="0.25">
      <c r="B168" s="201"/>
      <c r="C168" s="187"/>
      <c r="D168" s="187"/>
      <c r="E168" s="187"/>
      <c r="F168" s="187"/>
      <c r="G168" s="187"/>
      <c r="H168" s="187"/>
    </row>
    <row r="169" spans="2:8" x14ac:dyDescent="0.25">
      <c r="B169" s="201"/>
      <c r="C169" s="187"/>
      <c r="D169" s="187"/>
      <c r="E169" s="187"/>
      <c r="F169" s="187"/>
      <c r="G169" s="187"/>
      <c r="H169" s="187"/>
    </row>
    <row r="170" spans="2:8" x14ac:dyDescent="0.25">
      <c r="B170" s="201"/>
      <c r="C170" s="187"/>
      <c r="D170" s="187"/>
      <c r="E170" s="187"/>
      <c r="F170" s="187"/>
      <c r="G170" s="187"/>
      <c r="H170" s="187"/>
    </row>
    <row r="171" spans="2:8" x14ac:dyDescent="0.25">
      <c r="B171" s="201"/>
      <c r="C171" s="187"/>
      <c r="D171" s="187"/>
      <c r="E171" s="187"/>
      <c r="F171" s="187"/>
      <c r="G171" s="187"/>
      <c r="H171" s="187"/>
    </row>
    <row r="172" spans="2:8" x14ac:dyDescent="0.25">
      <c r="B172" s="201"/>
      <c r="C172" s="187"/>
      <c r="D172" s="187"/>
      <c r="E172" s="187"/>
      <c r="F172" s="187"/>
      <c r="G172" s="187"/>
      <c r="H172" s="187"/>
    </row>
    <row r="173" spans="2:8" x14ac:dyDescent="0.25">
      <c r="B173" s="201"/>
      <c r="C173" s="187"/>
      <c r="D173" s="187"/>
      <c r="E173" s="187"/>
      <c r="F173" s="187"/>
      <c r="G173" s="187"/>
      <c r="H173" s="187"/>
    </row>
    <row r="174" spans="2:8" x14ac:dyDescent="0.25">
      <c r="B174" s="201"/>
      <c r="C174" s="187"/>
      <c r="D174" s="187"/>
      <c r="E174" s="187"/>
      <c r="F174" s="187"/>
      <c r="G174" s="187"/>
      <c r="H174" s="187"/>
    </row>
    <row r="175" spans="2:8" x14ac:dyDescent="0.25">
      <c r="B175" s="201"/>
      <c r="C175" s="187"/>
      <c r="D175" s="187"/>
      <c r="E175" s="187"/>
      <c r="F175" s="187"/>
      <c r="G175" s="187"/>
      <c r="H175" s="187"/>
    </row>
    <row r="176" spans="2:8" x14ac:dyDescent="0.25">
      <c r="B176" s="201"/>
      <c r="C176" s="187"/>
      <c r="D176" s="187"/>
      <c r="E176" s="187"/>
      <c r="F176" s="187"/>
      <c r="G176" s="187"/>
      <c r="H176" s="187"/>
    </row>
    <row r="177" spans="2:8" x14ac:dyDescent="0.25">
      <c r="B177" s="201"/>
      <c r="C177" s="187"/>
      <c r="D177" s="187"/>
      <c r="E177" s="187"/>
      <c r="F177" s="187"/>
      <c r="G177" s="187"/>
      <c r="H177" s="187"/>
    </row>
    <row r="178" spans="2:8" x14ac:dyDescent="0.25">
      <c r="B178" s="201"/>
      <c r="C178" s="187"/>
      <c r="D178" s="187"/>
      <c r="E178" s="187"/>
      <c r="F178" s="187"/>
      <c r="G178" s="187"/>
      <c r="H178" s="187"/>
    </row>
    <row r="179" spans="2:8" x14ac:dyDescent="0.25">
      <c r="B179" s="201"/>
      <c r="C179" s="187"/>
      <c r="D179" s="187"/>
      <c r="E179" s="187"/>
      <c r="F179" s="187"/>
      <c r="G179" s="187"/>
      <c r="H179" s="187"/>
    </row>
    <row r="180" spans="2:8" x14ac:dyDescent="0.25">
      <c r="B180" s="201"/>
      <c r="C180" s="187"/>
      <c r="D180" s="187"/>
      <c r="E180" s="187"/>
      <c r="F180" s="187"/>
      <c r="G180" s="187"/>
      <c r="H180" s="187"/>
    </row>
    <row r="181" spans="2:8" x14ac:dyDescent="0.25">
      <c r="B181" s="201"/>
      <c r="C181" s="187"/>
      <c r="D181" s="187"/>
      <c r="E181" s="187"/>
      <c r="F181" s="187"/>
      <c r="G181" s="187"/>
      <c r="H181" s="187"/>
    </row>
    <row r="182" spans="2:8" x14ac:dyDescent="0.25">
      <c r="B182" s="201"/>
      <c r="C182" s="187"/>
      <c r="D182" s="187"/>
      <c r="E182" s="187"/>
      <c r="F182" s="187"/>
      <c r="G182" s="187"/>
      <c r="H182" s="187"/>
    </row>
    <row r="183" spans="2:8" x14ac:dyDescent="0.25">
      <c r="B183" s="201"/>
      <c r="C183" s="187"/>
      <c r="D183" s="187"/>
      <c r="E183" s="187"/>
      <c r="F183" s="187"/>
      <c r="G183" s="187"/>
      <c r="H183" s="187"/>
    </row>
    <row r="184" spans="2:8" x14ac:dyDescent="0.25">
      <c r="B184" s="201"/>
      <c r="C184" s="187"/>
      <c r="D184" s="187"/>
      <c r="E184" s="187"/>
      <c r="F184" s="187"/>
      <c r="G184" s="187"/>
      <c r="H184" s="187"/>
    </row>
    <row r="185" spans="2:8" x14ac:dyDescent="0.25">
      <c r="B185" s="201"/>
      <c r="C185" s="187"/>
      <c r="D185" s="187"/>
      <c r="E185" s="187"/>
      <c r="F185" s="187"/>
      <c r="G185" s="187"/>
      <c r="H185" s="187"/>
    </row>
    <row r="186" spans="2:8" x14ac:dyDescent="0.25">
      <c r="B186" s="201"/>
      <c r="C186" s="187"/>
      <c r="D186" s="187"/>
      <c r="E186" s="187"/>
      <c r="F186" s="187"/>
      <c r="G186" s="187"/>
      <c r="H186" s="187"/>
    </row>
    <row r="187" spans="2:8" x14ac:dyDescent="0.25">
      <c r="B187" s="201"/>
      <c r="C187" s="187"/>
      <c r="D187" s="187"/>
      <c r="E187" s="187"/>
      <c r="F187" s="187"/>
      <c r="G187" s="187"/>
      <c r="H187" s="187"/>
    </row>
    <row r="188" spans="2:8" x14ac:dyDescent="0.25">
      <c r="B188" s="201"/>
      <c r="C188" s="187"/>
      <c r="D188" s="187"/>
      <c r="E188" s="187"/>
      <c r="F188" s="187"/>
      <c r="G188" s="187"/>
      <c r="H188" s="187"/>
    </row>
    <row r="189" spans="2:8" x14ac:dyDescent="0.25">
      <c r="B189" s="201"/>
      <c r="C189" s="187"/>
      <c r="D189" s="187"/>
      <c r="E189" s="187"/>
      <c r="F189" s="187"/>
      <c r="G189" s="187"/>
      <c r="H189" s="187"/>
    </row>
    <row r="190" spans="2:8" x14ac:dyDescent="0.25">
      <c r="B190" s="201"/>
      <c r="C190" s="187"/>
      <c r="D190" s="187"/>
      <c r="E190" s="187"/>
      <c r="F190" s="187"/>
      <c r="G190" s="187"/>
      <c r="H190" s="187"/>
    </row>
    <row r="191" spans="2:8" x14ac:dyDescent="0.25">
      <c r="B191" s="201"/>
      <c r="C191" s="187"/>
      <c r="D191" s="187"/>
      <c r="E191" s="187"/>
      <c r="F191" s="187"/>
      <c r="G191" s="187"/>
      <c r="H191" s="187"/>
    </row>
    <row r="192" spans="2:8" x14ac:dyDescent="0.25">
      <c r="B192" s="201"/>
      <c r="C192" s="187"/>
      <c r="D192" s="187"/>
      <c r="E192" s="187"/>
      <c r="F192" s="187"/>
      <c r="G192" s="187"/>
      <c r="H192" s="187"/>
    </row>
    <row r="193" spans="2:8" x14ac:dyDescent="0.25">
      <c r="B193" s="201"/>
      <c r="C193" s="187"/>
      <c r="D193" s="187"/>
      <c r="E193" s="187"/>
      <c r="F193" s="187"/>
      <c r="G193" s="187"/>
      <c r="H193" s="187"/>
    </row>
    <row r="194" spans="2:8" x14ac:dyDescent="0.25">
      <c r="B194" s="201"/>
      <c r="C194" s="187"/>
      <c r="D194" s="187"/>
      <c r="E194" s="187"/>
      <c r="F194" s="187"/>
      <c r="G194" s="187"/>
      <c r="H194" s="187"/>
    </row>
    <row r="195" spans="2:8" x14ac:dyDescent="0.25">
      <c r="B195" s="201"/>
      <c r="C195" s="187"/>
      <c r="D195" s="187"/>
      <c r="E195" s="187"/>
      <c r="F195" s="187"/>
      <c r="G195" s="187"/>
      <c r="H195" s="187"/>
    </row>
    <row r="196" spans="2:8" x14ac:dyDescent="0.25">
      <c r="B196" s="201"/>
      <c r="C196" s="187"/>
      <c r="D196" s="187"/>
      <c r="E196" s="187"/>
      <c r="F196" s="187"/>
      <c r="G196" s="187"/>
      <c r="H196" s="187"/>
    </row>
    <row r="197" spans="2:8" x14ac:dyDescent="0.25">
      <c r="B197" s="201"/>
      <c r="C197" s="187"/>
      <c r="D197" s="187"/>
      <c r="E197" s="187"/>
      <c r="F197" s="187"/>
      <c r="G197" s="187"/>
      <c r="H197" s="187"/>
    </row>
    <row r="198" spans="2:8" x14ac:dyDescent="0.25">
      <c r="B198" s="201"/>
      <c r="C198" s="187"/>
      <c r="D198" s="187"/>
      <c r="E198" s="187"/>
      <c r="F198" s="187"/>
      <c r="G198" s="187"/>
      <c r="H198" s="187"/>
    </row>
    <row r="199" spans="2:8" x14ac:dyDescent="0.25">
      <c r="B199" s="201"/>
      <c r="C199" s="187"/>
      <c r="D199" s="187"/>
      <c r="E199" s="187"/>
      <c r="F199" s="187"/>
      <c r="G199" s="187"/>
      <c r="H199" s="187"/>
    </row>
    <row r="200" spans="2:8" x14ac:dyDescent="0.25">
      <c r="B200" s="201"/>
      <c r="C200" s="187"/>
      <c r="D200" s="187"/>
      <c r="E200" s="187"/>
      <c r="F200" s="187"/>
      <c r="G200" s="187"/>
      <c r="H200" s="187"/>
    </row>
    <row r="201" spans="2:8" x14ac:dyDescent="0.25">
      <c r="B201" s="201"/>
      <c r="C201" s="187"/>
      <c r="D201" s="187"/>
      <c r="E201" s="187"/>
      <c r="F201" s="187"/>
      <c r="G201" s="187"/>
      <c r="H201" s="187"/>
    </row>
    <row r="202" spans="2:8" x14ac:dyDescent="0.25">
      <c r="B202" s="201"/>
      <c r="C202" s="187"/>
      <c r="D202" s="187"/>
      <c r="E202" s="187"/>
      <c r="F202" s="187"/>
      <c r="G202" s="187"/>
      <c r="H202" s="187"/>
    </row>
    <row r="203" spans="2:8" x14ac:dyDescent="0.25">
      <c r="B203" s="201"/>
      <c r="C203" s="187"/>
      <c r="D203" s="187"/>
      <c r="E203" s="187"/>
      <c r="F203" s="187"/>
      <c r="G203" s="187"/>
      <c r="H203" s="187"/>
    </row>
    <row r="204" spans="2:8" x14ac:dyDescent="0.25">
      <c r="B204" s="201"/>
      <c r="C204" s="187"/>
      <c r="D204" s="187"/>
      <c r="E204" s="187"/>
      <c r="F204" s="187"/>
      <c r="G204" s="187"/>
      <c r="H204" s="187"/>
    </row>
    <row r="205" spans="2:8" x14ac:dyDescent="0.25">
      <c r="B205" s="201"/>
      <c r="C205" s="187"/>
      <c r="D205" s="187"/>
      <c r="E205" s="187"/>
      <c r="F205" s="187"/>
      <c r="G205" s="187"/>
      <c r="H205" s="187"/>
    </row>
    <row r="206" spans="2:8" x14ac:dyDescent="0.25">
      <c r="B206" s="201"/>
      <c r="C206" s="187"/>
      <c r="D206" s="187"/>
      <c r="E206" s="187"/>
      <c r="F206" s="187"/>
      <c r="G206" s="187"/>
      <c r="H206" s="187"/>
    </row>
    <row r="207" spans="2:8" x14ac:dyDescent="0.25">
      <c r="B207" s="201"/>
      <c r="C207" s="187"/>
      <c r="D207" s="187"/>
      <c r="E207" s="187"/>
      <c r="F207" s="187"/>
      <c r="G207" s="187"/>
      <c r="H207" s="187"/>
    </row>
    <row r="208" spans="2:8" x14ac:dyDescent="0.25">
      <c r="B208" s="201"/>
      <c r="C208" s="187"/>
      <c r="D208" s="187"/>
      <c r="E208" s="187"/>
      <c r="F208" s="187"/>
      <c r="G208" s="187"/>
      <c r="H208" s="187"/>
    </row>
    <row r="209" spans="2:8" x14ac:dyDescent="0.25">
      <c r="B209" s="201"/>
      <c r="C209" s="187"/>
      <c r="D209" s="187"/>
      <c r="E209" s="187"/>
      <c r="F209" s="187"/>
      <c r="G209" s="187"/>
      <c r="H209" s="187"/>
    </row>
    <row r="210" spans="2:8" x14ac:dyDescent="0.25">
      <c r="B210" s="201"/>
      <c r="C210" s="187"/>
      <c r="D210" s="187"/>
      <c r="E210" s="187"/>
      <c r="F210" s="187"/>
      <c r="G210" s="187"/>
      <c r="H210" s="187"/>
    </row>
    <row r="211" spans="2:8" x14ac:dyDescent="0.25">
      <c r="B211" s="201"/>
      <c r="C211" s="187"/>
      <c r="D211" s="187"/>
      <c r="E211" s="187"/>
      <c r="F211" s="187"/>
      <c r="G211" s="187"/>
      <c r="H211" s="187"/>
    </row>
    <row r="212" spans="2:8" x14ac:dyDescent="0.25">
      <c r="B212" s="201"/>
      <c r="C212" s="187"/>
      <c r="D212" s="187"/>
      <c r="E212" s="187"/>
      <c r="F212" s="187"/>
      <c r="G212" s="187"/>
      <c r="H212" s="187"/>
    </row>
    <row r="213" spans="2:8" x14ac:dyDescent="0.25">
      <c r="B213" s="201"/>
      <c r="C213" s="187"/>
      <c r="D213" s="187"/>
      <c r="E213" s="187"/>
      <c r="F213" s="187"/>
      <c r="G213" s="187"/>
      <c r="H213" s="187"/>
    </row>
    <row r="214" spans="2:8" x14ac:dyDescent="0.25">
      <c r="B214" s="201"/>
      <c r="C214" s="187"/>
      <c r="D214" s="187"/>
      <c r="E214" s="187"/>
      <c r="F214" s="187"/>
      <c r="G214" s="187"/>
      <c r="H214" s="187"/>
    </row>
    <row r="215" spans="2:8" x14ac:dyDescent="0.25">
      <c r="B215" s="201"/>
      <c r="C215" s="187"/>
      <c r="D215" s="187"/>
      <c r="E215" s="187"/>
      <c r="F215" s="187"/>
      <c r="G215" s="187"/>
      <c r="H215" s="187"/>
    </row>
    <row r="216" spans="2:8" x14ac:dyDescent="0.25">
      <c r="B216" s="201"/>
      <c r="C216" s="187"/>
      <c r="D216" s="187"/>
      <c r="E216" s="187"/>
      <c r="F216" s="187"/>
      <c r="G216" s="187"/>
      <c r="H216" s="187"/>
    </row>
    <row r="217" spans="2:8" x14ac:dyDescent="0.25">
      <c r="B217" s="201"/>
      <c r="C217" s="187"/>
      <c r="D217" s="187"/>
      <c r="E217" s="187"/>
      <c r="F217" s="187"/>
      <c r="G217" s="187"/>
      <c r="H217" s="187"/>
    </row>
    <row r="218" spans="2:8" x14ac:dyDescent="0.25">
      <c r="B218" s="201"/>
      <c r="C218" s="187"/>
      <c r="D218" s="187"/>
      <c r="E218" s="187"/>
      <c r="F218" s="187"/>
      <c r="G218" s="187"/>
      <c r="H218" s="187"/>
    </row>
    <row r="219" spans="2:8" x14ac:dyDescent="0.25">
      <c r="B219" s="201"/>
      <c r="C219" s="187"/>
      <c r="D219" s="187"/>
      <c r="E219" s="187"/>
      <c r="F219" s="187"/>
      <c r="G219" s="187"/>
      <c r="H219" s="187"/>
    </row>
    <row r="220" spans="2:8" x14ac:dyDescent="0.25">
      <c r="B220" s="201"/>
      <c r="C220" s="187"/>
      <c r="D220" s="187"/>
      <c r="E220" s="187"/>
      <c r="F220" s="187"/>
      <c r="G220" s="187"/>
      <c r="H220" s="187"/>
    </row>
    <row r="221" spans="2:8" x14ac:dyDescent="0.25">
      <c r="B221" s="201"/>
      <c r="C221" s="187"/>
      <c r="D221" s="187"/>
      <c r="E221" s="187"/>
      <c r="F221" s="187"/>
      <c r="G221" s="187"/>
      <c r="H221" s="187"/>
    </row>
    <row r="222" spans="2:8" x14ac:dyDescent="0.25">
      <c r="B222" s="201"/>
      <c r="C222" s="187"/>
      <c r="D222" s="187"/>
      <c r="E222" s="187"/>
      <c r="F222" s="187"/>
      <c r="G222" s="187"/>
      <c r="H222" s="187"/>
    </row>
    <row r="223" spans="2:8" x14ac:dyDescent="0.25">
      <c r="B223" s="201"/>
      <c r="C223" s="187"/>
      <c r="D223" s="187"/>
      <c r="E223" s="187"/>
      <c r="F223" s="187"/>
      <c r="G223" s="187"/>
      <c r="H223" s="187"/>
    </row>
    <row r="224" spans="2:8" x14ac:dyDescent="0.25">
      <c r="B224" s="201"/>
      <c r="C224" s="187"/>
      <c r="D224" s="187"/>
      <c r="E224" s="187"/>
      <c r="F224" s="187"/>
      <c r="G224" s="187"/>
      <c r="H224" s="187"/>
    </row>
    <row r="225" spans="2:8" x14ac:dyDescent="0.25">
      <c r="B225" s="201"/>
      <c r="C225" s="187"/>
      <c r="D225" s="187"/>
      <c r="E225" s="187"/>
      <c r="F225" s="187"/>
      <c r="G225" s="187"/>
      <c r="H225" s="187"/>
    </row>
    <row r="226" spans="2:8" x14ac:dyDescent="0.25">
      <c r="B226" s="201"/>
      <c r="C226" s="187"/>
      <c r="D226" s="187"/>
      <c r="E226" s="187"/>
      <c r="F226" s="187"/>
      <c r="G226" s="187"/>
      <c r="H226" s="187"/>
    </row>
    <row r="227" spans="2:8" x14ac:dyDescent="0.25">
      <c r="B227" s="201"/>
      <c r="C227" s="187"/>
      <c r="D227" s="187"/>
      <c r="E227" s="187"/>
      <c r="F227" s="187"/>
      <c r="G227" s="187"/>
      <c r="H227" s="187"/>
    </row>
    <row r="228" spans="2:8" x14ac:dyDescent="0.25">
      <c r="B228" s="201"/>
      <c r="C228" s="187"/>
      <c r="D228" s="187"/>
      <c r="E228" s="187"/>
      <c r="F228" s="187"/>
      <c r="G228" s="187"/>
      <c r="H228" s="187"/>
    </row>
    <row r="229" spans="2:8" x14ac:dyDescent="0.25">
      <c r="B229" s="201"/>
      <c r="C229" s="187"/>
      <c r="D229" s="187"/>
      <c r="E229" s="187"/>
      <c r="F229" s="187"/>
      <c r="G229" s="187"/>
      <c r="H229" s="187"/>
    </row>
    <row r="230" spans="2:8" x14ac:dyDescent="0.25">
      <c r="B230" s="201"/>
      <c r="C230" s="187"/>
      <c r="D230" s="187"/>
      <c r="E230" s="187"/>
      <c r="F230" s="187"/>
      <c r="G230" s="187"/>
      <c r="H230" s="187"/>
    </row>
    <row r="231" spans="2:8" x14ac:dyDescent="0.25">
      <c r="B231" s="201"/>
      <c r="C231" s="187"/>
      <c r="D231" s="187"/>
      <c r="E231" s="187"/>
      <c r="F231" s="187"/>
      <c r="G231" s="187"/>
      <c r="H231" s="187"/>
    </row>
    <row r="232" spans="2:8" x14ac:dyDescent="0.25">
      <c r="B232" s="201"/>
      <c r="C232" s="187"/>
      <c r="D232" s="187"/>
      <c r="E232" s="187"/>
      <c r="F232" s="187"/>
      <c r="G232" s="187"/>
      <c r="H232" s="187"/>
    </row>
    <row r="233" spans="2:8" x14ac:dyDescent="0.25">
      <c r="B233" s="201"/>
      <c r="C233" s="187"/>
      <c r="D233" s="187"/>
      <c r="E233" s="187"/>
      <c r="F233" s="187"/>
      <c r="G233" s="187"/>
      <c r="H233" s="187"/>
    </row>
    <row r="234" spans="2:8" x14ac:dyDescent="0.25">
      <c r="B234" s="201"/>
      <c r="C234" s="187"/>
      <c r="D234" s="187"/>
      <c r="E234" s="187"/>
      <c r="F234" s="187"/>
      <c r="G234" s="187"/>
      <c r="H234" s="187"/>
    </row>
    <row r="235" spans="2:8" x14ac:dyDescent="0.25">
      <c r="B235" s="201"/>
      <c r="C235" s="187"/>
      <c r="D235" s="187"/>
      <c r="E235" s="187"/>
      <c r="F235" s="187"/>
      <c r="G235" s="187"/>
      <c r="H235" s="187"/>
    </row>
    <row r="236" spans="2:8" x14ac:dyDescent="0.25">
      <c r="B236" s="201"/>
      <c r="C236" s="187"/>
      <c r="D236" s="187"/>
      <c r="E236" s="187"/>
      <c r="F236" s="187"/>
      <c r="G236" s="187"/>
      <c r="H236" s="187"/>
    </row>
    <row r="237" spans="2:8" x14ac:dyDescent="0.25">
      <c r="B237" s="201"/>
      <c r="C237" s="187"/>
      <c r="D237" s="187"/>
      <c r="E237" s="187"/>
      <c r="F237" s="187"/>
      <c r="G237" s="187"/>
      <c r="H237" s="187"/>
    </row>
    <row r="238" spans="2:8" x14ac:dyDescent="0.25">
      <c r="B238" s="201"/>
      <c r="C238" s="187"/>
      <c r="D238" s="187"/>
      <c r="E238" s="187"/>
      <c r="F238" s="187"/>
      <c r="G238" s="187"/>
      <c r="H238" s="187"/>
    </row>
  </sheetData>
  <mergeCells count="9">
    <mergeCell ref="B32:H32"/>
    <mergeCell ref="A10:I10"/>
    <mergeCell ref="K11:K13"/>
    <mergeCell ref="E1:F6"/>
    <mergeCell ref="B11:B13"/>
    <mergeCell ref="C11:C13"/>
    <mergeCell ref="A9:F9"/>
    <mergeCell ref="A11:A13"/>
    <mergeCell ref="E11:I11"/>
  </mergeCells>
  <phoneticPr fontId="60" type="noConversion"/>
  <pageMargins left="0" right="0" top="0" bottom="0" header="0" footer="0"/>
  <pageSetup paperSize="9" scale="98" fitToHeight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D6DCB-3D0F-4C1C-A50A-963A15461F41}">
  <sheetPr>
    <tabColor rgb="FFC00000"/>
  </sheetPr>
  <dimension ref="A1:H20"/>
  <sheetViews>
    <sheetView workbookViewId="0">
      <selection activeCell="D37" sqref="D37"/>
    </sheetView>
  </sheetViews>
  <sheetFormatPr defaultRowHeight="15" x14ac:dyDescent="0.25"/>
  <cols>
    <col min="2" max="2" width="28.85546875" customWidth="1"/>
    <col min="3" max="4" width="19.7109375" customWidth="1"/>
    <col min="5" max="5" width="21.28515625" customWidth="1"/>
    <col min="6" max="7" width="23.7109375" customWidth="1"/>
    <col min="8" max="8" width="25" customWidth="1"/>
  </cols>
  <sheetData>
    <row r="1" spans="1:8" x14ac:dyDescent="0.25">
      <c r="A1" s="747" t="s">
        <v>573</v>
      </c>
      <c r="B1" s="962"/>
      <c r="C1" s="962"/>
      <c r="D1" s="962"/>
      <c r="E1" s="962"/>
      <c r="F1" s="962"/>
      <c r="G1" s="962"/>
      <c r="H1" s="962"/>
    </row>
    <row r="2" spans="1:8" ht="35.450000000000003" customHeight="1" x14ac:dyDescent="0.25">
      <c r="A2" s="963" t="s">
        <v>577</v>
      </c>
      <c r="B2" s="962"/>
      <c r="C2" s="962"/>
      <c r="D2" s="962"/>
      <c r="E2" s="962"/>
      <c r="F2" s="962"/>
      <c r="G2" s="962"/>
      <c r="H2" s="962"/>
    </row>
    <row r="3" spans="1:8" ht="17.45" customHeight="1" x14ac:dyDescent="0.25">
      <c r="A3" s="964" t="s">
        <v>58</v>
      </c>
      <c r="B3" s="967" t="s">
        <v>574</v>
      </c>
      <c r="C3" s="967" t="s">
        <v>581</v>
      </c>
      <c r="D3" s="967" t="s">
        <v>585</v>
      </c>
      <c r="E3" s="967" t="s">
        <v>582</v>
      </c>
      <c r="F3" s="967" t="s">
        <v>583</v>
      </c>
      <c r="G3" s="967" t="s">
        <v>586</v>
      </c>
      <c r="H3" s="967" t="s">
        <v>584</v>
      </c>
    </row>
    <row r="4" spans="1:8" ht="14.45" customHeight="1" x14ac:dyDescent="0.25">
      <c r="A4" s="965"/>
      <c r="B4" s="968"/>
      <c r="C4" s="965"/>
      <c r="D4" s="970"/>
      <c r="E4" s="965"/>
      <c r="F4" s="970"/>
      <c r="G4" s="970"/>
      <c r="H4" s="970"/>
    </row>
    <row r="5" spans="1:8" ht="39.6" customHeight="1" x14ac:dyDescent="0.25">
      <c r="A5" s="966"/>
      <c r="B5" s="969"/>
      <c r="C5" s="966"/>
      <c r="D5" s="971"/>
      <c r="E5" s="966"/>
      <c r="F5" s="971"/>
      <c r="G5" s="971"/>
      <c r="H5" s="971"/>
    </row>
    <row r="6" spans="1:8" ht="18" x14ac:dyDescent="0.25">
      <c r="A6" s="514">
        <v>1</v>
      </c>
      <c r="B6" s="515">
        <v>2</v>
      </c>
      <c r="C6" s="516">
        <v>3</v>
      </c>
      <c r="D6" s="516"/>
      <c r="E6" s="516">
        <v>4</v>
      </c>
      <c r="F6" s="516">
        <v>5</v>
      </c>
      <c r="G6" s="513"/>
      <c r="H6" s="516">
        <v>6</v>
      </c>
    </row>
    <row r="7" spans="1:8" ht="18" x14ac:dyDescent="0.25">
      <c r="A7" s="517">
        <v>1</v>
      </c>
      <c r="B7" s="518" t="s">
        <v>578</v>
      </c>
      <c r="C7" s="519">
        <f t="shared" ref="C7:H7" si="0">C8+C9</f>
        <v>11373739.580768984</v>
      </c>
      <c r="D7" s="520">
        <f t="shared" si="0"/>
        <v>0.75254681226361686</v>
      </c>
      <c r="E7" s="520">
        <f t="shared" si="0"/>
        <v>1849915.7938647866</v>
      </c>
      <c r="F7" s="520">
        <f t="shared" si="0"/>
        <v>13223655.37463377</v>
      </c>
      <c r="G7" s="520">
        <f t="shared" si="0"/>
        <v>0.75254681226361675</v>
      </c>
      <c r="H7" s="520">
        <f t="shared" si="0"/>
        <v>835052.09218889021</v>
      </c>
    </row>
    <row r="8" spans="1:8" ht="18" x14ac:dyDescent="0.25">
      <c r="A8" s="521">
        <v>43831</v>
      </c>
      <c r="B8" s="522" t="s">
        <v>108</v>
      </c>
      <c r="C8" s="523">
        <f>'ПОВ СОБ ТПВ'!O11</f>
        <v>5704369.6727633364</v>
      </c>
      <c r="D8" s="524">
        <f>C8/C14</f>
        <v>0.37743129097748007</v>
      </c>
      <c r="E8" s="525">
        <f>D8*E14</f>
        <v>927804.21749156446</v>
      </c>
      <c r="F8" s="525">
        <f>'ПОВ СОБ ТПВ'!O10</f>
        <v>6632173.8902549008</v>
      </c>
      <c r="G8" s="526">
        <f>F8/F14</f>
        <v>0.37743129097748002</v>
      </c>
      <c r="H8" s="525">
        <f>H14*G8</f>
        <v>418810.87535308424</v>
      </c>
    </row>
    <row r="9" spans="1:8" ht="18" x14ac:dyDescent="0.25">
      <c r="A9" s="521">
        <v>43862</v>
      </c>
      <c r="B9" s="522" t="s">
        <v>109</v>
      </c>
      <c r="C9" s="523">
        <f>'ПОВ СОБ ТПВ'!R11</f>
        <v>5669369.9080056464</v>
      </c>
      <c r="D9" s="527">
        <f>C9/C14</f>
        <v>0.37511552128613679</v>
      </c>
      <c r="E9" s="525">
        <f>D9*E14</f>
        <v>922111.57637322205</v>
      </c>
      <c r="F9" s="525">
        <f>'ПОВ СОБ ТПВ'!R10</f>
        <v>6591481.4843788687</v>
      </c>
      <c r="G9" s="526">
        <f>F9/F14</f>
        <v>0.37511552128613679</v>
      </c>
      <c r="H9" s="525">
        <f>G9*H14</f>
        <v>416241.21683580597</v>
      </c>
    </row>
    <row r="10" spans="1:8" ht="36" x14ac:dyDescent="0.25">
      <c r="A10" s="528" t="s">
        <v>579</v>
      </c>
      <c r="B10" s="529" t="s">
        <v>580</v>
      </c>
      <c r="C10" s="525">
        <f t="shared" ref="C10:H10" si="1">C11+C12</f>
        <v>3739924.3075377624</v>
      </c>
      <c r="D10" s="530">
        <f t="shared" si="1"/>
        <v>0.24745318773638306</v>
      </c>
      <c r="E10" s="531">
        <f t="shared" si="1"/>
        <v>608291.14252545312</v>
      </c>
      <c r="F10" s="531">
        <f t="shared" si="1"/>
        <v>4348215.4500632156</v>
      </c>
      <c r="G10" s="531">
        <f t="shared" si="1"/>
        <v>0.24745318773638303</v>
      </c>
      <c r="H10" s="531">
        <f t="shared" si="1"/>
        <v>274582.65555138944</v>
      </c>
    </row>
    <row r="11" spans="1:8" ht="18" x14ac:dyDescent="0.25">
      <c r="A11" s="521">
        <v>44928</v>
      </c>
      <c r="B11" s="522" t="s">
        <v>108</v>
      </c>
      <c r="C11" s="523">
        <f>'ПОВННА СОБ ВГВ'!O11</f>
        <v>1507048.8823478029</v>
      </c>
      <c r="D11" s="527">
        <f>C11/C14</f>
        <v>9.9714330918380945E-2</v>
      </c>
      <c r="E11" s="525">
        <f>E14*D11</f>
        <v>245118.45992107579</v>
      </c>
      <c r="F11" s="525">
        <f>'ПОВННА СОБ ВГВ'!O10</f>
        <v>1752167.3422688786</v>
      </c>
      <c r="G11" s="526">
        <f>F11/F14</f>
        <v>9.9714330918380931E-2</v>
      </c>
      <c r="H11" s="525">
        <f>G11*H14</f>
        <v>110646.48643470841</v>
      </c>
    </row>
    <row r="12" spans="1:8" ht="18" x14ac:dyDescent="0.25">
      <c r="A12" s="521">
        <v>44959</v>
      </c>
      <c r="B12" s="522" t="s">
        <v>109</v>
      </c>
      <c r="C12" s="523">
        <f>'ПОВННА СОБ ВГВ'!R11</f>
        <v>2232875.4251899594</v>
      </c>
      <c r="D12" s="527">
        <f>C12/C14</f>
        <v>0.14773885681800211</v>
      </c>
      <c r="E12" s="525">
        <f>D12*E14</f>
        <v>363172.68260437727</v>
      </c>
      <c r="F12" s="525">
        <f>'ПОВННА СОБ ВГВ'!R10</f>
        <v>2596048.1077943365</v>
      </c>
      <c r="G12" s="526">
        <f>F12/F14</f>
        <v>0.14773885681800208</v>
      </c>
      <c r="H12" s="525">
        <f>G12*H14</f>
        <v>163936.16911668106</v>
      </c>
    </row>
    <row r="13" spans="1:8" ht="18" x14ac:dyDescent="0.25">
      <c r="A13" s="521"/>
      <c r="B13" s="522"/>
      <c r="C13" s="523"/>
      <c r="D13" s="527"/>
      <c r="E13" s="525"/>
      <c r="F13" s="525"/>
      <c r="G13" s="526"/>
      <c r="H13" s="525"/>
    </row>
    <row r="14" spans="1:8" ht="18" x14ac:dyDescent="0.25">
      <c r="A14" s="532">
        <v>3</v>
      </c>
      <c r="B14" s="533" t="s">
        <v>575</v>
      </c>
      <c r="C14" s="534">
        <f>C7+C10</f>
        <v>15113663.888306746</v>
      </c>
      <c r="D14" s="535"/>
      <c r="E14" s="536">
        <f>ЗВВ!E11</f>
        <v>2458206.9363902397</v>
      </c>
      <c r="F14" s="536">
        <f>F7+F10</f>
        <v>17571870.824696988</v>
      </c>
      <c r="G14" s="537"/>
      <c r="H14" s="536">
        <f>АДМ!E15</f>
        <v>1109634.7477402799</v>
      </c>
    </row>
    <row r="15" spans="1:8" ht="15.75" x14ac:dyDescent="0.25">
      <c r="A15" s="229"/>
      <c r="B15" s="230"/>
      <c r="E15" s="231"/>
    </row>
    <row r="16" spans="1:8" ht="15.75" x14ac:dyDescent="0.25">
      <c r="A16" s="229"/>
      <c r="B16" s="230"/>
      <c r="H16" s="231"/>
    </row>
    <row r="17" spans="1:8" ht="18" x14ac:dyDescent="0.25">
      <c r="A17" s="961" t="s">
        <v>576</v>
      </c>
      <c r="B17" s="962"/>
      <c r="C17" s="962"/>
      <c r="D17" s="962"/>
      <c r="E17" s="962"/>
      <c r="F17" s="962"/>
      <c r="G17" s="962"/>
      <c r="H17" s="962"/>
    </row>
    <row r="18" spans="1:8" ht="15.75" x14ac:dyDescent="0.25">
      <c r="A18" s="229"/>
      <c r="B18" s="230"/>
    </row>
    <row r="19" spans="1:8" ht="15.75" x14ac:dyDescent="0.25">
      <c r="A19" s="229"/>
      <c r="B19" s="230"/>
    </row>
    <row r="20" spans="1:8" ht="15.75" x14ac:dyDescent="0.25">
      <c r="A20" s="229"/>
      <c r="B20" s="230"/>
    </row>
  </sheetData>
  <mergeCells count="11">
    <mergeCell ref="A17:H17"/>
    <mergeCell ref="A1:H1"/>
    <mergeCell ref="A2:H2"/>
    <mergeCell ref="A3:A5"/>
    <mergeCell ref="B3:B5"/>
    <mergeCell ref="C3:C5"/>
    <mergeCell ref="E3:E5"/>
    <mergeCell ref="F3:F5"/>
    <mergeCell ref="H3:H5"/>
    <mergeCell ref="D3:D5"/>
    <mergeCell ref="G3:G5"/>
  </mergeCells>
  <conditionalFormatting sqref="A3:A5 B2:B5 H2:H5">
    <cfRule type="notContainsBlanks" dxfId="4" priority="6">
      <formula>LEN(TRIM(B2))&gt;0</formula>
    </cfRule>
  </conditionalFormatting>
  <conditionalFormatting sqref="E2:E5">
    <cfRule type="notContainsBlanks" dxfId="3" priority="7">
      <formula>LEN(TRIM(#REF!))&gt;0</formula>
    </cfRule>
  </conditionalFormatting>
  <conditionalFormatting sqref="C2:D3 C4:C5 F2:G2 F3:F5">
    <cfRule type="notContainsBlanks" dxfId="2" priority="9">
      <formula>LEN(TRIM(E2))&gt;0</formula>
    </cfRule>
  </conditionalFormatting>
  <conditionalFormatting sqref="G3:G5">
    <cfRule type="notContainsBlanks" dxfId="1" priority="1">
      <formula>LEN(TRIM(I3))&gt;0</formula>
    </cfRule>
  </conditionalFormatting>
  <conditionalFormatting sqref="G6">
    <cfRule type="notContainsBlanks" dxfId="0" priority="2">
      <formula>LEN(TRIM(I6))&gt;0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5890-20F0-4BC5-B008-A956FF92ED5C}">
  <sheetPr>
    <tabColor rgb="FFFFFF00"/>
    <pageSetUpPr fitToPage="1"/>
  </sheetPr>
  <dimension ref="A1:AF48"/>
  <sheetViews>
    <sheetView view="pageLayout" topLeftCell="A4" zoomScale="90" zoomScaleNormal="80" zoomScalePageLayoutView="90" workbookViewId="0">
      <selection activeCell="S4" sqref="S4:Y4"/>
    </sheetView>
  </sheetViews>
  <sheetFormatPr defaultColWidth="9.140625" defaultRowHeight="15.75" x14ac:dyDescent="0.25"/>
  <cols>
    <col min="1" max="1" width="9.140625" style="178"/>
    <col min="2" max="2" width="64.7109375" style="178" customWidth="1"/>
    <col min="3" max="3" width="12.7109375" style="178" hidden="1" customWidth="1"/>
    <col min="4" max="13" width="0" style="178" hidden="1" customWidth="1"/>
    <col min="14" max="14" width="0.28515625" style="178" hidden="1" customWidth="1"/>
    <col min="15" max="15" width="22.140625" style="178" hidden="1" customWidth="1"/>
    <col min="16" max="16" width="17.42578125" style="178" customWidth="1"/>
    <col min="17" max="17" width="0" style="178" hidden="1" customWidth="1"/>
    <col min="18" max="18" width="18.85546875" style="178" hidden="1" customWidth="1"/>
    <col min="19" max="19" width="16.140625" style="178" customWidth="1"/>
    <col min="20" max="20" width="0" style="178" hidden="1" customWidth="1"/>
    <col min="21" max="21" width="6.42578125" style="178" hidden="1" customWidth="1"/>
    <col min="22" max="22" width="18.85546875" style="178" hidden="1" customWidth="1"/>
    <col min="23" max="23" width="14.42578125" style="178" customWidth="1"/>
    <col min="24" max="24" width="16.28515625" style="178" hidden="1" customWidth="1"/>
    <col min="25" max="25" width="15.28515625" style="178" customWidth="1"/>
    <col min="26" max="26" width="18.140625" style="178" hidden="1" customWidth="1"/>
    <col min="27" max="27" width="17.28515625" style="178" hidden="1" customWidth="1"/>
    <col min="28" max="28" width="3.28515625" style="178" hidden="1" customWidth="1"/>
    <col min="29" max="29" width="18.85546875" style="178" hidden="1" customWidth="1"/>
    <col min="30" max="30" width="11.42578125" style="178" hidden="1" customWidth="1"/>
    <col min="31" max="31" width="9.140625" style="178" hidden="1" customWidth="1"/>
    <col min="32" max="16384" width="9.140625" style="178"/>
  </cols>
  <sheetData>
    <row r="1" spans="1:30" hidden="1" x14ac:dyDescent="0.25"/>
    <row r="2" spans="1:30" ht="0.6" customHeight="1" x14ac:dyDescent="0.25">
      <c r="N2" s="635"/>
      <c r="O2" s="635"/>
      <c r="P2" s="635"/>
      <c r="Q2" s="635"/>
    </row>
    <row r="3" spans="1:30" hidden="1" x14ac:dyDescent="0.25"/>
    <row r="4" spans="1:30" ht="60.6" customHeight="1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S4" s="659" t="s">
        <v>644</v>
      </c>
      <c r="T4" s="659"/>
      <c r="U4" s="659"/>
      <c r="V4" s="659"/>
      <c r="W4" s="659"/>
      <c r="X4" s="659"/>
      <c r="Y4" s="659"/>
    </row>
    <row r="5" spans="1:30" ht="60" customHeight="1" thickBot="1" x14ac:dyDescent="0.3">
      <c r="A5" s="641" t="s">
        <v>631</v>
      </c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36"/>
      <c r="S5" s="636"/>
      <c r="T5" s="636"/>
      <c r="U5" s="636"/>
      <c r="V5" s="636"/>
      <c r="W5" s="636"/>
      <c r="X5" s="636"/>
      <c r="Y5" s="636"/>
      <c r="Z5" s="636"/>
      <c r="AA5" s="636"/>
    </row>
    <row r="6" spans="1:30" ht="15.75" customHeight="1" thickBot="1" x14ac:dyDescent="0.3">
      <c r="A6" s="642" t="s">
        <v>553</v>
      </c>
      <c r="B6" s="642" t="s">
        <v>1</v>
      </c>
      <c r="C6" s="642" t="s">
        <v>2</v>
      </c>
      <c r="D6" s="645" t="s">
        <v>3</v>
      </c>
      <c r="E6" s="646"/>
      <c r="F6" s="646"/>
      <c r="G6" s="646"/>
      <c r="H6" s="646"/>
      <c r="I6" s="646"/>
      <c r="J6" s="646"/>
      <c r="K6" s="647"/>
      <c r="L6" s="648" t="s">
        <v>4</v>
      </c>
      <c r="M6" s="649"/>
      <c r="N6" s="650"/>
      <c r="O6" s="648" t="s">
        <v>108</v>
      </c>
      <c r="P6" s="649"/>
      <c r="Q6" s="649"/>
      <c r="R6" s="654" t="s">
        <v>109</v>
      </c>
      <c r="S6" s="654"/>
      <c r="T6" s="654"/>
      <c r="U6" s="654"/>
      <c r="V6" s="654" t="s">
        <v>591</v>
      </c>
      <c r="W6" s="654"/>
      <c r="X6" s="654" t="s">
        <v>592</v>
      </c>
      <c r="Y6" s="654"/>
      <c r="Z6" s="655" t="s">
        <v>110</v>
      </c>
      <c r="AA6" s="656"/>
      <c r="AB6" s="584"/>
    </row>
    <row r="7" spans="1:30" ht="40.5" customHeight="1" thickBot="1" x14ac:dyDescent="0.3">
      <c r="A7" s="643"/>
      <c r="B7" s="643"/>
      <c r="C7" s="643"/>
      <c r="D7" s="645" t="s">
        <v>5</v>
      </c>
      <c r="E7" s="646"/>
      <c r="F7" s="646"/>
      <c r="G7" s="647"/>
      <c r="H7" s="645" t="s">
        <v>6</v>
      </c>
      <c r="I7" s="646"/>
      <c r="J7" s="646"/>
      <c r="K7" s="647"/>
      <c r="L7" s="651"/>
      <c r="M7" s="652"/>
      <c r="N7" s="653"/>
      <c r="O7" s="651"/>
      <c r="P7" s="652"/>
      <c r="Q7" s="652"/>
      <c r="R7" s="654"/>
      <c r="S7" s="654"/>
      <c r="T7" s="654"/>
      <c r="U7" s="654"/>
      <c r="V7" s="654"/>
      <c r="W7" s="654"/>
      <c r="X7" s="654"/>
      <c r="Y7" s="654"/>
      <c r="Z7" s="657"/>
      <c r="AA7" s="658"/>
      <c r="AB7" s="586"/>
    </row>
    <row r="8" spans="1:30" ht="39" customHeight="1" thickBot="1" x14ac:dyDescent="0.3">
      <c r="A8" s="644"/>
      <c r="B8" s="644"/>
      <c r="C8" s="644"/>
      <c r="D8" s="578" t="s">
        <v>7</v>
      </c>
      <c r="E8" s="578" t="s">
        <v>565</v>
      </c>
      <c r="F8" s="662" t="s">
        <v>8</v>
      </c>
      <c r="G8" s="663"/>
      <c r="H8" s="578" t="s">
        <v>7</v>
      </c>
      <c r="I8" s="578" t="s">
        <v>565</v>
      </c>
      <c r="J8" s="662" t="s">
        <v>8</v>
      </c>
      <c r="K8" s="663"/>
      <c r="L8" s="578" t="s">
        <v>7</v>
      </c>
      <c r="M8" s="578" t="s">
        <v>565</v>
      </c>
      <c r="N8" s="578" t="s">
        <v>8</v>
      </c>
      <c r="O8" s="578" t="s">
        <v>544</v>
      </c>
      <c r="P8" s="578" t="s">
        <v>565</v>
      </c>
      <c r="Q8" s="585" t="s">
        <v>8</v>
      </c>
      <c r="R8" s="471" t="s">
        <v>544</v>
      </c>
      <c r="S8" s="471" t="s">
        <v>565</v>
      </c>
      <c r="T8" s="471" t="s">
        <v>8</v>
      </c>
      <c r="U8" s="471" t="s">
        <v>8</v>
      </c>
      <c r="V8" s="471" t="s">
        <v>544</v>
      </c>
      <c r="W8" s="471" t="s">
        <v>565</v>
      </c>
      <c r="X8" s="471" t="s">
        <v>544</v>
      </c>
      <c r="Y8" s="471" t="s">
        <v>565</v>
      </c>
      <c r="Z8" s="578" t="s">
        <v>544</v>
      </c>
      <c r="AA8" s="578" t="s">
        <v>565</v>
      </c>
      <c r="AB8" s="578" t="s">
        <v>8</v>
      </c>
    </row>
    <row r="9" spans="1:30" x14ac:dyDescent="0.25">
      <c r="A9" s="478">
        <v>1</v>
      </c>
      <c r="B9" s="478">
        <v>2</v>
      </c>
      <c r="C9" s="478" t="s">
        <v>11</v>
      </c>
      <c r="D9" s="478">
        <v>1</v>
      </c>
      <c r="E9" s="478">
        <v>2</v>
      </c>
      <c r="F9" s="660">
        <v>3</v>
      </c>
      <c r="G9" s="660"/>
      <c r="H9" s="478">
        <v>4</v>
      </c>
      <c r="I9" s="478">
        <v>5</v>
      </c>
      <c r="J9" s="660">
        <v>6</v>
      </c>
      <c r="K9" s="660"/>
      <c r="L9" s="478">
        <v>7</v>
      </c>
      <c r="M9" s="478">
        <v>8</v>
      </c>
      <c r="N9" s="478">
        <v>9</v>
      </c>
      <c r="O9" s="478">
        <v>3</v>
      </c>
      <c r="P9" s="478">
        <v>4</v>
      </c>
      <c r="Q9" s="478">
        <v>12</v>
      </c>
      <c r="R9" s="478">
        <v>5</v>
      </c>
      <c r="S9" s="478">
        <v>6</v>
      </c>
      <c r="T9" s="478">
        <v>12</v>
      </c>
      <c r="U9" s="478">
        <v>12</v>
      </c>
      <c r="V9" s="478"/>
      <c r="W9" s="478"/>
      <c r="X9" s="478">
        <v>7</v>
      </c>
      <c r="Y9" s="478">
        <v>8</v>
      </c>
      <c r="Z9" s="478">
        <v>9</v>
      </c>
      <c r="AA9" s="478">
        <v>10</v>
      </c>
      <c r="AB9" s="478">
        <v>12</v>
      </c>
    </row>
    <row r="10" spans="1:30" x14ac:dyDescent="0.25">
      <c r="A10" s="587"/>
      <c r="B10" s="588" t="s">
        <v>570</v>
      </c>
      <c r="C10" s="587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9">
        <f>O11+O28</f>
        <v>6632173.8902549008</v>
      </c>
      <c r="P10" s="589">
        <f>O10/O38</f>
        <v>36.408172620360666</v>
      </c>
      <c r="Q10" s="587"/>
      <c r="R10" s="589">
        <f>R11+R28</f>
        <v>6591481.4843788687</v>
      </c>
      <c r="S10" s="589">
        <f>R10/R38</f>
        <v>36.184786418191074</v>
      </c>
      <c r="T10" s="589" t="e">
        <f>T11+T28</f>
        <v>#REF!</v>
      </c>
      <c r="U10" s="589" t="e">
        <f>U11+U28</f>
        <v>#REF!</v>
      </c>
      <c r="V10" s="589"/>
      <c r="W10" s="589"/>
      <c r="X10" s="589"/>
      <c r="Y10" s="589"/>
      <c r="Z10" s="589">
        <f>O10+R10</f>
        <v>13223655.37463377</v>
      </c>
      <c r="AA10" s="589">
        <f>AA11+AA28</f>
        <v>82.748310009539637</v>
      </c>
      <c r="AB10" s="478"/>
      <c r="AC10" s="590">
        <f>O10+R10</f>
        <v>13223655.37463377</v>
      </c>
      <c r="AD10" s="590">
        <f>P10+S10</f>
        <v>72.59295903855174</v>
      </c>
    </row>
    <row r="11" spans="1:30" ht="31.5" customHeight="1" x14ac:dyDescent="0.25">
      <c r="A11" s="471">
        <v>1</v>
      </c>
      <c r="B11" s="470" t="s">
        <v>568</v>
      </c>
      <c r="C11" s="471">
        <v>1</v>
      </c>
      <c r="D11" s="591"/>
      <c r="E11" s="591"/>
      <c r="F11" s="661"/>
      <c r="G11" s="661"/>
      <c r="H11" s="591"/>
      <c r="I11" s="591"/>
      <c r="J11" s="661"/>
      <c r="K11" s="661"/>
      <c r="L11" s="591"/>
      <c r="M11" s="591"/>
      <c r="N11" s="591"/>
      <c r="O11" s="592">
        <f>O12+O16+O20+O21</f>
        <v>5704369.6727633364</v>
      </c>
      <c r="P11" s="592">
        <f>O11/O38</f>
        <v>31.314871891625817</v>
      </c>
      <c r="Q11" s="592">
        <f>Q12+Q16+Q20+Q21</f>
        <v>0</v>
      </c>
      <c r="R11" s="592">
        <f>R12+R16+R20+R21</f>
        <v>5669369.9080056464</v>
      </c>
      <c r="S11" s="592">
        <f>R11/R38</f>
        <v>31.122736175938027</v>
      </c>
      <c r="T11" s="593" t="e">
        <f>T12+T20+T21+T28</f>
        <v>#REF!</v>
      </c>
      <c r="U11" s="593" t="e">
        <f>U12+U20+U21+U28</f>
        <v>#REF!</v>
      </c>
      <c r="V11" s="593"/>
      <c r="W11" s="593"/>
      <c r="X11" s="593" t="s">
        <v>222</v>
      </c>
      <c r="Y11" s="593" t="s">
        <v>222</v>
      </c>
      <c r="Z11" s="593">
        <f>O11+R11</f>
        <v>11373739.580768984</v>
      </c>
      <c r="AA11" s="593">
        <f>AA12+AA20+AA21+AA28+AA16</f>
        <v>72.59295903855174</v>
      </c>
      <c r="AB11" s="591"/>
      <c r="AC11" s="483">
        <f>O11+R11</f>
        <v>11373739.580768984</v>
      </c>
      <c r="AD11" s="483">
        <f>P11+S11</f>
        <v>62.437608067563843</v>
      </c>
    </row>
    <row r="12" spans="1:30" ht="20.25" customHeight="1" x14ac:dyDescent="0.25">
      <c r="A12" s="484" t="s">
        <v>24</v>
      </c>
      <c r="B12" s="470" t="s">
        <v>12</v>
      </c>
      <c r="C12" s="471">
        <v>2</v>
      </c>
      <c r="D12" s="591"/>
      <c r="E12" s="591"/>
      <c r="F12" s="661"/>
      <c r="G12" s="661"/>
      <c r="H12" s="591"/>
      <c r="I12" s="591"/>
      <c r="J12" s="661"/>
      <c r="K12" s="661"/>
      <c r="L12" s="591"/>
      <c r="M12" s="591"/>
      <c r="N12" s="591"/>
      <c r="O12" s="592">
        <f>O13+O16</f>
        <v>1671928.9388890965</v>
      </c>
      <c r="P12" s="592">
        <f>O12/O38</f>
        <v>9.1782692105666595</v>
      </c>
      <c r="Q12" s="592">
        <f t="shared" ref="Q12:R12" si="0">Q13+Q16</f>
        <v>0</v>
      </c>
      <c r="R12" s="592">
        <f t="shared" si="0"/>
        <v>3214782.6247010469</v>
      </c>
      <c r="S12" s="592">
        <f>R12/R38</f>
        <v>17.647963197863827</v>
      </c>
      <c r="T12" s="592" t="e">
        <f>T13+T16+#REF!</f>
        <v>#REF!</v>
      </c>
      <c r="U12" s="592" t="e">
        <f>U13+U16+#REF!</f>
        <v>#REF!</v>
      </c>
      <c r="V12" s="592"/>
      <c r="W12" s="592"/>
      <c r="X12" s="592"/>
      <c r="Y12" s="592"/>
      <c r="Z12" s="592">
        <f>Z13+Z16</f>
        <v>4886711.5635901438</v>
      </c>
      <c r="AA12" s="592">
        <f>AA13+AA16</f>
        <v>26.826232408430485</v>
      </c>
      <c r="AB12" s="591"/>
    </row>
    <row r="13" spans="1:30" ht="19.5" customHeight="1" x14ac:dyDescent="0.25">
      <c r="A13" s="484" t="s">
        <v>25</v>
      </c>
      <c r="B13" s="470" t="s">
        <v>13</v>
      </c>
      <c r="C13" s="471">
        <v>3</v>
      </c>
      <c r="D13" s="591"/>
      <c r="E13" s="591"/>
      <c r="F13" s="661"/>
      <c r="G13" s="661"/>
      <c r="H13" s="591"/>
      <c r="I13" s="591"/>
      <c r="J13" s="661"/>
      <c r="K13" s="661"/>
      <c r="L13" s="591"/>
      <c r="M13" s="591"/>
      <c r="N13" s="591"/>
      <c r="O13" s="593">
        <f>O14+O15</f>
        <v>1451029.1808090967</v>
      </c>
      <c r="P13" s="593">
        <f>O13/O38</f>
        <v>7.96561154249948</v>
      </c>
      <c r="Q13" s="593">
        <f t="shared" ref="Q13:R13" si="1">Q14+Q15</f>
        <v>0</v>
      </c>
      <c r="R13" s="593">
        <f t="shared" si="1"/>
        <v>2993882.8666210468</v>
      </c>
      <c r="S13" s="593">
        <f>R13/R38</f>
        <v>16.435305529796643</v>
      </c>
      <c r="T13" s="593"/>
      <c r="U13" s="593"/>
      <c r="V13" s="593"/>
      <c r="W13" s="593"/>
      <c r="X13" s="593" t="s">
        <v>222</v>
      </c>
      <c r="Y13" s="593" t="s">
        <v>222</v>
      </c>
      <c r="Z13" s="593">
        <f t="shared" ref="Z13:AA34" si="2">O13+R13</f>
        <v>4444912.0474301437</v>
      </c>
      <c r="AA13" s="593">
        <f t="shared" si="2"/>
        <v>24.400917072296124</v>
      </c>
      <c r="AB13" s="591"/>
    </row>
    <row r="14" spans="1:30" ht="19.5" customHeight="1" x14ac:dyDescent="0.25">
      <c r="A14" s="484" t="s">
        <v>236</v>
      </c>
      <c r="B14" s="470" t="s">
        <v>239</v>
      </c>
      <c r="C14" s="471"/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3">
        <f>'ПММ збирання'!E8</f>
        <v>1299889.5520199039</v>
      </c>
      <c r="P14" s="593">
        <f>O14/O38</f>
        <v>7.1359110874466243</v>
      </c>
      <c r="Q14" s="593"/>
      <c r="R14" s="593">
        <f>'ПММ перевезення'!C9</f>
        <v>2682039.1414334406</v>
      </c>
      <c r="S14" s="593">
        <f>R14/R38</f>
        <v>14.723399243097894</v>
      </c>
      <c r="T14" s="593"/>
      <c r="U14" s="593"/>
      <c r="V14" s="593"/>
      <c r="W14" s="593"/>
      <c r="X14" s="593" t="s">
        <v>222</v>
      </c>
      <c r="Y14" s="593" t="s">
        <v>222</v>
      </c>
      <c r="Z14" s="593">
        <f t="shared" si="2"/>
        <v>3981928.6934533445</v>
      </c>
      <c r="AA14" s="593">
        <f t="shared" si="2"/>
        <v>21.859310330544517</v>
      </c>
      <c r="AB14" s="591"/>
    </row>
    <row r="15" spans="1:30" ht="19.5" customHeight="1" x14ac:dyDescent="0.25">
      <c r="A15" s="484" t="s">
        <v>237</v>
      </c>
      <c r="B15" s="470" t="s">
        <v>238</v>
      </c>
      <c r="C15" s="471"/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3">
        <f>'ПММ збирання'!G8+'ПММ збирання'!I8+'ПММ збирання'!K8+'ПММ збирання'!M8</f>
        <v>151139.62878919276</v>
      </c>
      <c r="P15" s="593">
        <f>O15/O38</f>
        <v>0.82970045505285617</v>
      </c>
      <c r="Q15" s="593"/>
      <c r="R15" s="593">
        <f>'ПММ перевезення'!E9+'ПММ перевезення'!G9+'ПММ перевезення'!I9+'ПММ перевезення'!K9</f>
        <v>311843.72518760629</v>
      </c>
      <c r="S15" s="593">
        <f>R15/R38</f>
        <v>1.711906286698752</v>
      </c>
      <c r="T15" s="593"/>
      <c r="U15" s="593"/>
      <c r="V15" s="593"/>
      <c r="W15" s="593"/>
      <c r="X15" s="593" t="s">
        <v>222</v>
      </c>
      <c r="Y15" s="593" t="s">
        <v>222</v>
      </c>
      <c r="Z15" s="593">
        <f t="shared" si="2"/>
        <v>462983.35397679906</v>
      </c>
      <c r="AA15" s="593">
        <f t="shared" si="2"/>
        <v>2.5416067417516084</v>
      </c>
      <c r="AB15" s="591"/>
    </row>
    <row r="16" spans="1:30" ht="33.75" customHeight="1" x14ac:dyDescent="0.25">
      <c r="A16" s="484" t="s">
        <v>26</v>
      </c>
      <c r="B16" s="470" t="s">
        <v>14</v>
      </c>
      <c r="C16" s="471">
        <v>4</v>
      </c>
      <c r="D16" s="591"/>
      <c r="E16" s="591"/>
      <c r="F16" s="661"/>
      <c r="G16" s="661"/>
      <c r="H16" s="591"/>
      <c r="I16" s="591"/>
      <c r="J16" s="661"/>
      <c r="K16" s="661"/>
      <c r="L16" s="591"/>
      <c r="M16" s="591"/>
      <c r="N16" s="591"/>
      <c r="O16" s="593">
        <f>O17+O18+O19</f>
        <v>220899.75807999994</v>
      </c>
      <c r="P16" s="593">
        <f>O16/O38</f>
        <v>1.2126576680671806</v>
      </c>
      <c r="Q16" s="593">
        <f t="shared" ref="Q16:R16" si="3">Q17+Q18+Q19</f>
        <v>0</v>
      </c>
      <c r="R16" s="593">
        <f t="shared" si="3"/>
        <v>220899.75807999994</v>
      </c>
      <c r="S16" s="593">
        <f>R16/R38</f>
        <v>1.2126576680671806</v>
      </c>
      <c r="T16" s="593"/>
      <c r="U16" s="593"/>
      <c r="V16" s="593"/>
      <c r="W16" s="593"/>
      <c r="X16" s="593" t="s">
        <v>222</v>
      </c>
      <c r="Y16" s="593" t="s">
        <v>222</v>
      </c>
      <c r="Z16" s="593">
        <f t="shared" si="2"/>
        <v>441799.51615999988</v>
      </c>
      <c r="AA16" s="593">
        <f t="shared" si="2"/>
        <v>2.4253153361343611</v>
      </c>
      <c r="AB16" s="591"/>
    </row>
    <row r="17" spans="1:30" ht="14.45" customHeight="1" x14ac:dyDescent="0.25">
      <c r="A17" s="484" t="s">
        <v>258</v>
      </c>
      <c r="B17" s="470" t="s">
        <v>259</v>
      </c>
      <c r="C17" s="47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3">
        <f>'Амортизація Ремонт дезін мийка'!E29/2</f>
        <v>72330.766559999989</v>
      </c>
      <c r="P17" s="593">
        <f>O17/O38</f>
        <v>0.39706905733412207</v>
      </c>
      <c r="Q17" s="593"/>
      <c r="R17" s="593">
        <f>'Амортизація Ремонт дезін мийка'!E29/2</f>
        <v>72330.766559999989</v>
      </c>
      <c r="S17" s="593">
        <f>R17/R38</f>
        <v>0.39706905733412207</v>
      </c>
      <c r="T17" s="593"/>
      <c r="U17" s="593"/>
      <c r="V17" s="593"/>
      <c r="W17" s="593"/>
      <c r="X17" s="593" t="s">
        <v>222</v>
      </c>
      <c r="Y17" s="593" t="s">
        <v>222</v>
      </c>
      <c r="Z17" s="593">
        <f t="shared" si="2"/>
        <v>144661.53311999998</v>
      </c>
      <c r="AA17" s="593">
        <f t="shared" si="2"/>
        <v>0.79413811466824413</v>
      </c>
      <c r="AB17" s="591"/>
    </row>
    <row r="18" spans="1:30" ht="14.45" customHeight="1" x14ac:dyDescent="0.25">
      <c r="A18" s="484" t="s">
        <v>260</v>
      </c>
      <c r="B18" s="470" t="s">
        <v>264</v>
      </c>
      <c r="C18" s="471"/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3">
        <f>'Загальні відомості'!G10/2</f>
        <v>102480.99119999997</v>
      </c>
      <c r="P18" s="593">
        <f>O17/O38</f>
        <v>0.39706905733412207</v>
      </c>
      <c r="Q18" s="593"/>
      <c r="R18" s="316">
        <f>'Загальні відомості'!G10/2</f>
        <v>102480.99119999997</v>
      </c>
      <c r="S18" s="593">
        <f>R17/R38</f>
        <v>0.39706905733412207</v>
      </c>
      <c r="T18" s="316">
        <f>'Загальні відомості'!I10/2</f>
        <v>7884.6739124999986</v>
      </c>
      <c r="U18" s="316">
        <f>'Загальні відомості'!J10/2</f>
        <v>5.1449999999999996</v>
      </c>
      <c r="V18" s="316"/>
      <c r="W18" s="316"/>
      <c r="X18" s="593" t="s">
        <v>222</v>
      </c>
      <c r="Y18" s="593" t="s">
        <v>222</v>
      </c>
      <c r="Z18" s="593">
        <f t="shared" si="2"/>
        <v>204961.98239999995</v>
      </c>
      <c r="AA18" s="593">
        <f t="shared" si="2"/>
        <v>0.79413811466824413</v>
      </c>
      <c r="AB18" s="591"/>
    </row>
    <row r="19" spans="1:30" ht="14.45" customHeight="1" x14ac:dyDescent="0.25">
      <c r="A19" s="484" t="s">
        <v>261</v>
      </c>
      <c r="B19" s="470" t="s">
        <v>262</v>
      </c>
      <c r="C19" s="47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3">
        <f>('Загальні відомості'!N10+'Амортизація Ремонт дезін мийка'!E32)/2</f>
        <v>46088.000319999992</v>
      </c>
      <c r="P19" s="593">
        <f>O18/O38</f>
        <v>0.56258259805245525</v>
      </c>
      <c r="Q19" s="593"/>
      <c r="R19" s="593">
        <f>('Загальні відомості'!N10+'Амортизація Ремонт дезін мийка'!E32)/2</f>
        <v>46088.000319999992</v>
      </c>
      <c r="S19" s="316">
        <f>R19/R38</f>
        <v>0.25300601268060324</v>
      </c>
      <c r="T19" s="593"/>
      <c r="U19" s="593"/>
      <c r="V19" s="593"/>
      <c r="W19" s="593"/>
      <c r="X19" s="593" t="s">
        <v>222</v>
      </c>
      <c r="Y19" s="593" t="s">
        <v>222</v>
      </c>
      <c r="Z19" s="593">
        <f t="shared" si="2"/>
        <v>92176.000639999984</v>
      </c>
      <c r="AA19" s="593">
        <f t="shared" si="2"/>
        <v>0.81558861073305855</v>
      </c>
      <c r="AB19" s="591"/>
    </row>
    <row r="20" spans="1:30" x14ac:dyDescent="0.25">
      <c r="A20" s="484" t="s">
        <v>27</v>
      </c>
      <c r="B20" s="470" t="s">
        <v>15</v>
      </c>
      <c r="C20" s="471">
        <v>9</v>
      </c>
      <c r="D20" s="591"/>
      <c r="E20" s="591"/>
      <c r="F20" s="661"/>
      <c r="G20" s="661"/>
      <c r="H20" s="591"/>
      <c r="I20" s="591"/>
      <c r="J20" s="661"/>
      <c r="K20" s="661"/>
      <c r="L20" s="591"/>
      <c r="M20" s="591"/>
      <c r="N20" s="591"/>
      <c r="O20" s="593">
        <f>'Штатне 2024'!O35</f>
        <v>2771592.6157919997</v>
      </c>
      <c r="P20" s="593">
        <f>O20/O38</f>
        <v>15.215014572724625</v>
      </c>
      <c r="Q20" s="593"/>
      <c r="R20" s="593">
        <f>'Штатне 2024'!O34</f>
        <v>1781647.0471799998</v>
      </c>
      <c r="S20" s="593">
        <f>R20/R38</f>
        <v>9.7805808948402309</v>
      </c>
      <c r="T20" s="593"/>
      <c r="U20" s="593"/>
      <c r="V20" s="593"/>
      <c r="W20" s="593"/>
      <c r="X20" s="593" t="s">
        <v>222</v>
      </c>
      <c r="Y20" s="593" t="s">
        <v>222</v>
      </c>
      <c r="Z20" s="593">
        <f t="shared" si="2"/>
        <v>4553239.6629719995</v>
      </c>
      <c r="AA20" s="593">
        <f t="shared" si="2"/>
        <v>24.995595467564854</v>
      </c>
      <c r="AB20" s="591"/>
    </row>
    <row r="21" spans="1:30" x14ac:dyDescent="0.25">
      <c r="A21" s="484" t="s">
        <v>28</v>
      </c>
      <c r="B21" s="470" t="s">
        <v>16</v>
      </c>
      <c r="C21" s="471">
        <v>10</v>
      </c>
      <c r="D21" s="591"/>
      <c r="E21" s="591"/>
      <c r="F21" s="661"/>
      <c r="G21" s="661"/>
      <c r="H21" s="591"/>
      <c r="I21" s="591"/>
      <c r="J21" s="661"/>
      <c r="K21" s="661"/>
      <c r="L21" s="591"/>
      <c r="M21" s="591"/>
      <c r="N21" s="591"/>
      <c r="O21" s="593">
        <f>O22+O23+O24</f>
        <v>1039948.3600022399</v>
      </c>
      <c r="P21" s="593">
        <f>O21/O38</f>
        <v>5.7089304402673493</v>
      </c>
      <c r="Q21" s="593"/>
      <c r="R21" s="593">
        <f>R22+R23+R24</f>
        <v>452040.47804459993</v>
      </c>
      <c r="S21" s="593">
        <f>R21/R38</f>
        <v>2.4815344151667902</v>
      </c>
      <c r="T21" s="593"/>
      <c r="U21" s="593"/>
      <c r="V21" s="593"/>
      <c r="W21" s="593"/>
      <c r="X21" s="593" t="s">
        <v>222</v>
      </c>
      <c r="Y21" s="593" t="s">
        <v>222</v>
      </c>
      <c r="Z21" s="593">
        <f t="shared" si="2"/>
        <v>1491988.8380468399</v>
      </c>
      <c r="AA21" s="593">
        <f t="shared" si="2"/>
        <v>8.1904648554341399</v>
      </c>
      <c r="AB21" s="591"/>
    </row>
    <row r="22" spans="1:30" ht="31.5" x14ac:dyDescent="0.25">
      <c r="A22" s="484" t="s">
        <v>29</v>
      </c>
      <c r="B22" s="470" t="s">
        <v>17</v>
      </c>
      <c r="C22" s="471">
        <v>11</v>
      </c>
      <c r="D22" s="591"/>
      <c r="E22" s="591"/>
      <c r="F22" s="661"/>
      <c r="G22" s="661"/>
      <c r="H22" s="591"/>
      <c r="I22" s="591"/>
      <c r="J22" s="661"/>
      <c r="K22" s="661"/>
      <c r="L22" s="591"/>
      <c r="M22" s="591"/>
      <c r="N22" s="591"/>
      <c r="O22" s="593">
        <f>O20*0.22</f>
        <v>609750.37547423993</v>
      </c>
      <c r="P22" s="593">
        <f>O22/O38</f>
        <v>3.3473032059994172</v>
      </c>
      <c r="Q22" s="593"/>
      <c r="R22" s="593">
        <f>R20*0.22</f>
        <v>391962.35037959996</v>
      </c>
      <c r="S22" s="593">
        <f>R22/R38</f>
        <v>2.1517277968648507</v>
      </c>
      <c r="T22" s="593"/>
      <c r="U22" s="593"/>
      <c r="V22" s="593"/>
      <c r="W22" s="593"/>
      <c r="X22" s="593" t="s">
        <v>222</v>
      </c>
      <c r="Y22" s="593" t="s">
        <v>222</v>
      </c>
      <c r="Z22" s="593">
        <f t="shared" si="2"/>
        <v>1001712.7258538399</v>
      </c>
      <c r="AA22" s="593">
        <f t="shared" si="2"/>
        <v>5.4990310028642675</v>
      </c>
      <c r="AB22" s="591"/>
    </row>
    <row r="23" spans="1:30" ht="31.5" x14ac:dyDescent="0.25">
      <c r="A23" s="484" t="s">
        <v>30</v>
      </c>
      <c r="B23" s="470" t="s">
        <v>18</v>
      </c>
      <c r="C23" s="471">
        <v>12</v>
      </c>
      <c r="D23" s="591"/>
      <c r="E23" s="591"/>
      <c r="F23" s="661"/>
      <c r="G23" s="661"/>
      <c r="H23" s="591"/>
      <c r="I23" s="591"/>
      <c r="J23" s="661"/>
      <c r="K23" s="661"/>
      <c r="L23" s="591"/>
      <c r="M23" s="591"/>
      <c r="N23" s="591"/>
      <c r="O23" s="593">
        <f>'Амортизація Ремонт дезін мийка'!C8+'Амортизація Ремонт дезін мийка'!C10</f>
        <v>382875.92092800001</v>
      </c>
      <c r="P23" s="593">
        <f>O23/O38</f>
        <v>2.1018466722968299</v>
      </c>
      <c r="Q23" s="593"/>
      <c r="R23" s="593">
        <f>'Амортизація Ремонт дезін мийка'!C9</f>
        <v>36990</v>
      </c>
      <c r="S23" s="593">
        <f>R23/R38</f>
        <v>0.20306136834047644</v>
      </c>
      <c r="T23" s="593"/>
      <c r="U23" s="593"/>
      <c r="V23" s="593"/>
      <c r="W23" s="593"/>
      <c r="X23" s="593" t="s">
        <v>222</v>
      </c>
      <c r="Y23" s="593" t="s">
        <v>222</v>
      </c>
      <c r="Z23" s="593">
        <f t="shared" si="2"/>
        <v>419865.92092800001</v>
      </c>
      <c r="AA23" s="593">
        <f t="shared" si="2"/>
        <v>2.3049080406373061</v>
      </c>
      <c r="AB23" s="591"/>
    </row>
    <row r="24" spans="1:30" x14ac:dyDescent="0.25">
      <c r="A24" s="484" t="s">
        <v>31</v>
      </c>
      <c r="B24" s="470" t="s">
        <v>19</v>
      </c>
      <c r="C24" s="471">
        <v>15</v>
      </c>
      <c r="D24" s="591"/>
      <c r="E24" s="591"/>
      <c r="F24" s="661"/>
      <c r="G24" s="661"/>
      <c r="H24" s="591"/>
      <c r="I24" s="591"/>
      <c r="J24" s="661"/>
      <c r="K24" s="661"/>
      <c r="L24" s="591"/>
      <c r="M24" s="591"/>
      <c r="N24" s="591"/>
      <c r="O24" s="593">
        <f>O25+O26</f>
        <v>47322.063599999994</v>
      </c>
      <c r="P24" s="593">
        <f>O24/O38</f>
        <v>0.25978056197110172</v>
      </c>
      <c r="Q24" s="593"/>
      <c r="R24" s="593">
        <f>R25+R26</f>
        <v>23088.127664999996</v>
      </c>
      <c r="S24" s="593">
        <f>R24/R38</f>
        <v>0.1267452499614628</v>
      </c>
      <c r="T24" s="593"/>
      <c r="U24" s="593"/>
      <c r="V24" s="593"/>
      <c r="W24" s="593"/>
      <c r="X24" s="593" t="s">
        <v>222</v>
      </c>
      <c r="Y24" s="593" t="s">
        <v>222</v>
      </c>
      <c r="Z24" s="593">
        <f t="shared" si="2"/>
        <v>70410.191264999987</v>
      </c>
      <c r="AA24" s="593">
        <f t="shared" si="2"/>
        <v>0.38652581193256452</v>
      </c>
      <c r="AB24" s="591"/>
    </row>
    <row r="25" spans="1:30" x14ac:dyDescent="0.25">
      <c r="A25" s="484" t="s">
        <v>233</v>
      </c>
      <c r="B25" s="470" t="s">
        <v>567</v>
      </c>
      <c r="C25" s="471"/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3">
        <v>0</v>
      </c>
      <c r="P25" s="593">
        <f>O25/O38</f>
        <v>0</v>
      </c>
      <c r="Q25" s="593"/>
      <c r="R25" s="593">
        <f>'Амортизація Ремонт дезін мийка'!E31</f>
        <v>7318.7798400000001</v>
      </c>
      <c r="S25" s="594">
        <f>R25/R38</f>
        <v>4.0177384398299362E-2</v>
      </c>
      <c r="T25" s="593"/>
      <c r="U25" s="593"/>
      <c r="V25" s="593"/>
      <c r="W25" s="593"/>
      <c r="X25" s="593" t="s">
        <v>222</v>
      </c>
      <c r="Y25" s="593" t="s">
        <v>222</v>
      </c>
      <c r="Z25" s="593">
        <f t="shared" si="2"/>
        <v>7318.7798400000001</v>
      </c>
      <c r="AA25" s="593">
        <f t="shared" si="2"/>
        <v>4.0177384398299362E-2</v>
      </c>
      <c r="AB25" s="591"/>
    </row>
    <row r="26" spans="1:30" ht="13.9" customHeight="1" x14ac:dyDescent="0.25">
      <c r="A26" s="484" t="s">
        <v>234</v>
      </c>
      <c r="B26" s="470" t="s">
        <v>566</v>
      </c>
      <c r="C26" s="471"/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3">
        <f>'Загальні відомості'!L10</f>
        <v>47322.063599999994</v>
      </c>
      <c r="P26" s="593">
        <f>O26/O38</f>
        <v>0.25978056197110172</v>
      </c>
      <c r="Q26" s="593"/>
      <c r="R26" s="593">
        <f>'Загальні відомості'!I10</f>
        <v>15769.347824999997</v>
      </c>
      <c r="S26" s="595">
        <f>R26/R38</f>
        <v>8.656786556316344E-2</v>
      </c>
      <c r="T26" s="593"/>
      <c r="U26" s="593"/>
      <c r="V26" s="593"/>
      <c r="W26" s="593"/>
      <c r="X26" s="593"/>
      <c r="Y26" s="593"/>
      <c r="Z26" s="593">
        <f t="shared" si="2"/>
        <v>63091.411424999991</v>
      </c>
      <c r="AA26" s="593">
        <f t="shared" si="2"/>
        <v>0.34634842753426515</v>
      </c>
      <c r="AB26" s="591"/>
    </row>
    <row r="27" spans="1:30" hidden="1" x14ac:dyDescent="0.25">
      <c r="A27" s="484"/>
      <c r="B27" s="470"/>
      <c r="C27" s="471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3"/>
      <c r="P27" s="593">
        <f>O27/O38</f>
        <v>0</v>
      </c>
      <c r="Q27" s="593"/>
      <c r="R27" s="593"/>
      <c r="S27" s="593"/>
      <c r="T27" s="593"/>
      <c r="U27" s="593"/>
      <c r="V27" s="593"/>
      <c r="W27" s="593"/>
      <c r="X27" s="593" t="s">
        <v>222</v>
      </c>
      <c r="Y27" s="593" t="s">
        <v>222</v>
      </c>
      <c r="Z27" s="593">
        <f t="shared" si="2"/>
        <v>0</v>
      </c>
      <c r="AA27" s="593">
        <f t="shared" si="2"/>
        <v>0</v>
      </c>
      <c r="AB27" s="591"/>
    </row>
    <row r="28" spans="1:30" x14ac:dyDescent="0.25">
      <c r="A28" s="596" t="s">
        <v>32</v>
      </c>
      <c r="B28" s="588" t="s">
        <v>207</v>
      </c>
      <c r="C28" s="597">
        <v>16</v>
      </c>
      <c r="D28" s="598"/>
      <c r="E28" s="598"/>
      <c r="F28" s="664"/>
      <c r="G28" s="664"/>
      <c r="H28" s="598"/>
      <c r="I28" s="598"/>
      <c r="J28" s="664"/>
      <c r="K28" s="664"/>
      <c r="L28" s="598"/>
      <c r="M28" s="598"/>
      <c r="N28" s="598"/>
      <c r="O28" s="322">
        <f>'РОзподіл  ЗВВ АДМ'!E8</f>
        <v>927804.21749156446</v>
      </c>
      <c r="P28" s="599">
        <f>O28/O38</f>
        <v>5.0933007287348495</v>
      </c>
      <c r="Q28" s="599"/>
      <c r="R28" s="600">
        <f>'РОзподіл  ЗВВ АДМ'!E9</f>
        <v>922111.57637322205</v>
      </c>
      <c r="S28" s="599">
        <f>R28/R38</f>
        <v>5.0620502422530471</v>
      </c>
      <c r="T28" s="599"/>
      <c r="U28" s="599"/>
      <c r="V28" s="599"/>
      <c r="W28" s="599"/>
      <c r="X28" s="599" t="s">
        <v>222</v>
      </c>
      <c r="Y28" s="599" t="s">
        <v>222</v>
      </c>
      <c r="Z28" s="599">
        <f t="shared" si="2"/>
        <v>1849915.7938647866</v>
      </c>
      <c r="AA28" s="599">
        <f t="shared" si="2"/>
        <v>10.155350970987897</v>
      </c>
      <c r="AB28" s="591"/>
    </row>
    <row r="29" spans="1:30" x14ac:dyDescent="0.25">
      <c r="A29" s="596" t="s">
        <v>33</v>
      </c>
      <c r="B29" s="588" t="s">
        <v>20</v>
      </c>
      <c r="C29" s="597">
        <v>17</v>
      </c>
      <c r="D29" s="598"/>
      <c r="E29" s="598"/>
      <c r="F29" s="664"/>
      <c r="G29" s="664"/>
      <c r="H29" s="598"/>
      <c r="I29" s="598"/>
      <c r="J29" s="664"/>
      <c r="K29" s="664"/>
      <c r="L29" s="598"/>
      <c r="M29" s="598"/>
      <c r="N29" s="598"/>
      <c r="O29" s="322">
        <f>'РОзподіл  ЗВВ АДМ'!H8</f>
        <v>418810.87535308424</v>
      </c>
      <c r="P29" s="599">
        <f>O29/O38</f>
        <v>2.2991162320916465</v>
      </c>
      <c r="Q29" s="599"/>
      <c r="R29" s="599">
        <f>'РОзподіл  ЗВВ АДМ'!H9</f>
        <v>416241.21683580597</v>
      </c>
      <c r="S29" s="599">
        <f>R29/R38</f>
        <v>2.2850097607565214</v>
      </c>
      <c r="T29" s="599"/>
      <c r="U29" s="599"/>
      <c r="V29" s="599"/>
      <c r="W29" s="599"/>
      <c r="X29" s="599" t="s">
        <v>222</v>
      </c>
      <c r="Y29" s="599" t="s">
        <v>222</v>
      </c>
      <c r="Z29" s="599">
        <f t="shared" si="2"/>
        <v>835052.09218889021</v>
      </c>
      <c r="AA29" s="599">
        <f t="shared" si="2"/>
        <v>4.5841259928481684</v>
      </c>
      <c r="AB29" s="591"/>
    </row>
    <row r="30" spans="1:30" x14ac:dyDescent="0.25">
      <c r="A30" s="601" t="s">
        <v>34</v>
      </c>
      <c r="B30" s="602" t="s">
        <v>21</v>
      </c>
      <c r="C30" s="601">
        <v>21</v>
      </c>
      <c r="D30" s="603"/>
      <c r="E30" s="603"/>
      <c r="F30" s="665"/>
      <c r="G30" s="665"/>
      <c r="H30" s="603"/>
      <c r="I30" s="603"/>
      <c r="J30" s="665"/>
      <c r="K30" s="665"/>
      <c r="L30" s="603"/>
      <c r="M30" s="603"/>
      <c r="N30" s="603"/>
      <c r="O30" s="603">
        <f>O10+O29</f>
        <v>7050984.7656079847</v>
      </c>
      <c r="P30" s="599">
        <f>O30/O38</f>
        <v>38.707288852452308</v>
      </c>
      <c r="Q30" s="603">
        <f>Q10+Q29</f>
        <v>0</v>
      </c>
      <c r="R30" s="603">
        <f>R10+R29</f>
        <v>7007722.7012146749</v>
      </c>
      <c r="S30" s="603">
        <f>R30/R38</f>
        <v>38.469796178947597</v>
      </c>
      <c r="T30" s="603"/>
      <c r="U30" s="603"/>
      <c r="V30" s="603"/>
      <c r="W30" s="603"/>
      <c r="X30" s="603" t="s">
        <v>222</v>
      </c>
      <c r="Y30" s="603" t="s">
        <v>222</v>
      </c>
      <c r="Z30" s="603">
        <f t="shared" si="2"/>
        <v>14058707.46682266</v>
      </c>
      <c r="AA30" s="603">
        <f t="shared" si="2"/>
        <v>77.177085031399912</v>
      </c>
      <c r="AB30" s="591"/>
    </row>
    <row r="31" spans="1:30" x14ac:dyDescent="0.25">
      <c r="A31" s="484" t="s">
        <v>35</v>
      </c>
      <c r="B31" s="470" t="s">
        <v>597</v>
      </c>
      <c r="C31" s="471">
        <v>23</v>
      </c>
      <c r="D31" s="591"/>
      <c r="E31" s="591"/>
      <c r="F31" s="661"/>
      <c r="G31" s="661"/>
      <c r="H31" s="591"/>
      <c r="I31" s="591"/>
      <c r="J31" s="661"/>
      <c r="K31" s="661"/>
      <c r="L31" s="591"/>
      <c r="M31" s="591"/>
      <c r="N31" s="591"/>
      <c r="O31" s="592">
        <f>O30*0.15</f>
        <v>1057647.7148411977</v>
      </c>
      <c r="P31" s="593">
        <f>O31/O38</f>
        <v>5.8060933278678464</v>
      </c>
      <c r="Q31" s="593"/>
      <c r="R31" s="593">
        <f>R30*0.15</f>
        <v>1051158.4051822012</v>
      </c>
      <c r="S31" s="593">
        <f>R31/R38</f>
        <v>5.7704694268421397</v>
      </c>
      <c r="T31" s="593"/>
      <c r="U31" s="593"/>
      <c r="V31" s="593"/>
      <c r="W31" s="593"/>
      <c r="X31" s="593" t="s">
        <v>222</v>
      </c>
      <c r="Y31" s="593" t="s">
        <v>222</v>
      </c>
      <c r="Z31" s="593">
        <f t="shared" si="2"/>
        <v>2108806.1200233987</v>
      </c>
      <c r="AA31" s="593">
        <f t="shared" si="2"/>
        <v>11.576562754709986</v>
      </c>
      <c r="AB31" s="591"/>
    </row>
    <row r="32" spans="1:30" ht="18" customHeight="1" x14ac:dyDescent="0.25">
      <c r="A32" s="484" t="s">
        <v>50</v>
      </c>
      <c r="B32" s="470" t="s">
        <v>22</v>
      </c>
      <c r="C32" s="471">
        <v>24</v>
      </c>
      <c r="D32" s="591"/>
      <c r="E32" s="591"/>
      <c r="F32" s="661"/>
      <c r="G32" s="661"/>
      <c r="H32" s="591"/>
      <c r="I32" s="591"/>
      <c r="J32" s="661"/>
      <c r="K32" s="661"/>
      <c r="L32" s="591"/>
      <c r="M32" s="591"/>
      <c r="N32" s="591"/>
      <c r="O32" s="593">
        <f>O31*0.18</f>
        <v>190376.58867141558</v>
      </c>
      <c r="P32" s="593">
        <f>O32/O38</f>
        <v>1.0450967990162123</v>
      </c>
      <c r="Q32" s="593"/>
      <c r="R32" s="593">
        <f>R31*0.18</f>
        <v>189208.51293279621</v>
      </c>
      <c r="S32" s="593">
        <f>R32/R38</f>
        <v>1.0386844968315851</v>
      </c>
      <c r="T32" s="593"/>
      <c r="U32" s="593"/>
      <c r="V32" s="593"/>
      <c r="W32" s="593"/>
      <c r="X32" s="593" t="s">
        <v>222</v>
      </c>
      <c r="Y32" s="593" t="s">
        <v>222</v>
      </c>
      <c r="Z32" s="593">
        <f t="shared" si="2"/>
        <v>379585.10160421178</v>
      </c>
      <c r="AA32" s="593">
        <f t="shared" si="2"/>
        <v>2.0837812958477975</v>
      </c>
      <c r="AB32" s="591"/>
      <c r="AD32" s="483"/>
    </row>
    <row r="33" spans="1:32" ht="24" customHeight="1" x14ac:dyDescent="0.25">
      <c r="A33" s="484" t="s">
        <v>603</v>
      </c>
      <c r="B33" s="178" t="s">
        <v>606</v>
      </c>
      <c r="C33" s="471">
        <v>25</v>
      </c>
      <c r="D33" s="591"/>
      <c r="E33" s="591"/>
      <c r="F33" s="661"/>
      <c r="G33" s="661"/>
      <c r="H33" s="591"/>
      <c r="I33" s="591"/>
      <c r="J33" s="661"/>
      <c r="K33" s="661"/>
      <c r="L33" s="591"/>
      <c r="M33" s="591"/>
      <c r="N33" s="591"/>
      <c r="O33" s="593">
        <f>O31-O32</f>
        <v>867271.12616978213</v>
      </c>
      <c r="P33" s="593">
        <f>O33/O38</f>
        <v>4.760996528851634</v>
      </c>
      <c r="Q33" s="593">
        <f t="shared" ref="Q33:R33" si="4">Q31-Q32</f>
        <v>0</v>
      </c>
      <c r="R33" s="593">
        <f t="shared" si="4"/>
        <v>861949.89224940492</v>
      </c>
      <c r="S33" s="593">
        <f>R33/R38</f>
        <v>4.7317849300105541</v>
      </c>
      <c r="T33" s="593"/>
      <c r="U33" s="593"/>
      <c r="V33" s="593"/>
      <c r="W33" s="593"/>
      <c r="X33" s="593" t="s">
        <v>222</v>
      </c>
      <c r="Y33" s="593" t="s">
        <v>222</v>
      </c>
      <c r="Z33" s="593">
        <f t="shared" si="2"/>
        <v>1729221.0184191871</v>
      </c>
      <c r="AA33" s="593">
        <f t="shared" si="2"/>
        <v>9.4927814588621882</v>
      </c>
      <c r="AB33" s="591"/>
    </row>
    <row r="34" spans="1:32" ht="44.45" customHeight="1" x14ac:dyDescent="0.25">
      <c r="A34" s="484" t="s">
        <v>604</v>
      </c>
      <c r="B34" s="470" t="s">
        <v>625</v>
      </c>
      <c r="C34" s="471">
        <v>29</v>
      </c>
      <c r="D34" s="591"/>
      <c r="E34" s="591"/>
      <c r="F34" s="661"/>
      <c r="G34" s="661"/>
      <c r="H34" s="591"/>
      <c r="I34" s="591"/>
      <c r="J34" s="661"/>
      <c r="K34" s="661"/>
      <c r="L34" s="591"/>
      <c r="M34" s="591"/>
      <c r="N34" s="591"/>
      <c r="O34" s="593">
        <f>O33/2</f>
        <v>433635.56308489107</v>
      </c>
      <c r="P34" s="593">
        <f>P33</f>
        <v>4.760996528851634</v>
      </c>
      <c r="Q34" s="593">
        <f t="shared" ref="Q34:R34" si="5">Q33/2</f>
        <v>0</v>
      </c>
      <c r="R34" s="593">
        <f t="shared" si="5"/>
        <v>430974.94612470246</v>
      </c>
      <c r="S34" s="593">
        <f>S33</f>
        <v>4.7317849300105541</v>
      </c>
      <c r="T34" s="593"/>
      <c r="U34" s="593"/>
      <c r="V34" s="593"/>
      <c r="W34" s="593"/>
      <c r="X34" s="593" t="s">
        <v>222</v>
      </c>
      <c r="Y34" s="593" t="s">
        <v>222</v>
      </c>
      <c r="Z34" s="593">
        <f t="shared" si="2"/>
        <v>864610.50920959353</v>
      </c>
      <c r="AA34" s="593">
        <f t="shared" si="2"/>
        <v>9.4927814588621882</v>
      </c>
      <c r="AB34" s="591"/>
    </row>
    <row r="35" spans="1:32" ht="20.45" hidden="1" customHeight="1" x14ac:dyDescent="0.25">
      <c r="A35" s="484" t="s">
        <v>605</v>
      </c>
      <c r="B35" s="470" t="s">
        <v>607</v>
      </c>
      <c r="C35" s="471"/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3">
        <f>O33/2</f>
        <v>433635.56308489107</v>
      </c>
      <c r="P35" s="593"/>
      <c r="Q35" s="593">
        <f t="shared" ref="Q35:R35" si="6">Q33/2</f>
        <v>0</v>
      </c>
      <c r="R35" s="593">
        <f t="shared" si="6"/>
        <v>430974.94612470246</v>
      </c>
      <c r="S35" s="593">
        <v>0</v>
      </c>
      <c r="T35" s="593"/>
      <c r="U35" s="593"/>
      <c r="V35" s="593"/>
      <c r="W35" s="593"/>
      <c r="X35" s="593"/>
      <c r="Y35" s="593"/>
      <c r="Z35" s="593"/>
      <c r="AA35" s="593"/>
      <c r="AB35" s="591"/>
    </row>
    <row r="36" spans="1:32" ht="30.75" customHeight="1" x14ac:dyDescent="0.25">
      <c r="A36" s="604" t="s">
        <v>36</v>
      </c>
      <c r="B36" s="605" t="s">
        <v>622</v>
      </c>
      <c r="C36" s="606"/>
      <c r="D36" s="607"/>
      <c r="E36" s="607"/>
      <c r="F36" s="607"/>
      <c r="G36" s="607"/>
      <c r="H36" s="607"/>
      <c r="I36" s="607"/>
      <c r="J36" s="607"/>
      <c r="K36" s="607"/>
      <c r="L36" s="607"/>
      <c r="M36" s="607"/>
      <c r="N36" s="607"/>
      <c r="O36" s="608">
        <f>O30+O31</f>
        <v>8108632.4804491829</v>
      </c>
      <c r="P36" s="609">
        <f>O36/O38</f>
        <v>44.513382180320157</v>
      </c>
      <c r="Q36" s="609">
        <f t="shared" ref="Q36:U36" si="7">Q30+Q31</f>
        <v>0</v>
      </c>
      <c r="R36" s="608">
        <f>R30+R31</f>
        <v>8058881.1063968763</v>
      </c>
      <c r="S36" s="609">
        <f>R36/R38</f>
        <v>44.240265605789737</v>
      </c>
      <c r="T36" s="609">
        <f t="shared" si="7"/>
        <v>0</v>
      </c>
      <c r="U36" s="609">
        <f t="shared" si="7"/>
        <v>0</v>
      </c>
      <c r="V36" s="609">
        <v>0</v>
      </c>
      <c r="W36" s="609">
        <v>0</v>
      </c>
      <c r="X36" s="608">
        <f>Y36*X38</f>
        <v>2581767.3078020881</v>
      </c>
      <c r="Y36" s="609">
        <v>19.082999999999998</v>
      </c>
      <c r="Z36" s="609">
        <f>O36+R36+V36+X36</f>
        <v>18749280.894648146</v>
      </c>
      <c r="AA36" s="609">
        <f>P36+S36+W36+Y36</f>
        <v>107.83664778610989</v>
      </c>
      <c r="AB36" s="591"/>
      <c r="AF36" s="483"/>
    </row>
    <row r="37" spans="1:32" ht="30.75" customHeight="1" x14ac:dyDescent="0.25">
      <c r="A37" s="604" t="s">
        <v>267</v>
      </c>
      <c r="B37" s="605" t="s">
        <v>620</v>
      </c>
      <c r="C37" s="606"/>
      <c r="D37" s="607"/>
      <c r="E37" s="607"/>
      <c r="F37" s="607"/>
      <c r="G37" s="607"/>
      <c r="H37" s="607"/>
      <c r="I37" s="607"/>
      <c r="J37" s="607"/>
      <c r="K37" s="607"/>
      <c r="L37" s="607"/>
      <c r="M37" s="607"/>
      <c r="N37" s="607"/>
      <c r="O37" s="609">
        <f>O36*1.2</f>
        <v>9730358.9765390195</v>
      </c>
      <c r="P37" s="609">
        <f t="shared" ref="P37:U37" si="8">P36*1.2</f>
        <v>53.416058616384184</v>
      </c>
      <c r="Q37" s="609">
        <f t="shared" si="8"/>
        <v>0</v>
      </c>
      <c r="R37" s="609">
        <f t="shared" si="8"/>
        <v>9670657.3276762515</v>
      </c>
      <c r="S37" s="609">
        <f t="shared" si="8"/>
        <v>53.088318726947684</v>
      </c>
      <c r="T37" s="609">
        <f t="shared" si="8"/>
        <v>0</v>
      </c>
      <c r="U37" s="609">
        <f t="shared" si="8"/>
        <v>0</v>
      </c>
      <c r="V37" s="609">
        <v>0</v>
      </c>
      <c r="W37" s="609">
        <f t="shared" ref="W37:AA37" si="9">W36*1.2</f>
        <v>0</v>
      </c>
      <c r="X37" s="609">
        <f t="shared" si="9"/>
        <v>3098120.7693625055</v>
      </c>
      <c r="Y37" s="609">
        <f t="shared" si="9"/>
        <v>22.899599999999996</v>
      </c>
      <c r="Z37" s="609">
        <f t="shared" si="9"/>
        <v>22499137.073577773</v>
      </c>
      <c r="AA37" s="609">
        <f t="shared" si="9"/>
        <v>129.40397734333186</v>
      </c>
      <c r="AB37" s="591"/>
      <c r="AF37" s="483"/>
    </row>
    <row r="38" spans="1:32" ht="39" customHeight="1" x14ac:dyDescent="0.25">
      <c r="A38" s="604" t="s">
        <v>268</v>
      </c>
      <c r="B38" s="605" t="s">
        <v>593</v>
      </c>
      <c r="C38" s="606">
        <v>31</v>
      </c>
      <c r="D38" s="607"/>
      <c r="E38" s="607"/>
      <c r="F38" s="666"/>
      <c r="G38" s="666"/>
      <c r="H38" s="607"/>
      <c r="I38" s="607"/>
      <c r="J38" s="666"/>
      <c r="K38" s="666"/>
      <c r="L38" s="607"/>
      <c r="M38" s="607"/>
      <c r="N38" s="607"/>
      <c r="O38" s="609">
        <f>'РІЧНИЙ  План'!O21</f>
        <v>182161.68</v>
      </c>
      <c r="P38" s="609">
        <f>'ПОВ СОБ ТПВ'!O38</f>
        <v>182161.68</v>
      </c>
      <c r="Q38" s="609"/>
      <c r="R38" s="609">
        <f>'РІЧНИЙ  План'!O21</f>
        <v>182161.68</v>
      </c>
      <c r="S38" s="609">
        <f>'ПОВ СОБ ТПВ'!R38</f>
        <v>182161.68</v>
      </c>
      <c r="T38" s="609"/>
      <c r="U38" s="609"/>
      <c r="V38" s="609">
        <f>R38-X38</f>
        <v>46870.200263999985</v>
      </c>
      <c r="W38" s="609">
        <f>'ПОВ СОБ ТПВ'!V38</f>
        <v>46870.200263999985</v>
      </c>
      <c r="X38" s="609">
        <f>'РІЧНИЙ  План'!O27</f>
        <v>135291.47973600001</v>
      </c>
      <c r="Y38" s="609">
        <f>'ПОВ СОБ ТПВ'!X38</f>
        <v>135291.47973600001</v>
      </c>
      <c r="Z38" s="609"/>
      <c r="AA38" s="609"/>
      <c r="AB38" s="591"/>
    </row>
    <row r="39" spans="1:32" ht="47.25" x14ac:dyDescent="0.3">
      <c r="A39" s="610" t="s">
        <v>37</v>
      </c>
      <c r="B39" s="621" t="s">
        <v>635</v>
      </c>
      <c r="C39" s="168"/>
      <c r="D39" s="611"/>
      <c r="E39" s="611"/>
      <c r="F39" s="611"/>
      <c r="G39" s="611"/>
      <c r="H39" s="611"/>
      <c r="I39" s="611"/>
      <c r="J39" s="611"/>
      <c r="K39" s="612"/>
      <c r="L39" s="612"/>
      <c r="M39" s="612"/>
      <c r="N39" s="612"/>
      <c r="O39" s="669">
        <f>(O36+R36+V36+X36)/O38</f>
        <v>102.92659188610989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1"/>
      <c r="Z39" s="609"/>
      <c r="AA39" s="609"/>
      <c r="AB39" s="379"/>
      <c r="AD39" s="483">
        <f t="shared" ref="AD39:AD40" si="10">AA39*2.472/12</f>
        <v>0</v>
      </c>
    </row>
    <row r="40" spans="1:32" ht="47.25" x14ac:dyDescent="0.25">
      <c r="A40" s="610" t="s">
        <v>38</v>
      </c>
      <c r="B40" s="621" t="s">
        <v>636</v>
      </c>
      <c r="C40" s="168"/>
      <c r="D40" s="611"/>
      <c r="E40" s="611"/>
      <c r="F40" s="611"/>
      <c r="G40" s="611"/>
      <c r="H40" s="611"/>
      <c r="I40" s="611"/>
      <c r="J40" s="611"/>
      <c r="K40" s="612"/>
      <c r="L40" s="612"/>
      <c r="M40" s="612"/>
      <c r="N40" s="612"/>
      <c r="O40" s="672">
        <f>(O37+R37+V37+X37)/O38</f>
        <v>123.51191026333188</v>
      </c>
      <c r="P40" s="673"/>
      <c r="Q40" s="673"/>
      <c r="R40" s="673"/>
      <c r="S40" s="673"/>
      <c r="T40" s="673"/>
      <c r="U40" s="673"/>
      <c r="V40" s="673"/>
      <c r="W40" s="673"/>
      <c r="X40" s="673"/>
      <c r="Y40" s="674"/>
      <c r="Z40" s="612"/>
      <c r="AA40" s="609"/>
      <c r="AB40" s="379"/>
      <c r="AD40" s="483">
        <f t="shared" si="10"/>
        <v>0</v>
      </c>
    </row>
    <row r="41" spans="1:32" x14ac:dyDescent="0.25">
      <c r="A41" s="613"/>
      <c r="B41" s="613"/>
      <c r="C41" s="613"/>
      <c r="D41" s="613"/>
      <c r="E41" s="613"/>
      <c r="F41" s="613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7"/>
      <c r="S41" s="590"/>
      <c r="Z41" s="379"/>
      <c r="AA41" s="483"/>
      <c r="AC41" s="483"/>
    </row>
    <row r="42" spans="1:32" ht="33" customHeight="1" x14ac:dyDescent="0.25">
      <c r="A42" s="668" t="s">
        <v>640</v>
      </c>
      <c r="B42" s="668"/>
      <c r="C42" s="668"/>
      <c r="D42" s="668"/>
      <c r="E42" s="668"/>
      <c r="F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379"/>
      <c r="AA42" s="483"/>
      <c r="AC42" s="483"/>
    </row>
    <row r="43" spans="1:32" x14ac:dyDescent="0.25">
      <c r="Z43" s="379"/>
      <c r="AA43" s="483"/>
      <c r="AC43" s="483"/>
    </row>
    <row r="44" spans="1:32" x14ac:dyDescent="0.25">
      <c r="A44" s="496"/>
      <c r="B44" s="614"/>
      <c r="O44" s="590"/>
      <c r="P44" s="590"/>
      <c r="Q44" s="590"/>
      <c r="R44" s="590"/>
      <c r="S44" s="590"/>
    </row>
    <row r="45" spans="1:32" ht="13.15" customHeight="1" x14ac:dyDescent="0.25">
      <c r="A45" s="615"/>
      <c r="B45" s="616"/>
      <c r="C45" s="616"/>
      <c r="D45" s="616"/>
      <c r="E45" s="616"/>
      <c r="F45" s="616"/>
      <c r="G45" s="616"/>
      <c r="H45" s="616"/>
      <c r="I45" s="616"/>
      <c r="J45" s="616"/>
      <c r="K45" s="616"/>
      <c r="L45" s="616"/>
      <c r="M45" s="616"/>
      <c r="N45" s="616"/>
      <c r="O45" s="616"/>
      <c r="P45" s="616"/>
    </row>
    <row r="46" spans="1:32" x14ac:dyDescent="0.25">
      <c r="A46" s="615"/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</row>
    <row r="47" spans="1:32" ht="15" customHeight="1" x14ac:dyDescent="0.25">
      <c r="A47" s="615"/>
      <c r="B47" s="615"/>
      <c r="C47" s="615"/>
      <c r="D47" s="615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385"/>
      <c r="P47" s="385"/>
    </row>
    <row r="48" spans="1:32" ht="12.6" customHeight="1" x14ac:dyDescent="0.25">
      <c r="A48" s="615"/>
      <c r="B48" s="615"/>
      <c r="C48" s="615"/>
      <c r="D48" s="615"/>
      <c r="E48" s="615"/>
      <c r="F48" s="615"/>
      <c r="G48" s="615"/>
      <c r="H48" s="615"/>
      <c r="I48" s="615"/>
      <c r="J48" s="615"/>
      <c r="K48" s="615"/>
      <c r="L48" s="615"/>
      <c r="M48" s="615"/>
      <c r="N48" s="615"/>
    </row>
  </sheetData>
  <mergeCells count="59">
    <mergeCell ref="F38:G38"/>
    <mergeCell ref="J38:K38"/>
    <mergeCell ref="G41:J41"/>
    <mergeCell ref="K41:Q41"/>
    <mergeCell ref="A42:Y42"/>
    <mergeCell ref="O39:Y39"/>
    <mergeCell ref="O40:Y40"/>
    <mergeCell ref="F32:G32"/>
    <mergeCell ref="J32:K32"/>
    <mergeCell ref="F33:G33"/>
    <mergeCell ref="J33:K33"/>
    <mergeCell ref="F34:G34"/>
    <mergeCell ref="J34:K34"/>
    <mergeCell ref="F29:G29"/>
    <mergeCell ref="J29:K29"/>
    <mergeCell ref="F30:G30"/>
    <mergeCell ref="J30:K30"/>
    <mergeCell ref="F31:G31"/>
    <mergeCell ref="J31:K31"/>
    <mergeCell ref="F23:G23"/>
    <mergeCell ref="J23:K23"/>
    <mergeCell ref="F24:G24"/>
    <mergeCell ref="J24:K24"/>
    <mergeCell ref="F28:G28"/>
    <mergeCell ref="J28:K28"/>
    <mergeCell ref="F20:G20"/>
    <mergeCell ref="J20:K20"/>
    <mergeCell ref="F21:G21"/>
    <mergeCell ref="J21:K21"/>
    <mergeCell ref="F22:G22"/>
    <mergeCell ref="J22:K22"/>
    <mergeCell ref="F12:G12"/>
    <mergeCell ref="J12:K12"/>
    <mergeCell ref="F13:G13"/>
    <mergeCell ref="J13:K13"/>
    <mergeCell ref="F16:G16"/>
    <mergeCell ref="J16:K16"/>
    <mergeCell ref="F9:G9"/>
    <mergeCell ref="J9:K9"/>
    <mergeCell ref="F11:G11"/>
    <mergeCell ref="J11:K11"/>
    <mergeCell ref="F8:G8"/>
    <mergeCell ref="J8:K8"/>
    <mergeCell ref="N2:Q2"/>
    <mergeCell ref="A5:AA5"/>
    <mergeCell ref="A6:A8"/>
    <mergeCell ref="B6:B8"/>
    <mergeCell ref="C6:C8"/>
    <mergeCell ref="D6:K6"/>
    <mergeCell ref="L6:N7"/>
    <mergeCell ref="O6:Q7"/>
    <mergeCell ref="R6:T7"/>
    <mergeCell ref="U6:U7"/>
    <mergeCell ref="V6:W7"/>
    <mergeCell ref="X6:Y7"/>
    <mergeCell ref="Z6:AA7"/>
    <mergeCell ref="D7:G7"/>
    <mergeCell ref="H7:K7"/>
    <mergeCell ref="S4:Y4"/>
  </mergeCells>
  <pageMargins left="0.23622047244094488" right="0.23622047244094488" top="0.74803149606299213" bottom="0.74803149606299213" header="0.31496062992125984" footer="0.31496062992125984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3:O36"/>
  <sheetViews>
    <sheetView workbookViewId="0">
      <selection activeCell="A4" sqref="A4"/>
    </sheetView>
  </sheetViews>
  <sheetFormatPr defaultColWidth="8.85546875" defaultRowHeight="15" x14ac:dyDescent="0.25"/>
  <cols>
    <col min="1" max="1" width="41.28515625" style="120" customWidth="1"/>
    <col min="2" max="2" width="15.7109375" style="120" customWidth="1"/>
    <col min="3" max="3" width="16.7109375" style="120" customWidth="1"/>
    <col min="4" max="4" width="16.5703125" style="120" customWidth="1"/>
    <col min="5" max="5" width="10.42578125" style="120" bestFit="1" customWidth="1"/>
    <col min="6" max="6" width="8.85546875" style="120"/>
    <col min="7" max="7" width="10.42578125" style="120" bestFit="1" customWidth="1"/>
    <col min="8" max="16384" width="8.85546875" style="120"/>
  </cols>
  <sheetData>
    <row r="3" spans="1:15" ht="40.9" customHeight="1" x14ac:dyDescent="0.25">
      <c r="A3" s="972" t="s">
        <v>608</v>
      </c>
      <c r="B3" s="972"/>
      <c r="C3" s="972"/>
      <c r="D3" s="972"/>
      <c r="E3" s="972"/>
      <c r="F3" s="972"/>
      <c r="G3" s="377"/>
    </row>
    <row r="4" spans="1:15" ht="29.45" customHeight="1" x14ac:dyDescent="0.25">
      <c r="A4" s="133"/>
      <c r="B4" s="461" t="s">
        <v>215</v>
      </c>
      <c r="C4" s="499" t="s">
        <v>216</v>
      </c>
      <c r="D4" s="499" t="s">
        <v>216</v>
      </c>
      <c r="E4" s="368"/>
      <c r="F4" s="368"/>
      <c r="G4" s="368"/>
      <c r="H4" s="78"/>
      <c r="I4" s="78"/>
      <c r="J4" s="78"/>
      <c r="K4" s="78"/>
      <c r="L4" s="78"/>
      <c r="M4" s="78"/>
      <c r="N4" s="78"/>
      <c r="O4" s="500"/>
    </row>
    <row r="5" spans="1:15" ht="29.45" customHeight="1" x14ac:dyDescent="0.25">
      <c r="A5" s="133"/>
      <c r="B5" s="461"/>
      <c r="C5" s="499" t="s">
        <v>468</v>
      </c>
      <c r="D5" s="499" t="s">
        <v>212</v>
      </c>
      <c r="E5" s="368"/>
      <c r="F5" s="368"/>
      <c r="G5" s="368"/>
      <c r="H5" s="78"/>
      <c r="I5" s="78"/>
      <c r="J5" s="78"/>
      <c r="K5" s="78"/>
      <c r="L5" s="78"/>
      <c r="M5" s="78"/>
      <c r="N5" s="78"/>
      <c r="O5" s="500"/>
    </row>
    <row r="6" spans="1:15" ht="13.9" customHeight="1" x14ac:dyDescent="0.25">
      <c r="A6" s="461" t="s">
        <v>213</v>
      </c>
      <c r="B6" s="133"/>
      <c r="C6" s="133"/>
      <c r="D6" s="133"/>
      <c r="E6" s="368"/>
      <c r="F6" s="368"/>
      <c r="G6" s="368"/>
      <c r="H6" s="78"/>
      <c r="I6" s="78"/>
      <c r="J6" s="78"/>
      <c r="K6" s="78"/>
      <c r="L6" s="78"/>
      <c r="M6" s="78"/>
      <c r="N6" s="78"/>
      <c r="O6" s="500"/>
    </row>
    <row r="7" spans="1:15" ht="13.9" customHeight="1" x14ac:dyDescent="0.25">
      <c r="A7" s="461" t="s">
        <v>206</v>
      </c>
      <c r="B7" s="133"/>
      <c r="C7" s="133"/>
      <c r="D7" s="133"/>
      <c r="E7" s="368"/>
      <c r="F7" s="368"/>
      <c r="G7" s="368"/>
      <c r="H7" s="78"/>
      <c r="I7" s="78"/>
      <c r="J7" s="78"/>
      <c r="K7" s="78"/>
      <c r="L7" s="78"/>
      <c r="M7" s="78"/>
      <c r="N7" s="78"/>
      <c r="O7" s="500"/>
    </row>
    <row r="8" spans="1:15" x14ac:dyDescent="0.25">
      <c r="A8" s="133" t="s">
        <v>235</v>
      </c>
      <c r="B8" s="133">
        <v>1580508</v>
      </c>
      <c r="C8" s="460">
        <f>B8*0.2412</f>
        <v>381218.52960000001</v>
      </c>
      <c r="D8" s="133"/>
      <c r="E8" s="465"/>
      <c r="F8" s="465"/>
      <c r="G8" s="465"/>
      <c r="H8" s="123"/>
      <c r="I8" s="123"/>
      <c r="J8" s="123"/>
      <c r="K8" s="123"/>
      <c r="L8" s="123"/>
      <c r="M8" s="123"/>
      <c r="N8" s="123"/>
    </row>
    <row r="9" spans="1:15" ht="28.9" customHeight="1" x14ac:dyDescent="0.25">
      <c r="A9" s="133" t="s">
        <v>214</v>
      </c>
      <c r="B9" s="133">
        <v>886847</v>
      </c>
      <c r="C9" s="501">
        <v>36990</v>
      </c>
      <c r="D9" s="501">
        <v>12325</v>
      </c>
      <c r="E9" s="712" t="s">
        <v>533</v>
      </c>
      <c r="F9" s="712"/>
      <c r="G9" s="712"/>
    </row>
    <row r="10" spans="1:15" ht="27" customHeight="1" x14ac:dyDescent="0.25">
      <c r="A10" s="133" t="s">
        <v>532</v>
      </c>
      <c r="B10" s="133">
        <v>6871.44</v>
      </c>
      <c r="C10" s="501">
        <f>B10*0.2412</f>
        <v>1657.3913279999999</v>
      </c>
      <c r="D10" s="133"/>
      <c r="E10" s="712"/>
      <c r="F10" s="712"/>
      <c r="G10" s="712"/>
    </row>
    <row r="11" spans="1:15" x14ac:dyDescent="0.25">
      <c r="A11" s="461" t="s">
        <v>469</v>
      </c>
      <c r="B11" s="133">
        <v>277.98</v>
      </c>
      <c r="C11" s="501">
        <f>B11*0.2412</f>
        <v>67.048776000000004</v>
      </c>
      <c r="D11" s="133"/>
      <c r="E11" s="377"/>
      <c r="F11" s="377"/>
      <c r="G11" s="377"/>
    </row>
    <row r="12" spans="1:15" x14ac:dyDescent="0.25">
      <c r="A12" s="461" t="s">
        <v>534</v>
      </c>
      <c r="B12" s="133">
        <v>28822.44</v>
      </c>
      <c r="C12" s="501">
        <f>B12*0.2412</f>
        <v>6951.9725279999993</v>
      </c>
      <c r="D12" s="133"/>
      <c r="E12" s="377"/>
      <c r="F12" s="377"/>
      <c r="G12" s="377"/>
    </row>
    <row r="13" spans="1:15" x14ac:dyDescent="0.25">
      <c r="A13" s="133"/>
      <c r="B13" s="133"/>
      <c r="C13" s="133"/>
      <c r="D13" s="377"/>
      <c r="E13" s="377"/>
      <c r="F13" s="377"/>
      <c r="G13" s="377"/>
    </row>
    <row r="14" spans="1:15" x14ac:dyDescent="0.25">
      <c r="A14" s="377"/>
      <c r="B14" s="377"/>
      <c r="C14" s="377"/>
      <c r="D14" s="377"/>
      <c r="E14" s="377"/>
      <c r="F14" s="377"/>
      <c r="G14" s="377"/>
    </row>
    <row r="15" spans="1:15" s="503" customFormat="1" ht="28.15" customHeight="1" x14ac:dyDescent="0.25">
      <c r="A15" s="499" t="s">
        <v>232</v>
      </c>
      <c r="B15" s="461" t="s">
        <v>215</v>
      </c>
      <c r="C15" s="499" t="s">
        <v>216</v>
      </c>
      <c r="D15" s="499"/>
      <c r="E15" s="133" t="s">
        <v>211</v>
      </c>
      <c r="F15" s="133" t="s">
        <v>212</v>
      </c>
      <c r="G15" s="368"/>
      <c r="H15" s="502"/>
      <c r="I15" s="502"/>
      <c r="J15" s="502"/>
      <c r="K15" s="502"/>
      <c r="L15" s="502"/>
      <c r="M15" s="502"/>
      <c r="N15" s="502"/>
      <c r="O15" s="502"/>
    </row>
    <row r="16" spans="1:15" s="503" customFormat="1" ht="25.15" hidden="1" customHeight="1" x14ac:dyDescent="0.25">
      <c r="A16" s="504" t="s">
        <v>217</v>
      </c>
      <c r="B16" s="505"/>
      <c r="C16" s="505"/>
      <c r="D16" s="130">
        <f>C16*0.2388</f>
        <v>0</v>
      </c>
      <c r="E16" s="133" t="s">
        <v>211</v>
      </c>
      <c r="F16" s="133" t="s">
        <v>212</v>
      </c>
      <c r="G16" s="368" t="s">
        <v>289</v>
      </c>
      <c r="H16" s="502"/>
      <c r="I16" s="502"/>
      <c r="J16" s="502"/>
      <c r="K16" s="502"/>
      <c r="L16" s="502"/>
      <c r="M16" s="502"/>
      <c r="N16" s="502"/>
      <c r="O16" s="502"/>
    </row>
    <row r="17" spans="1:15" s="503" customFormat="1" ht="47.45" hidden="1" customHeight="1" x14ac:dyDescent="0.25">
      <c r="A17" s="504" t="s">
        <v>219</v>
      </c>
      <c r="B17" s="506"/>
      <c r="C17" s="506"/>
      <c r="D17" s="130">
        <f t="shared" ref="D17:D28" si="0">C17*0.2388</f>
        <v>0</v>
      </c>
      <c r="E17" s="133" t="s">
        <v>211</v>
      </c>
      <c r="F17" s="133" t="s">
        <v>212</v>
      </c>
      <c r="G17" s="368" t="s">
        <v>290</v>
      </c>
      <c r="H17" s="502"/>
      <c r="I17" s="502"/>
      <c r="J17" s="502"/>
      <c r="K17" s="502"/>
      <c r="L17" s="502"/>
      <c r="M17" s="502"/>
      <c r="N17" s="502"/>
      <c r="O17" s="502"/>
    </row>
    <row r="18" spans="1:15" s="503" customFormat="1" ht="27" hidden="1" customHeight="1" x14ac:dyDescent="0.25">
      <c r="A18" s="507" t="s">
        <v>220</v>
      </c>
      <c r="B18" s="505"/>
      <c r="C18" s="505"/>
      <c r="D18" s="130">
        <f t="shared" si="0"/>
        <v>0</v>
      </c>
      <c r="E18" s="133" t="s">
        <v>211</v>
      </c>
      <c r="F18" s="133" t="s">
        <v>212</v>
      </c>
      <c r="G18" s="368"/>
      <c r="H18" s="502"/>
      <c r="I18" s="502"/>
      <c r="J18" s="502"/>
      <c r="K18" s="502"/>
      <c r="L18" s="502"/>
      <c r="M18" s="502"/>
      <c r="N18" s="502"/>
      <c r="O18" s="502"/>
    </row>
    <row r="19" spans="1:15" s="503" customFormat="1" ht="25.15" hidden="1" customHeight="1" x14ac:dyDescent="0.25">
      <c r="A19" s="504" t="s">
        <v>221</v>
      </c>
      <c r="B19" s="505"/>
      <c r="C19" s="505"/>
      <c r="D19" s="130">
        <f t="shared" si="0"/>
        <v>0</v>
      </c>
      <c r="E19" s="133" t="s">
        <v>211</v>
      </c>
      <c r="F19" s="133" t="s">
        <v>212</v>
      </c>
      <c r="G19" s="377"/>
    </row>
    <row r="20" spans="1:15" s="503" customFormat="1" ht="25.15" hidden="1" customHeight="1" x14ac:dyDescent="0.25">
      <c r="A20" s="504" t="s">
        <v>218</v>
      </c>
      <c r="B20" s="505"/>
      <c r="C20" s="505"/>
      <c r="D20" s="130">
        <f t="shared" si="0"/>
        <v>0</v>
      </c>
      <c r="E20" s="133" t="s">
        <v>211</v>
      </c>
      <c r="F20" s="133" t="s">
        <v>212</v>
      </c>
      <c r="G20" s="377"/>
    </row>
    <row r="21" spans="1:15" s="503" customFormat="1" ht="14.45" hidden="1" customHeight="1" x14ac:dyDescent="0.25">
      <c r="A21" s="508" t="s">
        <v>223</v>
      </c>
      <c r="B21" s="506"/>
      <c r="C21" s="509"/>
      <c r="D21" s="130">
        <f t="shared" si="0"/>
        <v>0</v>
      </c>
      <c r="E21" s="133" t="s">
        <v>211</v>
      </c>
      <c r="F21" s="133" t="s">
        <v>212</v>
      </c>
      <c r="G21" s="377"/>
    </row>
    <row r="22" spans="1:15" s="503" customFormat="1" ht="24" hidden="1" customHeight="1" x14ac:dyDescent="0.25">
      <c r="A22" s="508" t="s">
        <v>226</v>
      </c>
      <c r="B22" s="506"/>
      <c r="C22" s="510"/>
      <c r="D22" s="130">
        <f t="shared" si="0"/>
        <v>0</v>
      </c>
      <c r="E22" s="133" t="s">
        <v>211</v>
      </c>
      <c r="F22" s="133" t="s">
        <v>212</v>
      </c>
      <c r="G22" s="377"/>
    </row>
    <row r="23" spans="1:15" s="503" customFormat="1" ht="23.45" hidden="1" customHeight="1" x14ac:dyDescent="0.25">
      <c r="A23" s="508" t="s">
        <v>227</v>
      </c>
      <c r="B23" s="506"/>
      <c r="C23" s="510"/>
      <c r="D23" s="130">
        <f t="shared" si="0"/>
        <v>0</v>
      </c>
      <c r="E23" s="133" t="s">
        <v>211</v>
      </c>
      <c r="F23" s="133" t="s">
        <v>212</v>
      </c>
      <c r="G23" s="377"/>
    </row>
    <row r="24" spans="1:15" s="503" customFormat="1" ht="24.6" hidden="1" customHeight="1" x14ac:dyDescent="0.25">
      <c r="A24" s="508" t="s">
        <v>228</v>
      </c>
      <c r="B24" s="506"/>
      <c r="C24" s="510"/>
      <c r="D24" s="130">
        <f t="shared" si="0"/>
        <v>0</v>
      </c>
      <c r="E24" s="133" t="s">
        <v>211</v>
      </c>
      <c r="F24" s="133" t="s">
        <v>212</v>
      </c>
      <c r="G24" s="377"/>
    </row>
    <row r="25" spans="1:15" s="503" customFormat="1" ht="27.6" hidden="1" customHeight="1" x14ac:dyDescent="0.25">
      <c r="A25" s="508" t="s">
        <v>229</v>
      </c>
      <c r="B25" s="506"/>
      <c r="C25" s="510"/>
      <c r="D25" s="130">
        <f t="shared" si="0"/>
        <v>0</v>
      </c>
      <c r="E25" s="133" t="s">
        <v>211</v>
      </c>
      <c r="F25" s="133" t="s">
        <v>212</v>
      </c>
      <c r="G25" s="377"/>
    </row>
    <row r="26" spans="1:15" s="503" customFormat="1" ht="14.45" hidden="1" customHeight="1" x14ac:dyDescent="0.25">
      <c r="A26" s="508" t="s">
        <v>224</v>
      </c>
      <c r="B26" s="506"/>
      <c r="C26" s="510"/>
      <c r="D26" s="130">
        <f t="shared" si="0"/>
        <v>0</v>
      </c>
      <c r="E26" s="133" t="s">
        <v>211</v>
      </c>
      <c r="F26" s="133" t="s">
        <v>212</v>
      </c>
      <c r="G26" s="377"/>
    </row>
    <row r="27" spans="1:15" s="503" customFormat="1" ht="21.6" hidden="1" customHeight="1" x14ac:dyDescent="0.25">
      <c r="A27" s="508" t="s">
        <v>230</v>
      </c>
      <c r="B27" s="506"/>
      <c r="C27" s="510"/>
      <c r="D27" s="130">
        <f t="shared" si="0"/>
        <v>0</v>
      </c>
      <c r="E27" s="133" t="s">
        <v>211</v>
      </c>
      <c r="F27" s="133" t="s">
        <v>212</v>
      </c>
      <c r="G27" s="377"/>
    </row>
    <row r="28" spans="1:15" s="503" customFormat="1" hidden="1" x14ac:dyDescent="0.25">
      <c r="A28" s="508" t="s">
        <v>225</v>
      </c>
      <c r="B28" s="506"/>
      <c r="C28" s="510"/>
      <c r="D28" s="130">
        <f t="shared" si="0"/>
        <v>0</v>
      </c>
      <c r="E28" s="133" t="s">
        <v>211</v>
      </c>
      <c r="F28" s="133" t="s">
        <v>212</v>
      </c>
      <c r="G28" s="377"/>
    </row>
    <row r="29" spans="1:15" s="503" customFormat="1" ht="31.9" customHeight="1" x14ac:dyDescent="0.25">
      <c r="A29" s="497" t="s">
        <v>536</v>
      </c>
      <c r="B29" s="133">
        <v>749697</v>
      </c>
      <c r="C29" s="511">
        <f>B29*0.2412</f>
        <v>180826.91639999999</v>
      </c>
      <c r="D29" s="130"/>
      <c r="E29" s="133">
        <f>C29/5*4</f>
        <v>144661.53311999998</v>
      </c>
      <c r="F29" s="133">
        <f>C29/5*1</f>
        <v>36165.383279999995</v>
      </c>
      <c r="G29" s="377"/>
    </row>
    <row r="30" spans="1:15" s="503" customFormat="1" x14ac:dyDescent="0.25">
      <c r="A30" s="133"/>
      <c r="B30" s="133"/>
      <c r="C30" s="511"/>
      <c r="D30" s="511"/>
      <c r="E30" s="130">
        <f>D30-D30*0.6</f>
        <v>0</v>
      </c>
      <c r="F30" s="133">
        <f>D30*0.6</f>
        <v>0</v>
      </c>
      <c r="G30" s="512"/>
    </row>
    <row r="31" spans="1:15" ht="40.9" customHeight="1" x14ac:dyDescent="0.25">
      <c r="A31" s="499" t="s">
        <v>535</v>
      </c>
      <c r="B31" s="498">
        <f xml:space="preserve"> 28929+9000</f>
        <v>37929</v>
      </c>
      <c r="C31" s="130">
        <f>B31*0.2412</f>
        <v>9148.4748</v>
      </c>
      <c r="D31" s="511"/>
      <c r="E31" s="130">
        <f>C31/5*4</f>
        <v>7318.7798400000001</v>
      </c>
      <c r="F31" s="133">
        <f>C31/5*1</f>
        <v>1829.69496</v>
      </c>
      <c r="G31" s="512"/>
    </row>
    <row r="32" spans="1:15" x14ac:dyDescent="0.25">
      <c r="A32" s="461" t="s">
        <v>537</v>
      </c>
      <c r="B32" s="130">
        <f xml:space="preserve"> 282278+91756</f>
        <v>374034</v>
      </c>
      <c r="C32" s="511">
        <f>B32*0.2412</f>
        <v>90217.000799999994</v>
      </c>
      <c r="D32" s="511"/>
      <c r="E32" s="130">
        <f>C32/5*4</f>
        <v>72173.60063999999</v>
      </c>
      <c r="F32" s="133">
        <f>C32/5*1</f>
        <v>18043.400159999997</v>
      </c>
      <c r="G32" s="512"/>
    </row>
    <row r="33" spans="1:7" s="377" customFormat="1" x14ac:dyDescent="0.25"/>
    <row r="34" spans="1:7" x14ac:dyDescent="0.25">
      <c r="A34" s="377"/>
      <c r="B34" s="377"/>
      <c r="C34" s="377"/>
      <c r="D34" s="377"/>
      <c r="E34" s="377"/>
      <c r="F34" s="377"/>
      <c r="G34" s="377"/>
    </row>
    <row r="35" spans="1:7" ht="15.75" x14ac:dyDescent="0.25">
      <c r="A35" s="787" t="s">
        <v>383</v>
      </c>
      <c r="B35" s="787"/>
      <c r="C35" s="787"/>
      <c r="D35" s="787"/>
      <c r="E35" s="787"/>
      <c r="F35" s="787"/>
      <c r="G35" s="787"/>
    </row>
    <row r="36" spans="1:7" x14ac:dyDescent="0.25">
      <c r="A36" s="377"/>
      <c r="B36" s="377"/>
      <c r="C36" s="377"/>
      <c r="D36" s="377"/>
      <c r="E36" s="377"/>
      <c r="F36" s="377"/>
      <c r="G36" s="377"/>
    </row>
  </sheetData>
  <mergeCells count="4">
    <mergeCell ref="A35:G35"/>
    <mergeCell ref="E9:G9"/>
    <mergeCell ref="E10:G10"/>
    <mergeCell ref="A3:F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18"/>
  <sheetViews>
    <sheetView workbookViewId="0">
      <selection activeCell="I30" sqref="I30"/>
    </sheetView>
  </sheetViews>
  <sheetFormatPr defaultRowHeight="15" x14ac:dyDescent="0.25"/>
  <sheetData>
    <row r="2" spans="1:12" ht="15.75" thickBot="1" x14ac:dyDescent="0.3"/>
    <row r="3" spans="1:12" x14ac:dyDescent="0.25">
      <c r="A3" s="14"/>
      <c r="B3" s="15">
        <v>1.5409999999999999</v>
      </c>
      <c r="C3" s="11" t="s">
        <v>240</v>
      </c>
      <c r="D3" s="11"/>
      <c r="E3" s="11"/>
    </row>
    <row r="4" spans="1:12" x14ac:dyDescent="0.25">
      <c r="A4" s="16"/>
      <c r="B4" s="12">
        <v>0.185</v>
      </c>
      <c r="C4" s="11" t="s">
        <v>210</v>
      </c>
      <c r="D4" s="11"/>
      <c r="E4" s="11"/>
    </row>
    <row r="5" spans="1:12" x14ac:dyDescent="0.25">
      <c r="A5" s="16"/>
      <c r="B5" s="12">
        <v>0.216</v>
      </c>
      <c r="C5" s="11" t="s">
        <v>208</v>
      </c>
      <c r="D5" s="11"/>
      <c r="E5" s="11"/>
    </row>
    <row r="6" spans="1:12" x14ac:dyDescent="0.25">
      <c r="A6" s="16"/>
      <c r="B6" s="12">
        <v>0.17100000000000001</v>
      </c>
      <c r="C6" s="11" t="s">
        <v>208</v>
      </c>
      <c r="D6" s="11"/>
      <c r="E6" s="11"/>
    </row>
    <row r="7" spans="1:12" x14ac:dyDescent="0.25">
      <c r="A7" s="16"/>
      <c r="B7" s="12">
        <v>5.8000000000000003E-2</v>
      </c>
      <c r="C7" s="11" t="s">
        <v>210</v>
      </c>
      <c r="D7" s="11"/>
      <c r="E7" s="11"/>
    </row>
    <row r="8" spans="1:12" x14ac:dyDescent="0.25">
      <c r="A8" s="16"/>
      <c r="B8" s="12">
        <v>6.0000000000000001E-3</v>
      </c>
      <c r="C8" s="11" t="s">
        <v>210</v>
      </c>
      <c r="D8" s="11"/>
      <c r="E8" s="11"/>
    </row>
    <row r="9" spans="1:12" x14ac:dyDescent="0.25">
      <c r="A9" s="16"/>
      <c r="B9" s="12">
        <v>1.2E-2</v>
      </c>
      <c r="C9" s="11" t="s">
        <v>208</v>
      </c>
      <c r="D9" s="11"/>
      <c r="E9" s="11"/>
    </row>
    <row r="10" spans="1:12" x14ac:dyDescent="0.25">
      <c r="A10" s="16"/>
      <c r="B10" s="12">
        <v>1.2E-2</v>
      </c>
      <c r="C10" s="11" t="s">
        <v>241</v>
      </c>
      <c r="D10" s="11"/>
      <c r="E10" s="11"/>
    </row>
    <row r="11" spans="1:12" x14ac:dyDescent="0.25">
      <c r="A11" s="16"/>
      <c r="B11" s="12">
        <v>0.10299999999999999</v>
      </c>
      <c r="C11" s="11" t="s">
        <v>240</v>
      </c>
      <c r="D11" s="11"/>
      <c r="E11" s="11"/>
    </row>
    <row r="12" spans="1:12" ht="15.75" thickBot="1" x14ac:dyDescent="0.3">
      <c r="A12" s="17"/>
      <c r="B12" s="18">
        <v>0.16800000000000001</v>
      </c>
      <c r="C12" s="19" t="s">
        <v>240</v>
      </c>
      <c r="D12" s="19"/>
      <c r="E12" s="19"/>
    </row>
    <row r="13" spans="1:12" ht="15.75" thickBot="1" x14ac:dyDescent="0.3">
      <c r="A13" s="20" t="s">
        <v>212</v>
      </c>
      <c r="B13" s="21">
        <v>0.247</v>
      </c>
      <c r="C13" s="22">
        <v>72200</v>
      </c>
      <c r="D13" s="22">
        <f>C13*B13</f>
        <v>17833.400000000001</v>
      </c>
      <c r="E13" s="23">
        <f>D13</f>
        <v>17833.400000000001</v>
      </c>
      <c r="F13" t="s">
        <v>265</v>
      </c>
      <c r="G13" t="s">
        <v>265</v>
      </c>
      <c r="J13">
        <v>113.02</v>
      </c>
      <c r="L13">
        <f>J13*(B14+B15)/12</f>
        <v>23.282119999999995</v>
      </c>
    </row>
    <row r="14" spans="1:12" ht="15.75" thickBot="1" x14ac:dyDescent="0.3">
      <c r="A14" s="20" t="s">
        <v>211</v>
      </c>
      <c r="B14" s="21">
        <f>B3+B10+B11+B12</f>
        <v>1.8239999999999998</v>
      </c>
      <c r="C14" s="22">
        <v>72200</v>
      </c>
      <c r="D14" s="22">
        <f>C14*B14</f>
        <v>131692.79999999999</v>
      </c>
      <c r="E14" s="973">
        <f>D14+D15</f>
        <v>178478.4</v>
      </c>
      <c r="F14" s="975">
        <v>100</v>
      </c>
      <c r="G14" s="11">
        <f>D14*F14/E14</f>
        <v>73.78640776699028</v>
      </c>
      <c r="J14">
        <v>83.393398058252401</v>
      </c>
      <c r="L14">
        <f>J14*2.472/12</f>
        <v>17.179039999999993</v>
      </c>
    </row>
    <row r="15" spans="1:12" ht="15.75" thickBot="1" x14ac:dyDescent="0.3">
      <c r="A15" s="24" t="s">
        <v>242</v>
      </c>
      <c r="B15" s="24">
        <f>B4+B5+B6+B7+B8+B9</f>
        <v>0.64800000000000013</v>
      </c>
      <c r="C15" s="22">
        <v>72200</v>
      </c>
      <c r="D15" s="25">
        <f>C15*B15</f>
        <v>46785.600000000013</v>
      </c>
      <c r="E15" s="974"/>
      <c r="F15" s="975"/>
      <c r="G15" s="11">
        <f>D15*F14/E14</f>
        <v>26.213592233009713</v>
      </c>
      <c r="J15">
        <v>29.626601941747577</v>
      </c>
      <c r="L15">
        <f>J15*2.472/12</f>
        <v>6.1030800000000012</v>
      </c>
    </row>
    <row r="16" spans="1:12" x14ac:dyDescent="0.25">
      <c r="D16">
        <f>D13+D14+D15</f>
        <v>196311.8</v>
      </c>
      <c r="E16">
        <f>E13+E14</f>
        <v>196311.8</v>
      </c>
    </row>
    <row r="18" spans="5:5" x14ac:dyDescent="0.25">
      <c r="E18">
        <f>E16-D15</f>
        <v>149526.19999999998</v>
      </c>
    </row>
  </sheetData>
  <mergeCells count="2">
    <mergeCell ref="E14:E15"/>
    <mergeCell ref="F14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E296-AD2D-4A19-82EF-0C26C7E9B432}">
  <sheetPr>
    <tabColor rgb="FFFFFF00"/>
    <pageSetUpPr fitToPage="1"/>
  </sheetPr>
  <dimension ref="A1:AD48"/>
  <sheetViews>
    <sheetView tabSelected="1" workbookViewId="0">
      <selection activeCell="S22" sqref="S22"/>
    </sheetView>
  </sheetViews>
  <sheetFormatPr defaultColWidth="8.85546875" defaultRowHeight="15" x14ac:dyDescent="0.25"/>
  <cols>
    <col min="1" max="1" width="6.7109375" style="377" customWidth="1"/>
    <col min="2" max="2" width="45.28515625" style="377" customWidth="1"/>
    <col min="3" max="3" width="12.7109375" style="377" hidden="1" customWidth="1"/>
    <col min="4" max="14" width="0" style="377" hidden="1" customWidth="1"/>
    <col min="15" max="15" width="14.28515625" style="377" hidden="1" customWidth="1"/>
    <col min="16" max="16" width="14.28515625" style="377" customWidth="1"/>
    <col min="17" max="17" width="2.5703125" style="377" hidden="1" customWidth="1"/>
    <col min="18" max="18" width="14.85546875" style="377" hidden="1" customWidth="1"/>
    <col min="19" max="19" width="15.7109375" style="377" customWidth="1"/>
    <col min="20" max="20" width="0" style="377" hidden="1" customWidth="1"/>
    <col min="21" max="21" width="7.7109375" style="377" hidden="1" customWidth="1"/>
    <col min="22" max="22" width="12.140625" style="377" hidden="1" customWidth="1"/>
    <col min="23" max="23" width="14.28515625" style="377" customWidth="1"/>
    <col min="24" max="24" width="14" style="377" hidden="1" customWidth="1"/>
    <col min="25" max="25" width="16.85546875" style="377" customWidth="1"/>
    <col min="26" max="26" width="8.85546875" style="377" hidden="1" customWidth="1"/>
    <col min="27" max="27" width="10.42578125" style="377" bestFit="1" customWidth="1"/>
    <col min="28" max="28" width="9.140625" style="377" bestFit="1" customWidth="1"/>
    <col min="29" max="16384" width="8.85546875" style="377"/>
  </cols>
  <sheetData>
    <row r="1" spans="1:30" ht="11.45" customHeight="1" x14ac:dyDescent="0.25"/>
    <row r="2" spans="1:30" ht="14.45" hidden="1" customHeight="1" x14ac:dyDescent="0.25">
      <c r="N2" s="675"/>
      <c r="O2" s="675"/>
      <c r="P2" s="675"/>
      <c r="Q2" s="675"/>
    </row>
    <row r="3" spans="1:30" ht="14.45" hidden="1" customHeight="1" x14ac:dyDescent="0.25"/>
    <row r="4" spans="1:30" ht="49.9" customHeight="1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S4" s="712" t="s">
        <v>645</v>
      </c>
      <c r="T4" s="712"/>
      <c r="U4" s="712"/>
      <c r="V4" s="712"/>
      <c r="W4" s="712"/>
      <c r="X4" s="712"/>
      <c r="Y4" s="712"/>
    </row>
    <row r="5" spans="1:30" ht="29.45" customHeight="1" thickBot="1" x14ac:dyDescent="0.3">
      <c r="A5" s="676" t="s">
        <v>632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</row>
    <row r="6" spans="1:30" ht="15" customHeight="1" thickBot="1" x14ac:dyDescent="0.3">
      <c r="A6" s="222" t="s">
        <v>39</v>
      </c>
      <c r="B6" s="677" t="s">
        <v>1</v>
      </c>
      <c r="C6" s="677" t="s">
        <v>2</v>
      </c>
      <c r="D6" s="680" t="s">
        <v>3</v>
      </c>
      <c r="E6" s="681"/>
      <c r="F6" s="681"/>
      <c r="G6" s="681"/>
      <c r="H6" s="681"/>
      <c r="I6" s="681"/>
      <c r="J6" s="681"/>
      <c r="K6" s="682"/>
      <c r="L6" s="683" t="s">
        <v>4</v>
      </c>
      <c r="M6" s="684"/>
      <c r="N6" s="685"/>
      <c r="O6" s="683" t="s">
        <v>108</v>
      </c>
      <c r="P6" s="684"/>
      <c r="Q6" s="689"/>
      <c r="R6" s="691" t="s">
        <v>109</v>
      </c>
      <c r="S6" s="692"/>
      <c r="T6" s="693"/>
      <c r="U6" s="697"/>
      <c r="V6" s="699" t="s">
        <v>592</v>
      </c>
      <c r="W6" s="700"/>
      <c r="X6" s="691" t="s">
        <v>594</v>
      </c>
      <c r="Y6" s="692"/>
      <c r="Z6" s="693"/>
    </row>
    <row r="7" spans="1:30" ht="32.450000000000003" customHeight="1" thickBot="1" x14ac:dyDescent="0.3">
      <c r="A7" s="223" t="s">
        <v>0</v>
      </c>
      <c r="B7" s="678"/>
      <c r="C7" s="678"/>
      <c r="D7" s="703" t="s">
        <v>5</v>
      </c>
      <c r="E7" s="704"/>
      <c r="F7" s="704"/>
      <c r="G7" s="705"/>
      <c r="H7" s="703" t="s">
        <v>6</v>
      </c>
      <c r="I7" s="704"/>
      <c r="J7" s="704"/>
      <c r="K7" s="705"/>
      <c r="L7" s="686"/>
      <c r="M7" s="687"/>
      <c r="N7" s="688"/>
      <c r="O7" s="686"/>
      <c r="P7" s="687"/>
      <c r="Q7" s="690"/>
      <c r="R7" s="694"/>
      <c r="S7" s="695"/>
      <c r="T7" s="696"/>
      <c r="U7" s="698"/>
      <c r="V7" s="701"/>
      <c r="W7" s="702"/>
      <c r="X7" s="694"/>
      <c r="Y7" s="695"/>
      <c r="Z7" s="696"/>
    </row>
    <row r="8" spans="1:30" ht="40.15" customHeight="1" thickBot="1" x14ac:dyDescent="0.3">
      <c r="A8" s="624"/>
      <c r="B8" s="679"/>
      <c r="C8" s="679"/>
      <c r="D8" s="207" t="s">
        <v>7</v>
      </c>
      <c r="E8" s="207" t="s">
        <v>40</v>
      </c>
      <c r="F8" s="706" t="s">
        <v>8</v>
      </c>
      <c r="G8" s="707"/>
      <c r="H8" s="207" t="s">
        <v>7</v>
      </c>
      <c r="I8" s="207" t="s">
        <v>40</v>
      </c>
      <c r="J8" s="706" t="s">
        <v>8</v>
      </c>
      <c r="K8" s="707"/>
      <c r="L8" s="207" t="s">
        <v>7</v>
      </c>
      <c r="M8" s="207" t="s">
        <v>40</v>
      </c>
      <c r="N8" s="207" t="s">
        <v>8</v>
      </c>
      <c r="O8" s="578" t="s">
        <v>544</v>
      </c>
      <c r="P8" s="578" t="s">
        <v>565</v>
      </c>
      <c r="Q8" s="207" t="s">
        <v>8</v>
      </c>
      <c r="R8" s="578" t="s">
        <v>544</v>
      </c>
      <c r="S8" s="578" t="s">
        <v>565</v>
      </c>
      <c r="T8" s="207" t="s">
        <v>8</v>
      </c>
      <c r="U8" s="207" t="s">
        <v>8</v>
      </c>
      <c r="V8" s="578" t="s">
        <v>544</v>
      </c>
      <c r="W8" s="578" t="s">
        <v>565</v>
      </c>
      <c r="X8" s="578" t="s">
        <v>544</v>
      </c>
      <c r="Y8" s="578" t="s">
        <v>565</v>
      </c>
      <c r="Z8" s="206" t="s">
        <v>8</v>
      </c>
    </row>
    <row r="9" spans="1:30" x14ac:dyDescent="0.25">
      <c r="A9" s="208">
        <v>1</v>
      </c>
      <c r="B9" s="208">
        <v>2</v>
      </c>
      <c r="C9" s="208" t="s">
        <v>11</v>
      </c>
      <c r="D9" s="208">
        <v>1</v>
      </c>
      <c r="E9" s="208">
        <v>2</v>
      </c>
      <c r="F9" s="709">
        <v>3</v>
      </c>
      <c r="G9" s="709"/>
      <c r="H9" s="208">
        <v>4</v>
      </c>
      <c r="I9" s="208">
        <v>5</v>
      </c>
      <c r="J9" s="709">
        <v>6</v>
      </c>
      <c r="K9" s="709"/>
      <c r="L9" s="208">
        <v>7</v>
      </c>
      <c r="M9" s="208">
        <v>8</v>
      </c>
      <c r="N9" s="208">
        <v>9</v>
      </c>
      <c r="O9" s="208">
        <v>3</v>
      </c>
      <c r="P9" s="208">
        <v>4</v>
      </c>
      <c r="Q9" s="208">
        <v>12</v>
      </c>
      <c r="R9" s="208">
        <v>5</v>
      </c>
      <c r="S9" s="208">
        <v>6</v>
      </c>
      <c r="T9" s="208">
        <v>12</v>
      </c>
      <c r="U9" s="208">
        <v>12</v>
      </c>
      <c r="V9" s="208">
        <v>7</v>
      </c>
      <c r="W9" s="208">
        <v>8</v>
      </c>
      <c r="X9" s="208">
        <v>9</v>
      </c>
      <c r="Y9" s="208">
        <v>10</v>
      </c>
      <c r="Z9" s="208">
        <v>12</v>
      </c>
    </row>
    <row r="10" spans="1:30" x14ac:dyDescent="0.25">
      <c r="A10" s="579"/>
      <c r="B10" s="580" t="s">
        <v>569</v>
      </c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81">
        <f>O11+O27</f>
        <v>1752167.3422688786</v>
      </c>
      <c r="P10" s="581">
        <f>O10/O36</f>
        <v>96.265367186472631</v>
      </c>
      <c r="Q10" s="581">
        <f t="shared" ref="Q10:Y10" si="0">Q11+Q27</f>
        <v>0</v>
      </c>
      <c r="R10" s="581">
        <f t="shared" si="0"/>
        <v>2596048.1077943365</v>
      </c>
      <c r="S10" s="581">
        <f t="shared" si="0"/>
        <v>142.6287993742435</v>
      </c>
      <c r="T10" s="581" t="e">
        <f t="shared" si="0"/>
        <v>#REF!</v>
      </c>
      <c r="U10" s="581" t="e">
        <f t="shared" si="0"/>
        <v>#REF!</v>
      </c>
      <c r="V10" s="581"/>
      <c r="W10" s="581"/>
      <c r="X10" s="581">
        <f t="shared" si="0"/>
        <v>4348215.4500632156</v>
      </c>
      <c r="Y10" s="581">
        <f t="shared" si="0"/>
        <v>238.89416656071612</v>
      </c>
      <c r="Z10" s="208"/>
      <c r="AA10" s="512"/>
    </row>
    <row r="11" spans="1:30" x14ac:dyDescent="0.25">
      <c r="A11" s="209">
        <v>1</v>
      </c>
      <c r="B11" s="210" t="s">
        <v>571</v>
      </c>
      <c r="C11" s="209">
        <v>1</v>
      </c>
      <c r="D11" s="625"/>
      <c r="E11" s="625"/>
      <c r="F11" s="708"/>
      <c r="G11" s="708"/>
      <c r="H11" s="625"/>
      <c r="I11" s="625"/>
      <c r="J11" s="708"/>
      <c r="K11" s="708"/>
      <c r="L11" s="625"/>
      <c r="M11" s="625"/>
      <c r="N11" s="625"/>
      <c r="O11" s="626">
        <f>O12+O20+O21</f>
        <v>1507048.8823478029</v>
      </c>
      <c r="P11" s="626">
        <f>O11/O36</f>
        <v>82.798378058636203</v>
      </c>
      <c r="Q11" s="626">
        <f t="shared" ref="Q11:Y11" si="1">Q12+Q20+Q21</f>
        <v>0</v>
      </c>
      <c r="R11" s="626">
        <f t="shared" si="1"/>
        <v>2232875.4251899594</v>
      </c>
      <c r="S11" s="626">
        <f>S12+S20+S21</f>
        <v>122.67582410777392</v>
      </c>
      <c r="T11" s="626" t="e">
        <f t="shared" si="1"/>
        <v>#REF!</v>
      </c>
      <c r="U11" s="626" t="e">
        <f t="shared" si="1"/>
        <v>#REF!</v>
      </c>
      <c r="V11" s="626"/>
      <c r="W11" s="626"/>
      <c r="X11" s="626">
        <f t="shared" si="1"/>
        <v>3739924.3075377624</v>
      </c>
      <c r="Y11" s="626">
        <f t="shared" si="1"/>
        <v>205.47420216641012</v>
      </c>
      <c r="Z11" s="625"/>
    </row>
    <row r="12" spans="1:30" x14ac:dyDescent="0.25">
      <c r="A12" s="212" t="s">
        <v>24</v>
      </c>
      <c r="B12" s="210" t="s">
        <v>12</v>
      </c>
      <c r="C12" s="209">
        <v>2</v>
      </c>
      <c r="D12" s="625"/>
      <c r="E12" s="625"/>
      <c r="F12" s="708"/>
      <c r="G12" s="708"/>
      <c r="H12" s="625"/>
      <c r="I12" s="625"/>
      <c r="J12" s="708"/>
      <c r="K12" s="708"/>
      <c r="L12" s="625"/>
      <c r="M12" s="625"/>
      <c r="N12" s="625"/>
      <c r="O12" s="626">
        <f>O13+O16</f>
        <v>194956.65308167777</v>
      </c>
      <c r="P12" s="626">
        <f>O12/O36</f>
        <v>10.711062432</v>
      </c>
      <c r="Q12" s="626">
        <f t="shared" ref="Q12:S12" si="2">Q13+Q16</f>
        <v>0</v>
      </c>
      <c r="R12" s="626">
        <f t="shared" si="2"/>
        <v>1380882.4261482088</v>
      </c>
      <c r="S12" s="626">
        <f t="shared" si="2"/>
        <v>75.866699822388057</v>
      </c>
      <c r="T12" s="626" t="e">
        <f>T13+T16+#REF!</f>
        <v>#REF!</v>
      </c>
      <c r="U12" s="626" t="e">
        <f>U13+U16+#REF!</f>
        <v>#REF!</v>
      </c>
      <c r="V12" s="626" t="s">
        <v>222</v>
      </c>
      <c r="W12" s="626" t="s">
        <v>222</v>
      </c>
      <c r="X12" s="626">
        <f t="shared" ref="X12:Y33" si="3">O12+R12</f>
        <v>1575839.0792298866</v>
      </c>
      <c r="Y12" s="626">
        <f t="shared" si="3"/>
        <v>86.577762254388063</v>
      </c>
      <c r="Z12" s="625"/>
    </row>
    <row r="13" spans="1:30" x14ac:dyDescent="0.25">
      <c r="A13" s="212" t="s">
        <v>25</v>
      </c>
      <c r="B13" s="210" t="s">
        <v>13</v>
      </c>
      <c r="C13" s="209">
        <v>3</v>
      </c>
      <c r="D13" s="625"/>
      <c r="E13" s="625"/>
      <c r="F13" s="708"/>
      <c r="G13" s="708"/>
      <c r="H13" s="625"/>
      <c r="I13" s="625"/>
      <c r="J13" s="708"/>
      <c r="K13" s="708"/>
      <c r="L13" s="625"/>
      <c r="M13" s="625"/>
      <c r="N13" s="625"/>
      <c r="O13" s="626">
        <f>O14+O15</f>
        <v>194956.65308167777</v>
      </c>
      <c r="P13" s="626">
        <f>O13/O36</f>
        <v>10.711062432</v>
      </c>
      <c r="Q13" s="626"/>
      <c r="R13" s="626">
        <f>R14+R15</f>
        <v>1218925.6167861253</v>
      </c>
      <c r="S13" s="626">
        <f>S14+S15</f>
        <v>66.968673163928614</v>
      </c>
      <c r="T13" s="626"/>
      <c r="U13" s="626"/>
      <c r="V13" s="626" t="s">
        <v>222</v>
      </c>
      <c r="W13" s="626" t="s">
        <v>222</v>
      </c>
      <c r="X13" s="626">
        <f t="shared" si="3"/>
        <v>1413882.2698678032</v>
      </c>
      <c r="Y13" s="626">
        <f t="shared" si="3"/>
        <v>77.679735595928619</v>
      </c>
      <c r="Z13" s="625"/>
    </row>
    <row r="14" spans="1:30" x14ac:dyDescent="0.25">
      <c r="A14" s="212" t="s">
        <v>236</v>
      </c>
      <c r="B14" s="210" t="s">
        <v>239</v>
      </c>
      <c r="C14" s="209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6">
        <f>'ПММ збирання'!E12</f>
        <v>174649.91041485002</v>
      </c>
      <c r="P14" s="626">
        <f>O14/O36</f>
        <v>9.5953950000000017</v>
      </c>
      <c r="Q14" s="626"/>
      <c r="R14" s="626">
        <f>'ПММ перевезення'!C13</f>
        <v>1091961.9638980648</v>
      </c>
      <c r="S14" s="626">
        <f>R14/R36</f>
        <v>59.993196353147241</v>
      </c>
      <c r="T14" s="626"/>
      <c r="U14" s="626"/>
      <c r="V14" s="626"/>
      <c r="W14" s="626"/>
      <c r="X14" s="626">
        <f t="shared" si="3"/>
        <v>1266611.8743129149</v>
      </c>
      <c r="Y14" s="626">
        <f t="shared" si="3"/>
        <v>69.588591353147237</v>
      </c>
      <c r="Z14" s="625"/>
    </row>
    <row r="15" spans="1:30" ht="16.5" thickBot="1" x14ac:dyDescent="0.3">
      <c r="A15" s="212" t="s">
        <v>237</v>
      </c>
      <c r="B15" s="210" t="s">
        <v>238</v>
      </c>
      <c r="C15" s="209"/>
      <c r="D15" s="625"/>
      <c r="E15" s="625"/>
      <c r="F15" s="625"/>
      <c r="G15" s="625"/>
      <c r="H15" s="625"/>
      <c r="I15" s="625"/>
      <c r="J15" s="625"/>
      <c r="K15" s="625"/>
      <c r="L15" s="625"/>
      <c r="M15" s="625"/>
      <c r="N15" s="625"/>
      <c r="O15" s="626">
        <f>'ПММ збирання'!G12+'ПММ збирання'!I12+'ПММ збирання'!K12+'ПММ збирання'!M12</f>
        <v>20306.742666827759</v>
      </c>
      <c r="P15" s="626">
        <f>O15/O36</f>
        <v>1.115667432</v>
      </c>
      <c r="Q15" s="626"/>
      <c r="R15" s="626">
        <f>'ПММ перевезення'!E13+'ПММ перевезення'!G13+'ПММ перевезення'!I13+'ПММ перевезення'!K13</f>
        <v>126963.65288806046</v>
      </c>
      <c r="S15" s="626">
        <f>R15/R36</f>
        <v>6.9754768107813758</v>
      </c>
      <c r="T15" s="626"/>
      <c r="U15" s="626"/>
      <c r="V15" s="626"/>
      <c r="W15" s="626"/>
      <c r="X15" s="626">
        <f t="shared" si="3"/>
        <v>147270.39555488821</v>
      </c>
      <c r="Y15" s="626">
        <f t="shared" si="3"/>
        <v>8.0911442427813753</v>
      </c>
      <c r="Z15" s="625"/>
      <c r="AD15" s="578"/>
    </row>
    <row r="16" spans="1:30" x14ac:dyDescent="0.25">
      <c r="A16" s="212" t="s">
        <v>26</v>
      </c>
      <c r="B16" s="210" t="s">
        <v>14</v>
      </c>
      <c r="C16" s="209">
        <v>4</v>
      </c>
      <c r="D16" s="625"/>
      <c r="E16" s="625"/>
      <c r="F16" s="708"/>
      <c r="G16" s="708"/>
      <c r="H16" s="625"/>
      <c r="I16" s="625"/>
      <c r="J16" s="708"/>
      <c r="K16" s="708"/>
      <c r="L16" s="625"/>
      <c r="M16" s="625"/>
      <c r="N16" s="625"/>
      <c r="O16" s="626">
        <f>O17+O18+O19</f>
        <v>0</v>
      </c>
      <c r="P16" s="626">
        <f>O16/O36</f>
        <v>0</v>
      </c>
      <c r="Q16" s="626">
        <f t="shared" ref="Q16:S16" si="4">Q17+Q18+Q19</f>
        <v>0</v>
      </c>
      <c r="R16" s="626">
        <f t="shared" si="4"/>
        <v>161956.80936208332</v>
      </c>
      <c r="S16" s="626">
        <f t="shared" si="4"/>
        <v>8.8980266584594361</v>
      </c>
      <c r="T16" s="626"/>
      <c r="U16" s="626"/>
      <c r="V16" s="626" t="s">
        <v>222</v>
      </c>
      <c r="W16" s="626" t="s">
        <v>222</v>
      </c>
      <c r="X16" s="626">
        <f t="shared" si="3"/>
        <v>161956.80936208332</v>
      </c>
      <c r="Y16" s="626">
        <f t="shared" si="3"/>
        <v>8.8980266584594361</v>
      </c>
      <c r="Z16" s="625"/>
    </row>
    <row r="17" spans="1:26" x14ac:dyDescent="0.25">
      <c r="A17" s="212" t="s">
        <v>258</v>
      </c>
      <c r="B17" s="210" t="s">
        <v>259</v>
      </c>
      <c r="C17" s="209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6">
        <v>0</v>
      </c>
      <c r="P17" s="626">
        <f>O17/O36</f>
        <v>0</v>
      </c>
      <c r="Q17" s="626"/>
      <c r="R17" s="626">
        <f>'Амортизація Ремонт дезін мийка'!F29</f>
        <v>36165.383279999995</v>
      </c>
      <c r="S17" s="626">
        <f>R17/R36</f>
        <v>1.9869528537043515</v>
      </c>
      <c r="T17" s="626"/>
      <c r="U17" s="626"/>
      <c r="V17" s="626"/>
      <c r="W17" s="626"/>
      <c r="X17" s="626">
        <f t="shared" si="3"/>
        <v>36165.383279999995</v>
      </c>
      <c r="Y17" s="626">
        <f t="shared" si="3"/>
        <v>1.9869528537043515</v>
      </c>
      <c r="Z17" s="625"/>
    </row>
    <row r="18" spans="1:26" x14ac:dyDescent="0.25">
      <c r="A18" s="212" t="s">
        <v>260</v>
      </c>
      <c r="B18" s="210" t="s">
        <v>264</v>
      </c>
      <c r="C18" s="209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>
        <v>0</v>
      </c>
      <c r="P18" s="626">
        <f>O18/O36</f>
        <v>0</v>
      </c>
      <c r="Q18" s="626"/>
      <c r="R18" s="459">
        <f>'Загальні відомості'!G14</f>
        <v>94413.092588750005</v>
      </c>
      <c r="S18" s="626">
        <f>R18/R36</f>
        <v>5.187125</v>
      </c>
      <c r="T18" s="626"/>
      <c r="U18" s="626"/>
      <c r="V18" s="626"/>
      <c r="W18" s="626"/>
      <c r="X18" s="626">
        <f t="shared" si="3"/>
        <v>94413.092588750005</v>
      </c>
      <c r="Y18" s="626">
        <f t="shared" si="3"/>
        <v>5.187125</v>
      </c>
      <c r="Z18" s="625"/>
    </row>
    <row r="19" spans="1:26" x14ac:dyDescent="0.25">
      <c r="A19" s="212" t="s">
        <v>261</v>
      </c>
      <c r="B19" s="210" t="s">
        <v>263</v>
      </c>
      <c r="C19" s="209"/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6">
        <v>0</v>
      </c>
      <c r="P19" s="626">
        <f>O19/O36</f>
        <v>0</v>
      </c>
      <c r="Q19" s="626"/>
      <c r="R19" s="626">
        <f>('Амортизація Ремонт дезін мийка'!F32+'Загальні відомості'!N14)</f>
        <v>31378.333493333332</v>
      </c>
      <c r="S19" s="626">
        <f>R19/R36</f>
        <v>1.7239488047550842</v>
      </c>
      <c r="T19" s="626"/>
      <c r="U19" s="626"/>
      <c r="V19" s="626"/>
      <c r="W19" s="626"/>
      <c r="X19" s="626">
        <f t="shared" si="3"/>
        <v>31378.333493333332</v>
      </c>
      <c r="Y19" s="626">
        <f t="shared" si="3"/>
        <v>1.7239488047550842</v>
      </c>
      <c r="Z19" s="625"/>
    </row>
    <row r="20" spans="1:26" x14ac:dyDescent="0.25">
      <c r="A20" s="212" t="s">
        <v>27</v>
      </c>
      <c r="B20" s="210" t="s">
        <v>15</v>
      </c>
      <c r="C20" s="209">
        <v>9</v>
      </c>
      <c r="D20" s="625"/>
      <c r="E20" s="625"/>
      <c r="F20" s="710"/>
      <c r="G20" s="711"/>
      <c r="H20" s="625"/>
      <c r="I20" s="625"/>
      <c r="J20" s="710"/>
      <c r="K20" s="711"/>
      <c r="L20" s="625"/>
      <c r="M20" s="625"/>
      <c r="N20" s="625"/>
      <c r="O20" s="626">
        <f>'Штатне 2024'!P35</f>
        <v>1060641.7</v>
      </c>
      <c r="P20" s="626">
        <f>O20/O36</f>
        <v>58.272437934821603</v>
      </c>
      <c r="Q20" s="626"/>
      <c r="R20" s="626">
        <f>'Штатне 2024'!P34</f>
        <v>681806.26290830621</v>
      </c>
      <c r="S20" s="626">
        <f>R20/R36</f>
        <v>37.458939375</v>
      </c>
      <c r="T20" s="626"/>
      <c r="U20" s="626"/>
      <c r="V20" s="626" t="s">
        <v>222</v>
      </c>
      <c r="W20" s="626" t="s">
        <v>222</v>
      </c>
      <c r="X20" s="626">
        <f t="shared" si="3"/>
        <v>1742447.9629083062</v>
      </c>
      <c r="Y20" s="626">
        <f t="shared" si="3"/>
        <v>95.731377309821596</v>
      </c>
      <c r="Z20" s="625"/>
    </row>
    <row r="21" spans="1:26" x14ac:dyDescent="0.25">
      <c r="A21" s="212" t="s">
        <v>28</v>
      </c>
      <c r="B21" s="210" t="s">
        <v>16</v>
      </c>
      <c r="C21" s="209">
        <v>10</v>
      </c>
      <c r="D21" s="625"/>
      <c r="E21" s="625"/>
      <c r="F21" s="708"/>
      <c r="G21" s="708"/>
      <c r="H21" s="625"/>
      <c r="I21" s="625"/>
      <c r="J21" s="708"/>
      <c r="K21" s="708"/>
      <c r="L21" s="625"/>
      <c r="M21" s="625"/>
      <c r="N21" s="625"/>
      <c r="O21" s="626">
        <f>O22+O23+O24+O25</f>
        <v>251450.529266125</v>
      </c>
      <c r="P21" s="626">
        <f>O21/O36</f>
        <v>13.814877691814599</v>
      </c>
      <c r="Q21" s="626">
        <f t="shared" ref="Q21:S21" si="5">Q22+Q23+Q24+Q25</f>
        <v>0</v>
      </c>
      <c r="R21" s="626">
        <f t="shared" si="5"/>
        <v>170186.73613344453</v>
      </c>
      <c r="S21" s="626">
        <f t="shared" si="5"/>
        <v>9.3501849103858614</v>
      </c>
      <c r="T21" s="626"/>
      <c r="U21" s="626"/>
      <c r="V21" s="626" t="s">
        <v>222</v>
      </c>
      <c r="W21" s="626" t="s">
        <v>222</v>
      </c>
      <c r="X21" s="626">
        <f t="shared" si="3"/>
        <v>421637.26539956953</v>
      </c>
      <c r="Y21" s="626">
        <f t="shared" si="3"/>
        <v>23.165062602200461</v>
      </c>
      <c r="Z21" s="625"/>
    </row>
    <row r="22" spans="1:26" ht="30" x14ac:dyDescent="0.25">
      <c r="A22" s="212" t="s">
        <v>29</v>
      </c>
      <c r="B22" s="210" t="s">
        <v>17</v>
      </c>
      <c r="C22" s="209">
        <v>11</v>
      </c>
      <c r="D22" s="625"/>
      <c r="E22" s="625"/>
      <c r="F22" s="708"/>
      <c r="G22" s="708"/>
      <c r="H22" s="625"/>
      <c r="I22" s="625"/>
      <c r="J22" s="708"/>
      <c r="K22" s="708"/>
      <c r="L22" s="625"/>
      <c r="M22" s="625"/>
      <c r="N22" s="625"/>
      <c r="O22" s="626">
        <f>O20*0.22</f>
        <v>233341.174</v>
      </c>
      <c r="P22" s="626">
        <f>O22/O36</f>
        <v>12.819936345660754</v>
      </c>
      <c r="Q22" s="626"/>
      <c r="R22" s="626">
        <f>R20*0.22</f>
        <v>149997.37783982736</v>
      </c>
      <c r="S22" s="626">
        <f>R22/R36</f>
        <v>8.2409666624999982</v>
      </c>
      <c r="T22" s="626"/>
      <c r="U22" s="626"/>
      <c r="V22" s="626" t="s">
        <v>222</v>
      </c>
      <c r="W22" s="626" t="s">
        <v>222</v>
      </c>
      <c r="X22" s="626">
        <f t="shared" si="3"/>
        <v>383338.55183982733</v>
      </c>
      <c r="Y22" s="626">
        <f t="shared" si="3"/>
        <v>21.06090300816075</v>
      </c>
      <c r="Z22" s="625"/>
    </row>
    <row r="23" spans="1:26" ht="42" customHeight="1" x14ac:dyDescent="0.25">
      <c r="A23" s="212" t="s">
        <v>30</v>
      </c>
      <c r="B23" s="210" t="s">
        <v>18</v>
      </c>
      <c r="C23" s="209">
        <v>12</v>
      </c>
      <c r="D23" s="625"/>
      <c r="E23" s="625"/>
      <c r="F23" s="708"/>
      <c r="G23" s="708"/>
      <c r="H23" s="625"/>
      <c r="I23" s="625"/>
      <c r="J23" s="708"/>
      <c r="K23" s="708"/>
      <c r="L23" s="625"/>
      <c r="M23" s="625"/>
      <c r="N23" s="625"/>
      <c r="O23" s="626">
        <v>0</v>
      </c>
      <c r="P23" s="626">
        <f>O23/O36</f>
        <v>0</v>
      </c>
      <c r="Q23" s="626"/>
      <c r="R23" s="626">
        <f>'Амортизація Ремонт дезін мийка'!D9</f>
        <v>12325</v>
      </c>
      <c r="S23" s="626">
        <f>R23/R36</f>
        <v>0.67714459797938953</v>
      </c>
      <c r="T23" s="626"/>
      <c r="U23" s="626"/>
      <c r="V23" s="626" t="s">
        <v>222</v>
      </c>
      <c r="W23" s="626" t="s">
        <v>222</v>
      </c>
      <c r="X23" s="626">
        <f t="shared" si="3"/>
        <v>12325</v>
      </c>
      <c r="Y23" s="626">
        <f t="shared" si="3"/>
        <v>0.67714459797938953</v>
      </c>
      <c r="Z23" s="625"/>
    </row>
    <row r="24" spans="1:26" ht="15" customHeight="1" x14ac:dyDescent="0.25">
      <c r="A24" s="212" t="s">
        <v>31</v>
      </c>
      <c r="B24" s="210" t="s">
        <v>624</v>
      </c>
      <c r="C24" s="209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6">
        <v>0</v>
      </c>
      <c r="P24" s="626">
        <f>O24/O36</f>
        <v>0</v>
      </c>
      <c r="Q24" s="626"/>
      <c r="R24" s="626">
        <f>'Амортизація Ремонт дезін мийка'!F31</f>
        <v>1829.69496</v>
      </c>
      <c r="S24" s="626">
        <f>R24/R36</f>
        <v>0.10052479173339678</v>
      </c>
      <c r="T24" s="626"/>
      <c r="U24" s="626"/>
      <c r="V24" s="626" t="s">
        <v>222</v>
      </c>
      <c r="W24" s="626" t="s">
        <v>222</v>
      </c>
      <c r="X24" s="626">
        <f t="shared" si="3"/>
        <v>1829.69496</v>
      </c>
      <c r="Y24" s="626">
        <f t="shared" si="3"/>
        <v>0.10052479173339678</v>
      </c>
      <c r="Z24" s="625"/>
    </row>
    <row r="25" spans="1:26" ht="13.9" customHeight="1" x14ac:dyDescent="0.25">
      <c r="A25" s="212" t="s">
        <v>572</v>
      </c>
      <c r="B25" s="210" t="s">
        <v>566</v>
      </c>
      <c r="C25" s="209"/>
      <c r="D25" s="625"/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26">
        <f>'Загальні відомості'!L14</f>
        <v>18109.355266125</v>
      </c>
      <c r="P25" s="626">
        <f>O25/O36</f>
        <v>0.99494134615384611</v>
      </c>
      <c r="Q25" s="626"/>
      <c r="R25" s="626">
        <f>'Загальні відомості'!I14</f>
        <v>6034.6633336171881</v>
      </c>
      <c r="S25" s="626">
        <f>R25/R36</f>
        <v>0.33154885817307694</v>
      </c>
      <c r="T25" s="626"/>
      <c r="U25" s="626"/>
      <c r="V25" s="626"/>
      <c r="W25" s="626"/>
      <c r="X25" s="626">
        <f t="shared" si="3"/>
        <v>24144.018599742187</v>
      </c>
      <c r="Y25" s="626">
        <f t="shared" si="3"/>
        <v>1.3264902043269231</v>
      </c>
      <c r="Z25" s="625"/>
    </row>
    <row r="26" spans="1:26" ht="15" hidden="1" customHeight="1" x14ac:dyDescent="0.25">
      <c r="A26" s="212"/>
      <c r="B26" s="210"/>
      <c r="C26" s="209"/>
      <c r="D26" s="625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6"/>
      <c r="P26" s="626">
        <f>O26/O36</f>
        <v>0</v>
      </c>
      <c r="Q26" s="626"/>
      <c r="R26" s="626"/>
      <c r="S26" s="626"/>
      <c r="T26" s="626"/>
      <c r="U26" s="626"/>
      <c r="V26" s="626" t="s">
        <v>222</v>
      </c>
      <c r="W26" s="626" t="s">
        <v>222</v>
      </c>
      <c r="X26" s="626">
        <f t="shared" si="3"/>
        <v>0</v>
      </c>
      <c r="Y26" s="626">
        <f t="shared" si="3"/>
        <v>0</v>
      </c>
      <c r="Z26" s="625"/>
    </row>
    <row r="27" spans="1:26" x14ac:dyDescent="0.25">
      <c r="A27" s="212" t="s">
        <v>32</v>
      </c>
      <c r="B27" s="210" t="s">
        <v>207</v>
      </c>
      <c r="C27" s="209">
        <v>16</v>
      </c>
      <c r="D27" s="625"/>
      <c r="E27" s="625"/>
      <c r="F27" s="708"/>
      <c r="G27" s="708"/>
      <c r="H27" s="625"/>
      <c r="I27" s="625"/>
      <c r="J27" s="708"/>
      <c r="K27" s="708"/>
      <c r="L27" s="625"/>
      <c r="M27" s="625"/>
      <c r="N27" s="625"/>
      <c r="O27" s="626">
        <f>'РОзподіл  ЗВВ АДМ'!E11</f>
        <v>245118.45992107579</v>
      </c>
      <c r="P27" s="626">
        <f>O27/O36</f>
        <v>13.466989127836428</v>
      </c>
      <c r="Q27" s="626"/>
      <c r="R27" s="376">
        <f>'РОзподіл  ЗВВ АДМ'!E12</f>
        <v>363172.68260437727</v>
      </c>
      <c r="S27" s="626">
        <f>R27/R36</f>
        <v>19.952975266469572</v>
      </c>
      <c r="T27" s="626"/>
      <c r="U27" s="626"/>
      <c r="V27" s="626" t="s">
        <v>222</v>
      </c>
      <c r="W27" s="626" t="s">
        <v>222</v>
      </c>
      <c r="X27" s="626">
        <f t="shared" si="3"/>
        <v>608291.14252545312</v>
      </c>
      <c r="Y27" s="626">
        <f t="shared" si="3"/>
        <v>33.419964394306</v>
      </c>
      <c r="Z27" s="625"/>
    </row>
    <row r="28" spans="1:26" x14ac:dyDescent="0.25">
      <c r="A28" s="212" t="s">
        <v>33</v>
      </c>
      <c r="B28" s="210" t="s">
        <v>20</v>
      </c>
      <c r="C28" s="209">
        <v>17</v>
      </c>
      <c r="D28" s="625"/>
      <c r="E28" s="625"/>
      <c r="F28" s="708"/>
      <c r="G28" s="708"/>
      <c r="H28" s="625"/>
      <c r="I28" s="625"/>
      <c r="J28" s="708"/>
      <c r="K28" s="708"/>
      <c r="L28" s="625"/>
      <c r="M28" s="625"/>
      <c r="N28" s="625"/>
      <c r="O28" s="626">
        <f>'РОзподіл  ЗВВ АДМ'!H11</f>
        <v>110646.48643470841</v>
      </c>
      <c r="P28" s="626">
        <f>O28/O36</f>
        <v>6.0789996409462557</v>
      </c>
      <c r="Q28" s="626"/>
      <c r="R28" s="626">
        <f>'РОзподіл  ЗВВ АДМ'!H12</f>
        <v>163936.16911668106</v>
      </c>
      <c r="S28" s="626">
        <f>R28/R36</f>
        <v>9.0067741444865081</v>
      </c>
      <c r="T28" s="626"/>
      <c r="U28" s="626"/>
      <c r="V28" s="626" t="s">
        <v>222</v>
      </c>
      <c r="W28" s="626" t="s">
        <v>222</v>
      </c>
      <c r="X28" s="626">
        <f t="shared" si="3"/>
        <v>274582.65555138944</v>
      </c>
      <c r="Y28" s="626">
        <f t="shared" si="3"/>
        <v>15.085773785432764</v>
      </c>
      <c r="Z28" s="625"/>
    </row>
    <row r="29" spans="1:26" x14ac:dyDescent="0.25">
      <c r="A29" s="212" t="s">
        <v>34</v>
      </c>
      <c r="B29" s="210" t="s">
        <v>21</v>
      </c>
      <c r="C29" s="209">
        <v>21</v>
      </c>
      <c r="D29" s="625"/>
      <c r="E29" s="625"/>
      <c r="F29" s="708"/>
      <c r="G29" s="708"/>
      <c r="H29" s="625"/>
      <c r="I29" s="625"/>
      <c r="J29" s="708"/>
      <c r="K29" s="708"/>
      <c r="L29" s="625"/>
      <c r="M29" s="625"/>
      <c r="N29" s="625"/>
      <c r="O29" s="626">
        <f>O10+O28</f>
        <v>1862813.8287035869</v>
      </c>
      <c r="P29" s="626">
        <f>O29/O36</f>
        <v>102.34436682741888</v>
      </c>
      <c r="Q29" s="626">
        <f t="shared" ref="Q29:S29" si="6">Q10+Q28</f>
        <v>0</v>
      </c>
      <c r="R29" s="626">
        <f>R10+R28</f>
        <v>2759984.2769110175</v>
      </c>
      <c r="S29" s="626">
        <f t="shared" si="6"/>
        <v>151.63557351873001</v>
      </c>
      <c r="T29" s="626"/>
      <c r="U29" s="626"/>
      <c r="V29" s="626" t="s">
        <v>222</v>
      </c>
      <c r="W29" s="626" t="s">
        <v>222</v>
      </c>
      <c r="X29" s="626">
        <f t="shared" si="3"/>
        <v>4622798.1056146044</v>
      </c>
      <c r="Y29" s="626">
        <f t="shared" si="3"/>
        <v>253.97994034614891</v>
      </c>
      <c r="Z29" s="625"/>
    </row>
    <row r="30" spans="1:26" x14ac:dyDescent="0.25">
      <c r="A30" s="212" t="s">
        <v>35</v>
      </c>
      <c r="B30" s="210" t="s">
        <v>266</v>
      </c>
      <c r="C30" s="209">
        <v>23</v>
      </c>
      <c r="D30" s="625"/>
      <c r="E30" s="625"/>
      <c r="F30" s="708"/>
      <c r="G30" s="708"/>
      <c r="H30" s="625"/>
      <c r="I30" s="625"/>
      <c r="J30" s="708"/>
      <c r="K30" s="708"/>
      <c r="L30" s="625"/>
      <c r="M30" s="625"/>
      <c r="N30" s="625"/>
      <c r="O30" s="626">
        <f>O29*0</f>
        <v>0</v>
      </c>
      <c r="P30" s="626">
        <f>O30/O36</f>
        <v>0</v>
      </c>
      <c r="Q30" s="626"/>
      <c r="R30" s="626">
        <f>R29*0</f>
        <v>0</v>
      </c>
      <c r="S30" s="626">
        <f>R30/R36</f>
        <v>0</v>
      </c>
      <c r="T30" s="626"/>
      <c r="U30" s="626"/>
      <c r="V30" s="626" t="s">
        <v>222</v>
      </c>
      <c r="W30" s="626" t="s">
        <v>222</v>
      </c>
      <c r="X30" s="626">
        <f t="shared" si="3"/>
        <v>0</v>
      </c>
      <c r="Y30" s="626">
        <f t="shared" si="3"/>
        <v>0</v>
      </c>
      <c r="Z30" s="625"/>
    </row>
    <row r="31" spans="1:26" ht="14.45" customHeight="1" x14ac:dyDescent="0.25">
      <c r="A31" s="212" t="s">
        <v>50</v>
      </c>
      <c r="B31" s="210" t="s">
        <v>22</v>
      </c>
      <c r="C31" s="209">
        <v>24</v>
      </c>
      <c r="D31" s="625"/>
      <c r="E31" s="625"/>
      <c r="F31" s="708"/>
      <c r="G31" s="708"/>
      <c r="H31" s="625"/>
      <c r="I31" s="625"/>
      <c r="J31" s="708"/>
      <c r="K31" s="708"/>
      <c r="L31" s="625"/>
      <c r="M31" s="625"/>
      <c r="N31" s="625"/>
      <c r="O31" s="626">
        <f>O30*0.18</f>
        <v>0</v>
      </c>
      <c r="P31" s="626">
        <f>O31/O36</f>
        <v>0</v>
      </c>
      <c r="Q31" s="626"/>
      <c r="R31" s="626">
        <f>R30*0.18</f>
        <v>0</v>
      </c>
      <c r="S31" s="626">
        <f>R31/R36</f>
        <v>0</v>
      </c>
      <c r="T31" s="626"/>
      <c r="U31" s="626"/>
      <c r="V31" s="626" t="s">
        <v>222</v>
      </c>
      <c r="W31" s="626" t="s">
        <v>222</v>
      </c>
      <c r="X31" s="626">
        <f t="shared" si="3"/>
        <v>0</v>
      </c>
      <c r="Y31" s="626">
        <f t="shared" si="3"/>
        <v>0</v>
      </c>
      <c r="Z31" s="625"/>
    </row>
    <row r="32" spans="1:26" ht="27.6" hidden="1" customHeight="1" x14ac:dyDescent="0.25">
      <c r="A32" s="212"/>
      <c r="B32" s="210"/>
      <c r="C32" s="209">
        <v>28</v>
      </c>
      <c r="D32" s="625"/>
      <c r="E32" s="625"/>
      <c r="F32" s="708"/>
      <c r="G32" s="708"/>
      <c r="H32" s="625"/>
      <c r="I32" s="625"/>
      <c r="J32" s="708"/>
      <c r="K32" s="708"/>
      <c r="L32" s="625"/>
      <c r="M32" s="625"/>
      <c r="N32" s="625"/>
      <c r="O32" s="626"/>
      <c r="P32" s="626"/>
      <c r="Q32" s="626"/>
      <c r="R32" s="626"/>
      <c r="S32" s="626"/>
      <c r="T32" s="626"/>
      <c r="U32" s="626"/>
      <c r="V32" s="626" t="s">
        <v>222</v>
      </c>
      <c r="W32" s="626" t="s">
        <v>222</v>
      </c>
      <c r="X32" s="626">
        <f t="shared" si="3"/>
        <v>0</v>
      </c>
      <c r="Y32" s="626">
        <f t="shared" si="3"/>
        <v>0</v>
      </c>
      <c r="Z32" s="625"/>
    </row>
    <row r="33" spans="1:28" ht="16.149999999999999" hidden="1" customHeight="1" x14ac:dyDescent="0.25">
      <c r="A33" s="212"/>
      <c r="B33" s="210"/>
      <c r="C33" s="209">
        <v>29</v>
      </c>
      <c r="D33" s="625"/>
      <c r="E33" s="625"/>
      <c r="F33" s="708"/>
      <c r="G33" s="708"/>
      <c r="H33" s="625"/>
      <c r="I33" s="625"/>
      <c r="J33" s="708"/>
      <c r="K33" s="708"/>
      <c r="L33" s="625"/>
      <c r="M33" s="625"/>
      <c r="N33" s="625"/>
      <c r="O33" s="626"/>
      <c r="P33" s="626"/>
      <c r="Q33" s="626"/>
      <c r="R33" s="626"/>
      <c r="S33" s="626"/>
      <c r="T33" s="626"/>
      <c r="U33" s="626"/>
      <c r="V33" s="626" t="s">
        <v>222</v>
      </c>
      <c r="W33" s="626" t="s">
        <v>222</v>
      </c>
      <c r="X33" s="626">
        <f t="shared" si="3"/>
        <v>0</v>
      </c>
      <c r="Y33" s="626">
        <f t="shared" si="3"/>
        <v>0</v>
      </c>
      <c r="Z33" s="625"/>
    </row>
    <row r="34" spans="1:28" ht="57" x14ac:dyDescent="0.25">
      <c r="A34" s="582" t="s">
        <v>36</v>
      </c>
      <c r="B34" s="583" t="s">
        <v>628</v>
      </c>
      <c r="C34" s="360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9">
        <f>O29+O30+O33</f>
        <v>1862813.8287035869</v>
      </c>
      <c r="P34" s="629">
        <f>O34/O36</f>
        <v>102.34436682741888</v>
      </c>
      <c r="Q34" s="629"/>
      <c r="R34" s="629">
        <f>R29+R30</f>
        <v>2759984.2769110175</v>
      </c>
      <c r="S34" s="629">
        <f>R34/R36</f>
        <v>151.63557351872998</v>
      </c>
      <c r="T34" s="629"/>
      <c r="U34" s="629"/>
      <c r="V34" s="629">
        <f>W34*V36</f>
        <v>374949.45800000004</v>
      </c>
      <c r="W34" s="629">
        <v>20.6</v>
      </c>
      <c r="X34" s="629">
        <f>O34+R34+V34</f>
        <v>4997747.5636146041</v>
      </c>
      <c r="Y34" s="629">
        <f>P34+S34+W34</f>
        <v>274.57994034614887</v>
      </c>
      <c r="Z34" s="625"/>
    </row>
    <row r="35" spans="1:28" ht="57" x14ac:dyDescent="0.25">
      <c r="A35" s="582" t="s">
        <v>267</v>
      </c>
      <c r="B35" s="583" t="s">
        <v>627</v>
      </c>
      <c r="C35" s="360"/>
      <c r="D35" s="628"/>
      <c r="E35" s="628"/>
      <c r="F35" s="628"/>
      <c r="G35" s="628"/>
      <c r="H35" s="628"/>
      <c r="I35" s="628"/>
      <c r="J35" s="628"/>
      <c r="K35" s="628"/>
      <c r="L35" s="628"/>
      <c r="M35" s="628"/>
      <c r="N35" s="628"/>
      <c r="O35" s="629">
        <f>O34*1.2</f>
        <v>2235376.5944443042</v>
      </c>
      <c r="P35" s="629">
        <f>O35/O36</f>
        <v>122.81324019290265</v>
      </c>
      <c r="Q35" s="629"/>
      <c r="R35" s="629">
        <f>R34*1.2</f>
        <v>3311981.1322932211</v>
      </c>
      <c r="S35" s="629">
        <f>R35/R36</f>
        <v>181.96268822247598</v>
      </c>
      <c r="T35" s="629"/>
      <c r="U35" s="629"/>
      <c r="V35" s="629">
        <f>V34*1.2</f>
        <v>449939.34960000002</v>
      </c>
      <c r="W35" s="629">
        <f>W34*1.2</f>
        <v>24.720000000000002</v>
      </c>
      <c r="X35" s="629">
        <f>O35+R35+V35</f>
        <v>5997297.0763375256</v>
      </c>
      <c r="Y35" s="629">
        <f>X35/X36</f>
        <v>329.49592841537867</v>
      </c>
      <c r="Z35" s="625"/>
      <c r="AA35" s="630"/>
      <c r="AB35" s="630"/>
    </row>
    <row r="36" spans="1:28" ht="45" x14ac:dyDescent="0.25">
      <c r="A36" s="582" t="s">
        <v>268</v>
      </c>
      <c r="B36" s="583" t="s">
        <v>629</v>
      </c>
      <c r="C36" s="360">
        <v>31</v>
      </c>
      <c r="D36" s="628"/>
      <c r="E36" s="628"/>
      <c r="F36" s="718"/>
      <c r="G36" s="718"/>
      <c r="H36" s="628"/>
      <c r="I36" s="628"/>
      <c r="J36" s="718"/>
      <c r="K36" s="718"/>
      <c r="L36" s="628"/>
      <c r="M36" s="628"/>
      <c r="N36" s="628"/>
      <c r="O36" s="629">
        <f>'РІЧНИЙ  План'!O22</f>
        <v>18201.43</v>
      </c>
      <c r="P36" s="629">
        <v>18201.43</v>
      </c>
      <c r="Q36" s="629"/>
      <c r="R36" s="629">
        <f>'РІЧНИЙ  План'!O22</f>
        <v>18201.43</v>
      </c>
      <c r="S36" s="629">
        <v>18201.43</v>
      </c>
      <c r="T36" s="629"/>
      <c r="U36" s="629"/>
      <c r="V36" s="629">
        <f>'РІЧНИЙ  План'!O28</f>
        <v>18201.43</v>
      </c>
      <c r="W36" s="629">
        <v>18201.43</v>
      </c>
      <c r="X36" s="629">
        <f>'РІЧНИЙ  План'!O22</f>
        <v>18201.43</v>
      </c>
      <c r="Y36" s="629">
        <v>18201.43</v>
      </c>
      <c r="Z36" s="625"/>
    </row>
    <row r="37" spans="1:28" ht="60.6" customHeight="1" x14ac:dyDescent="0.25">
      <c r="A37" s="212" t="s">
        <v>37</v>
      </c>
      <c r="B37" s="622" t="s">
        <v>637</v>
      </c>
      <c r="C37" s="209">
        <v>32</v>
      </c>
      <c r="D37" s="625"/>
      <c r="E37" s="625"/>
      <c r="F37" s="708"/>
      <c r="G37" s="708"/>
      <c r="H37" s="625"/>
      <c r="I37" s="625"/>
      <c r="J37" s="708"/>
      <c r="K37" s="708"/>
      <c r="L37" s="625"/>
      <c r="M37" s="625"/>
      <c r="N37" s="625"/>
      <c r="O37" s="716">
        <f>(O34+R34+V34)/O36</f>
        <v>274.57994034614887</v>
      </c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627"/>
    </row>
    <row r="38" spans="1:28" ht="69" customHeight="1" x14ac:dyDescent="0.25">
      <c r="A38" s="212" t="s">
        <v>38</v>
      </c>
      <c r="B38" s="622" t="s">
        <v>638</v>
      </c>
      <c r="C38" s="209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715">
        <f>(O35+R35+V35)/O36</f>
        <v>329.49592841537867</v>
      </c>
      <c r="P38" s="715"/>
      <c r="Q38" s="715"/>
      <c r="R38" s="715"/>
      <c r="S38" s="715"/>
      <c r="T38" s="715"/>
      <c r="U38" s="715"/>
      <c r="V38" s="715"/>
      <c r="W38" s="715"/>
      <c r="X38" s="715"/>
      <c r="Y38" s="715"/>
      <c r="Z38" s="631"/>
    </row>
    <row r="39" spans="1:28" x14ac:dyDescent="0.25">
      <c r="A39" s="225"/>
      <c r="B39" s="216"/>
      <c r="C39" s="214"/>
      <c r="D39" s="631"/>
      <c r="E39" s="631"/>
      <c r="F39" s="631"/>
      <c r="G39" s="631"/>
      <c r="H39" s="631"/>
      <c r="I39" s="631"/>
      <c r="J39" s="631"/>
      <c r="K39" s="631"/>
      <c r="L39" s="631"/>
      <c r="M39" s="631"/>
      <c r="N39" s="631"/>
      <c r="O39" s="632"/>
      <c r="P39" s="632"/>
      <c r="Q39" s="631"/>
      <c r="R39" s="632"/>
      <c r="S39" s="632"/>
      <c r="T39" s="631"/>
      <c r="U39" s="631"/>
      <c r="V39" s="631"/>
      <c r="W39" s="631"/>
      <c r="X39" s="631"/>
      <c r="Y39" s="632"/>
      <c r="Z39" s="631"/>
    </row>
    <row r="40" spans="1:28" ht="30" customHeight="1" x14ac:dyDescent="0.25">
      <c r="A40" s="668" t="s">
        <v>641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</row>
    <row r="41" spans="1:28" x14ac:dyDescent="0.25">
      <c r="A41" s="717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Y41" s="512"/>
    </row>
    <row r="42" spans="1:28" x14ac:dyDescent="0.25">
      <c r="A42" s="713"/>
      <c r="B42" s="713"/>
      <c r="C42" s="713"/>
      <c r="D42" s="713"/>
      <c r="E42" s="713"/>
      <c r="F42" s="713"/>
      <c r="G42" s="714"/>
      <c r="H42" s="714"/>
      <c r="I42" s="714"/>
      <c r="J42" s="714"/>
      <c r="K42" s="714"/>
      <c r="L42" s="714"/>
      <c r="M42" s="714"/>
      <c r="N42" s="714"/>
      <c r="O42" s="714"/>
      <c r="P42" s="714"/>
      <c r="Q42" s="714"/>
    </row>
    <row r="44" spans="1:28" x14ac:dyDescent="0.25">
      <c r="A44" s="217"/>
      <c r="B44" s="633"/>
    </row>
    <row r="45" spans="1:28" x14ac:dyDescent="0.25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</row>
    <row r="46" spans="1:28" x14ac:dyDescent="0.25">
      <c r="A46" s="219"/>
      <c r="B46" s="634"/>
      <c r="C46" s="634"/>
      <c r="D46" s="634"/>
      <c r="E46" s="634"/>
      <c r="F46" s="634"/>
      <c r="G46" s="634"/>
      <c r="H46" s="634"/>
      <c r="I46" s="634"/>
      <c r="J46" s="634"/>
      <c r="K46" s="634"/>
      <c r="L46" s="634"/>
      <c r="M46" s="634"/>
      <c r="N46" s="634"/>
      <c r="O46" s="634"/>
      <c r="P46" s="634"/>
    </row>
    <row r="47" spans="1:28" x14ac:dyDescent="0.25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634"/>
      <c r="P47" s="634"/>
    </row>
    <row r="48" spans="1:28" x14ac:dyDescent="0.25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</row>
  </sheetData>
  <mergeCells count="61">
    <mergeCell ref="F33:G33"/>
    <mergeCell ref="J33:K33"/>
    <mergeCell ref="F36:G36"/>
    <mergeCell ref="J36:K36"/>
    <mergeCell ref="F37:G37"/>
    <mergeCell ref="J37:K37"/>
    <mergeCell ref="A42:F42"/>
    <mergeCell ref="G42:J42"/>
    <mergeCell ref="K42:Q42"/>
    <mergeCell ref="O38:Y38"/>
    <mergeCell ref="O37:Y37"/>
    <mergeCell ref="A40:Y40"/>
    <mergeCell ref="A41:F41"/>
    <mergeCell ref="G41:J41"/>
    <mergeCell ref="K41:Q41"/>
    <mergeCell ref="F30:G30"/>
    <mergeCell ref="J30:K30"/>
    <mergeCell ref="F31:G31"/>
    <mergeCell ref="J31:K31"/>
    <mergeCell ref="F32:G32"/>
    <mergeCell ref="J32:K32"/>
    <mergeCell ref="F27:G27"/>
    <mergeCell ref="J27:K27"/>
    <mergeCell ref="F28:G28"/>
    <mergeCell ref="J28:K28"/>
    <mergeCell ref="F29:G29"/>
    <mergeCell ref="J29:K29"/>
    <mergeCell ref="F21:G21"/>
    <mergeCell ref="J21:K21"/>
    <mergeCell ref="F22:G22"/>
    <mergeCell ref="J22:K22"/>
    <mergeCell ref="F23:G23"/>
    <mergeCell ref="J23:K23"/>
    <mergeCell ref="F13:G13"/>
    <mergeCell ref="J13:K13"/>
    <mergeCell ref="F16:G16"/>
    <mergeCell ref="J16:K16"/>
    <mergeCell ref="F20:G20"/>
    <mergeCell ref="J20:K20"/>
    <mergeCell ref="F11:G11"/>
    <mergeCell ref="J11:K11"/>
    <mergeCell ref="F12:G12"/>
    <mergeCell ref="J12:K12"/>
    <mergeCell ref="F9:G9"/>
    <mergeCell ref="J9:K9"/>
    <mergeCell ref="N2:Q2"/>
    <mergeCell ref="A5:Y5"/>
    <mergeCell ref="B6:B8"/>
    <mergeCell ref="C6:C8"/>
    <mergeCell ref="D6:K6"/>
    <mergeCell ref="L6:N7"/>
    <mergeCell ref="O6:Q7"/>
    <mergeCell ref="R6:T7"/>
    <mergeCell ref="U6:U7"/>
    <mergeCell ref="V6:W7"/>
    <mergeCell ref="X6:Z7"/>
    <mergeCell ref="D7:G7"/>
    <mergeCell ref="H7:K7"/>
    <mergeCell ref="F8:G8"/>
    <mergeCell ref="J8:K8"/>
    <mergeCell ref="S4:Y4"/>
  </mergeCells>
  <pageMargins left="0.42" right="0" top="0.56000000000000005" bottom="0" header="0" footer="0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F48"/>
  <sheetViews>
    <sheetView view="pageLayout" topLeftCell="A5" zoomScale="90" zoomScaleNormal="80" zoomScalePageLayoutView="90" workbookViewId="0">
      <selection activeCell="AG42" sqref="AG42"/>
    </sheetView>
  </sheetViews>
  <sheetFormatPr defaultColWidth="9.140625" defaultRowHeight="15.75" x14ac:dyDescent="0.25"/>
  <cols>
    <col min="1" max="1" width="9.140625" style="122"/>
    <col min="2" max="2" width="64.7109375" style="122" customWidth="1"/>
    <col min="3" max="3" width="12.7109375" style="122" hidden="1" customWidth="1"/>
    <col min="4" max="13" width="0" style="122" hidden="1" customWidth="1"/>
    <col min="14" max="14" width="0.28515625" style="122" hidden="1" customWidth="1"/>
    <col min="15" max="15" width="22.140625" style="122" customWidth="1"/>
    <col min="16" max="16" width="17.42578125" style="122" customWidth="1"/>
    <col min="17" max="17" width="0" style="122" hidden="1" customWidth="1"/>
    <col min="18" max="18" width="18.85546875" style="122" customWidth="1"/>
    <col min="19" max="19" width="16.140625" style="122" customWidth="1"/>
    <col min="20" max="20" width="0" style="122" hidden="1" customWidth="1"/>
    <col min="21" max="21" width="6.42578125" style="122" hidden="1" customWidth="1"/>
    <col min="22" max="22" width="18.85546875" style="122" customWidth="1"/>
    <col min="23" max="23" width="14.42578125" style="122" customWidth="1"/>
    <col min="24" max="24" width="16.28515625" style="122" customWidth="1"/>
    <col min="25" max="25" width="15.28515625" style="122" customWidth="1"/>
    <col min="26" max="26" width="18.140625" style="122" hidden="1" customWidth="1"/>
    <col min="27" max="27" width="17.28515625" style="122" hidden="1" customWidth="1"/>
    <col min="28" max="28" width="3.28515625" style="122" hidden="1" customWidth="1"/>
    <col min="29" max="29" width="18.85546875" style="122" hidden="1" customWidth="1"/>
    <col min="30" max="30" width="11.42578125" style="122" hidden="1" customWidth="1"/>
    <col min="31" max="31" width="9.140625" style="122" hidden="1" customWidth="1"/>
    <col min="32" max="16384" width="9.140625" style="122"/>
  </cols>
  <sheetData>
    <row r="1" spans="1:30" hidden="1" x14ac:dyDescent="0.25"/>
    <row r="2" spans="1:30" ht="0.6" customHeight="1" x14ac:dyDescent="0.25">
      <c r="N2" s="742"/>
      <c r="O2" s="742"/>
      <c r="P2" s="742"/>
      <c r="Q2" s="742"/>
    </row>
    <row r="3" spans="1:30" hidden="1" x14ac:dyDescent="0.25"/>
    <row r="4" spans="1:30" ht="15" hidden="1" customHeight="1" x14ac:dyDescent="0.25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30" ht="60" customHeight="1" thickBot="1" x14ac:dyDescent="0.3">
      <c r="A5" s="747" t="s">
        <v>621</v>
      </c>
      <c r="B5" s="747"/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  <c r="Q5" s="747"/>
      <c r="R5" s="748"/>
      <c r="S5" s="748"/>
      <c r="T5" s="748"/>
      <c r="U5" s="748"/>
      <c r="V5" s="748"/>
      <c r="W5" s="748"/>
      <c r="X5" s="748"/>
      <c r="Y5" s="748"/>
      <c r="Z5" s="748"/>
      <c r="AA5" s="748"/>
    </row>
    <row r="6" spans="1:30" ht="15.75" customHeight="1" thickBot="1" x14ac:dyDescent="0.3">
      <c r="A6" s="725" t="s">
        <v>553</v>
      </c>
      <c r="B6" s="725" t="s">
        <v>1</v>
      </c>
      <c r="C6" s="725" t="s">
        <v>2</v>
      </c>
      <c r="D6" s="728" t="s">
        <v>3</v>
      </c>
      <c r="E6" s="729"/>
      <c r="F6" s="729"/>
      <c r="G6" s="729"/>
      <c r="H6" s="729"/>
      <c r="I6" s="729"/>
      <c r="J6" s="729"/>
      <c r="K6" s="730"/>
      <c r="L6" s="731" t="s">
        <v>4</v>
      </c>
      <c r="M6" s="732"/>
      <c r="N6" s="733"/>
      <c r="O6" s="731" t="s">
        <v>108</v>
      </c>
      <c r="P6" s="732"/>
      <c r="Q6" s="732"/>
      <c r="R6" s="724" t="s">
        <v>109</v>
      </c>
      <c r="S6" s="724"/>
      <c r="T6" s="724"/>
      <c r="U6" s="724"/>
      <c r="V6" s="724" t="s">
        <v>591</v>
      </c>
      <c r="W6" s="724"/>
      <c r="X6" s="724" t="s">
        <v>592</v>
      </c>
      <c r="Y6" s="724"/>
      <c r="Z6" s="720" t="s">
        <v>110</v>
      </c>
      <c r="AA6" s="721"/>
      <c r="AB6" s="33"/>
    </row>
    <row r="7" spans="1:30" ht="40.5" customHeight="1" thickBot="1" x14ac:dyDescent="0.3">
      <c r="A7" s="726"/>
      <c r="B7" s="726"/>
      <c r="C7" s="726"/>
      <c r="D7" s="728" t="s">
        <v>5</v>
      </c>
      <c r="E7" s="729"/>
      <c r="F7" s="729"/>
      <c r="G7" s="730"/>
      <c r="H7" s="728" t="s">
        <v>6</v>
      </c>
      <c r="I7" s="729"/>
      <c r="J7" s="729"/>
      <c r="K7" s="730"/>
      <c r="L7" s="734"/>
      <c r="M7" s="735"/>
      <c r="N7" s="736"/>
      <c r="O7" s="734"/>
      <c r="P7" s="735"/>
      <c r="Q7" s="735"/>
      <c r="R7" s="724"/>
      <c r="S7" s="724"/>
      <c r="T7" s="724"/>
      <c r="U7" s="724"/>
      <c r="V7" s="724"/>
      <c r="W7" s="724"/>
      <c r="X7" s="724"/>
      <c r="Y7" s="724"/>
      <c r="Z7" s="722"/>
      <c r="AA7" s="723"/>
      <c r="AB7" s="35"/>
    </row>
    <row r="8" spans="1:30" ht="39" customHeight="1" thickBot="1" x14ac:dyDescent="0.3">
      <c r="A8" s="727"/>
      <c r="B8" s="727"/>
      <c r="C8" s="727"/>
      <c r="D8" s="32" t="s">
        <v>7</v>
      </c>
      <c r="E8" s="32" t="s">
        <v>565</v>
      </c>
      <c r="F8" s="737" t="s">
        <v>8</v>
      </c>
      <c r="G8" s="738"/>
      <c r="H8" s="32" t="s">
        <v>7</v>
      </c>
      <c r="I8" s="32" t="s">
        <v>565</v>
      </c>
      <c r="J8" s="737" t="s">
        <v>8</v>
      </c>
      <c r="K8" s="738"/>
      <c r="L8" s="32" t="s">
        <v>7</v>
      </c>
      <c r="M8" s="32" t="s">
        <v>565</v>
      </c>
      <c r="N8" s="32" t="s">
        <v>8</v>
      </c>
      <c r="O8" s="32" t="s">
        <v>544</v>
      </c>
      <c r="P8" s="32" t="s">
        <v>565</v>
      </c>
      <c r="Q8" s="266" t="s">
        <v>8</v>
      </c>
      <c r="R8" s="181" t="s">
        <v>544</v>
      </c>
      <c r="S8" s="181" t="s">
        <v>565</v>
      </c>
      <c r="T8" s="181" t="s">
        <v>8</v>
      </c>
      <c r="U8" s="181" t="s">
        <v>8</v>
      </c>
      <c r="V8" s="181" t="s">
        <v>544</v>
      </c>
      <c r="W8" s="181" t="s">
        <v>565</v>
      </c>
      <c r="X8" s="181" t="s">
        <v>544</v>
      </c>
      <c r="Y8" s="181" t="s">
        <v>565</v>
      </c>
      <c r="Z8" s="32" t="s">
        <v>544</v>
      </c>
      <c r="AA8" s="32" t="s">
        <v>565</v>
      </c>
      <c r="AB8" s="32" t="s">
        <v>8</v>
      </c>
    </row>
    <row r="9" spans="1:30" x14ac:dyDescent="0.25">
      <c r="A9" s="233">
        <v>1</v>
      </c>
      <c r="B9" s="233">
        <v>2</v>
      </c>
      <c r="C9" s="233" t="s">
        <v>11</v>
      </c>
      <c r="D9" s="233">
        <v>1</v>
      </c>
      <c r="E9" s="233">
        <v>2</v>
      </c>
      <c r="F9" s="739">
        <v>3</v>
      </c>
      <c r="G9" s="739"/>
      <c r="H9" s="233">
        <v>4</v>
      </c>
      <c r="I9" s="233">
        <v>5</v>
      </c>
      <c r="J9" s="739">
        <v>6</v>
      </c>
      <c r="K9" s="739"/>
      <c r="L9" s="233">
        <v>7</v>
      </c>
      <c r="M9" s="233">
        <v>8</v>
      </c>
      <c r="N9" s="233">
        <v>9</v>
      </c>
      <c r="O9" s="233">
        <v>3</v>
      </c>
      <c r="P9" s="233">
        <v>4</v>
      </c>
      <c r="Q9" s="233">
        <v>12</v>
      </c>
      <c r="R9" s="233">
        <v>5</v>
      </c>
      <c r="S9" s="233">
        <v>6</v>
      </c>
      <c r="T9" s="233">
        <v>12</v>
      </c>
      <c r="U9" s="233">
        <v>12</v>
      </c>
      <c r="V9" s="233"/>
      <c r="W9" s="233"/>
      <c r="X9" s="233">
        <v>7</v>
      </c>
      <c r="Y9" s="233">
        <v>8</v>
      </c>
      <c r="Z9" s="233">
        <v>9</v>
      </c>
      <c r="AA9" s="233">
        <v>10</v>
      </c>
      <c r="AB9" s="233">
        <v>12</v>
      </c>
    </row>
    <row r="10" spans="1:30" x14ac:dyDescent="0.25">
      <c r="A10" s="246"/>
      <c r="B10" s="247" t="s">
        <v>570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8">
        <f>O11+O28</f>
        <v>6632173.8902549008</v>
      </c>
      <c r="P10" s="248">
        <f>O10/O38</f>
        <v>36.408172620360666</v>
      </c>
      <c r="Q10" s="246"/>
      <c r="R10" s="248">
        <f>R11+R28</f>
        <v>6591481.4843788687</v>
      </c>
      <c r="S10" s="248">
        <f>R10/R38</f>
        <v>36.184786418191074</v>
      </c>
      <c r="T10" s="248" t="e">
        <f>T11+T28</f>
        <v>#REF!</v>
      </c>
      <c r="U10" s="248" t="e">
        <f>U11+U28</f>
        <v>#REF!</v>
      </c>
      <c r="V10" s="248"/>
      <c r="W10" s="248"/>
      <c r="X10" s="248"/>
      <c r="Y10" s="248"/>
      <c r="Z10" s="248">
        <f>O10+R10</f>
        <v>13223655.37463377</v>
      </c>
      <c r="AA10" s="248">
        <f>AA11+AA28</f>
        <v>82.748310009539637</v>
      </c>
      <c r="AB10" s="233"/>
      <c r="AC10" s="234">
        <f>O10+R10</f>
        <v>13223655.37463377</v>
      </c>
      <c r="AD10" s="234">
        <f>P10+S10</f>
        <v>72.59295903855174</v>
      </c>
    </row>
    <row r="11" spans="1:30" ht="31.5" customHeight="1" x14ac:dyDescent="0.25">
      <c r="A11" s="249">
        <v>1</v>
      </c>
      <c r="B11" s="250" t="s">
        <v>568</v>
      </c>
      <c r="C11" s="249">
        <v>1</v>
      </c>
      <c r="D11" s="251"/>
      <c r="E11" s="251"/>
      <c r="F11" s="740"/>
      <c r="G11" s="740"/>
      <c r="H11" s="251"/>
      <c r="I11" s="251"/>
      <c r="J11" s="740"/>
      <c r="K11" s="740"/>
      <c r="L11" s="251"/>
      <c r="M11" s="251"/>
      <c r="N11" s="251"/>
      <c r="O11" s="252">
        <f>O12+O16+O20+O21</f>
        <v>5704369.6727633364</v>
      </c>
      <c r="P11" s="252">
        <f>O11/O38</f>
        <v>31.314871891625817</v>
      </c>
      <c r="Q11" s="252">
        <f>Q12+Q16+Q20+Q21</f>
        <v>0</v>
      </c>
      <c r="R11" s="252">
        <f>R12+R16+R20+R21</f>
        <v>5669369.9080056464</v>
      </c>
      <c r="S11" s="252">
        <f>R11/R38</f>
        <v>31.122736175938027</v>
      </c>
      <c r="T11" s="253" t="e">
        <f>T12+T20+T21+T28</f>
        <v>#REF!</v>
      </c>
      <c r="U11" s="253" t="e">
        <f>U12+U20+U21+U28</f>
        <v>#REF!</v>
      </c>
      <c r="V11" s="253"/>
      <c r="W11" s="253"/>
      <c r="X11" s="253" t="s">
        <v>222</v>
      </c>
      <c r="Y11" s="253" t="s">
        <v>222</v>
      </c>
      <c r="Z11" s="253">
        <f>O11+R11</f>
        <v>11373739.580768984</v>
      </c>
      <c r="AA11" s="253">
        <f>AA12+AA20+AA21+AA28+AA16</f>
        <v>72.59295903855174</v>
      </c>
      <c r="AB11" s="235"/>
      <c r="AC11" s="183">
        <f>O11+R11</f>
        <v>11373739.580768984</v>
      </c>
      <c r="AD11" s="183">
        <f>P11+S11</f>
        <v>62.437608067563843</v>
      </c>
    </row>
    <row r="12" spans="1:30" ht="20.25" customHeight="1" x14ac:dyDescent="0.25">
      <c r="A12" s="254" t="s">
        <v>24</v>
      </c>
      <c r="B12" s="255" t="s">
        <v>12</v>
      </c>
      <c r="C12" s="256">
        <v>2</v>
      </c>
      <c r="D12" s="257"/>
      <c r="E12" s="257"/>
      <c r="F12" s="746"/>
      <c r="G12" s="746"/>
      <c r="H12" s="257"/>
      <c r="I12" s="257"/>
      <c r="J12" s="746"/>
      <c r="K12" s="746"/>
      <c r="L12" s="257"/>
      <c r="M12" s="257"/>
      <c r="N12" s="257"/>
      <c r="O12" s="258">
        <f>O13+O16</f>
        <v>1671928.9388890965</v>
      </c>
      <c r="P12" s="258">
        <f>O12/O38</f>
        <v>9.1782692105666595</v>
      </c>
      <c r="Q12" s="258">
        <f t="shared" ref="Q12:R12" si="0">Q13+Q16</f>
        <v>0</v>
      </c>
      <c r="R12" s="258">
        <f t="shared" si="0"/>
        <v>3214782.6247010469</v>
      </c>
      <c r="S12" s="258">
        <f>R12/R38</f>
        <v>17.647963197863827</v>
      </c>
      <c r="T12" s="258" t="e">
        <f>T13+T16+#REF!</f>
        <v>#REF!</v>
      </c>
      <c r="U12" s="258" t="e">
        <f>U13+U16+#REF!</f>
        <v>#REF!</v>
      </c>
      <c r="V12" s="258"/>
      <c r="W12" s="258"/>
      <c r="X12" s="258"/>
      <c r="Y12" s="258"/>
      <c r="Z12" s="258">
        <f>Z13+Z16</f>
        <v>4886711.5635901438</v>
      </c>
      <c r="AA12" s="258">
        <f>AA13+AA16</f>
        <v>26.826232408430485</v>
      </c>
      <c r="AB12" s="235"/>
    </row>
    <row r="13" spans="1:30" ht="19.5" customHeight="1" x14ac:dyDescent="0.25">
      <c r="A13" s="8" t="s">
        <v>25</v>
      </c>
      <c r="B13" s="9" t="s">
        <v>13</v>
      </c>
      <c r="C13" s="181">
        <v>3</v>
      </c>
      <c r="D13" s="235"/>
      <c r="E13" s="235"/>
      <c r="F13" s="741"/>
      <c r="G13" s="741"/>
      <c r="H13" s="235"/>
      <c r="I13" s="235"/>
      <c r="J13" s="741"/>
      <c r="K13" s="741"/>
      <c r="L13" s="235"/>
      <c r="M13" s="235"/>
      <c r="N13" s="235"/>
      <c r="O13" s="237">
        <f>O14+O15</f>
        <v>1451029.1808090967</v>
      </c>
      <c r="P13" s="237">
        <f>O13/O38</f>
        <v>7.96561154249948</v>
      </c>
      <c r="Q13" s="237">
        <f t="shared" ref="Q13:R13" si="1">Q14+Q15</f>
        <v>0</v>
      </c>
      <c r="R13" s="237">
        <f t="shared" si="1"/>
        <v>2993882.8666210468</v>
      </c>
      <c r="S13" s="237">
        <f>R13/R38</f>
        <v>16.435305529796643</v>
      </c>
      <c r="T13" s="237"/>
      <c r="U13" s="237"/>
      <c r="V13" s="237"/>
      <c r="W13" s="237"/>
      <c r="X13" s="237" t="s">
        <v>222</v>
      </c>
      <c r="Y13" s="237" t="s">
        <v>222</v>
      </c>
      <c r="Z13" s="237">
        <f t="shared" ref="Z13:Z34" si="2">O13+R13</f>
        <v>4444912.0474301437</v>
      </c>
      <c r="AA13" s="237">
        <f t="shared" ref="AA13:AA34" si="3">P13+S13</f>
        <v>24.400917072296124</v>
      </c>
      <c r="AB13" s="235"/>
    </row>
    <row r="14" spans="1:30" ht="19.5" customHeight="1" x14ac:dyDescent="0.25">
      <c r="A14" s="8" t="s">
        <v>236</v>
      </c>
      <c r="B14" s="9" t="s">
        <v>239</v>
      </c>
      <c r="C14" s="181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7">
        <f>'ПММ збирання'!E8</f>
        <v>1299889.5520199039</v>
      </c>
      <c r="P14" s="237">
        <f>O14/O38</f>
        <v>7.1359110874466243</v>
      </c>
      <c r="Q14" s="237"/>
      <c r="R14" s="237">
        <f>'ПММ перевезення'!C9</f>
        <v>2682039.1414334406</v>
      </c>
      <c r="S14" s="237">
        <f>R14/R38</f>
        <v>14.723399243097894</v>
      </c>
      <c r="T14" s="237"/>
      <c r="U14" s="237"/>
      <c r="V14" s="237"/>
      <c r="W14" s="237"/>
      <c r="X14" s="237" t="s">
        <v>222</v>
      </c>
      <c r="Y14" s="237" t="s">
        <v>222</v>
      </c>
      <c r="Z14" s="237">
        <f t="shared" si="2"/>
        <v>3981928.6934533445</v>
      </c>
      <c r="AA14" s="237">
        <f t="shared" si="3"/>
        <v>21.859310330544517</v>
      </c>
      <c r="AB14" s="235"/>
    </row>
    <row r="15" spans="1:30" ht="19.5" customHeight="1" x14ac:dyDescent="0.25">
      <c r="A15" s="8" t="s">
        <v>237</v>
      </c>
      <c r="B15" s="9" t="s">
        <v>238</v>
      </c>
      <c r="C15" s="181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7">
        <f>'ПММ збирання'!G8+'ПММ збирання'!I8+'ПММ збирання'!K8+'ПММ збирання'!M8</f>
        <v>151139.62878919276</v>
      </c>
      <c r="P15" s="237">
        <f>O15/O38</f>
        <v>0.82970045505285617</v>
      </c>
      <c r="Q15" s="237"/>
      <c r="R15" s="237">
        <f>'ПММ перевезення'!E9+'ПММ перевезення'!G9+'ПММ перевезення'!I9+'ПММ перевезення'!K9</f>
        <v>311843.72518760629</v>
      </c>
      <c r="S15" s="237">
        <f>R15/R38</f>
        <v>1.711906286698752</v>
      </c>
      <c r="T15" s="237"/>
      <c r="U15" s="237"/>
      <c r="V15" s="237"/>
      <c r="W15" s="237"/>
      <c r="X15" s="237" t="s">
        <v>222</v>
      </c>
      <c r="Y15" s="237" t="s">
        <v>222</v>
      </c>
      <c r="Z15" s="237">
        <f t="shared" si="2"/>
        <v>462983.35397679906</v>
      </c>
      <c r="AA15" s="237">
        <f t="shared" si="3"/>
        <v>2.5416067417516084</v>
      </c>
      <c r="AB15" s="235"/>
    </row>
    <row r="16" spans="1:30" ht="33.75" customHeight="1" x14ac:dyDescent="0.25">
      <c r="A16" s="8" t="s">
        <v>26</v>
      </c>
      <c r="B16" s="9" t="s">
        <v>14</v>
      </c>
      <c r="C16" s="181">
        <v>4</v>
      </c>
      <c r="D16" s="235"/>
      <c r="E16" s="235"/>
      <c r="F16" s="741"/>
      <c r="G16" s="741"/>
      <c r="H16" s="235"/>
      <c r="I16" s="235"/>
      <c r="J16" s="741"/>
      <c r="K16" s="741"/>
      <c r="L16" s="235"/>
      <c r="M16" s="235"/>
      <c r="N16" s="235"/>
      <c r="O16" s="237">
        <f>O17+O18+O19</f>
        <v>220899.75807999994</v>
      </c>
      <c r="P16" s="237">
        <f>O16/O38</f>
        <v>1.2126576680671806</v>
      </c>
      <c r="Q16" s="237">
        <f t="shared" ref="Q16:R16" si="4">Q17+Q18+Q19</f>
        <v>0</v>
      </c>
      <c r="R16" s="237">
        <f t="shared" si="4"/>
        <v>220899.75807999994</v>
      </c>
      <c r="S16" s="237">
        <f>R16/R38</f>
        <v>1.2126576680671806</v>
      </c>
      <c r="T16" s="237"/>
      <c r="U16" s="237"/>
      <c r="V16" s="237"/>
      <c r="W16" s="237"/>
      <c r="X16" s="237" t="s">
        <v>222</v>
      </c>
      <c r="Y16" s="237" t="s">
        <v>222</v>
      </c>
      <c r="Z16" s="237">
        <f t="shared" si="2"/>
        <v>441799.51615999988</v>
      </c>
      <c r="AA16" s="237">
        <f t="shared" si="3"/>
        <v>2.4253153361343611</v>
      </c>
      <c r="AB16" s="235"/>
    </row>
    <row r="17" spans="1:30" ht="14.45" customHeight="1" x14ac:dyDescent="0.25">
      <c r="A17" s="8" t="s">
        <v>258</v>
      </c>
      <c r="B17" s="9" t="s">
        <v>259</v>
      </c>
      <c r="C17" s="181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7">
        <f>'Амортизація Ремонт дезін мийка'!E29/2</f>
        <v>72330.766559999989</v>
      </c>
      <c r="P17" s="237">
        <f>O17/O38</f>
        <v>0.39706905733412207</v>
      </c>
      <c r="Q17" s="237"/>
      <c r="R17" s="237">
        <f>'Амортизація Ремонт дезін мийка'!E29/2</f>
        <v>72330.766559999989</v>
      </c>
      <c r="S17" s="237">
        <f>R17/R38</f>
        <v>0.39706905733412207</v>
      </c>
      <c r="T17" s="237"/>
      <c r="U17" s="237"/>
      <c r="V17" s="237"/>
      <c r="W17" s="237"/>
      <c r="X17" s="237" t="s">
        <v>222</v>
      </c>
      <c r="Y17" s="237" t="s">
        <v>222</v>
      </c>
      <c r="Z17" s="237">
        <f t="shared" si="2"/>
        <v>144661.53311999998</v>
      </c>
      <c r="AA17" s="237">
        <f t="shared" si="3"/>
        <v>0.79413811466824413</v>
      </c>
      <c r="AB17" s="235"/>
    </row>
    <row r="18" spans="1:30" ht="14.45" customHeight="1" x14ac:dyDescent="0.25">
      <c r="A18" s="8" t="s">
        <v>260</v>
      </c>
      <c r="B18" s="9" t="s">
        <v>264</v>
      </c>
      <c r="C18" s="181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7">
        <f>'Загальні відомості'!G10/2</f>
        <v>102480.99119999997</v>
      </c>
      <c r="P18" s="237">
        <f>O17/O38</f>
        <v>0.39706905733412207</v>
      </c>
      <c r="Q18" s="237"/>
      <c r="R18" s="174">
        <f>'Загальні відомості'!G10/2</f>
        <v>102480.99119999997</v>
      </c>
      <c r="S18" s="237">
        <f>R17/R38</f>
        <v>0.39706905733412207</v>
      </c>
      <c r="T18" s="174">
        <f>'Загальні відомості'!I10/2</f>
        <v>7884.6739124999986</v>
      </c>
      <c r="U18" s="174">
        <f>'Загальні відомості'!J10/2</f>
        <v>5.1449999999999996</v>
      </c>
      <c r="V18" s="174"/>
      <c r="W18" s="174"/>
      <c r="X18" s="237" t="s">
        <v>222</v>
      </c>
      <c r="Y18" s="237" t="s">
        <v>222</v>
      </c>
      <c r="Z18" s="237">
        <f t="shared" si="2"/>
        <v>204961.98239999995</v>
      </c>
      <c r="AA18" s="237">
        <f t="shared" si="3"/>
        <v>0.79413811466824413</v>
      </c>
      <c r="AB18" s="235"/>
    </row>
    <row r="19" spans="1:30" ht="14.45" customHeight="1" x14ac:dyDescent="0.25">
      <c r="A19" s="8" t="s">
        <v>261</v>
      </c>
      <c r="B19" s="9" t="s">
        <v>262</v>
      </c>
      <c r="C19" s="181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7">
        <f>('Загальні відомості'!N10+'Амортизація Ремонт дезін мийка'!E32)/2</f>
        <v>46088.000319999992</v>
      </c>
      <c r="P19" s="237">
        <f>O18/O38</f>
        <v>0.56258259805245525</v>
      </c>
      <c r="Q19" s="237"/>
      <c r="R19" s="237">
        <f>('Загальні відомості'!N10+'Амортизація Ремонт дезін мийка'!E32)/2</f>
        <v>46088.000319999992</v>
      </c>
      <c r="S19" s="174">
        <f>R19/R38</f>
        <v>0.25300601268060324</v>
      </c>
      <c r="T19" s="237"/>
      <c r="U19" s="237"/>
      <c r="V19" s="237"/>
      <c r="W19" s="237"/>
      <c r="X19" s="237" t="s">
        <v>222</v>
      </c>
      <c r="Y19" s="237" t="s">
        <v>222</v>
      </c>
      <c r="Z19" s="237">
        <f t="shared" si="2"/>
        <v>92176.000639999984</v>
      </c>
      <c r="AA19" s="237">
        <f t="shared" si="3"/>
        <v>0.81558861073305855</v>
      </c>
      <c r="AB19" s="235"/>
    </row>
    <row r="20" spans="1:30" x14ac:dyDescent="0.25">
      <c r="A20" s="254" t="s">
        <v>27</v>
      </c>
      <c r="B20" s="255" t="s">
        <v>15</v>
      </c>
      <c r="C20" s="256">
        <v>9</v>
      </c>
      <c r="D20" s="257"/>
      <c r="E20" s="257"/>
      <c r="F20" s="746"/>
      <c r="G20" s="746"/>
      <c r="H20" s="257"/>
      <c r="I20" s="257"/>
      <c r="J20" s="746"/>
      <c r="K20" s="746"/>
      <c r="L20" s="257"/>
      <c r="M20" s="257"/>
      <c r="N20" s="257"/>
      <c r="O20" s="259">
        <f>'Штатне 2024'!O35</f>
        <v>2771592.6157919997</v>
      </c>
      <c r="P20" s="259">
        <f>O20/O38</f>
        <v>15.215014572724625</v>
      </c>
      <c r="Q20" s="259"/>
      <c r="R20" s="259">
        <f>'Штатне 2024'!O34</f>
        <v>1781647.0471799998</v>
      </c>
      <c r="S20" s="259">
        <f>R20/R38</f>
        <v>9.7805808948402309</v>
      </c>
      <c r="T20" s="259"/>
      <c r="U20" s="259"/>
      <c r="V20" s="259"/>
      <c r="W20" s="259"/>
      <c r="X20" s="259" t="s">
        <v>222</v>
      </c>
      <c r="Y20" s="259" t="s">
        <v>222</v>
      </c>
      <c r="Z20" s="259">
        <f t="shared" si="2"/>
        <v>4553239.6629719995</v>
      </c>
      <c r="AA20" s="259">
        <f t="shared" si="3"/>
        <v>24.995595467564854</v>
      </c>
      <c r="AB20" s="235"/>
    </row>
    <row r="21" spans="1:30" x14ac:dyDescent="0.25">
      <c r="A21" s="254" t="s">
        <v>28</v>
      </c>
      <c r="B21" s="255" t="s">
        <v>16</v>
      </c>
      <c r="C21" s="256">
        <v>10</v>
      </c>
      <c r="D21" s="257"/>
      <c r="E21" s="257"/>
      <c r="F21" s="746"/>
      <c r="G21" s="746"/>
      <c r="H21" s="257"/>
      <c r="I21" s="257"/>
      <c r="J21" s="746"/>
      <c r="K21" s="746"/>
      <c r="L21" s="257"/>
      <c r="M21" s="257"/>
      <c r="N21" s="257"/>
      <c r="O21" s="259">
        <f>O22+O23+O24</f>
        <v>1039948.3600022399</v>
      </c>
      <c r="P21" s="259">
        <f>O21/O38</f>
        <v>5.7089304402673493</v>
      </c>
      <c r="Q21" s="259"/>
      <c r="R21" s="259">
        <f>R22+R23+R24</f>
        <v>452040.47804459993</v>
      </c>
      <c r="S21" s="259">
        <f>R21/R38</f>
        <v>2.4815344151667902</v>
      </c>
      <c r="T21" s="259"/>
      <c r="U21" s="259"/>
      <c r="V21" s="259"/>
      <c r="W21" s="259"/>
      <c r="X21" s="259" t="s">
        <v>222</v>
      </c>
      <c r="Y21" s="259" t="s">
        <v>222</v>
      </c>
      <c r="Z21" s="259">
        <f t="shared" si="2"/>
        <v>1491988.8380468399</v>
      </c>
      <c r="AA21" s="259">
        <f t="shared" si="3"/>
        <v>8.1904648554341399</v>
      </c>
      <c r="AB21" s="235"/>
    </row>
    <row r="22" spans="1:30" ht="31.5" x14ac:dyDescent="0.25">
      <c r="A22" s="8" t="s">
        <v>29</v>
      </c>
      <c r="B22" s="9" t="s">
        <v>17</v>
      </c>
      <c r="C22" s="181">
        <v>11</v>
      </c>
      <c r="D22" s="235"/>
      <c r="E22" s="235"/>
      <c r="F22" s="741"/>
      <c r="G22" s="741"/>
      <c r="H22" s="235"/>
      <c r="I22" s="235"/>
      <c r="J22" s="741"/>
      <c r="K22" s="741"/>
      <c r="L22" s="235"/>
      <c r="M22" s="235"/>
      <c r="N22" s="235"/>
      <c r="O22" s="237">
        <f>O20*0.22</f>
        <v>609750.37547423993</v>
      </c>
      <c r="P22" s="237">
        <f>O22/O38</f>
        <v>3.3473032059994172</v>
      </c>
      <c r="Q22" s="237"/>
      <c r="R22" s="237">
        <f>R20*0.22</f>
        <v>391962.35037959996</v>
      </c>
      <c r="S22" s="237">
        <f>R22/R38</f>
        <v>2.1517277968648507</v>
      </c>
      <c r="T22" s="237"/>
      <c r="U22" s="237"/>
      <c r="V22" s="237"/>
      <c r="W22" s="237"/>
      <c r="X22" s="237" t="s">
        <v>222</v>
      </c>
      <c r="Y22" s="237" t="s">
        <v>222</v>
      </c>
      <c r="Z22" s="237">
        <f t="shared" si="2"/>
        <v>1001712.7258538399</v>
      </c>
      <c r="AA22" s="237">
        <f t="shared" si="3"/>
        <v>5.4990310028642675</v>
      </c>
      <c r="AB22" s="235"/>
    </row>
    <row r="23" spans="1:30" ht="31.5" x14ac:dyDescent="0.25">
      <c r="A23" s="8" t="s">
        <v>30</v>
      </c>
      <c r="B23" s="9" t="s">
        <v>18</v>
      </c>
      <c r="C23" s="181">
        <v>12</v>
      </c>
      <c r="D23" s="235"/>
      <c r="E23" s="235"/>
      <c r="F23" s="741"/>
      <c r="G23" s="741"/>
      <c r="H23" s="235"/>
      <c r="I23" s="235"/>
      <c r="J23" s="741"/>
      <c r="K23" s="741"/>
      <c r="L23" s="235"/>
      <c r="M23" s="235"/>
      <c r="N23" s="235"/>
      <c r="O23" s="237">
        <f>'Амортизація Ремонт дезін мийка'!C8+'Амортизація Ремонт дезін мийка'!C10</f>
        <v>382875.92092800001</v>
      </c>
      <c r="P23" s="237">
        <f>O23/O38</f>
        <v>2.1018466722968299</v>
      </c>
      <c r="Q23" s="237"/>
      <c r="R23" s="237">
        <f>'Амортизація Ремонт дезін мийка'!C9</f>
        <v>36990</v>
      </c>
      <c r="S23" s="237">
        <f>R23/R38</f>
        <v>0.20306136834047644</v>
      </c>
      <c r="T23" s="237"/>
      <c r="U23" s="237"/>
      <c r="V23" s="237"/>
      <c r="W23" s="237"/>
      <c r="X23" s="237" t="s">
        <v>222</v>
      </c>
      <c r="Y23" s="237" t="s">
        <v>222</v>
      </c>
      <c r="Z23" s="237">
        <f t="shared" si="2"/>
        <v>419865.92092800001</v>
      </c>
      <c r="AA23" s="237">
        <f t="shared" si="3"/>
        <v>2.3049080406373061</v>
      </c>
      <c r="AB23" s="235"/>
    </row>
    <row r="24" spans="1:30" x14ac:dyDescent="0.25">
      <c r="A24" s="8" t="s">
        <v>31</v>
      </c>
      <c r="B24" s="9" t="s">
        <v>19</v>
      </c>
      <c r="C24" s="181">
        <v>15</v>
      </c>
      <c r="D24" s="235"/>
      <c r="E24" s="235"/>
      <c r="F24" s="741"/>
      <c r="G24" s="741"/>
      <c r="H24" s="235"/>
      <c r="I24" s="235"/>
      <c r="J24" s="741"/>
      <c r="K24" s="741"/>
      <c r="L24" s="235"/>
      <c r="M24" s="235"/>
      <c r="N24" s="235"/>
      <c r="O24" s="237">
        <f>O25+O26</f>
        <v>47322.063599999994</v>
      </c>
      <c r="P24" s="237">
        <f>O24/O38</f>
        <v>0.25978056197110172</v>
      </c>
      <c r="Q24" s="237"/>
      <c r="R24" s="237">
        <f>R25+R26</f>
        <v>23088.127664999996</v>
      </c>
      <c r="S24" s="237">
        <f>R24/R38</f>
        <v>0.1267452499614628</v>
      </c>
      <c r="T24" s="237"/>
      <c r="U24" s="237"/>
      <c r="V24" s="237"/>
      <c r="W24" s="237"/>
      <c r="X24" s="237" t="s">
        <v>222</v>
      </c>
      <c r="Y24" s="237" t="s">
        <v>222</v>
      </c>
      <c r="Z24" s="237">
        <f t="shared" si="2"/>
        <v>70410.191264999987</v>
      </c>
      <c r="AA24" s="237">
        <f t="shared" si="3"/>
        <v>0.38652581193256452</v>
      </c>
      <c r="AB24" s="235"/>
    </row>
    <row r="25" spans="1:30" x14ac:dyDescent="0.25">
      <c r="A25" s="8" t="s">
        <v>233</v>
      </c>
      <c r="B25" s="9" t="s">
        <v>567</v>
      </c>
      <c r="C25" s="181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7">
        <v>0</v>
      </c>
      <c r="P25" s="237">
        <f>O25/O38</f>
        <v>0</v>
      </c>
      <c r="Q25" s="237"/>
      <c r="R25" s="237">
        <f>'Амортизація Ремонт дезін мийка'!E31</f>
        <v>7318.7798400000001</v>
      </c>
      <c r="S25" s="238">
        <f>R25/R38</f>
        <v>4.0177384398299362E-2</v>
      </c>
      <c r="T25" s="237"/>
      <c r="U25" s="237"/>
      <c r="V25" s="237"/>
      <c r="W25" s="237"/>
      <c r="X25" s="237" t="s">
        <v>222</v>
      </c>
      <c r="Y25" s="237" t="s">
        <v>222</v>
      </c>
      <c r="Z25" s="237">
        <f t="shared" si="2"/>
        <v>7318.7798400000001</v>
      </c>
      <c r="AA25" s="237">
        <f t="shared" si="3"/>
        <v>4.0177384398299362E-2</v>
      </c>
      <c r="AB25" s="235"/>
    </row>
    <row r="26" spans="1:30" ht="13.9" customHeight="1" x14ac:dyDescent="0.25">
      <c r="A26" s="8" t="s">
        <v>234</v>
      </c>
      <c r="B26" s="9" t="s">
        <v>566</v>
      </c>
      <c r="C26" s="181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7">
        <f>'Загальні відомості'!L10</f>
        <v>47322.063599999994</v>
      </c>
      <c r="P26" s="237">
        <f>O26/O38</f>
        <v>0.25978056197110172</v>
      </c>
      <c r="Q26" s="237"/>
      <c r="R26" s="237">
        <f>'Загальні відомості'!I10</f>
        <v>15769.347824999997</v>
      </c>
      <c r="S26" s="239">
        <f>R26/R38</f>
        <v>8.656786556316344E-2</v>
      </c>
      <c r="T26" s="237"/>
      <c r="U26" s="237"/>
      <c r="V26" s="237"/>
      <c r="W26" s="237"/>
      <c r="X26" s="237"/>
      <c r="Y26" s="237"/>
      <c r="Z26" s="237">
        <f t="shared" si="2"/>
        <v>63091.411424999991</v>
      </c>
      <c r="AA26" s="237">
        <f t="shared" si="3"/>
        <v>0.34634842753426515</v>
      </c>
      <c r="AB26" s="235"/>
    </row>
    <row r="27" spans="1:30" hidden="1" x14ac:dyDescent="0.25">
      <c r="A27" s="8"/>
      <c r="B27" s="9"/>
      <c r="C27" s="181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7"/>
      <c r="P27" s="237">
        <f>O27/O38</f>
        <v>0</v>
      </c>
      <c r="Q27" s="237"/>
      <c r="R27" s="237"/>
      <c r="S27" s="237"/>
      <c r="T27" s="237"/>
      <c r="U27" s="237"/>
      <c r="V27" s="237"/>
      <c r="W27" s="237"/>
      <c r="X27" s="237" t="s">
        <v>222</v>
      </c>
      <c r="Y27" s="237" t="s">
        <v>222</v>
      </c>
      <c r="Z27" s="237">
        <f t="shared" si="2"/>
        <v>0</v>
      </c>
      <c r="AA27" s="237">
        <f t="shared" si="3"/>
        <v>0</v>
      </c>
      <c r="AB27" s="235"/>
    </row>
    <row r="28" spans="1:30" x14ac:dyDescent="0.25">
      <c r="A28" s="260" t="s">
        <v>32</v>
      </c>
      <c r="B28" s="247" t="s">
        <v>207</v>
      </c>
      <c r="C28" s="261">
        <v>16</v>
      </c>
      <c r="D28" s="262"/>
      <c r="E28" s="262"/>
      <c r="F28" s="744"/>
      <c r="G28" s="744"/>
      <c r="H28" s="262"/>
      <c r="I28" s="262"/>
      <c r="J28" s="744"/>
      <c r="K28" s="744"/>
      <c r="L28" s="262"/>
      <c r="M28" s="262"/>
      <c r="N28" s="262"/>
      <c r="O28" s="263">
        <f>'РОзподіл  ЗВВ АДМ'!E8</f>
        <v>927804.21749156446</v>
      </c>
      <c r="P28" s="264">
        <f>O28/O38</f>
        <v>5.0933007287348495</v>
      </c>
      <c r="Q28" s="264"/>
      <c r="R28" s="265">
        <f>'РОзподіл  ЗВВ АДМ'!E9</f>
        <v>922111.57637322205</v>
      </c>
      <c r="S28" s="264">
        <f>R28/R38</f>
        <v>5.0620502422530471</v>
      </c>
      <c r="T28" s="264"/>
      <c r="U28" s="264"/>
      <c r="V28" s="264"/>
      <c r="W28" s="264"/>
      <c r="X28" s="264" t="s">
        <v>222</v>
      </c>
      <c r="Y28" s="264" t="s">
        <v>222</v>
      </c>
      <c r="Z28" s="264">
        <f t="shared" si="2"/>
        <v>1849915.7938647866</v>
      </c>
      <c r="AA28" s="264">
        <f t="shared" si="3"/>
        <v>10.155350970987897</v>
      </c>
      <c r="AB28" s="235"/>
    </row>
    <row r="29" spans="1:30" x14ac:dyDescent="0.25">
      <c r="A29" s="260" t="s">
        <v>33</v>
      </c>
      <c r="B29" s="247" t="s">
        <v>20</v>
      </c>
      <c r="C29" s="261">
        <v>17</v>
      </c>
      <c r="D29" s="262"/>
      <c r="E29" s="262"/>
      <c r="F29" s="744"/>
      <c r="G29" s="744"/>
      <c r="H29" s="262"/>
      <c r="I29" s="262"/>
      <c r="J29" s="744"/>
      <c r="K29" s="744"/>
      <c r="L29" s="262"/>
      <c r="M29" s="262"/>
      <c r="N29" s="262"/>
      <c r="O29" s="263">
        <f>'РОзподіл  ЗВВ АДМ'!H8</f>
        <v>418810.87535308424</v>
      </c>
      <c r="P29" s="264">
        <f>O29/O38</f>
        <v>2.2991162320916465</v>
      </c>
      <c r="Q29" s="264"/>
      <c r="R29" s="264">
        <f>'РОзподіл  ЗВВ АДМ'!H9</f>
        <v>416241.21683580597</v>
      </c>
      <c r="S29" s="264">
        <f>R29/R38</f>
        <v>2.2850097607565214</v>
      </c>
      <c r="T29" s="264"/>
      <c r="U29" s="264"/>
      <c r="V29" s="264"/>
      <c r="W29" s="264"/>
      <c r="X29" s="264" t="s">
        <v>222</v>
      </c>
      <c r="Y29" s="264" t="s">
        <v>222</v>
      </c>
      <c r="Z29" s="264">
        <f t="shared" si="2"/>
        <v>835052.09218889021</v>
      </c>
      <c r="AA29" s="264">
        <f t="shared" si="3"/>
        <v>4.5841259928481684</v>
      </c>
      <c r="AB29" s="235"/>
    </row>
    <row r="30" spans="1:30" x14ac:dyDescent="0.25">
      <c r="A30" s="240" t="s">
        <v>34</v>
      </c>
      <c r="B30" s="241" t="s">
        <v>21</v>
      </c>
      <c r="C30" s="240">
        <v>21</v>
      </c>
      <c r="D30" s="242"/>
      <c r="E30" s="242"/>
      <c r="F30" s="745"/>
      <c r="G30" s="745"/>
      <c r="H30" s="242"/>
      <c r="I30" s="242"/>
      <c r="J30" s="745"/>
      <c r="K30" s="745"/>
      <c r="L30" s="242"/>
      <c r="M30" s="242"/>
      <c r="N30" s="242"/>
      <c r="O30" s="242">
        <f>O10+O29</f>
        <v>7050984.7656079847</v>
      </c>
      <c r="P30" s="264">
        <f>O30/O38</f>
        <v>38.707288852452308</v>
      </c>
      <c r="Q30" s="242">
        <f>Q10+Q29</f>
        <v>0</v>
      </c>
      <c r="R30" s="242">
        <f>R10+R29</f>
        <v>7007722.7012146749</v>
      </c>
      <c r="S30" s="242">
        <f>R30/R38</f>
        <v>38.469796178947597</v>
      </c>
      <c r="T30" s="242"/>
      <c r="U30" s="242"/>
      <c r="V30" s="242"/>
      <c r="W30" s="242"/>
      <c r="X30" s="242" t="s">
        <v>222</v>
      </c>
      <c r="Y30" s="242" t="s">
        <v>222</v>
      </c>
      <c r="Z30" s="242">
        <f t="shared" si="2"/>
        <v>14058707.46682266</v>
      </c>
      <c r="AA30" s="242">
        <f t="shared" si="3"/>
        <v>77.177085031399912</v>
      </c>
      <c r="AB30" s="235"/>
    </row>
    <row r="31" spans="1:30" x14ac:dyDescent="0.25">
      <c r="A31" s="8" t="s">
        <v>35</v>
      </c>
      <c r="B31" s="9" t="s">
        <v>633</v>
      </c>
      <c r="C31" s="181">
        <v>23</v>
      </c>
      <c r="D31" s="235"/>
      <c r="E31" s="235"/>
      <c r="F31" s="741"/>
      <c r="G31" s="741"/>
      <c r="H31" s="235"/>
      <c r="I31" s="235"/>
      <c r="J31" s="741"/>
      <c r="K31" s="741"/>
      <c r="L31" s="235"/>
      <c r="M31" s="235"/>
      <c r="N31" s="235"/>
      <c r="O31" s="236">
        <f>O30*0.15</f>
        <v>1057647.7148411977</v>
      </c>
      <c r="P31" s="237">
        <f>O31/O38</f>
        <v>5.8060933278678464</v>
      </c>
      <c r="Q31" s="237"/>
      <c r="R31" s="237">
        <f>R30*0.15</f>
        <v>1051158.4051822012</v>
      </c>
      <c r="S31" s="237">
        <f>R31/R38</f>
        <v>5.7704694268421397</v>
      </c>
      <c r="T31" s="237"/>
      <c r="U31" s="237"/>
      <c r="V31" s="237"/>
      <c r="W31" s="237"/>
      <c r="X31" s="237" t="s">
        <v>222</v>
      </c>
      <c r="Y31" s="237" t="s">
        <v>222</v>
      </c>
      <c r="Z31" s="237">
        <f t="shared" si="2"/>
        <v>2108806.1200233987</v>
      </c>
      <c r="AA31" s="237">
        <f t="shared" si="3"/>
        <v>11.576562754709986</v>
      </c>
      <c r="AB31" s="235"/>
    </row>
    <row r="32" spans="1:30" ht="18" customHeight="1" x14ac:dyDescent="0.25">
      <c r="A32" s="8" t="s">
        <v>50</v>
      </c>
      <c r="B32" s="9" t="s">
        <v>22</v>
      </c>
      <c r="C32" s="181">
        <v>24</v>
      </c>
      <c r="D32" s="235"/>
      <c r="E32" s="235"/>
      <c r="F32" s="741"/>
      <c r="G32" s="741"/>
      <c r="H32" s="235"/>
      <c r="I32" s="235"/>
      <c r="J32" s="741"/>
      <c r="K32" s="741"/>
      <c r="L32" s="235"/>
      <c r="M32" s="235"/>
      <c r="N32" s="235"/>
      <c r="O32" s="237">
        <f>O31*0.18</f>
        <v>190376.58867141558</v>
      </c>
      <c r="P32" s="237">
        <f>O32/O38</f>
        <v>1.0450967990162123</v>
      </c>
      <c r="Q32" s="237"/>
      <c r="R32" s="237">
        <f>R31*0.18</f>
        <v>189208.51293279621</v>
      </c>
      <c r="S32" s="237">
        <f>R32/R38</f>
        <v>1.0386844968315851</v>
      </c>
      <c r="T32" s="237"/>
      <c r="U32" s="237"/>
      <c r="V32" s="237"/>
      <c r="W32" s="237"/>
      <c r="X32" s="237" t="s">
        <v>222</v>
      </c>
      <c r="Y32" s="237" t="s">
        <v>222</v>
      </c>
      <c r="Z32" s="237">
        <f t="shared" si="2"/>
        <v>379585.10160421178</v>
      </c>
      <c r="AA32" s="237">
        <f t="shared" si="3"/>
        <v>2.0837812958477975</v>
      </c>
      <c r="AB32" s="235"/>
      <c r="AD32" s="183"/>
    </row>
    <row r="33" spans="1:32" ht="24" customHeight="1" x14ac:dyDescent="0.25">
      <c r="A33" s="8" t="s">
        <v>603</v>
      </c>
      <c r="B33" s="122" t="s">
        <v>606</v>
      </c>
      <c r="C33" s="181">
        <v>25</v>
      </c>
      <c r="D33" s="235"/>
      <c r="E33" s="235"/>
      <c r="F33" s="741"/>
      <c r="G33" s="741"/>
      <c r="H33" s="235"/>
      <c r="I33" s="235"/>
      <c r="J33" s="741"/>
      <c r="K33" s="741"/>
      <c r="L33" s="235"/>
      <c r="M33" s="235"/>
      <c r="N33" s="235"/>
      <c r="O33" s="237">
        <f>O31-O32</f>
        <v>867271.12616978213</v>
      </c>
      <c r="P33" s="237">
        <f>O33/O38</f>
        <v>4.760996528851634</v>
      </c>
      <c r="Q33" s="237">
        <f t="shared" ref="Q33:R33" si="5">Q31-Q32</f>
        <v>0</v>
      </c>
      <c r="R33" s="237">
        <f t="shared" si="5"/>
        <v>861949.89224940492</v>
      </c>
      <c r="S33" s="237">
        <f>R33/R38</f>
        <v>4.7317849300105541</v>
      </c>
      <c r="T33" s="237"/>
      <c r="U33" s="237"/>
      <c r="V33" s="237"/>
      <c r="W33" s="237"/>
      <c r="X33" s="237" t="s">
        <v>222</v>
      </c>
      <c r="Y33" s="237" t="s">
        <v>222</v>
      </c>
      <c r="Z33" s="237">
        <f t="shared" si="2"/>
        <v>1729221.0184191871</v>
      </c>
      <c r="AA33" s="237">
        <f t="shared" si="3"/>
        <v>9.4927814588621882</v>
      </c>
      <c r="AB33" s="235"/>
    </row>
    <row r="34" spans="1:32" ht="44.45" customHeight="1" x14ac:dyDescent="0.25">
      <c r="A34" s="8" t="s">
        <v>604</v>
      </c>
      <c r="B34" s="9" t="s">
        <v>625</v>
      </c>
      <c r="C34" s="181">
        <v>29</v>
      </c>
      <c r="D34" s="235"/>
      <c r="E34" s="235"/>
      <c r="F34" s="741"/>
      <c r="G34" s="741"/>
      <c r="H34" s="235"/>
      <c r="I34" s="235"/>
      <c r="J34" s="741"/>
      <c r="K34" s="741"/>
      <c r="L34" s="235"/>
      <c r="M34" s="235"/>
      <c r="N34" s="235"/>
      <c r="O34" s="237">
        <f>O33</f>
        <v>867271.12616978213</v>
      </c>
      <c r="P34" s="237">
        <f>O34/O38</f>
        <v>4.760996528851634</v>
      </c>
      <c r="Q34" s="237">
        <f t="shared" ref="Q34" si="6">Q33/2</f>
        <v>0</v>
      </c>
      <c r="R34" s="237">
        <f>R33</f>
        <v>861949.89224940492</v>
      </c>
      <c r="S34" s="237">
        <f>R34/R38</f>
        <v>4.7317849300105541</v>
      </c>
      <c r="T34" s="237"/>
      <c r="U34" s="237"/>
      <c r="V34" s="237"/>
      <c r="W34" s="237"/>
      <c r="X34" s="237" t="s">
        <v>222</v>
      </c>
      <c r="Y34" s="237" t="s">
        <v>222</v>
      </c>
      <c r="Z34" s="237">
        <f t="shared" si="2"/>
        <v>1729221.0184191871</v>
      </c>
      <c r="AA34" s="237">
        <f t="shared" si="3"/>
        <v>9.4927814588621882</v>
      </c>
      <c r="AB34" s="235"/>
    </row>
    <row r="35" spans="1:32" ht="20.45" hidden="1" customHeight="1" x14ac:dyDescent="0.25">
      <c r="A35" s="8" t="s">
        <v>605</v>
      </c>
      <c r="B35" s="9" t="s">
        <v>607</v>
      </c>
      <c r="C35" s="181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7"/>
      <c r="P35" s="237">
        <f>O35/O38</f>
        <v>0</v>
      </c>
      <c r="Q35" s="237">
        <f t="shared" ref="Q35" si="7">Q33/2</f>
        <v>0</v>
      </c>
      <c r="R35" s="237"/>
      <c r="S35" s="237">
        <f>R35/R38</f>
        <v>0</v>
      </c>
      <c r="T35" s="237"/>
      <c r="U35" s="237"/>
      <c r="V35" s="237"/>
      <c r="W35" s="237"/>
      <c r="X35" s="237"/>
      <c r="Y35" s="237"/>
      <c r="Z35" s="237"/>
      <c r="AA35" s="237"/>
      <c r="AB35" s="235"/>
    </row>
    <row r="36" spans="1:32" ht="30.75" customHeight="1" x14ac:dyDescent="0.25">
      <c r="A36" s="267" t="s">
        <v>36</v>
      </c>
      <c r="B36" s="268" t="s">
        <v>622</v>
      </c>
      <c r="C36" s="269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81">
        <f>O30+O31</f>
        <v>8108632.4804491829</v>
      </c>
      <c r="P36" s="280">
        <f>O36/O38</f>
        <v>44.513382180320157</v>
      </c>
      <c r="Q36" s="280">
        <f t="shared" ref="Q36:U36" si="8">Q30+Q31</f>
        <v>0</v>
      </c>
      <c r="R36" s="281">
        <f>R30+R31</f>
        <v>8058881.1063968763</v>
      </c>
      <c r="S36" s="280">
        <f>R36/R38</f>
        <v>44.240265605789737</v>
      </c>
      <c r="T36" s="280">
        <f t="shared" si="8"/>
        <v>0</v>
      </c>
      <c r="U36" s="280">
        <f t="shared" si="8"/>
        <v>0</v>
      </c>
      <c r="V36" s="280">
        <v>0</v>
      </c>
      <c r="W36" s="280">
        <v>0</v>
      </c>
      <c r="X36" s="281">
        <f>Y36*X38</f>
        <v>2581767.3078020881</v>
      </c>
      <c r="Y36" s="280">
        <v>19.082999999999998</v>
      </c>
      <c r="Z36" s="280">
        <f>O36+R36+V36+X36</f>
        <v>18749280.894648146</v>
      </c>
      <c r="AA36" s="280">
        <f>P36+S36+W36+Y36</f>
        <v>107.83664778610989</v>
      </c>
      <c r="AB36" s="235"/>
    </row>
    <row r="37" spans="1:32" ht="30.75" customHeight="1" x14ac:dyDescent="0.25">
      <c r="A37" s="267" t="s">
        <v>267</v>
      </c>
      <c r="B37" s="268" t="s">
        <v>620</v>
      </c>
      <c r="C37" s="269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80">
        <f>O36*1.2</f>
        <v>9730358.9765390195</v>
      </c>
      <c r="P37" s="282">
        <f t="shared" ref="P37:T37" si="9">P36*1.2</f>
        <v>53.416058616384184</v>
      </c>
      <c r="Q37" s="280">
        <f t="shared" si="9"/>
        <v>0</v>
      </c>
      <c r="R37" s="280">
        <f t="shared" si="9"/>
        <v>9670657.3276762515</v>
      </c>
      <c r="S37" s="282">
        <f t="shared" si="9"/>
        <v>53.088318726947684</v>
      </c>
      <c r="T37" s="280">
        <f t="shared" si="9"/>
        <v>0</v>
      </c>
      <c r="U37" s="280">
        <f t="shared" ref="U37" si="10">U36*1.2</f>
        <v>0</v>
      </c>
      <c r="V37" s="280">
        <v>0</v>
      </c>
      <c r="W37" s="282">
        <f t="shared" ref="W37" si="11">W36*1.2</f>
        <v>0</v>
      </c>
      <c r="X37" s="280">
        <f t="shared" ref="X37:Y37" si="12">X36*1.2</f>
        <v>3098120.7693625055</v>
      </c>
      <c r="Y37" s="282">
        <f t="shared" si="12"/>
        <v>22.899599999999996</v>
      </c>
      <c r="Z37" s="280">
        <f t="shared" ref="Z37" si="13">Z36*1.2</f>
        <v>22499137.073577773</v>
      </c>
      <c r="AA37" s="280">
        <f t="shared" ref="AA37" si="14">AA36*1.2</f>
        <v>129.40397734333186</v>
      </c>
      <c r="AB37" s="235"/>
    </row>
    <row r="38" spans="1:32" ht="39" customHeight="1" x14ac:dyDescent="0.25">
      <c r="A38" s="271" t="s">
        <v>268</v>
      </c>
      <c r="B38" s="272" t="s">
        <v>593</v>
      </c>
      <c r="C38" s="273">
        <v>31</v>
      </c>
      <c r="D38" s="274"/>
      <c r="E38" s="274"/>
      <c r="F38" s="743"/>
      <c r="G38" s="743"/>
      <c r="H38" s="274"/>
      <c r="I38" s="274"/>
      <c r="J38" s="743"/>
      <c r="K38" s="743"/>
      <c r="L38" s="274"/>
      <c r="M38" s="274"/>
      <c r="N38" s="274"/>
      <c r="O38" s="282">
        <f>'РІЧНИЙ  План'!O21</f>
        <v>182161.68</v>
      </c>
      <c r="P38" s="283"/>
      <c r="Q38" s="283"/>
      <c r="R38" s="282">
        <f>'РІЧНИЙ  План'!O21</f>
        <v>182161.68</v>
      </c>
      <c r="S38" s="283"/>
      <c r="T38" s="283"/>
      <c r="U38" s="283"/>
      <c r="V38" s="282">
        <f>R38-X38</f>
        <v>46870.200263999985</v>
      </c>
      <c r="W38" s="283"/>
      <c r="X38" s="282">
        <f>'РІЧНИЙ  План'!O27</f>
        <v>135291.47973600001</v>
      </c>
      <c r="Y38" s="283"/>
      <c r="Z38" s="283"/>
      <c r="AA38" s="283"/>
      <c r="AB38" s="235"/>
    </row>
    <row r="39" spans="1:32" ht="47.25" x14ac:dyDescent="0.3">
      <c r="A39" s="275" t="s">
        <v>37</v>
      </c>
      <c r="B39" s="276" t="s">
        <v>635</v>
      </c>
      <c r="C39" s="277"/>
      <c r="D39" s="278"/>
      <c r="E39" s="278"/>
      <c r="F39" s="278"/>
      <c r="G39" s="278"/>
      <c r="H39" s="278"/>
      <c r="I39" s="278"/>
      <c r="J39" s="278"/>
      <c r="K39" s="279"/>
      <c r="L39" s="279"/>
      <c r="M39" s="279"/>
      <c r="N39" s="279"/>
      <c r="O39" s="619">
        <f>(O36+R36+V36+X36)/O38</f>
        <v>102.92659188610989</v>
      </c>
      <c r="P39" s="569"/>
      <c r="Q39" s="569"/>
      <c r="R39" s="569"/>
      <c r="S39" s="569"/>
      <c r="T39" s="569"/>
      <c r="U39" s="569"/>
      <c r="V39" s="569"/>
      <c r="W39" s="569"/>
      <c r="X39" s="569"/>
      <c r="Y39" s="570"/>
      <c r="Z39" s="280"/>
      <c r="AA39" s="280"/>
      <c r="AB39" s="80"/>
      <c r="AD39" s="183">
        <f t="shared" ref="AD39:AD40" si="15">AA39*2.472/12</f>
        <v>0</v>
      </c>
      <c r="AF39" s="122">
        <v>102.93</v>
      </c>
    </row>
    <row r="40" spans="1:32" ht="47.25" x14ac:dyDescent="0.25">
      <c r="A40" s="275" t="s">
        <v>38</v>
      </c>
      <c r="B40" s="276" t="s">
        <v>636</v>
      </c>
      <c r="C40" s="277"/>
      <c r="D40" s="278"/>
      <c r="E40" s="278"/>
      <c r="F40" s="278"/>
      <c r="G40" s="278"/>
      <c r="H40" s="278"/>
      <c r="I40" s="278"/>
      <c r="J40" s="278"/>
      <c r="K40" s="279"/>
      <c r="L40" s="279"/>
      <c r="M40" s="279"/>
      <c r="N40" s="279"/>
      <c r="O40" s="620">
        <f>(O37+R37+V37+X37)/O38</f>
        <v>123.51191026333188</v>
      </c>
      <c r="P40" s="571"/>
      <c r="Q40" s="571"/>
      <c r="R40" s="571"/>
      <c r="S40" s="571"/>
      <c r="T40" s="571"/>
      <c r="U40" s="571"/>
      <c r="V40" s="571"/>
      <c r="W40" s="571"/>
      <c r="X40" s="571"/>
      <c r="Y40" s="572"/>
      <c r="Z40" s="279"/>
      <c r="AA40" s="280"/>
      <c r="AB40" s="80"/>
      <c r="AD40" s="183">
        <f t="shared" si="15"/>
        <v>0</v>
      </c>
      <c r="AF40" s="122">
        <v>123.51</v>
      </c>
    </row>
    <row r="41" spans="1:32" x14ac:dyDescent="0.25">
      <c r="A41" s="243"/>
      <c r="B41" s="243"/>
      <c r="C41" s="243"/>
      <c r="D41" s="243"/>
      <c r="E41" s="243"/>
      <c r="F41" s="243"/>
      <c r="G41" s="749"/>
      <c r="H41" s="749"/>
      <c r="I41" s="749"/>
      <c r="J41" s="749"/>
      <c r="K41" s="749"/>
      <c r="L41" s="749"/>
      <c r="M41" s="749"/>
      <c r="N41" s="749"/>
      <c r="O41" s="749"/>
      <c r="P41" s="749"/>
      <c r="Q41" s="749"/>
      <c r="S41" s="234"/>
      <c r="Z41" s="80"/>
      <c r="AA41" s="183"/>
      <c r="AC41" s="183"/>
    </row>
    <row r="42" spans="1:32" ht="33" customHeight="1" x14ac:dyDescent="0.25">
      <c r="A42" s="719" t="s">
        <v>595</v>
      </c>
      <c r="B42" s="719"/>
      <c r="C42" s="719"/>
      <c r="D42" s="719"/>
      <c r="E42" s="719"/>
      <c r="F42" s="719"/>
      <c r="G42" s="719"/>
      <c r="H42" s="719"/>
      <c r="I42" s="719"/>
      <c r="J42" s="719"/>
      <c r="K42" s="719"/>
      <c r="L42" s="719"/>
      <c r="M42" s="719"/>
      <c r="N42" s="719"/>
      <c r="O42" s="719"/>
      <c r="P42" s="719"/>
      <c r="Q42" s="719"/>
      <c r="R42" s="719"/>
      <c r="S42" s="719"/>
      <c r="T42" s="719"/>
      <c r="U42" s="719"/>
      <c r="V42" s="719"/>
      <c r="W42" s="719"/>
      <c r="X42" s="719"/>
      <c r="Y42" s="719"/>
      <c r="Z42" s="80"/>
      <c r="AA42" s="183"/>
      <c r="AC42" s="183"/>
    </row>
    <row r="43" spans="1:32" x14ac:dyDescent="0.25">
      <c r="Z43" s="80"/>
      <c r="AA43" s="183"/>
      <c r="AC43" s="183"/>
    </row>
    <row r="44" spans="1:32" x14ac:dyDescent="0.25">
      <c r="A44" s="182"/>
      <c r="B44" s="184"/>
      <c r="O44" s="234"/>
      <c r="P44" s="234"/>
      <c r="Q44" s="234"/>
      <c r="R44" s="234"/>
      <c r="S44" s="234"/>
    </row>
    <row r="45" spans="1:32" ht="13.15" customHeight="1" x14ac:dyDescent="0.25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</row>
    <row r="46" spans="1:32" x14ac:dyDescent="0.25">
      <c r="A46" s="244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</row>
    <row r="47" spans="1:32" ht="15" customHeight="1" x14ac:dyDescent="0.25">
      <c r="A47" s="244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83"/>
      <c r="P47" s="83"/>
    </row>
    <row r="48" spans="1:32" ht="12.6" customHeight="1" x14ac:dyDescent="0.25">
      <c r="A48" s="244"/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</row>
  </sheetData>
  <sheetProtection algorithmName="SHA-512" hashValue="yXnHujCP2bjTnUYgIZRmw4kohecQiy4rYk+evkcEwRhYJx2gn/TZrBM7fj8bWfexVCtFdReCNCiU+yGHnDOvAQ==" saltValue="7jeLYjt9TPI66eLEEljaRQ==" spinCount="100000" sheet="1" formatCells="0" formatColumns="0" formatRows="0" insertColumns="0" insertRows="0" insertHyperlinks="0" deleteColumns="0" deleteRows="0" sort="0" autoFilter="0" pivotTables="0"/>
  <mergeCells count="56">
    <mergeCell ref="A6:A8"/>
    <mergeCell ref="A5:AA5"/>
    <mergeCell ref="G41:J41"/>
    <mergeCell ref="K41:Q41"/>
    <mergeCell ref="F31:G31"/>
    <mergeCell ref="J31:K31"/>
    <mergeCell ref="F32:G32"/>
    <mergeCell ref="J32:K32"/>
    <mergeCell ref="F33:G33"/>
    <mergeCell ref="J24:K24"/>
    <mergeCell ref="F28:G28"/>
    <mergeCell ref="J28:K28"/>
    <mergeCell ref="J30:K30"/>
    <mergeCell ref="F20:G20"/>
    <mergeCell ref="J20:K20"/>
    <mergeCell ref="J12:K12"/>
    <mergeCell ref="N2:Q2"/>
    <mergeCell ref="F34:G34"/>
    <mergeCell ref="J34:K34"/>
    <mergeCell ref="F38:G38"/>
    <mergeCell ref="J38:K38"/>
    <mergeCell ref="F29:G29"/>
    <mergeCell ref="J29:K29"/>
    <mergeCell ref="J33:K33"/>
    <mergeCell ref="F30:G30"/>
    <mergeCell ref="F23:G23"/>
    <mergeCell ref="J23:K23"/>
    <mergeCell ref="F24:G24"/>
    <mergeCell ref="F21:G21"/>
    <mergeCell ref="J21:K21"/>
    <mergeCell ref="F22:G22"/>
    <mergeCell ref="F12:G12"/>
    <mergeCell ref="J9:K9"/>
    <mergeCell ref="F11:G11"/>
    <mergeCell ref="J11:K11"/>
    <mergeCell ref="J22:K22"/>
    <mergeCell ref="F13:G13"/>
    <mergeCell ref="J13:K13"/>
    <mergeCell ref="F16:G16"/>
    <mergeCell ref="J16:K16"/>
    <mergeCell ref="A42:Y42"/>
    <mergeCell ref="Z6:AA7"/>
    <mergeCell ref="X6:Y7"/>
    <mergeCell ref="B6:B8"/>
    <mergeCell ref="C6:C8"/>
    <mergeCell ref="D6:K6"/>
    <mergeCell ref="L6:N7"/>
    <mergeCell ref="O6:Q7"/>
    <mergeCell ref="D7:G7"/>
    <mergeCell ref="H7:K7"/>
    <mergeCell ref="F8:G8"/>
    <mergeCell ref="J8:K8"/>
    <mergeCell ref="R6:T7"/>
    <mergeCell ref="U6:U7"/>
    <mergeCell ref="V6:W7"/>
    <mergeCell ref="F9:G9"/>
  </mergeCells>
  <phoneticPr fontId="60" type="noConversion"/>
  <pageMargins left="0" right="0" top="0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B48"/>
  <sheetViews>
    <sheetView workbookViewId="0">
      <selection activeCell="AA37" sqref="AA37:AA38"/>
    </sheetView>
  </sheetViews>
  <sheetFormatPr defaultColWidth="8.85546875" defaultRowHeight="15" x14ac:dyDescent="0.25"/>
  <cols>
    <col min="1" max="1" width="6.7109375" style="101" customWidth="1"/>
    <col min="2" max="2" width="45.28515625" style="101" customWidth="1"/>
    <col min="3" max="3" width="12.7109375" style="101" hidden="1" customWidth="1"/>
    <col min="4" max="14" width="0" style="101" hidden="1" customWidth="1"/>
    <col min="15" max="16" width="14.28515625" style="101" customWidth="1"/>
    <col min="17" max="17" width="2.5703125" style="101" hidden="1" customWidth="1"/>
    <col min="18" max="18" width="14.85546875" style="101" customWidth="1"/>
    <col min="19" max="19" width="15.7109375" style="101" customWidth="1"/>
    <col min="20" max="20" width="0" style="101" hidden="1" customWidth="1"/>
    <col min="21" max="21" width="7.7109375" style="101" hidden="1" customWidth="1"/>
    <col min="22" max="22" width="12.140625" style="101" customWidth="1"/>
    <col min="23" max="23" width="11.85546875" style="101" customWidth="1"/>
    <col min="24" max="24" width="14" style="101" customWidth="1"/>
    <col min="25" max="25" width="13.42578125" style="101" customWidth="1"/>
    <col min="26" max="26" width="8.85546875" style="101" hidden="1" customWidth="1"/>
    <col min="27" max="27" width="10.42578125" style="101" bestFit="1" customWidth="1"/>
    <col min="28" max="28" width="9.140625" style="101" bestFit="1" customWidth="1"/>
    <col min="29" max="16384" width="8.85546875" style="101"/>
  </cols>
  <sheetData>
    <row r="1" spans="1:27" ht="11.45" customHeight="1" x14ac:dyDescent="0.25"/>
    <row r="2" spans="1:27" hidden="1" x14ac:dyDescent="0.25">
      <c r="N2" s="675"/>
      <c r="O2" s="675"/>
      <c r="P2" s="675"/>
      <c r="Q2" s="675"/>
    </row>
    <row r="3" spans="1:27" hidden="1" x14ac:dyDescent="0.25"/>
    <row r="4" spans="1:27" ht="15.75" hidden="1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</row>
    <row r="5" spans="1:27" ht="29.45" customHeight="1" thickBot="1" x14ac:dyDescent="0.3">
      <c r="A5" s="676" t="s">
        <v>626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757"/>
      <c r="S5" s="757"/>
      <c r="T5" s="757"/>
      <c r="U5" s="757"/>
      <c r="V5" s="757"/>
      <c r="W5" s="757"/>
      <c r="X5" s="757"/>
      <c r="Y5" s="757"/>
    </row>
    <row r="6" spans="1:27" ht="15" customHeight="1" thickBot="1" x14ac:dyDescent="0.3">
      <c r="A6" s="222" t="s">
        <v>39</v>
      </c>
      <c r="B6" s="677" t="s">
        <v>1</v>
      </c>
      <c r="C6" s="677" t="s">
        <v>2</v>
      </c>
      <c r="D6" s="680" t="s">
        <v>3</v>
      </c>
      <c r="E6" s="681"/>
      <c r="F6" s="681"/>
      <c r="G6" s="681"/>
      <c r="H6" s="681"/>
      <c r="I6" s="681"/>
      <c r="J6" s="681"/>
      <c r="K6" s="682"/>
      <c r="L6" s="683" t="s">
        <v>4</v>
      </c>
      <c r="M6" s="684"/>
      <c r="N6" s="685"/>
      <c r="O6" s="683" t="s">
        <v>108</v>
      </c>
      <c r="P6" s="684"/>
      <c r="Q6" s="685"/>
      <c r="R6" s="683" t="s">
        <v>109</v>
      </c>
      <c r="S6" s="684"/>
      <c r="T6" s="685"/>
      <c r="U6" s="684"/>
      <c r="V6" s="724" t="s">
        <v>592</v>
      </c>
      <c r="W6" s="724"/>
      <c r="X6" s="758" t="s">
        <v>594</v>
      </c>
      <c r="Y6" s="684"/>
      <c r="Z6" s="759"/>
    </row>
    <row r="7" spans="1:27" ht="15" customHeight="1" thickBot="1" x14ac:dyDescent="0.3">
      <c r="A7" s="223" t="s">
        <v>0</v>
      </c>
      <c r="B7" s="678"/>
      <c r="C7" s="678"/>
      <c r="D7" s="703" t="s">
        <v>5</v>
      </c>
      <c r="E7" s="704"/>
      <c r="F7" s="704"/>
      <c r="G7" s="705"/>
      <c r="H7" s="703" t="s">
        <v>6</v>
      </c>
      <c r="I7" s="704"/>
      <c r="J7" s="704"/>
      <c r="K7" s="705"/>
      <c r="L7" s="686"/>
      <c r="M7" s="687"/>
      <c r="N7" s="688"/>
      <c r="O7" s="686"/>
      <c r="P7" s="687"/>
      <c r="Q7" s="688"/>
      <c r="R7" s="686"/>
      <c r="S7" s="687"/>
      <c r="T7" s="688"/>
      <c r="U7" s="687"/>
      <c r="V7" s="724"/>
      <c r="W7" s="724"/>
      <c r="X7" s="760"/>
      <c r="Y7" s="761"/>
      <c r="Z7" s="762"/>
    </row>
    <row r="8" spans="1:27" ht="40.15" customHeight="1" thickBot="1" x14ac:dyDescent="0.3">
      <c r="A8" s="224"/>
      <c r="B8" s="679"/>
      <c r="C8" s="679"/>
      <c r="D8" s="207" t="s">
        <v>7</v>
      </c>
      <c r="E8" s="207" t="s">
        <v>40</v>
      </c>
      <c r="F8" s="706" t="s">
        <v>8</v>
      </c>
      <c r="G8" s="707"/>
      <c r="H8" s="207" t="s">
        <v>7</v>
      </c>
      <c r="I8" s="207" t="s">
        <v>40</v>
      </c>
      <c r="J8" s="706" t="s">
        <v>8</v>
      </c>
      <c r="K8" s="707"/>
      <c r="L8" s="207" t="s">
        <v>7</v>
      </c>
      <c r="M8" s="207" t="s">
        <v>40</v>
      </c>
      <c r="N8" s="207" t="s">
        <v>8</v>
      </c>
      <c r="O8" s="32" t="s">
        <v>544</v>
      </c>
      <c r="P8" s="32" t="s">
        <v>565</v>
      </c>
      <c r="Q8" s="207" t="s">
        <v>8</v>
      </c>
      <c r="R8" s="32" t="s">
        <v>544</v>
      </c>
      <c r="S8" s="32" t="s">
        <v>565</v>
      </c>
      <c r="T8" s="207" t="s">
        <v>8</v>
      </c>
      <c r="U8" s="207" t="s">
        <v>8</v>
      </c>
      <c r="V8" s="32" t="s">
        <v>544</v>
      </c>
      <c r="W8" s="32" t="s">
        <v>565</v>
      </c>
      <c r="X8" s="32" t="s">
        <v>544</v>
      </c>
      <c r="Y8" s="32" t="s">
        <v>565</v>
      </c>
      <c r="Z8" s="206" t="s">
        <v>8</v>
      </c>
    </row>
    <row r="9" spans="1:27" x14ac:dyDescent="0.25">
      <c r="A9" s="208">
        <v>1</v>
      </c>
      <c r="B9" s="208">
        <v>2</v>
      </c>
      <c r="C9" s="208" t="s">
        <v>11</v>
      </c>
      <c r="D9" s="208">
        <v>1</v>
      </c>
      <c r="E9" s="208">
        <v>2</v>
      </c>
      <c r="F9" s="709">
        <v>3</v>
      </c>
      <c r="G9" s="709"/>
      <c r="H9" s="208">
        <v>4</v>
      </c>
      <c r="I9" s="208">
        <v>5</v>
      </c>
      <c r="J9" s="709">
        <v>6</v>
      </c>
      <c r="K9" s="709"/>
      <c r="L9" s="208">
        <v>7</v>
      </c>
      <c r="M9" s="208">
        <v>8</v>
      </c>
      <c r="N9" s="208">
        <v>9</v>
      </c>
      <c r="O9" s="208">
        <v>3</v>
      </c>
      <c r="P9" s="208">
        <v>4</v>
      </c>
      <c r="Q9" s="208">
        <v>12</v>
      </c>
      <c r="R9" s="208">
        <v>5</v>
      </c>
      <c r="S9" s="208">
        <v>6</v>
      </c>
      <c r="T9" s="208">
        <v>12</v>
      </c>
      <c r="U9" s="208">
        <v>12</v>
      </c>
      <c r="V9" s="208">
        <v>7</v>
      </c>
      <c r="W9" s="208">
        <v>8</v>
      </c>
      <c r="X9" s="208">
        <v>9</v>
      </c>
      <c r="Y9" s="208">
        <v>10</v>
      </c>
      <c r="Z9" s="208">
        <v>12</v>
      </c>
    </row>
    <row r="10" spans="1:27" x14ac:dyDescent="0.25">
      <c r="A10" s="305"/>
      <c r="B10" s="306" t="s">
        <v>569</v>
      </c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7">
        <f>O11+O27</f>
        <v>1752167.3422688786</v>
      </c>
      <c r="P10" s="307">
        <f>O10/O36</f>
        <v>96.265367186472631</v>
      </c>
      <c r="Q10" s="307">
        <f t="shared" ref="Q10:Y10" si="0">Q11+Q27</f>
        <v>0</v>
      </c>
      <c r="R10" s="307">
        <f t="shared" si="0"/>
        <v>2596048.1077943365</v>
      </c>
      <c r="S10" s="307">
        <f t="shared" si="0"/>
        <v>142.6287993742435</v>
      </c>
      <c r="T10" s="307" t="e">
        <f t="shared" si="0"/>
        <v>#REF!</v>
      </c>
      <c r="U10" s="307" t="e">
        <f t="shared" si="0"/>
        <v>#REF!</v>
      </c>
      <c r="V10" s="307"/>
      <c r="W10" s="307"/>
      <c r="X10" s="307">
        <f t="shared" si="0"/>
        <v>4348215.4500632156</v>
      </c>
      <c r="Y10" s="307">
        <f t="shared" si="0"/>
        <v>238.89416656071612</v>
      </c>
      <c r="Z10" s="208"/>
      <c r="AA10" s="213"/>
    </row>
    <row r="11" spans="1:27" x14ac:dyDescent="0.25">
      <c r="A11" s="300">
        <v>1</v>
      </c>
      <c r="B11" s="301" t="s">
        <v>571</v>
      </c>
      <c r="C11" s="300">
        <v>1</v>
      </c>
      <c r="D11" s="302"/>
      <c r="E11" s="302"/>
      <c r="F11" s="753"/>
      <c r="G11" s="753"/>
      <c r="H11" s="302"/>
      <c r="I11" s="302"/>
      <c r="J11" s="753"/>
      <c r="K11" s="753"/>
      <c r="L11" s="302"/>
      <c r="M11" s="302"/>
      <c r="N11" s="302"/>
      <c r="O11" s="303">
        <f>O12+O20+O21</f>
        <v>1507048.8823478029</v>
      </c>
      <c r="P11" s="303">
        <f>O11/O36</f>
        <v>82.798378058636203</v>
      </c>
      <c r="Q11" s="303">
        <f t="shared" ref="Q11:Y11" si="1">Q12+Q20+Q21</f>
        <v>0</v>
      </c>
      <c r="R11" s="303">
        <f t="shared" si="1"/>
        <v>2232875.4251899594</v>
      </c>
      <c r="S11" s="303">
        <f>S12+S20+S21</f>
        <v>122.67582410777392</v>
      </c>
      <c r="T11" s="303" t="e">
        <f t="shared" si="1"/>
        <v>#REF!</v>
      </c>
      <c r="U11" s="303" t="e">
        <f t="shared" si="1"/>
        <v>#REF!</v>
      </c>
      <c r="V11" s="303"/>
      <c r="W11" s="303"/>
      <c r="X11" s="303">
        <f t="shared" si="1"/>
        <v>3739924.3075377624</v>
      </c>
      <c r="Y11" s="303">
        <f t="shared" si="1"/>
        <v>205.47420216641012</v>
      </c>
      <c r="Z11" s="211"/>
    </row>
    <row r="12" spans="1:27" s="228" customFormat="1" x14ac:dyDescent="0.25">
      <c r="A12" s="212" t="s">
        <v>24</v>
      </c>
      <c r="B12" s="210" t="s">
        <v>12</v>
      </c>
      <c r="C12" s="209">
        <v>2</v>
      </c>
      <c r="D12" s="211"/>
      <c r="E12" s="211"/>
      <c r="F12" s="750"/>
      <c r="G12" s="750"/>
      <c r="H12" s="211"/>
      <c r="I12" s="211"/>
      <c r="J12" s="750"/>
      <c r="K12" s="750"/>
      <c r="L12" s="211"/>
      <c r="M12" s="211"/>
      <c r="N12" s="211"/>
      <c r="O12" s="284">
        <f>O13+O16</f>
        <v>194956.65308167777</v>
      </c>
      <c r="P12" s="284">
        <f>O12/O36</f>
        <v>10.711062432</v>
      </c>
      <c r="Q12" s="284">
        <f t="shared" ref="Q12:S12" si="2">Q13+Q16</f>
        <v>0</v>
      </c>
      <c r="R12" s="284">
        <f t="shared" si="2"/>
        <v>1380882.4261482088</v>
      </c>
      <c r="S12" s="284">
        <f t="shared" si="2"/>
        <v>75.866699822388057</v>
      </c>
      <c r="T12" s="284" t="e">
        <f>T13+T16+#REF!</f>
        <v>#REF!</v>
      </c>
      <c r="U12" s="284" t="e">
        <f>U13+U16+#REF!</f>
        <v>#REF!</v>
      </c>
      <c r="V12" s="284" t="s">
        <v>222</v>
      </c>
      <c r="W12" s="284" t="s">
        <v>222</v>
      </c>
      <c r="X12" s="284">
        <f t="shared" ref="X12:X33" si="3">O12+R12</f>
        <v>1575839.0792298866</v>
      </c>
      <c r="Y12" s="284">
        <f t="shared" ref="Y12:Y33" si="4">P12+S12</f>
        <v>86.577762254388063</v>
      </c>
      <c r="Z12" s="227"/>
    </row>
    <row r="13" spans="1:27" x14ac:dyDescent="0.25">
      <c r="A13" s="212" t="s">
        <v>25</v>
      </c>
      <c r="B13" s="210" t="s">
        <v>13</v>
      </c>
      <c r="C13" s="209">
        <v>3</v>
      </c>
      <c r="D13" s="211"/>
      <c r="E13" s="211"/>
      <c r="F13" s="750"/>
      <c r="G13" s="750"/>
      <c r="H13" s="211"/>
      <c r="I13" s="211"/>
      <c r="J13" s="750"/>
      <c r="K13" s="750"/>
      <c r="L13" s="211"/>
      <c r="M13" s="211"/>
      <c r="N13" s="211"/>
      <c r="O13" s="284">
        <f>O14+O15</f>
        <v>194956.65308167777</v>
      </c>
      <c r="P13" s="284">
        <f>O13/O36</f>
        <v>10.711062432</v>
      </c>
      <c r="Q13" s="284"/>
      <c r="R13" s="284">
        <f>R14+R15</f>
        <v>1218925.6167861253</v>
      </c>
      <c r="S13" s="284">
        <f>S14+S15</f>
        <v>66.968673163928614</v>
      </c>
      <c r="T13" s="284"/>
      <c r="U13" s="284"/>
      <c r="V13" s="284" t="s">
        <v>222</v>
      </c>
      <c r="W13" s="284" t="s">
        <v>222</v>
      </c>
      <c r="X13" s="284">
        <f t="shared" si="3"/>
        <v>1413882.2698678032</v>
      </c>
      <c r="Y13" s="284">
        <f t="shared" si="4"/>
        <v>77.679735595928619</v>
      </c>
      <c r="Z13" s="211"/>
    </row>
    <row r="14" spans="1:27" x14ac:dyDescent="0.25">
      <c r="A14" s="212" t="s">
        <v>236</v>
      </c>
      <c r="B14" s="210" t="s">
        <v>239</v>
      </c>
      <c r="C14" s="209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84">
        <f>'ПММ збирання'!E12</f>
        <v>174649.91041485002</v>
      </c>
      <c r="P14" s="284">
        <f>O14/O36</f>
        <v>9.5953950000000017</v>
      </c>
      <c r="Q14" s="284"/>
      <c r="R14" s="284">
        <f>'ПММ перевезення'!C13</f>
        <v>1091961.9638980648</v>
      </c>
      <c r="S14" s="284">
        <f>R14/R36</f>
        <v>59.993196353147241</v>
      </c>
      <c r="T14" s="284"/>
      <c r="U14" s="284"/>
      <c r="V14" s="284"/>
      <c r="W14" s="284"/>
      <c r="X14" s="284">
        <f t="shared" si="3"/>
        <v>1266611.8743129149</v>
      </c>
      <c r="Y14" s="284">
        <f t="shared" si="4"/>
        <v>69.588591353147237</v>
      </c>
      <c r="Z14" s="211"/>
    </row>
    <row r="15" spans="1:27" x14ac:dyDescent="0.25">
      <c r="A15" s="212" t="s">
        <v>237</v>
      </c>
      <c r="B15" s="210" t="s">
        <v>238</v>
      </c>
      <c r="C15" s="209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84">
        <f>'ПММ збирання'!G12+'ПММ збирання'!I12+'ПММ збирання'!K12+'ПММ збирання'!M12</f>
        <v>20306.742666827759</v>
      </c>
      <c r="P15" s="284">
        <f>O15/O36</f>
        <v>1.115667432</v>
      </c>
      <c r="Q15" s="284"/>
      <c r="R15" s="284">
        <f>'ПММ перевезення'!E13+'ПММ перевезення'!G13+'ПММ перевезення'!I13+'ПММ перевезення'!K13</f>
        <v>126963.65288806046</v>
      </c>
      <c r="S15" s="284">
        <f>R15/R36</f>
        <v>6.9754768107813758</v>
      </c>
      <c r="T15" s="284"/>
      <c r="U15" s="284"/>
      <c r="V15" s="284"/>
      <c r="W15" s="284"/>
      <c r="X15" s="284">
        <f t="shared" si="3"/>
        <v>147270.39555488821</v>
      </c>
      <c r="Y15" s="284">
        <f t="shared" si="4"/>
        <v>8.0911442427813753</v>
      </c>
      <c r="Z15" s="211"/>
    </row>
    <row r="16" spans="1:27" x14ac:dyDescent="0.25">
      <c r="A16" s="212" t="s">
        <v>26</v>
      </c>
      <c r="B16" s="210" t="s">
        <v>14</v>
      </c>
      <c r="C16" s="209">
        <v>4</v>
      </c>
      <c r="D16" s="211"/>
      <c r="E16" s="211"/>
      <c r="F16" s="750"/>
      <c r="G16" s="750"/>
      <c r="H16" s="211"/>
      <c r="I16" s="211"/>
      <c r="J16" s="750"/>
      <c r="K16" s="750"/>
      <c r="L16" s="211"/>
      <c r="M16" s="211"/>
      <c r="N16" s="211"/>
      <c r="O16" s="284">
        <f>O17+O18+O19</f>
        <v>0</v>
      </c>
      <c r="P16" s="284">
        <f>O16/O36</f>
        <v>0</v>
      </c>
      <c r="Q16" s="284">
        <f t="shared" ref="Q16:S16" si="5">Q17+Q18+Q19</f>
        <v>0</v>
      </c>
      <c r="R16" s="284">
        <f t="shared" si="5"/>
        <v>161956.80936208332</v>
      </c>
      <c r="S16" s="284">
        <f t="shared" si="5"/>
        <v>8.8980266584594361</v>
      </c>
      <c r="T16" s="284"/>
      <c r="U16" s="284"/>
      <c r="V16" s="284" t="s">
        <v>222</v>
      </c>
      <c r="W16" s="284" t="s">
        <v>222</v>
      </c>
      <c r="X16" s="284">
        <f t="shared" si="3"/>
        <v>161956.80936208332</v>
      </c>
      <c r="Y16" s="284">
        <f t="shared" si="4"/>
        <v>8.8980266584594361</v>
      </c>
      <c r="Z16" s="211"/>
    </row>
    <row r="17" spans="1:26" x14ac:dyDescent="0.25">
      <c r="A17" s="212" t="s">
        <v>258</v>
      </c>
      <c r="B17" s="210" t="s">
        <v>259</v>
      </c>
      <c r="C17" s="209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84">
        <v>0</v>
      </c>
      <c r="P17" s="284">
        <f>O17/O36</f>
        <v>0</v>
      </c>
      <c r="Q17" s="284"/>
      <c r="R17" s="284">
        <f>'Амортизація Ремонт дезін мийка'!F29</f>
        <v>36165.383279999995</v>
      </c>
      <c r="S17" s="284">
        <f>R17/R36</f>
        <v>1.9869528537043515</v>
      </c>
      <c r="T17" s="284"/>
      <c r="U17" s="284"/>
      <c r="V17" s="284"/>
      <c r="W17" s="284"/>
      <c r="X17" s="284">
        <f t="shared" si="3"/>
        <v>36165.383279999995</v>
      </c>
      <c r="Y17" s="284">
        <f t="shared" si="4"/>
        <v>1.9869528537043515</v>
      </c>
      <c r="Z17" s="211"/>
    </row>
    <row r="18" spans="1:26" x14ac:dyDescent="0.25">
      <c r="A18" s="212" t="s">
        <v>260</v>
      </c>
      <c r="B18" s="210" t="s">
        <v>264</v>
      </c>
      <c r="C18" s="209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84">
        <v>0</v>
      </c>
      <c r="P18" s="284">
        <f>O18/O36</f>
        <v>0</v>
      </c>
      <c r="Q18" s="284"/>
      <c r="R18" s="304">
        <f>'Загальні відомості'!G14</f>
        <v>94413.092588750005</v>
      </c>
      <c r="S18" s="284">
        <f>R18/R36</f>
        <v>5.187125</v>
      </c>
      <c r="T18" s="284"/>
      <c r="U18" s="284"/>
      <c r="V18" s="284"/>
      <c r="W18" s="284"/>
      <c r="X18" s="284">
        <f t="shared" si="3"/>
        <v>94413.092588750005</v>
      </c>
      <c r="Y18" s="284">
        <f t="shared" si="4"/>
        <v>5.187125</v>
      </c>
      <c r="Z18" s="211"/>
    </row>
    <row r="19" spans="1:26" x14ac:dyDescent="0.25">
      <c r="A19" s="212" t="s">
        <v>261</v>
      </c>
      <c r="B19" s="210" t="s">
        <v>263</v>
      </c>
      <c r="C19" s="209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84">
        <v>0</v>
      </c>
      <c r="P19" s="284">
        <f>O19/O36</f>
        <v>0</v>
      </c>
      <c r="Q19" s="284"/>
      <c r="R19" s="284">
        <f>('Амортизація Ремонт дезін мийка'!F32+'Загальні відомості'!N14)</f>
        <v>31378.333493333332</v>
      </c>
      <c r="S19" s="284">
        <f>R19/R36</f>
        <v>1.7239488047550842</v>
      </c>
      <c r="T19" s="284"/>
      <c r="U19" s="284"/>
      <c r="V19" s="284"/>
      <c r="W19" s="284"/>
      <c r="X19" s="284">
        <f t="shared" si="3"/>
        <v>31378.333493333332</v>
      </c>
      <c r="Y19" s="284">
        <f t="shared" si="4"/>
        <v>1.7239488047550842</v>
      </c>
      <c r="Z19" s="211"/>
    </row>
    <row r="20" spans="1:26" x14ac:dyDescent="0.25">
      <c r="A20" s="212" t="s">
        <v>27</v>
      </c>
      <c r="B20" s="210" t="s">
        <v>15</v>
      </c>
      <c r="C20" s="209">
        <v>9</v>
      </c>
      <c r="D20" s="211"/>
      <c r="E20" s="211"/>
      <c r="F20" s="754"/>
      <c r="G20" s="755"/>
      <c r="H20" s="211"/>
      <c r="I20" s="211"/>
      <c r="J20" s="754"/>
      <c r="K20" s="755"/>
      <c r="L20" s="211"/>
      <c r="M20" s="211"/>
      <c r="N20" s="211"/>
      <c r="O20" s="284">
        <f>'Штатне 2024'!P35</f>
        <v>1060641.7</v>
      </c>
      <c r="P20" s="284">
        <f>O20/O36</f>
        <v>58.272437934821603</v>
      </c>
      <c r="Q20" s="284"/>
      <c r="R20" s="284">
        <f>'Штатне 2024'!P34</f>
        <v>681806.26290830621</v>
      </c>
      <c r="S20" s="284">
        <f>R20/R36</f>
        <v>37.458939375</v>
      </c>
      <c r="T20" s="284"/>
      <c r="U20" s="284"/>
      <c r="V20" s="284" t="s">
        <v>222</v>
      </c>
      <c r="W20" s="284" t="s">
        <v>222</v>
      </c>
      <c r="X20" s="284">
        <f t="shared" si="3"/>
        <v>1742447.9629083062</v>
      </c>
      <c r="Y20" s="284">
        <f t="shared" si="4"/>
        <v>95.731377309821596</v>
      </c>
      <c r="Z20" s="211"/>
    </row>
    <row r="21" spans="1:26" x14ac:dyDescent="0.25">
      <c r="A21" s="212" t="s">
        <v>28</v>
      </c>
      <c r="B21" s="210" t="s">
        <v>16</v>
      </c>
      <c r="C21" s="209">
        <v>10</v>
      </c>
      <c r="D21" s="211"/>
      <c r="E21" s="211"/>
      <c r="F21" s="750"/>
      <c r="G21" s="750"/>
      <c r="H21" s="211"/>
      <c r="I21" s="211"/>
      <c r="J21" s="750"/>
      <c r="K21" s="750"/>
      <c r="L21" s="211"/>
      <c r="M21" s="211"/>
      <c r="N21" s="211"/>
      <c r="O21" s="284">
        <f>O22+O23+O24+O25</f>
        <v>251450.529266125</v>
      </c>
      <c r="P21" s="284">
        <f>O21/O36</f>
        <v>13.814877691814599</v>
      </c>
      <c r="Q21" s="284">
        <f t="shared" ref="Q21:S21" si="6">Q22+Q23+Q24+Q25</f>
        <v>0</v>
      </c>
      <c r="R21" s="284">
        <f t="shared" si="6"/>
        <v>170186.73613344453</v>
      </c>
      <c r="S21" s="284">
        <f t="shared" si="6"/>
        <v>9.3501849103858614</v>
      </c>
      <c r="T21" s="284"/>
      <c r="U21" s="284"/>
      <c r="V21" s="284" t="s">
        <v>222</v>
      </c>
      <c r="W21" s="284" t="s">
        <v>222</v>
      </c>
      <c r="X21" s="284">
        <f t="shared" si="3"/>
        <v>421637.26539956953</v>
      </c>
      <c r="Y21" s="284">
        <f t="shared" si="4"/>
        <v>23.165062602200461</v>
      </c>
      <c r="Z21" s="211"/>
    </row>
    <row r="22" spans="1:26" ht="30" x14ac:dyDescent="0.25">
      <c r="A22" s="212" t="s">
        <v>29</v>
      </c>
      <c r="B22" s="210" t="s">
        <v>17</v>
      </c>
      <c r="C22" s="209">
        <v>11</v>
      </c>
      <c r="D22" s="211"/>
      <c r="E22" s="211"/>
      <c r="F22" s="750"/>
      <c r="G22" s="750"/>
      <c r="H22" s="211"/>
      <c r="I22" s="211"/>
      <c r="J22" s="750"/>
      <c r="K22" s="750"/>
      <c r="L22" s="211"/>
      <c r="M22" s="211"/>
      <c r="N22" s="211"/>
      <c r="O22" s="284">
        <f>O20*0.22</f>
        <v>233341.174</v>
      </c>
      <c r="P22" s="284">
        <f>O22/O36</f>
        <v>12.819936345660754</v>
      </c>
      <c r="Q22" s="284"/>
      <c r="R22" s="284">
        <f>R20*0.22</f>
        <v>149997.37783982736</v>
      </c>
      <c r="S22" s="284">
        <f>R22/R36</f>
        <v>8.2409666624999982</v>
      </c>
      <c r="T22" s="284"/>
      <c r="U22" s="284"/>
      <c r="V22" s="284" t="s">
        <v>222</v>
      </c>
      <c r="W22" s="284" t="s">
        <v>222</v>
      </c>
      <c r="X22" s="284">
        <f t="shared" si="3"/>
        <v>383338.55183982733</v>
      </c>
      <c r="Y22" s="284">
        <f t="shared" si="4"/>
        <v>21.06090300816075</v>
      </c>
      <c r="Z22" s="211"/>
    </row>
    <row r="23" spans="1:26" ht="45" x14ac:dyDescent="0.25">
      <c r="A23" s="212" t="s">
        <v>30</v>
      </c>
      <c r="B23" s="210" t="s">
        <v>18</v>
      </c>
      <c r="C23" s="209">
        <v>12</v>
      </c>
      <c r="D23" s="211"/>
      <c r="E23" s="211"/>
      <c r="F23" s="750"/>
      <c r="G23" s="750"/>
      <c r="H23" s="211"/>
      <c r="I23" s="211"/>
      <c r="J23" s="750"/>
      <c r="K23" s="750"/>
      <c r="L23" s="211"/>
      <c r="M23" s="211"/>
      <c r="N23" s="211"/>
      <c r="O23" s="284">
        <v>0</v>
      </c>
      <c r="P23" s="284">
        <f>O23/O36</f>
        <v>0</v>
      </c>
      <c r="Q23" s="284"/>
      <c r="R23" s="284">
        <f>'Амортизація Ремонт дезін мийка'!D9</f>
        <v>12325</v>
      </c>
      <c r="S23" s="284">
        <f>R23/R36</f>
        <v>0.67714459797938953</v>
      </c>
      <c r="T23" s="284"/>
      <c r="U23" s="284"/>
      <c r="V23" s="284" t="s">
        <v>222</v>
      </c>
      <c r="W23" s="284" t="s">
        <v>222</v>
      </c>
      <c r="X23" s="284">
        <f t="shared" si="3"/>
        <v>12325</v>
      </c>
      <c r="Y23" s="284">
        <f t="shared" si="4"/>
        <v>0.67714459797938953</v>
      </c>
      <c r="Z23" s="211"/>
    </row>
    <row r="24" spans="1:26" x14ac:dyDescent="0.25">
      <c r="A24" s="212" t="s">
        <v>31</v>
      </c>
      <c r="B24" s="210" t="s">
        <v>624</v>
      </c>
      <c r="C24" s="209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84">
        <v>0</v>
      </c>
      <c r="P24" s="284">
        <f>O24/O36</f>
        <v>0</v>
      </c>
      <c r="Q24" s="284"/>
      <c r="R24" s="284">
        <f>'Амортизація Ремонт дезін мийка'!F31</f>
        <v>1829.69496</v>
      </c>
      <c r="S24" s="284">
        <f>R24/R36</f>
        <v>0.10052479173339678</v>
      </c>
      <c r="T24" s="284"/>
      <c r="U24" s="284"/>
      <c r="V24" s="284" t="s">
        <v>222</v>
      </c>
      <c r="W24" s="284" t="s">
        <v>222</v>
      </c>
      <c r="X24" s="284">
        <f t="shared" si="3"/>
        <v>1829.69496</v>
      </c>
      <c r="Y24" s="284">
        <f t="shared" si="4"/>
        <v>0.10052479173339678</v>
      </c>
      <c r="Z24" s="211"/>
    </row>
    <row r="25" spans="1:26" ht="13.9" customHeight="1" x14ac:dyDescent="0.25">
      <c r="A25" s="212" t="s">
        <v>572</v>
      </c>
      <c r="B25" s="210" t="s">
        <v>566</v>
      </c>
      <c r="C25" s="209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84">
        <f>'Загальні відомості'!L14</f>
        <v>18109.355266125</v>
      </c>
      <c r="P25" s="284">
        <f>O25/O36</f>
        <v>0.99494134615384611</v>
      </c>
      <c r="Q25" s="284"/>
      <c r="R25" s="284">
        <f>'Загальні відомості'!I14</f>
        <v>6034.6633336171881</v>
      </c>
      <c r="S25" s="284">
        <f>R25/R36</f>
        <v>0.33154885817307694</v>
      </c>
      <c r="T25" s="284"/>
      <c r="U25" s="284"/>
      <c r="V25" s="284"/>
      <c r="W25" s="284"/>
      <c r="X25" s="284">
        <f t="shared" si="3"/>
        <v>24144.018599742187</v>
      </c>
      <c r="Y25" s="284">
        <f t="shared" si="4"/>
        <v>1.3264902043269231</v>
      </c>
      <c r="Z25" s="211"/>
    </row>
    <row r="26" spans="1:26" ht="15" hidden="1" customHeight="1" x14ac:dyDescent="0.25">
      <c r="A26" s="212"/>
      <c r="B26" s="210"/>
      <c r="C26" s="209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84"/>
      <c r="P26" s="284">
        <f>O26/O36</f>
        <v>0</v>
      </c>
      <c r="Q26" s="284"/>
      <c r="R26" s="284"/>
      <c r="S26" s="284"/>
      <c r="T26" s="284"/>
      <c r="U26" s="284"/>
      <c r="V26" s="284" t="s">
        <v>222</v>
      </c>
      <c r="W26" s="284" t="s">
        <v>222</v>
      </c>
      <c r="X26" s="284">
        <f t="shared" si="3"/>
        <v>0</v>
      </c>
      <c r="Y26" s="284">
        <f t="shared" si="4"/>
        <v>0</v>
      </c>
      <c r="Z26" s="211"/>
    </row>
    <row r="27" spans="1:26" s="310" customFormat="1" x14ac:dyDescent="0.25">
      <c r="A27" s="308" t="s">
        <v>32</v>
      </c>
      <c r="B27" s="301" t="s">
        <v>207</v>
      </c>
      <c r="C27" s="300">
        <v>16</v>
      </c>
      <c r="D27" s="302"/>
      <c r="E27" s="302"/>
      <c r="F27" s="753"/>
      <c r="G27" s="753"/>
      <c r="H27" s="302"/>
      <c r="I27" s="302"/>
      <c r="J27" s="753"/>
      <c r="K27" s="753"/>
      <c r="L27" s="302"/>
      <c r="M27" s="302"/>
      <c r="N27" s="302"/>
      <c r="O27" s="303">
        <f>'РОзподіл  ЗВВ АДМ'!E11</f>
        <v>245118.45992107579</v>
      </c>
      <c r="P27" s="303">
        <f>O27/O36</f>
        <v>13.466989127836428</v>
      </c>
      <c r="Q27" s="303"/>
      <c r="R27" s="309">
        <f>'РОзподіл  ЗВВ АДМ'!E12</f>
        <v>363172.68260437727</v>
      </c>
      <c r="S27" s="303">
        <f>R27/R36</f>
        <v>19.952975266469572</v>
      </c>
      <c r="T27" s="303"/>
      <c r="U27" s="303"/>
      <c r="V27" s="303" t="s">
        <v>222</v>
      </c>
      <c r="W27" s="303" t="s">
        <v>222</v>
      </c>
      <c r="X27" s="303">
        <f t="shared" si="3"/>
        <v>608291.14252545312</v>
      </c>
      <c r="Y27" s="303">
        <f t="shared" si="4"/>
        <v>33.419964394306</v>
      </c>
      <c r="Z27" s="302"/>
    </row>
    <row r="28" spans="1:26" s="310" customFormat="1" x14ac:dyDescent="0.25">
      <c r="A28" s="308" t="s">
        <v>33</v>
      </c>
      <c r="B28" s="301" t="s">
        <v>20</v>
      </c>
      <c r="C28" s="300">
        <v>17</v>
      </c>
      <c r="D28" s="302"/>
      <c r="E28" s="302"/>
      <c r="F28" s="753"/>
      <c r="G28" s="753"/>
      <c r="H28" s="302"/>
      <c r="I28" s="302"/>
      <c r="J28" s="753"/>
      <c r="K28" s="753"/>
      <c r="L28" s="302"/>
      <c r="M28" s="302"/>
      <c r="N28" s="302"/>
      <c r="O28" s="303">
        <f>'РОзподіл  ЗВВ АДМ'!H11</f>
        <v>110646.48643470841</v>
      </c>
      <c r="P28" s="303">
        <f>O28/O36</f>
        <v>6.0789996409462557</v>
      </c>
      <c r="Q28" s="303"/>
      <c r="R28" s="303">
        <f>'РОзподіл  ЗВВ АДМ'!H12</f>
        <v>163936.16911668106</v>
      </c>
      <c r="S28" s="303">
        <f>R28/R36</f>
        <v>9.0067741444865081</v>
      </c>
      <c r="T28" s="303"/>
      <c r="U28" s="303"/>
      <c r="V28" s="303" t="s">
        <v>222</v>
      </c>
      <c r="W28" s="303" t="s">
        <v>222</v>
      </c>
      <c r="X28" s="303">
        <f t="shared" si="3"/>
        <v>274582.65555138944</v>
      </c>
      <c r="Y28" s="303">
        <f t="shared" si="4"/>
        <v>15.085773785432764</v>
      </c>
      <c r="Z28" s="302"/>
    </row>
    <row r="29" spans="1:26" s="313" customFormat="1" x14ac:dyDescent="0.25">
      <c r="A29" s="286" t="s">
        <v>34</v>
      </c>
      <c r="B29" s="311" t="s">
        <v>21</v>
      </c>
      <c r="C29" s="287">
        <v>21</v>
      </c>
      <c r="D29" s="288"/>
      <c r="E29" s="288"/>
      <c r="F29" s="752"/>
      <c r="G29" s="752"/>
      <c r="H29" s="288"/>
      <c r="I29" s="288"/>
      <c r="J29" s="752"/>
      <c r="K29" s="752"/>
      <c r="L29" s="288"/>
      <c r="M29" s="288"/>
      <c r="N29" s="288"/>
      <c r="O29" s="312">
        <f>O10+O28</f>
        <v>1862813.8287035869</v>
      </c>
      <c r="P29" s="312">
        <f>O29/O36</f>
        <v>102.34436682741888</v>
      </c>
      <c r="Q29" s="312">
        <f t="shared" ref="Q29:S29" si="7">Q10+Q28</f>
        <v>0</v>
      </c>
      <c r="R29" s="312">
        <f>R10+R28</f>
        <v>2759984.2769110175</v>
      </c>
      <c r="S29" s="312">
        <f t="shared" si="7"/>
        <v>151.63557351873001</v>
      </c>
      <c r="T29" s="312"/>
      <c r="U29" s="312"/>
      <c r="V29" s="312" t="s">
        <v>222</v>
      </c>
      <c r="W29" s="312" t="s">
        <v>222</v>
      </c>
      <c r="X29" s="312">
        <f t="shared" si="3"/>
        <v>4622798.1056146044</v>
      </c>
      <c r="Y29" s="312">
        <f t="shared" si="4"/>
        <v>253.97994034614891</v>
      </c>
      <c r="Z29" s="288"/>
    </row>
    <row r="30" spans="1:26" x14ac:dyDescent="0.25">
      <c r="A30" s="212" t="s">
        <v>35</v>
      </c>
      <c r="B30" s="210" t="s">
        <v>634</v>
      </c>
      <c r="C30" s="209">
        <v>23</v>
      </c>
      <c r="D30" s="211"/>
      <c r="E30" s="211"/>
      <c r="F30" s="750"/>
      <c r="G30" s="750"/>
      <c r="H30" s="211"/>
      <c r="I30" s="211"/>
      <c r="J30" s="750"/>
      <c r="K30" s="750"/>
      <c r="L30" s="211"/>
      <c r="M30" s="211"/>
      <c r="N30" s="211"/>
      <c r="O30" s="284">
        <f>O29*0</f>
        <v>0</v>
      </c>
      <c r="P30" s="284">
        <f>O30/O36</f>
        <v>0</v>
      </c>
      <c r="Q30" s="284"/>
      <c r="R30" s="284">
        <f>R29*0</f>
        <v>0</v>
      </c>
      <c r="S30" s="284">
        <f>R30/R36</f>
        <v>0</v>
      </c>
      <c r="T30" s="284"/>
      <c r="U30" s="284"/>
      <c r="V30" s="284" t="s">
        <v>222</v>
      </c>
      <c r="W30" s="284" t="s">
        <v>222</v>
      </c>
      <c r="X30" s="284">
        <f t="shared" si="3"/>
        <v>0</v>
      </c>
      <c r="Y30" s="284">
        <f t="shared" si="4"/>
        <v>0</v>
      </c>
      <c r="Z30" s="211"/>
    </row>
    <row r="31" spans="1:26" ht="14.45" customHeight="1" x14ac:dyDescent="0.25">
      <c r="A31" s="212" t="s">
        <v>50</v>
      </c>
      <c r="B31" s="210" t="s">
        <v>22</v>
      </c>
      <c r="C31" s="209">
        <v>24</v>
      </c>
      <c r="D31" s="211"/>
      <c r="E31" s="211"/>
      <c r="F31" s="750"/>
      <c r="G31" s="750"/>
      <c r="H31" s="211"/>
      <c r="I31" s="211"/>
      <c r="J31" s="750"/>
      <c r="K31" s="750"/>
      <c r="L31" s="211"/>
      <c r="M31" s="211"/>
      <c r="N31" s="211"/>
      <c r="O31" s="284">
        <f>O30*0.18</f>
        <v>0</v>
      </c>
      <c r="P31" s="284">
        <f>O31/O36</f>
        <v>0</v>
      </c>
      <c r="Q31" s="284"/>
      <c r="R31" s="284">
        <f>R30*0.18</f>
        <v>0</v>
      </c>
      <c r="S31" s="284">
        <f>R31/R36</f>
        <v>0</v>
      </c>
      <c r="T31" s="284"/>
      <c r="U31" s="284"/>
      <c r="V31" s="284" t="s">
        <v>222</v>
      </c>
      <c r="W31" s="284" t="s">
        <v>222</v>
      </c>
      <c r="X31" s="284">
        <f t="shared" si="3"/>
        <v>0</v>
      </c>
      <c r="Y31" s="284">
        <f t="shared" si="4"/>
        <v>0</v>
      </c>
      <c r="Z31" s="211"/>
    </row>
    <row r="32" spans="1:26" hidden="1" x14ac:dyDescent="0.25">
      <c r="A32" s="212"/>
      <c r="B32" s="210"/>
      <c r="C32" s="209">
        <v>28</v>
      </c>
      <c r="D32" s="211"/>
      <c r="E32" s="211"/>
      <c r="F32" s="750"/>
      <c r="G32" s="750"/>
      <c r="H32" s="211"/>
      <c r="I32" s="211"/>
      <c r="J32" s="750"/>
      <c r="K32" s="750"/>
      <c r="L32" s="211"/>
      <c r="M32" s="211"/>
      <c r="N32" s="211"/>
      <c r="O32" s="284"/>
      <c r="P32" s="284"/>
      <c r="Q32" s="284"/>
      <c r="R32" s="284"/>
      <c r="S32" s="284"/>
      <c r="T32" s="284"/>
      <c r="U32" s="284"/>
      <c r="V32" s="284" t="s">
        <v>222</v>
      </c>
      <c r="W32" s="284" t="s">
        <v>222</v>
      </c>
      <c r="X32" s="284">
        <f t="shared" si="3"/>
        <v>0</v>
      </c>
      <c r="Y32" s="284">
        <f t="shared" si="4"/>
        <v>0</v>
      </c>
      <c r="Z32" s="211"/>
    </row>
    <row r="33" spans="1:28" ht="16.149999999999999" hidden="1" customHeight="1" x14ac:dyDescent="0.25">
      <c r="A33" s="212"/>
      <c r="B33" s="210"/>
      <c r="C33" s="209">
        <v>29</v>
      </c>
      <c r="D33" s="211"/>
      <c r="E33" s="211"/>
      <c r="F33" s="750"/>
      <c r="G33" s="750"/>
      <c r="H33" s="211"/>
      <c r="I33" s="211"/>
      <c r="J33" s="750"/>
      <c r="K33" s="750"/>
      <c r="L33" s="211"/>
      <c r="M33" s="211"/>
      <c r="N33" s="211"/>
      <c r="O33" s="284"/>
      <c r="P33" s="284"/>
      <c r="Q33" s="284"/>
      <c r="R33" s="284"/>
      <c r="S33" s="284"/>
      <c r="T33" s="284"/>
      <c r="U33" s="284"/>
      <c r="V33" s="284" t="s">
        <v>222</v>
      </c>
      <c r="W33" s="284" t="s">
        <v>222</v>
      </c>
      <c r="X33" s="284">
        <f t="shared" si="3"/>
        <v>0</v>
      </c>
      <c r="Y33" s="284">
        <f t="shared" si="4"/>
        <v>0</v>
      </c>
      <c r="Z33" s="211"/>
    </row>
    <row r="34" spans="1:28" ht="57" x14ac:dyDescent="0.25">
      <c r="A34" s="290" t="s">
        <v>36</v>
      </c>
      <c r="B34" s="291" t="s">
        <v>628</v>
      </c>
      <c r="C34" s="292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89">
        <f>O29+O30+O33</f>
        <v>1862813.8287035869</v>
      </c>
      <c r="P34" s="289">
        <f>O34/O36</f>
        <v>102.34436682741888</v>
      </c>
      <c r="Q34" s="289"/>
      <c r="R34" s="289">
        <f>R29+R30</f>
        <v>2759984.2769110175</v>
      </c>
      <c r="S34" s="289">
        <f>R34/R36</f>
        <v>151.63557351872998</v>
      </c>
      <c r="T34" s="289"/>
      <c r="U34" s="289"/>
      <c r="V34" s="289">
        <f>W34*V36</f>
        <v>374949.45800000004</v>
      </c>
      <c r="W34" s="289">
        <v>20.6</v>
      </c>
      <c r="X34" s="289">
        <f>O34+R34+V34</f>
        <v>4997747.5636146041</v>
      </c>
      <c r="Y34" s="289">
        <f>P34+S34+W34</f>
        <v>274.57994034614887</v>
      </c>
      <c r="Z34" s="211"/>
    </row>
    <row r="35" spans="1:28" ht="57" x14ac:dyDescent="0.25">
      <c r="A35" s="290" t="s">
        <v>267</v>
      </c>
      <c r="B35" s="291" t="s">
        <v>627</v>
      </c>
      <c r="C35" s="292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89">
        <f>O34*1.2</f>
        <v>2235376.5944443042</v>
      </c>
      <c r="P35" s="299">
        <f>O35/O36</f>
        <v>122.81324019290265</v>
      </c>
      <c r="Q35" s="289"/>
      <c r="R35" s="289">
        <f>R34*1.2</f>
        <v>3311981.1322932211</v>
      </c>
      <c r="S35" s="299">
        <f>R35/R36</f>
        <v>181.96268822247598</v>
      </c>
      <c r="T35" s="289"/>
      <c r="U35" s="289"/>
      <c r="V35" s="289">
        <f>V34*1.2</f>
        <v>449939.34960000002</v>
      </c>
      <c r="W35" s="299">
        <f>W34*1.2</f>
        <v>24.720000000000002</v>
      </c>
      <c r="X35" s="289">
        <f>O35+R35+V35</f>
        <v>5997297.0763375256</v>
      </c>
      <c r="Y35" s="299">
        <f>X35/X36</f>
        <v>329.49592841537867</v>
      </c>
      <c r="Z35" s="211"/>
      <c r="AA35" s="285"/>
      <c r="AB35" s="285"/>
    </row>
    <row r="36" spans="1:28" ht="45" x14ac:dyDescent="0.25">
      <c r="A36" s="295" t="s">
        <v>268</v>
      </c>
      <c r="B36" s="296" t="s">
        <v>629</v>
      </c>
      <c r="C36" s="297">
        <v>31</v>
      </c>
      <c r="D36" s="298"/>
      <c r="E36" s="298"/>
      <c r="F36" s="751"/>
      <c r="G36" s="751"/>
      <c r="H36" s="298"/>
      <c r="I36" s="298"/>
      <c r="J36" s="751"/>
      <c r="K36" s="751"/>
      <c r="L36" s="298"/>
      <c r="M36" s="298"/>
      <c r="N36" s="298"/>
      <c r="O36" s="299">
        <f>'РІЧНИЙ  План'!O22</f>
        <v>18201.43</v>
      </c>
      <c r="P36" s="294"/>
      <c r="Q36" s="294"/>
      <c r="R36" s="299">
        <f>'РІЧНИЙ  План'!O22</f>
        <v>18201.43</v>
      </c>
      <c r="S36" s="294"/>
      <c r="T36" s="294"/>
      <c r="U36" s="294"/>
      <c r="V36" s="299">
        <f>'РІЧНИЙ  План'!O28</f>
        <v>18201.43</v>
      </c>
      <c r="W36" s="294" t="s">
        <v>222</v>
      </c>
      <c r="X36" s="299">
        <f>'РІЧНИЙ  План'!O22</f>
        <v>18201.43</v>
      </c>
      <c r="Y36" s="294"/>
      <c r="Z36" s="211"/>
    </row>
    <row r="37" spans="1:28" ht="59.45" customHeight="1" x14ac:dyDescent="0.25">
      <c r="A37" s="286" t="s">
        <v>37</v>
      </c>
      <c r="B37" s="291" t="s">
        <v>637</v>
      </c>
      <c r="C37" s="287">
        <v>32</v>
      </c>
      <c r="D37" s="288"/>
      <c r="E37" s="288"/>
      <c r="F37" s="752"/>
      <c r="G37" s="752"/>
      <c r="H37" s="288"/>
      <c r="I37" s="288"/>
      <c r="J37" s="752"/>
      <c r="K37" s="752"/>
      <c r="L37" s="288"/>
      <c r="M37" s="288"/>
      <c r="N37" s="288"/>
      <c r="O37" s="618">
        <f>(O34+R34+V34)/O36</f>
        <v>274.57994034614887</v>
      </c>
      <c r="P37" s="575"/>
      <c r="Q37" s="575"/>
      <c r="R37" s="575"/>
      <c r="S37" s="575"/>
      <c r="T37" s="575"/>
      <c r="U37" s="575"/>
      <c r="V37" s="575"/>
      <c r="W37" s="575"/>
      <c r="X37" s="575"/>
      <c r="Y37" s="576"/>
      <c r="Z37" s="211"/>
    </row>
    <row r="38" spans="1:28" ht="55.15" customHeight="1" x14ac:dyDescent="0.25">
      <c r="A38" s="286" t="s">
        <v>38</v>
      </c>
      <c r="B38" s="291" t="s">
        <v>638</v>
      </c>
      <c r="C38" s="287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574">
        <f>(O35+R35+V35)/O36</f>
        <v>329.49592841537867</v>
      </c>
      <c r="P38" s="617"/>
      <c r="Q38" s="577"/>
      <c r="R38" s="577"/>
      <c r="S38" s="577"/>
      <c r="T38" s="577"/>
      <c r="U38" s="577"/>
      <c r="V38" s="577"/>
      <c r="W38" s="577"/>
      <c r="X38" s="577"/>
      <c r="Y38" s="577"/>
      <c r="Z38" s="215"/>
    </row>
    <row r="39" spans="1:28" x14ac:dyDescent="0.25">
      <c r="A39" s="225"/>
      <c r="B39" s="216"/>
      <c r="C39" s="214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26"/>
      <c r="P39" s="226"/>
      <c r="Q39" s="215"/>
      <c r="R39" s="226"/>
      <c r="S39" s="226"/>
      <c r="T39" s="215"/>
      <c r="U39" s="215"/>
      <c r="V39" s="215"/>
      <c r="W39" s="215"/>
      <c r="X39" s="215"/>
      <c r="Y39" s="226"/>
      <c r="Z39" s="215"/>
    </row>
    <row r="40" spans="1:28" ht="30" customHeight="1" x14ac:dyDescent="0.25">
      <c r="A40" s="713" t="s">
        <v>596</v>
      </c>
      <c r="B40" s="713"/>
      <c r="C40" s="713"/>
      <c r="D40" s="713"/>
      <c r="E40" s="713"/>
      <c r="F40" s="713"/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713"/>
    </row>
    <row r="41" spans="1:28" x14ac:dyDescent="0.25">
      <c r="A41" s="717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Y41" s="213"/>
    </row>
    <row r="42" spans="1:28" x14ac:dyDescent="0.25">
      <c r="A42" s="713"/>
      <c r="B42" s="713"/>
      <c r="C42" s="713"/>
      <c r="D42" s="713"/>
      <c r="E42" s="713"/>
      <c r="F42" s="713"/>
      <c r="G42" s="756"/>
      <c r="H42" s="756"/>
      <c r="I42" s="756"/>
      <c r="J42" s="756"/>
      <c r="K42" s="756"/>
      <c r="L42" s="756"/>
      <c r="M42" s="756"/>
      <c r="N42" s="756"/>
      <c r="O42" s="756"/>
      <c r="P42" s="756"/>
      <c r="Q42" s="756"/>
    </row>
    <row r="44" spans="1:28" x14ac:dyDescent="0.25">
      <c r="A44" s="217"/>
      <c r="B44" s="218"/>
    </row>
    <row r="45" spans="1:28" x14ac:dyDescent="0.25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</row>
    <row r="46" spans="1:28" x14ac:dyDescent="0.25">
      <c r="A46" s="219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</row>
    <row r="47" spans="1:28" x14ac:dyDescent="0.25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21"/>
      <c r="P47" s="221"/>
    </row>
    <row r="48" spans="1:28" x14ac:dyDescent="0.25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</row>
  </sheetData>
  <mergeCells count="58">
    <mergeCell ref="A42:F42"/>
    <mergeCell ref="G42:J42"/>
    <mergeCell ref="K42:Q42"/>
    <mergeCell ref="N2:Q2"/>
    <mergeCell ref="A5:Y5"/>
    <mergeCell ref="B6:B8"/>
    <mergeCell ref="C6:C8"/>
    <mergeCell ref="D6:K6"/>
    <mergeCell ref="L6:N7"/>
    <mergeCell ref="O6:Q7"/>
    <mergeCell ref="R6:T7"/>
    <mergeCell ref="U6:U7"/>
    <mergeCell ref="V6:W7"/>
    <mergeCell ref="X6:Z7"/>
    <mergeCell ref="D7:G7"/>
    <mergeCell ref="H7:K7"/>
    <mergeCell ref="F8:G8"/>
    <mergeCell ref="J8:K8"/>
    <mergeCell ref="F9:G9"/>
    <mergeCell ref="J9:K9"/>
    <mergeCell ref="F11:G11"/>
    <mergeCell ref="J11:K11"/>
    <mergeCell ref="F12:G12"/>
    <mergeCell ref="J12:K12"/>
    <mergeCell ref="F13:G13"/>
    <mergeCell ref="J13:K13"/>
    <mergeCell ref="F16:G16"/>
    <mergeCell ref="J16:K16"/>
    <mergeCell ref="F20:G20"/>
    <mergeCell ref="J20:K20"/>
    <mergeCell ref="F21:G21"/>
    <mergeCell ref="J21:K21"/>
    <mergeCell ref="F22:G22"/>
    <mergeCell ref="J22:K22"/>
    <mergeCell ref="F23:G23"/>
    <mergeCell ref="J23:K23"/>
    <mergeCell ref="F30:G30"/>
    <mergeCell ref="J30:K30"/>
    <mergeCell ref="F31:G31"/>
    <mergeCell ref="J31:K31"/>
    <mergeCell ref="F27:G27"/>
    <mergeCell ref="J27:K27"/>
    <mergeCell ref="F28:G28"/>
    <mergeCell ref="J28:K28"/>
    <mergeCell ref="F29:G29"/>
    <mergeCell ref="J29:K29"/>
    <mergeCell ref="F32:G32"/>
    <mergeCell ref="J32:K32"/>
    <mergeCell ref="F33:G33"/>
    <mergeCell ref="J33:K33"/>
    <mergeCell ref="A41:F41"/>
    <mergeCell ref="G41:J41"/>
    <mergeCell ref="K41:Q41"/>
    <mergeCell ref="F36:G36"/>
    <mergeCell ref="J36:K36"/>
    <mergeCell ref="F37:G37"/>
    <mergeCell ref="J37:K37"/>
    <mergeCell ref="A40:Y40"/>
  </mergeCells>
  <phoneticPr fontId="60" type="noConversion"/>
  <pageMargins left="0.42" right="0" top="0" bottom="0" header="0" footer="0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BD16-3CE4-4C08-95BD-238F705837EB}">
  <dimension ref="A1:C42"/>
  <sheetViews>
    <sheetView topLeftCell="A37" workbookViewId="0">
      <selection activeCell="I15" sqref="I15"/>
    </sheetView>
  </sheetViews>
  <sheetFormatPr defaultColWidth="8.85546875" defaultRowHeight="12.75" x14ac:dyDescent="0.2"/>
  <cols>
    <col min="1" max="1" width="8.85546875" style="61"/>
    <col min="2" max="2" width="59.28515625" style="61" customWidth="1"/>
    <col min="3" max="3" width="23.140625" style="61" customWidth="1"/>
    <col min="4" max="16384" width="8.85546875" style="61"/>
  </cols>
  <sheetData>
    <row r="1" spans="1:3" ht="15.75" x14ac:dyDescent="0.2">
      <c r="A1" s="763" t="s">
        <v>371</v>
      </c>
      <c r="B1" s="764"/>
      <c r="C1" s="764"/>
    </row>
    <row r="2" spans="1:3" ht="15.75" x14ac:dyDescent="0.25">
      <c r="A2" s="765" t="s">
        <v>370</v>
      </c>
      <c r="B2" s="765"/>
      <c r="C2" s="765"/>
    </row>
    <row r="3" spans="1:3" ht="15.75" x14ac:dyDescent="0.25">
      <c r="A3" s="765" t="s">
        <v>369</v>
      </c>
      <c r="B3" s="765"/>
      <c r="C3" s="765"/>
    </row>
    <row r="4" spans="1:3" ht="15.75" x14ac:dyDescent="0.25">
      <c r="A4" s="765" t="s">
        <v>368</v>
      </c>
      <c r="B4" s="765"/>
      <c r="C4" s="765"/>
    </row>
    <row r="5" spans="1:3" ht="15.75" x14ac:dyDescent="0.25">
      <c r="A5" s="76"/>
      <c r="B5" s="75"/>
      <c r="C5" s="74"/>
    </row>
    <row r="6" spans="1:3" ht="31.5" x14ac:dyDescent="0.2">
      <c r="A6" s="73" t="s">
        <v>367</v>
      </c>
      <c r="B6" s="73" t="s">
        <v>366</v>
      </c>
      <c r="C6" s="73" t="s">
        <v>365</v>
      </c>
    </row>
    <row r="7" spans="1:3" ht="15.75" x14ac:dyDescent="0.2">
      <c r="A7" s="71">
        <v>1</v>
      </c>
      <c r="B7" s="70" t="s">
        <v>364</v>
      </c>
      <c r="C7" s="69"/>
    </row>
    <row r="8" spans="1:3" ht="31.5" x14ac:dyDescent="0.2">
      <c r="A8" s="71">
        <v>2</v>
      </c>
      <c r="B8" s="70" t="s">
        <v>363</v>
      </c>
      <c r="C8" s="69"/>
    </row>
    <row r="9" spans="1:3" ht="15.75" x14ac:dyDescent="0.2">
      <c r="A9" s="71">
        <v>3</v>
      </c>
      <c r="B9" s="70" t="s">
        <v>362</v>
      </c>
      <c r="C9" s="69"/>
    </row>
    <row r="10" spans="1:3" ht="31.5" x14ac:dyDescent="0.2">
      <c r="A10" s="71">
        <v>4</v>
      </c>
      <c r="B10" s="70" t="s">
        <v>361</v>
      </c>
      <c r="C10" s="69"/>
    </row>
    <row r="11" spans="1:3" ht="15.75" x14ac:dyDescent="0.2">
      <c r="A11" s="71">
        <v>5</v>
      </c>
      <c r="B11" s="70" t="s">
        <v>360</v>
      </c>
      <c r="C11" s="69"/>
    </row>
    <row r="12" spans="1:3" ht="31.5" x14ac:dyDescent="0.2">
      <c r="A12" s="71">
        <v>6</v>
      </c>
      <c r="B12" s="70" t="s">
        <v>359</v>
      </c>
      <c r="C12" s="69" t="s">
        <v>346</v>
      </c>
    </row>
    <row r="13" spans="1:3" ht="31.5" x14ac:dyDescent="0.2">
      <c r="A13" s="71">
        <v>7</v>
      </c>
      <c r="B13" s="70" t="s">
        <v>358</v>
      </c>
      <c r="C13" s="69" t="s">
        <v>346</v>
      </c>
    </row>
    <row r="14" spans="1:3" ht="47.25" x14ac:dyDescent="0.2">
      <c r="A14" s="71">
        <v>8</v>
      </c>
      <c r="B14" s="70" t="s">
        <v>357</v>
      </c>
      <c r="C14" s="69"/>
    </row>
    <row r="15" spans="1:3" ht="47.25" x14ac:dyDescent="0.2">
      <c r="A15" s="71">
        <v>9</v>
      </c>
      <c r="B15" s="70" t="s">
        <v>356</v>
      </c>
      <c r="C15" s="69"/>
    </row>
    <row r="16" spans="1:3" ht="47.25" x14ac:dyDescent="0.2">
      <c r="A16" s="71">
        <v>10</v>
      </c>
      <c r="B16" s="70" t="s">
        <v>355</v>
      </c>
      <c r="C16" s="69"/>
    </row>
    <row r="17" spans="1:3" ht="31.5" x14ac:dyDescent="0.2">
      <c r="A17" s="71">
        <v>11</v>
      </c>
      <c r="B17" s="70" t="s">
        <v>354</v>
      </c>
      <c r="C17" s="69"/>
    </row>
    <row r="18" spans="1:3" ht="15.75" x14ac:dyDescent="0.2">
      <c r="A18" s="71">
        <v>12</v>
      </c>
      <c r="B18" s="70" t="s">
        <v>353</v>
      </c>
      <c r="C18" s="69"/>
    </row>
    <row r="19" spans="1:3" ht="110.25" x14ac:dyDescent="0.2">
      <c r="A19" s="71">
        <v>13</v>
      </c>
      <c r="B19" s="70" t="s">
        <v>352</v>
      </c>
      <c r="C19" s="69" t="s">
        <v>346</v>
      </c>
    </row>
    <row r="20" spans="1:3" ht="15.75" x14ac:dyDescent="0.2">
      <c r="A20" s="71">
        <v>14</v>
      </c>
      <c r="B20" s="70" t="s">
        <v>351</v>
      </c>
      <c r="C20" s="69"/>
    </row>
    <row r="21" spans="1:3" ht="47.25" x14ac:dyDescent="0.2">
      <c r="A21" s="71">
        <v>15</v>
      </c>
      <c r="B21" s="72" t="s">
        <v>350</v>
      </c>
      <c r="C21" s="69"/>
    </row>
    <row r="22" spans="1:3" ht="31.5" x14ac:dyDescent="0.2">
      <c r="A22" s="71">
        <v>16</v>
      </c>
      <c r="B22" s="70" t="s">
        <v>349</v>
      </c>
      <c r="C22" s="69" t="s">
        <v>346</v>
      </c>
    </row>
    <row r="23" spans="1:3" ht="31.5" x14ac:dyDescent="0.2">
      <c r="A23" s="71">
        <v>17</v>
      </c>
      <c r="B23" s="70" t="s">
        <v>348</v>
      </c>
      <c r="C23" s="69" t="s">
        <v>346</v>
      </c>
    </row>
    <row r="24" spans="1:3" ht="63" x14ac:dyDescent="0.2">
      <c r="A24" s="71">
        <v>18</v>
      </c>
      <c r="B24" s="70" t="s">
        <v>347</v>
      </c>
      <c r="C24" s="69" t="s">
        <v>346</v>
      </c>
    </row>
    <row r="25" spans="1:3" ht="47.25" x14ac:dyDescent="0.2">
      <c r="A25" s="71">
        <v>19</v>
      </c>
      <c r="B25" s="70" t="s">
        <v>345</v>
      </c>
      <c r="C25" s="69"/>
    </row>
    <row r="26" spans="1:3" ht="63" x14ac:dyDescent="0.2">
      <c r="A26" s="71">
        <v>20</v>
      </c>
      <c r="B26" s="70" t="s">
        <v>344</v>
      </c>
      <c r="C26" s="69"/>
    </row>
    <row r="27" spans="1:3" ht="31.5" x14ac:dyDescent="0.2">
      <c r="A27" s="68">
        <v>21</v>
      </c>
      <c r="B27" s="67" t="s">
        <v>343</v>
      </c>
      <c r="C27" s="66"/>
    </row>
    <row r="28" spans="1:3" ht="60.75" x14ac:dyDescent="0.25">
      <c r="A28" s="64" t="s">
        <v>208</v>
      </c>
      <c r="B28" s="63" t="s">
        <v>342</v>
      </c>
      <c r="C28" s="65"/>
    </row>
    <row r="29" spans="1:3" ht="72.75" x14ac:dyDescent="0.25">
      <c r="A29" s="64" t="s">
        <v>208</v>
      </c>
      <c r="B29" s="63" t="s">
        <v>341</v>
      </c>
      <c r="C29" s="65"/>
    </row>
    <row r="30" spans="1:3" ht="24.75" x14ac:dyDescent="0.25">
      <c r="A30" s="64" t="s">
        <v>208</v>
      </c>
      <c r="B30" s="63" t="s">
        <v>340</v>
      </c>
      <c r="C30" s="62" t="s">
        <v>327</v>
      </c>
    </row>
    <row r="31" spans="1:3" ht="36.75" x14ac:dyDescent="0.25">
      <c r="A31" s="64" t="s">
        <v>210</v>
      </c>
      <c r="B31" s="63" t="s">
        <v>339</v>
      </c>
      <c r="C31" s="65"/>
    </row>
    <row r="32" spans="1:3" ht="36.75" x14ac:dyDescent="0.25">
      <c r="A32" s="64" t="s">
        <v>208</v>
      </c>
      <c r="B32" s="63" t="s">
        <v>338</v>
      </c>
      <c r="C32" s="65"/>
    </row>
    <row r="33" spans="1:3" ht="36.75" x14ac:dyDescent="0.25">
      <c r="A33" s="64" t="s">
        <v>208</v>
      </c>
      <c r="B33" s="63" t="s">
        <v>337</v>
      </c>
      <c r="C33" s="62" t="s">
        <v>327</v>
      </c>
    </row>
    <row r="34" spans="1:3" ht="36.75" x14ac:dyDescent="0.25">
      <c r="A34" s="64" t="s">
        <v>208</v>
      </c>
      <c r="B34" s="63" t="s">
        <v>336</v>
      </c>
      <c r="C34" s="65"/>
    </row>
    <row r="35" spans="1:3" ht="48.75" x14ac:dyDescent="0.25">
      <c r="A35" s="64" t="s">
        <v>208</v>
      </c>
      <c r="B35" s="63" t="s">
        <v>335</v>
      </c>
      <c r="C35" s="62" t="s">
        <v>327</v>
      </c>
    </row>
    <row r="36" spans="1:3" ht="36.75" x14ac:dyDescent="0.25">
      <c r="A36" s="64" t="s">
        <v>208</v>
      </c>
      <c r="B36" s="63" t="s">
        <v>334</v>
      </c>
      <c r="C36" s="65"/>
    </row>
    <row r="37" spans="1:3" ht="48.75" x14ac:dyDescent="0.25">
      <c r="A37" s="64" t="s">
        <v>208</v>
      </c>
      <c r="B37" s="63" t="s">
        <v>333</v>
      </c>
      <c r="C37" s="62" t="s">
        <v>327</v>
      </c>
    </row>
    <row r="38" spans="1:3" ht="36.75" x14ac:dyDescent="0.25">
      <c r="A38" s="64" t="s">
        <v>208</v>
      </c>
      <c r="B38" s="63" t="s">
        <v>332</v>
      </c>
      <c r="C38" s="62" t="s">
        <v>327</v>
      </c>
    </row>
    <row r="39" spans="1:3" ht="48.75" x14ac:dyDescent="0.25">
      <c r="A39" s="64" t="s">
        <v>208</v>
      </c>
      <c r="B39" s="63" t="s">
        <v>331</v>
      </c>
      <c r="C39" s="62" t="s">
        <v>327</v>
      </c>
    </row>
    <row r="40" spans="1:3" ht="48.75" x14ac:dyDescent="0.25">
      <c r="A40" s="64" t="s">
        <v>208</v>
      </c>
      <c r="B40" s="63" t="s">
        <v>330</v>
      </c>
      <c r="C40" s="65"/>
    </row>
    <row r="41" spans="1:3" ht="60.75" x14ac:dyDescent="0.25">
      <c r="A41" s="64" t="s">
        <v>208</v>
      </c>
      <c r="B41" s="63" t="s">
        <v>329</v>
      </c>
      <c r="C41" s="62" t="s">
        <v>327</v>
      </c>
    </row>
    <row r="42" spans="1:3" ht="48.75" x14ac:dyDescent="0.25">
      <c r="A42" s="64" t="s">
        <v>208</v>
      </c>
      <c r="B42" s="63" t="s">
        <v>328</v>
      </c>
      <c r="C42" s="62" t="s">
        <v>327</v>
      </c>
    </row>
  </sheetData>
  <mergeCells count="4">
    <mergeCell ref="A1:C1"/>
    <mergeCell ref="A2:C2"/>
    <mergeCell ref="A3:C3"/>
    <mergeCell ref="A4:C4"/>
  </mergeCells>
  <hyperlinks>
    <hyperlink ref="B21" r:id="rId1" location="n157" xr:uid="{5D8FE544-D476-4E31-8C2B-18734FA0490E}"/>
    <hyperlink ref="B27" r:id="rId2" location="n174" display="Звітність, передбаченапідпунктом 11пункту 10 розділу II Порядку" xr:uid="{FB3A1FFA-22AF-4A85-AE3F-A34E6DD70C51}"/>
    <hyperlink ref="B28" r:id="rId3" location="n147" display="https://zakon.rada.gov.ua/laws/show/z0336-13 - n147" xr:uid="{69426E15-B4FA-4487-9C11-4BD17E95BAF9}"/>
    <hyperlink ref="B29" r:id="rId4" location="n156" display="https://zakon.rada.gov.ua/laws/show/z0336-13 - n156" xr:uid="{217E1314-43DE-4619-BE73-1AF32B39691C}"/>
    <hyperlink ref="B30" r:id="rId5" location="n5" display="https://zakon.rada.gov.ua/laws/show/v0090832-16 - n5" xr:uid="{B3245C74-118C-4454-8FC0-9CAAD9F9666E}"/>
    <hyperlink ref="B31" r:id="rId6" location="n5" display="https://zakon.rada.gov.ua/laws/show/v0160832-18 - n5" xr:uid="{F07E1E97-D897-491B-93DC-103A8791C236}"/>
    <hyperlink ref="B32" r:id="rId7" location="n7" display="https://zakon.rada.gov.ua/laws/show/v0321832-13 - n7" xr:uid="{4DF0D468-E349-4384-800F-9454BA5E4045}"/>
    <hyperlink ref="B33" r:id="rId8" location="n8" display="https://zakon.rada.gov.ua/laws/show/v0162832-16 - n8" xr:uid="{1188B36E-CD15-4E58-A592-F248CBA3BC50}"/>
    <hyperlink ref="B34" r:id="rId9" location="n7" display="https://zakon.rada.gov.ua/laws/show/v0162832-16 - n7" xr:uid="{C5AFBCAC-34BC-40AA-BC15-3972CF5CE7A8}"/>
    <hyperlink ref="B35" r:id="rId10" location="n224" display="https://zakon.rada.gov.ua/laws/show/z0382-15 - n224" xr:uid="{2C7A473F-9018-44A9-AE46-00D0B28A0F03}"/>
    <hyperlink ref="B36" r:id="rId11" location="n10" display="https://zakon.rada.gov.ua/laws/show/v0243832-14 - n10" xr:uid="{11451BC8-03C5-4B17-8FBB-F142FB7ACA77}"/>
    <hyperlink ref="B37" r:id="rId12" display="https://zakon.rada.gov.ua/laws/show/v0308667-06" xr:uid="{BC43E0AC-1E40-4148-A1AE-5EE5AF1F21ED}"/>
    <hyperlink ref="B38" r:id="rId13" location="n5" display="https://zakon.rada.gov.ua/laws/show/v0345832-15 - n5" xr:uid="{F98105A9-4AE7-44A3-BAA5-8184AB54DFB3}"/>
    <hyperlink ref="B39" r:id="rId14" location="n5" display="https://zakon.rada.gov.ua/laws/show/v0259832-15 - n5" xr:uid="{8E97B0C8-AFE3-434D-8438-B8A6954FE14E}"/>
    <hyperlink ref="B40" r:id="rId15" location="n20" display="https://zakon.rada.gov.ua/laws/show/z1415-15 - n20" xr:uid="{6C5436C6-4084-48F9-9B37-80CD75EB0155}"/>
    <hyperlink ref="B41" r:id="rId16" location="n16" display="https://zakon.rada.gov.ua/laws/show/z0783-15 - n16" xr:uid="{F73AA801-788F-46F5-8715-DD66D3E82274}"/>
    <hyperlink ref="B42" r:id="rId17" location="n15" display="https://zakon.rada.gov.ua/laws/show/z1052-15 - n15" xr:uid="{5494EE2E-7AF1-4AFF-9847-0469FB04086C}"/>
  </hyperlinks>
  <pageMargins left="0.7" right="0.7" top="0.75" bottom="0.75" header="0.3" footer="0.3"/>
  <pageSetup orientation="portrait" horizontalDpi="200" verticalDpi="200" r:id="rId1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P66"/>
  <sheetViews>
    <sheetView view="pageLayout" topLeftCell="A22" zoomScaleNormal="80" workbookViewId="0">
      <selection activeCell="B21" sqref="B21"/>
    </sheetView>
  </sheetViews>
  <sheetFormatPr defaultRowHeight="15" x14ac:dyDescent="0.25"/>
  <cols>
    <col min="2" max="2" width="79.28515625" customWidth="1"/>
    <col min="3" max="9" width="0" hidden="1" customWidth="1"/>
    <col min="10" max="10" width="10.5703125" hidden="1" customWidth="1"/>
    <col min="11" max="14" width="0" hidden="1" customWidth="1"/>
    <col min="15" max="15" width="35.28515625" customWidth="1"/>
    <col min="16" max="16" width="0.140625" hidden="1" customWidth="1"/>
    <col min="17" max="17" width="13.28515625" customWidth="1"/>
  </cols>
  <sheetData>
    <row r="1" spans="1:16" hidden="1" x14ac:dyDescent="0.25">
      <c r="M1" s="767"/>
      <c r="N1" s="768"/>
      <c r="O1" s="768"/>
      <c r="P1" s="768"/>
    </row>
    <row r="2" spans="1:16" hidden="1" x14ac:dyDescent="0.25">
      <c r="M2" s="768"/>
      <c r="N2" s="768"/>
      <c r="O2" s="768"/>
      <c r="P2" s="768"/>
    </row>
    <row r="3" spans="1:16" hidden="1" x14ac:dyDescent="0.25">
      <c r="M3" s="768"/>
      <c r="N3" s="768"/>
      <c r="O3" s="768"/>
      <c r="P3" s="768"/>
    </row>
    <row r="4" spans="1:16" hidden="1" x14ac:dyDescent="0.25">
      <c r="M4" s="768"/>
      <c r="N4" s="768"/>
      <c r="O4" s="768"/>
      <c r="P4" s="768"/>
    </row>
    <row r="5" spans="1:16" ht="59.25" hidden="1" customHeight="1" x14ac:dyDescent="0.25">
      <c r="A5" s="770"/>
      <c r="B5" s="770"/>
      <c r="M5" s="768"/>
      <c r="N5" s="768"/>
      <c r="O5" s="768"/>
      <c r="P5" s="768"/>
    </row>
    <row r="6" spans="1:16" ht="11.25" hidden="1" customHeight="1" x14ac:dyDescent="0.25">
      <c r="A6" s="6"/>
      <c r="B6" s="6"/>
      <c r="M6" s="7"/>
      <c r="N6" s="7"/>
      <c r="O6" s="7"/>
      <c r="P6" s="7"/>
    </row>
    <row r="7" spans="1:16" ht="20.25" hidden="1" customHeight="1" x14ac:dyDescent="0.25">
      <c r="A7" s="770"/>
      <c r="B7" s="770"/>
      <c r="M7" s="7"/>
      <c r="N7" s="7"/>
      <c r="O7" s="7"/>
      <c r="P7" s="7"/>
    </row>
    <row r="8" spans="1:16" ht="15.75" hidden="1" x14ac:dyDescent="0.25">
      <c r="A8" s="2"/>
    </row>
    <row r="9" spans="1:16" hidden="1" x14ac:dyDescent="0.25">
      <c r="A9" s="3"/>
    </row>
    <row r="10" spans="1:16" ht="15.75" x14ac:dyDescent="0.25">
      <c r="A10" s="769"/>
      <c r="B10" s="769"/>
      <c r="C10" s="769"/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</row>
    <row r="11" spans="1:16" ht="15.75" x14ac:dyDescent="0.25">
      <c r="A11" s="769" t="s">
        <v>598</v>
      </c>
      <c r="B11" s="769"/>
      <c r="C11" s="769"/>
      <c r="D11" s="769"/>
      <c r="E11" s="769"/>
      <c r="F11" s="769"/>
      <c r="G11" s="769"/>
      <c r="H11" s="769"/>
      <c r="I11" s="769"/>
      <c r="J11" s="769"/>
      <c r="K11" s="769"/>
      <c r="L11" s="769"/>
      <c r="M11" s="769"/>
      <c r="N11" s="769"/>
      <c r="O11" s="769"/>
      <c r="P11" s="769"/>
    </row>
    <row r="12" spans="1:16" ht="35.25" customHeight="1" x14ac:dyDescent="0.25">
      <c r="A12" s="769" t="s">
        <v>283</v>
      </c>
      <c r="B12" s="769"/>
      <c r="C12" s="769"/>
      <c r="D12" s="769"/>
      <c r="E12" s="769"/>
      <c r="F12" s="769"/>
      <c r="G12" s="769"/>
      <c r="H12" s="769"/>
      <c r="I12" s="769"/>
      <c r="J12" s="769"/>
      <c r="K12" s="769"/>
      <c r="L12" s="769"/>
      <c r="M12" s="769"/>
      <c r="N12" s="769"/>
      <c r="O12" s="769"/>
      <c r="P12" s="769"/>
    </row>
    <row r="13" spans="1:16" ht="42.75" customHeight="1" thickBot="1" x14ac:dyDescent="0.3">
      <c r="A13" s="769" t="s">
        <v>107</v>
      </c>
      <c r="B13" s="769"/>
      <c r="C13" s="769"/>
      <c r="D13" s="769"/>
      <c r="E13" s="769"/>
      <c r="F13" s="769"/>
      <c r="G13" s="769"/>
      <c r="H13" s="769"/>
      <c r="I13" s="769"/>
      <c r="J13" s="769"/>
      <c r="K13" s="769"/>
      <c r="L13" s="769"/>
      <c r="M13" s="769"/>
      <c r="N13" s="769"/>
      <c r="O13" s="769"/>
      <c r="P13" s="769"/>
    </row>
    <row r="14" spans="1:16" ht="15.75" customHeight="1" x14ac:dyDescent="0.25">
      <c r="A14" s="774" t="s">
        <v>58</v>
      </c>
      <c r="B14" s="777" t="s">
        <v>59</v>
      </c>
      <c r="C14" s="778" t="s">
        <v>3</v>
      </c>
      <c r="D14" s="720"/>
      <c r="E14" s="720"/>
      <c r="F14" s="720"/>
      <c r="G14" s="720"/>
      <c r="H14" s="720"/>
      <c r="I14" s="720"/>
      <c r="J14" s="720"/>
      <c r="K14" s="720"/>
      <c r="L14" s="779"/>
      <c r="M14" s="778" t="s">
        <v>4</v>
      </c>
      <c r="N14" s="720"/>
      <c r="O14" s="724" t="s">
        <v>285</v>
      </c>
      <c r="P14" s="33"/>
    </row>
    <row r="15" spans="1:16" ht="15" customHeight="1" thickBot="1" x14ac:dyDescent="0.3">
      <c r="A15" s="775"/>
      <c r="B15" s="726"/>
      <c r="C15" s="734"/>
      <c r="D15" s="735"/>
      <c r="E15" s="735"/>
      <c r="F15" s="735"/>
      <c r="G15" s="735"/>
      <c r="H15" s="735"/>
      <c r="I15" s="735"/>
      <c r="J15" s="735"/>
      <c r="K15" s="735"/>
      <c r="L15" s="736"/>
      <c r="M15" s="780"/>
      <c r="N15" s="749"/>
      <c r="O15" s="724"/>
      <c r="P15" s="34"/>
    </row>
    <row r="16" spans="1:16" ht="31.5" customHeight="1" x14ac:dyDescent="0.25">
      <c r="A16" s="775"/>
      <c r="B16" s="726"/>
      <c r="C16" s="731" t="s">
        <v>61</v>
      </c>
      <c r="D16" s="733"/>
      <c r="E16" s="731" t="s">
        <v>61</v>
      </c>
      <c r="F16" s="733"/>
      <c r="G16" s="731" t="s">
        <v>61</v>
      </c>
      <c r="H16" s="733"/>
      <c r="I16" s="731" t="s">
        <v>62</v>
      </c>
      <c r="J16" s="733"/>
      <c r="K16" s="731" t="s">
        <v>64</v>
      </c>
      <c r="L16" s="733"/>
      <c r="M16" s="780"/>
      <c r="N16" s="749"/>
      <c r="O16" s="724"/>
      <c r="P16" s="34"/>
    </row>
    <row r="17" spans="1:16" ht="26.25" customHeight="1" thickBot="1" x14ac:dyDescent="0.3">
      <c r="A17" s="775"/>
      <c r="B17" s="726"/>
      <c r="C17" s="734"/>
      <c r="D17" s="736"/>
      <c r="E17" s="734"/>
      <c r="F17" s="736"/>
      <c r="G17" s="734"/>
      <c r="H17" s="736"/>
      <c r="I17" s="734" t="s">
        <v>63</v>
      </c>
      <c r="J17" s="736"/>
      <c r="K17" s="734" t="s">
        <v>61</v>
      </c>
      <c r="L17" s="736"/>
      <c r="M17" s="734"/>
      <c r="N17" s="735"/>
      <c r="O17" s="724"/>
      <c r="P17" s="35"/>
    </row>
    <row r="18" spans="1:16" ht="63.75" thickBot="1" x14ac:dyDescent="0.3">
      <c r="A18" s="776"/>
      <c r="B18" s="727"/>
      <c r="C18" s="32" t="s">
        <v>65</v>
      </c>
      <c r="D18" s="32" t="s">
        <v>66</v>
      </c>
      <c r="E18" s="32" t="s">
        <v>65</v>
      </c>
      <c r="F18" s="32" t="s">
        <v>66</v>
      </c>
      <c r="G18" s="32" t="s">
        <v>65</v>
      </c>
      <c r="H18" s="32" t="s">
        <v>66</v>
      </c>
      <c r="I18" s="32" t="s">
        <v>65</v>
      </c>
      <c r="J18" s="32" t="s">
        <v>66</v>
      </c>
      <c r="K18" s="32" t="s">
        <v>65</v>
      </c>
      <c r="L18" s="32" t="s">
        <v>66</v>
      </c>
      <c r="M18" s="32" t="s">
        <v>65</v>
      </c>
      <c r="N18" s="32" t="s">
        <v>66</v>
      </c>
      <c r="O18" s="32" t="s">
        <v>65</v>
      </c>
      <c r="P18" s="30" t="s">
        <v>66</v>
      </c>
    </row>
    <row r="19" spans="1:16" ht="16.5" thickBot="1" x14ac:dyDescent="0.3">
      <c r="A19" s="31" t="s">
        <v>9</v>
      </c>
      <c r="B19" s="32" t="s">
        <v>10</v>
      </c>
      <c r="C19" s="32">
        <v>1</v>
      </c>
      <c r="D19" s="32">
        <v>2</v>
      </c>
      <c r="E19" s="32">
        <v>3</v>
      </c>
      <c r="F19" s="32">
        <v>4</v>
      </c>
      <c r="G19" s="32">
        <v>5</v>
      </c>
      <c r="H19" s="32">
        <v>6</v>
      </c>
      <c r="I19" s="32">
        <v>7</v>
      </c>
      <c r="J19" s="32">
        <v>8</v>
      </c>
      <c r="K19" s="32">
        <v>9</v>
      </c>
      <c r="L19" s="32">
        <v>10</v>
      </c>
      <c r="M19" s="32">
        <v>11</v>
      </c>
      <c r="N19" s="32">
        <v>12</v>
      </c>
      <c r="O19" s="30">
        <v>13</v>
      </c>
      <c r="P19" s="30">
        <v>14</v>
      </c>
    </row>
    <row r="20" spans="1:16" ht="31.5" x14ac:dyDescent="0.25">
      <c r="A20" s="27">
        <v>1</v>
      </c>
      <c r="B20" s="28" t="s">
        <v>280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>
        <f>O21+O22</f>
        <v>200363.11</v>
      </c>
      <c r="P20" s="29"/>
    </row>
    <row r="21" spans="1:16" ht="15.75" x14ac:dyDescent="0.25">
      <c r="A21" s="8" t="s">
        <v>24</v>
      </c>
      <c r="B21" s="9" t="s">
        <v>67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f>73690*2.472</f>
        <v>182161.68</v>
      </c>
      <c r="P21" s="10"/>
    </row>
    <row r="22" spans="1:16" ht="15.75" x14ac:dyDescent="0.25">
      <c r="A22" s="8" t="s">
        <v>27</v>
      </c>
      <c r="B22" s="9" t="s">
        <v>68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f>73690*0.247</f>
        <v>18201.43</v>
      </c>
      <c r="P22" s="10"/>
    </row>
    <row r="23" spans="1:16" ht="15.75" hidden="1" x14ac:dyDescent="0.25">
      <c r="A23" s="8" t="s">
        <v>28</v>
      </c>
      <c r="B23" s="9" t="s">
        <v>69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.75" x14ac:dyDescent="0.25">
      <c r="A24" s="771">
        <v>2</v>
      </c>
      <c r="B24" s="9" t="s">
        <v>70</v>
      </c>
      <c r="C24" s="766"/>
      <c r="D24" s="766"/>
      <c r="E24" s="766"/>
      <c r="F24" s="766"/>
      <c r="G24" s="766"/>
      <c r="H24" s="766"/>
      <c r="I24" s="766"/>
      <c r="J24" s="766"/>
      <c r="K24" s="766"/>
      <c r="L24" s="766"/>
      <c r="M24" s="766"/>
      <c r="N24" s="766"/>
      <c r="O24" s="772">
        <f>73690* (2.472*0.2573)</f>
        <v>46870.200263999992</v>
      </c>
      <c r="P24" s="766"/>
    </row>
    <row r="25" spans="1:16" ht="15.75" x14ac:dyDescent="0.25">
      <c r="A25" s="771"/>
      <c r="B25" s="9" t="s">
        <v>281</v>
      </c>
      <c r="C25" s="766"/>
      <c r="D25" s="766"/>
      <c r="E25" s="766"/>
      <c r="F25" s="766"/>
      <c r="G25" s="766"/>
      <c r="H25" s="766"/>
      <c r="I25" s="766"/>
      <c r="J25" s="766"/>
      <c r="K25" s="766"/>
      <c r="L25" s="766"/>
      <c r="M25" s="766"/>
      <c r="N25" s="766"/>
      <c r="O25" s="772"/>
      <c r="P25" s="766"/>
    </row>
    <row r="26" spans="1:16" ht="31.5" x14ac:dyDescent="0.25">
      <c r="A26" s="8">
        <v>3</v>
      </c>
      <c r="B26" s="9" t="s">
        <v>282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6">
        <f>O27+O28</f>
        <v>153492.909736</v>
      </c>
      <c r="P26" s="10"/>
    </row>
    <row r="27" spans="1:16" ht="15.75" x14ac:dyDescent="0.25">
      <c r="A27" s="8" t="s">
        <v>48</v>
      </c>
      <c r="B27" s="9" t="s">
        <v>67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36">
        <f>O21-O24</f>
        <v>135291.47973600001</v>
      </c>
      <c r="P27" s="10"/>
    </row>
    <row r="28" spans="1:16" ht="15.75" x14ac:dyDescent="0.25">
      <c r="A28" s="8" t="s">
        <v>49</v>
      </c>
      <c r="B28" s="9" t="s">
        <v>68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>O22</f>
        <v>18201.43</v>
      </c>
      <c r="P28" s="10"/>
    </row>
    <row r="29" spans="1:16" ht="31.5" hidden="1" x14ac:dyDescent="0.25">
      <c r="A29" s="8">
        <v>4</v>
      </c>
      <c r="B29" s="9" t="s">
        <v>71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.75" hidden="1" x14ac:dyDescent="0.25">
      <c r="A30" s="8" t="s">
        <v>91</v>
      </c>
      <c r="B30" s="9" t="s">
        <v>72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5.75" hidden="1" x14ac:dyDescent="0.25">
      <c r="A31" s="8" t="s">
        <v>92</v>
      </c>
      <c r="B31" s="9" t="s">
        <v>68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hidden="1" x14ac:dyDescent="0.25">
      <c r="A32" s="8" t="s">
        <v>93</v>
      </c>
      <c r="B32" s="9" t="s">
        <v>74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5.75" hidden="1" x14ac:dyDescent="0.25">
      <c r="A33" s="8" t="s">
        <v>94</v>
      </c>
      <c r="B33" s="9" t="s">
        <v>75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.75" hidden="1" x14ac:dyDescent="0.25">
      <c r="A34" s="8" t="s">
        <v>95</v>
      </c>
      <c r="B34" s="9" t="s">
        <v>76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5.75" hidden="1" x14ac:dyDescent="0.25">
      <c r="A35" s="8" t="s">
        <v>96</v>
      </c>
      <c r="B35" s="9" t="s">
        <v>77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31.5" hidden="1" x14ac:dyDescent="0.25">
      <c r="A36" s="8" t="s">
        <v>97</v>
      </c>
      <c r="B36" s="9" t="s">
        <v>78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.75" hidden="1" x14ac:dyDescent="0.25">
      <c r="A37" s="771" t="s">
        <v>98</v>
      </c>
      <c r="B37" s="9" t="s">
        <v>79</v>
      </c>
      <c r="C37" s="766"/>
      <c r="D37" s="766"/>
      <c r="E37" s="766"/>
      <c r="F37" s="766"/>
      <c r="G37" s="766"/>
      <c r="H37" s="766"/>
      <c r="I37" s="766"/>
      <c r="J37" s="766"/>
      <c r="K37" s="766"/>
      <c r="L37" s="766"/>
      <c r="M37" s="766"/>
      <c r="N37" s="766"/>
      <c r="O37" s="766"/>
      <c r="P37" s="766"/>
    </row>
    <row r="38" spans="1:16" ht="15.75" hidden="1" x14ac:dyDescent="0.25">
      <c r="A38" s="771"/>
      <c r="B38" s="9" t="s">
        <v>80</v>
      </c>
      <c r="C38" s="766"/>
      <c r="D38" s="766"/>
      <c r="E38" s="766"/>
      <c r="F38" s="766"/>
      <c r="G38" s="766"/>
      <c r="H38" s="766"/>
      <c r="I38" s="766"/>
      <c r="J38" s="766"/>
      <c r="K38" s="766"/>
      <c r="L38" s="766"/>
      <c r="M38" s="766"/>
      <c r="N38" s="766"/>
      <c r="O38" s="766"/>
      <c r="P38" s="766"/>
    </row>
    <row r="39" spans="1:16" ht="15.75" hidden="1" x14ac:dyDescent="0.25">
      <c r="A39" s="771"/>
      <c r="B39" s="9" t="s">
        <v>81</v>
      </c>
      <c r="C39" s="766"/>
      <c r="D39" s="766"/>
      <c r="E39" s="766"/>
      <c r="F39" s="766"/>
      <c r="G39" s="766"/>
      <c r="H39" s="766"/>
      <c r="I39" s="766"/>
      <c r="J39" s="766"/>
      <c r="K39" s="766"/>
      <c r="L39" s="766"/>
      <c r="M39" s="766"/>
      <c r="N39" s="766"/>
      <c r="O39" s="766"/>
      <c r="P39" s="766"/>
    </row>
    <row r="40" spans="1:16" ht="15.75" hidden="1" x14ac:dyDescent="0.25">
      <c r="A40" s="771"/>
      <c r="B40" s="9" t="s">
        <v>82</v>
      </c>
      <c r="C40" s="766"/>
      <c r="D40" s="766"/>
      <c r="E40" s="766"/>
      <c r="F40" s="766"/>
      <c r="G40" s="766"/>
      <c r="H40" s="766"/>
      <c r="I40" s="766"/>
      <c r="J40" s="766"/>
      <c r="K40" s="766"/>
      <c r="L40" s="766"/>
      <c r="M40" s="766"/>
      <c r="N40" s="766"/>
      <c r="O40" s="766"/>
      <c r="P40" s="766"/>
    </row>
    <row r="41" spans="1:16" ht="31.5" hidden="1" x14ac:dyDescent="0.25">
      <c r="A41" s="8">
        <v>5</v>
      </c>
      <c r="B41" s="9" t="s">
        <v>83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31.5" hidden="1" x14ac:dyDescent="0.25">
      <c r="A42" s="8">
        <v>6</v>
      </c>
      <c r="B42" s="9" t="s">
        <v>84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5.75" hidden="1" x14ac:dyDescent="0.25">
      <c r="A43" s="8" t="s">
        <v>57</v>
      </c>
      <c r="B43" s="9" t="s">
        <v>85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5.75" hidden="1" x14ac:dyDescent="0.25">
      <c r="A44" s="771" t="s">
        <v>99</v>
      </c>
      <c r="B44" s="9" t="s">
        <v>86</v>
      </c>
      <c r="C44" s="766"/>
      <c r="D44" s="766"/>
      <c r="E44" s="766"/>
      <c r="F44" s="766"/>
      <c r="G44" s="766"/>
      <c r="H44" s="766"/>
      <c r="I44" s="766"/>
      <c r="J44" s="766"/>
      <c r="K44" s="766"/>
      <c r="L44" s="766"/>
      <c r="M44" s="766"/>
      <c r="N44" s="766"/>
      <c r="O44" s="766"/>
      <c r="P44" s="766"/>
    </row>
    <row r="45" spans="1:16" ht="15.75" hidden="1" x14ac:dyDescent="0.25">
      <c r="A45" s="771"/>
      <c r="B45" s="9" t="s">
        <v>87</v>
      </c>
      <c r="C45" s="766"/>
      <c r="D45" s="766"/>
      <c r="E45" s="766"/>
      <c r="F45" s="766"/>
      <c r="G45" s="766"/>
      <c r="H45" s="766"/>
      <c r="I45" s="766"/>
      <c r="J45" s="766"/>
      <c r="K45" s="766"/>
      <c r="L45" s="766"/>
      <c r="M45" s="766"/>
      <c r="N45" s="766"/>
      <c r="O45" s="766"/>
      <c r="P45" s="766"/>
    </row>
    <row r="46" spans="1:16" ht="15.75" hidden="1" x14ac:dyDescent="0.25">
      <c r="A46" s="8" t="s">
        <v>100</v>
      </c>
      <c r="B46" s="9" t="s">
        <v>73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.75" hidden="1" x14ac:dyDescent="0.25">
      <c r="A47" s="8" t="s">
        <v>101</v>
      </c>
      <c r="B47" s="9" t="s">
        <v>74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75" hidden="1" x14ac:dyDescent="0.25">
      <c r="A48" s="8" t="s">
        <v>102</v>
      </c>
      <c r="B48" s="9" t="s">
        <v>75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5.75" hidden="1" x14ac:dyDescent="0.25">
      <c r="A49" s="8" t="s">
        <v>103</v>
      </c>
      <c r="B49" s="9" t="s">
        <v>76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75" hidden="1" x14ac:dyDescent="0.25">
      <c r="A50" s="8" t="s">
        <v>104</v>
      </c>
      <c r="B50" s="9" t="s">
        <v>77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31.5" hidden="1" x14ac:dyDescent="0.25">
      <c r="A51" s="8" t="s">
        <v>105</v>
      </c>
      <c r="B51" s="9" t="s">
        <v>78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5.75" hidden="1" x14ac:dyDescent="0.25">
      <c r="A52" s="771" t="s">
        <v>106</v>
      </c>
      <c r="B52" s="9" t="s">
        <v>88</v>
      </c>
      <c r="C52" s="766"/>
      <c r="D52" s="766"/>
      <c r="E52" s="766"/>
      <c r="F52" s="766"/>
      <c r="G52" s="766"/>
      <c r="H52" s="766"/>
      <c r="I52" s="766"/>
      <c r="J52" s="766"/>
      <c r="K52" s="766"/>
      <c r="L52" s="766"/>
      <c r="M52" s="766"/>
      <c r="N52" s="766"/>
      <c r="O52" s="766"/>
      <c r="P52" s="766"/>
    </row>
    <row r="53" spans="1:16" ht="15.75" hidden="1" x14ac:dyDescent="0.25">
      <c r="A53" s="771"/>
      <c r="B53" s="9" t="s">
        <v>89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</row>
    <row r="54" spans="1:16" ht="15.75" hidden="1" x14ac:dyDescent="0.25">
      <c r="A54" s="771"/>
      <c r="B54" s="9" t="s">
        <v>90</v>
      </c>
      <c r="C54" s="766"/>
      <c r="D54" s="766"/>
      <c r="E54" s="766"/>
      <c r="F54" s="766"/>
      <c r="G54" s="766"/>
      <c r="H54" s="766"/>
      <c r="I54" s="766"/>
      <c r="J54" s="766"/>
      <c r="K54" s="766"/>
      <c r="L54" s="766"/>
      <c r="M54" s="766"/>
      <c r="N54" s="766"/>
      <c r="O54" s="766"/>
      <c r="P54" s="766"/>
    </row>
    <row r="55" spans="1:16" ht="15.75" x14ac:dyDescent="0.25">
      <c r="A55" s="1"/>
      <c r="B55" s="773"/>
      <c r="C55" s="773"/>
      <c r="D55" s="773"/>
      <c r="E55" s="773"/>
      <c r="F55" s="773"/>
      <c r="G55" s="773"/>
      <c r="H55" s="773"/>
      <c r="P55" s="10"/>
    </row>
    <row r="56" spans="1:16" ht="25.5" x14ac:dyDescent="0.25">
      <c r="A56" s="1"/>
      <c r="B56" s="773" t="s">
        <v>383</v>
      </c>
      <c r="C56" s="773"/>
      <c r="D56" s="773"/>
      <c r="E56" s="773"/>
      <c r="F56" s="773"/>
      <c r="G56" s="773"/>
      <c r="H56" s="773"/>
      <c r="L56" s="1" t="s">
        <v>23</v>
      </c>
      <c r="P56" s="10"/>
    </row>
    <row r="57" spans="1:16" ht="15.75" x14ac:dyDescent="0.25">
      <c r="A57" s="4"/>
      <c r="P57" s="10"/>
    </row>
    <row r="58" spans="1:16" ht="15.75" x14ac:dyDescent="0.25">
      <c r="A58" s="5"/>
      <c r="P58" s="10"/>
    </row>
    <row r="59" spans="1:16" ht="15.75" hidden="1" x14ac:dyDescent="0.25">
      <c r="P59" s="10"/>
    </row>
    <row r="60" spans="1:16" ht="15.75" hidden="1" x14ac:dyDescent="0.25">
      <c r="P60" s="10"/>
    </row>
    <row r="61" spans="1:16" ht="15.75" hidden="1" x14ac:dyDescent="0.25">
      <c r="P61" s="10"/>
    </row>
    <row r="62" spans="1:16" ht="15.75" hidden="1" x14ac:dyDescent="0.25">
      <c r="P62" s="10"/>
    </row>
    <row r="63" spans="1:16" ht="15.75" hidden="1" x14ac:dyDescent="0.25">
      <c r="P63" s="10"/>
    </row>
    <row r="64" spans="1:16" ht="15.75" hidden="1" x14ac:dyDescent="0.25">
      <c r="P64" s="10"/>
    </row>
    <row r="65" spans="16:16" ht="15.75" hidden="1" x14ac:dyDescent="0.25">
      <c r="P65" s="10"/>
    </row>
    <row r="66" spans="16:16" ht="15.75" hidden="1" x14ac:dyDescent="0.25">
      <c r="P66" s="10"/>
    </row>
  </sheetData>
  <mergeCells count="81">
    <mergeCell ref="B55:H55"/>
    <mergeCell ref="B56:H56"/>
    <mergeCell ref="O14:O17"/>
    <mergeCell ref="A14:A18"/>
    <mergeCell ref="B14:B18"/>
    <mergeCell ref="C14:L15"/>
    <mergeCell ref="M14:N17"/>
    <mergeCell ref="C16:D17"/>
    <mergeCell ref="E16:F17"/>
    <mergeCell ref="G16:H17"/>
    <mergeCell ref="I16:J16"/>
    <mergeCell ref="I17:J17"/>
    <mergeCell ref="K16:L16"/>
    <mergeCell ref="K17:L17"/>
    <mergeCell ref="M24:M25"/>
    <mergeCell ref="N24:N25"/>
    <mergeCell ref="O24:O25"/>
    <mergeCell ref="P24:P25"/>
    <mergeCell ref="K24:K25"/>
    <mergeCell ref="L24:L25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A37:A40"/>
    <mergeCell ref="C37:C40"/>
    <mergeCell ref="D37:D40"/>
    <mergeCell ref="E37:E40"/>
    <mergeCell ref="F37:F40"/>
    <mergeCell ref="O37:O40"/>
    <mergeCell ref="P37:P40"/>
    <mergeCell ref="A44:A45"/>
    <mergeCell ref="C44:C45"/>
    <mergeCell ref="D44:D45"/>
    <mergeCell ref="E44:E45"/>
    <mergeCell ref="F44:F45"/>
    <mergeCell ref="G44:G45"/>
    <mergeCell ref="H44:H45"/>
    <mergeCell ref="H37:H40"/>
    <mergeCell ref="I37:I40"/>
    <mergeCell ref="J37:J40"/>
    <mergeCell ref="K37:K40"/>
    <mergeCell ref="L37:L40"/>
    <mergeCell ref="M37:M40"/>
    <mergeCell ref="G37:G40"/>
    <mergeCell ref="K44:K45"/>
    <mergeCell ref="L44:L45"/>
    <mergeCell ref="M44:M45"/>
    <mergeCell ref="N44:N45"/>
    <mergeCell ref="N37:N40"/>
    <mergeCell ref="G52:G54"/>
    <mergeCell ref="H52:H54"/>
    <mergeCell ref="I52:I54"/>
    <mergeCell ref="I44:I45"/>
    <mergeCell ref="J44:J45"/>
    <mergeCell ref="A52:A54"/>
    <mergeCell ref="C52:C54"/>
    <mergeCell ref="D52:D54"/>
    <mergeCell ref="E52:E54"/>
    <mergeCell ref="F52:F54"/>
    <mergeCell ref="P52:P54"/>
    <mergeCell ref="M1:P5"/>
    <mergeCell ref="A10:P10"/>
    <mergeCell ref="A11:P11"/>
    <mergeCell ref="A12:P12"/>
    <mergeCell ref="A13:P13"/>
    <mergeCell ref="A5:B5"/>
    <mergeCell ref="A7:B7"/>
    <mergeCell ref="J52:J54"/>
    <mergeCell ref="K52:K54"/>
    <mergeCell ref="L52:L54"/>
    <mergeCell ref="M52:M54"/>
    <mergeCell ref="N52:N54"/>
    <mergeCell ref="O52:O54"/>
    <mergeCell ref="O44:O45"/>
    <mergeCell ref="P44:P4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F7BA5-B512-455F-80A4-E8FA69C95CBF}">
  <dimension ref="B4:Q22"/>
  <sheetViews>
    <sheetView workbookViewId="0">
      <selection activeCell="H28" sqref="H28"/>
    </sheetView>
  </sheetViews>
  <sheetFormatPr defaultRowHeight="15" x14ac:dyDescent="0.25"/>
  <cols>
    <col min="2" max="3" width="11.7109375" customWidth="1"/>
    <col min="5" max="5" width="11.42578125" customWidth="1"/>
    <col min="6" max="6" width="12.5703125" customWidth="1"/>
    <col min="8" max="8" width="12.5703125" customWidth="1"/>
    <col min="9" max="9" width="13.28515625" customWidth="1"/>
    <col min="11" max="11" width="10.7109375" customWidth="1"/>
    <col min="13" max="13" width="11.28515625" bestFit="1" customWidth="1"/>
  </cols>
  <sheetData>
    <row r="4" spans="2:17" x14ac:dyDescent="0.25">
      <c r="B4" s="60" t="s">
        <v>474</v>
      </c>
      <c r="C4" s="60"/>
      <c r="D4" s="60"/>
      <c r="E4" s="60"/>
      <c r="F4" s="60"/>
      <c r="G4" s="60"/>
      <c r="H4" s="60"/>
      <c r="I4" s="60"/>
    </row>
    <row r="5" spans="2:17" ht="15.75" thickBot="1" x14ac:dyDescent="0.3">
      <c r="B5" s="60">
        <v>209510844</v>
      </c>
      <c r="C5" s="60"/>
      <c r="D5" s="60"/>
      <c r="E5" s="60"/>
      <c r="F5" s="60"/>
      <c r="G5" s="60"/>
      <c r="H5" s="60"/>
      <c r="I5" s="60"/>
    </row>
    <row r="6" spans="2:17" ht="15.75" thickBot="1" x14ac:dyDescent="0.3">
      <c r="B6" s="60"/>
      <c r="C6" s="85"/>
      <c r="D6" s="781" t="s">
        <v>475</v>
      </c>
      <c r="E6" s="782"/>
      <c r="F6" s="783"/>
      <c r="G6" s="781" t="s">
        <v>476</v>
      </c>
      <c r="H6" s="782"/>
      <c r="I6" s="784"/>
      <c r="K6" s="85"/>
      <c r="L6" s="781" t="s">
        <v>477</v>
      </c>
      <c r="M6" s="782"/>
      <c r="N6" s="783"/>
      <c r="O6" s="781" t="s">
        <v>478</v>
      </c>
      <c r="P6" s="782"/>
      <c r="Q6" s="784"/>
    </row>
    <row r="7" spans="2:17" ht="15.75" thickBot="1" x14ac:dyDescent="0.3">
      <c r="B7" s="60"/>
      <c r="C7" s="85"/>
      <c r="D7" s="86" t="s">
        <v>479</v>
      </c>
      <c r="E7" s="86" t="s">
        <v>480</v>
      </c>
      <c r="F7" s="86" t="s">
        <v>481</v>
      </c>
      <c r="G7" s="86" t="s">
        <v>479</v>
      </c>
      <c r="H7" s="86" t="s">
        <v>480</v>
      </c>
      <c r="I7" s="87" t="s">
        <v>481</v>
      </c>
      <c r="K7" s="85"/>
      <c r="L7" s="86" t="s">
        <v>479</v>
      </c>
      <c r="M7" s="86" t="s">
        <v>480</v>
      </c>
      <c r="N7" s="86" t="s">
        <v>481</v>
      </c>
      <c r="O7" s="86" t="s">
        <v>479</v>
      </c>
      <c r="P7" s="86" t="s">
        <v>480</v>
      </c>
      <c r="Q7" s="87" t="s">
        <v>481</v>
      </c>
    </row>
    <row r="8" spans="2:17" x14ac:dyDescent="0.25">
      <c r="B8" s="60"/>
      <c r="C8" s="88" t="s">
        <v>482</v>
      </c>
      <c r="D8" s="88">
        <v>27158</v>
      </c>
      <c r="E8" s="88">
        <v>23203</v>
      </c>
      <c r="F8" s="88">
        <f>E8+D8</f>
        <v>50361</v>
      </c>
      <c r="G8" s="88">
        <v>505</v>
      </c>
      <c r="H8" s="88">
        <v>272</v>
      </c>
      <c r="I8" s="88">
        <f>H8+G8</f>
        <v>777</v>
      </c>
      <c r="K8" s="88" t="s">
        <v>482</v>
      </c>
      <c r="L8" s="89">
        <f>D8/10*12</f>
        <v>32589.600000000002</v>
      </c>
      <c r="M8" s="89">
        <f>E8/10*12</f>
        <v>27843.600000000002</v>
      </c>
      <c r="N8" s="89">
        <f>M8+L8</f>
        <v>60433.200000000004</v>
      </c>
      <c r="O8" s="89">
        <f>G8/10*12</f>
        <v>606</v>
      </c>
      <c r="P8" s="89">
        <f>H8/10*12</f>
        <v>326.39999999999998</v>
      </c>
      <c r="Q8" s="89">
        <f>P8+O8</f>
        <v>932.4</v>
      </c>
    </row>
    <row r="9" spans="2:17" x14ac:dyDescent="0.25">
      <c r="B9" s="60"/>
      <c r="C9" s="59" t="s">
        <v>483</v>
      </c>
      <c r="D9" s="59">
        <v>29899</v>
      </c>
      <c r="E9" s="59">
        <v>19254</v>
      </c>
      <c r="F9" s="88">
        <f t="shared" ref="F9:F19" si="0">E9+D9</f>
        <v>49153</v>
      </c>
      <c r="G9" s="59">
        <v>375</v>
      </c>
      <c r="H9" s="59">
        <v>246</v>
      </c>
      <c r="I9" s="88">
        <f t="shared" ref="I9:I19" si="1">H9+G9</f>
        <v>621</v>
      </c>
      <c r="K9" s="59" t="s">
        <v>483</v>
      </c>
      <c r="L9" s="89">
        <f t="shared" ref="L9:M19" si="2">D9/10*12</f>
        <v>35878.800000000003</v>
      </c>
      <c r="M9" s="89">
        <f t="shared" si="2"/>
        <v>23104.800000000003</v>
      </c>
      <c r="N9" s="89">
        <f t="shared" ref="N9:N19" si="3">M9+L9</f>
        <v>58983.600000000006</v>
      </c>
      <c r="O9" s="89">
        <f t="shared" ref="O9:P19" si="4">G9/10*12</f>
        <v>450</v>
      </c>
      <c r="P9" s="89">
        <f t="shared" si="4"/>
        <v>295.20000000000005</v>
      </c>
      <c r="Q9" s="89">
        <f t="shared" ref="Q9:Q19" si="5">P9+O9</f>
        <v>745.2</v>
      </c>
    </row>
    <row r="10" spans="2:17" x14ac:dyDescent="0.25">
      <c r="B10" s="60"/>
      <c r="C10" s="59" t="s">
        <v>484</v>
      </c>
      <c r="D10" s="59">
        <v>20787</v>
      </c>
      <c r="E10" s="59">
        <v>14475</v>
      </c>
      <c r="F10" s="88">
        <f t="shared" si="0"/>
        <v>35262</v>
      </c>
      <c r="G10" s="59">
        <v>347</v>
      </c>
      <c r="H10" s="59">
        <v>156</v>
      </c>
      <c r="I10" s="88">
        <f t="shared" si="1"/>
        <v>503</v>
      </c>
      <c r="K10" s="59" t="s">
        <v>484</v>
      </c>
      <c r="L10" s="89">
        <f t="shared" si="2"/>
        <v>24944.399999999998</v>
      </c>
      <c r="M10" s="89">
        <f t="shared" si="2"/>
        <v>17370</v>
      </c>
      <c r="N10" s="89">
        <f t="shared" si="3"/>
        <v>42314.399999999994</v>
      </c>
      <c r="O10" s="89">
        <f t="shared" si="4"/>
        <v>416.40000000000003</v>
      </c>
      <c r="P10" s="89">
        <f t="shared" si="4"/>
        <v>187.2</v>
      </c>
      <c r="Q10" s="89">
        <f t="shared" si="5"/>
        <v>603.6</v>
      </c>
    </row>
    <row r="11" spans="2:17" x14ac:dyDescent="0.25">
      <c r="B11" s="60"/>
      <c r="C11" s="59" t="s">
        <v>485</v>
      </c>
      <c r="D11" s="59">
        <v>18958</v>
      </c>
      <c r="E11" s="59">
        <v>8213</v>
      </c>
      <c r="F11" s="88">
        <f t="shared" si="0"/>
        <v>27171</v>
      </c>
      <c r="G11" s="59">
        <v>335</v>
      </c>
      <c r="H11" s="59">
        <v>65</v>
      </c>
      <c r="I11" s="88">
        <f t="shared" si="1"/>
        <v>400</v>
      </c>
      <c r="K11" s="59" t="s">
        <v>485</v>
      </c>
      <c r="L11" s="89">
        <f t="shared" si="2"/>
        <v>22749.599999999999</v>
      </c>
      <c r="M11" s="89">
        <f t="shared" si="2"/>
        <v>9855.5999999999985</v>
      </c>
      <c r="N11" s="89">
        <f t="shared" si="3"/>
        <v>32605.199999999997</v>
      </c>
      <c r="O11" s="89">
        <f t="shared" si="4"/>
        <v>402</v>
      </c>
      <c r="P11" s="89">
        <f t="shared" si="4"/>
        <v>78</v>
      </c>
      <c r="Q11" s="89">
        <f t="shared" si="5"/>
        <v>480</v>
      </c>
    </row>
    <row r="12" spans="2:17" x14ac:dyDescent="0.25">
      <c r="B12" s="60"/>
      <c r="C12" s="59" t="s">
        <v>486</v>
      </c>
      <c r="D12" s="59">
        <v>23100</v>
      </c>
      <c r="E12" s="59">
        <v>10495</v>
      </c>
      <c r="F12" s="88">
        <f t="shared" si="0"/>
        <v>33595</v>
      </c>
      <c r="G12" s="59">
        <v>400</v>
      </c>
      <c r="H12" s="59">
        <v>127</v>
      </c>
      <c r="I12" s="88">
        <f t="shared" si="1"/>
        <v>527</v>
      </c>
      <c r="K12" s="59" t="s">
        <v>486</v>
      </c>
      <c r="L12" s="89">
        <f t="shared" si="2"/>
        <v>27720</v>
      </c>
      <c r="M12" s="89">
        <f t="shared" si="2"/>
        <v>12594</v>
      </c>
      <c r="N12" s="89">
        <f t="shared" si="3"/>
        <v>40314</v>
      </c>
      <c r="O12" s="89">
        <f t="shared" si="4"/>
        <v>480</v>
      </c>
      <c r="P12" s="89">
        <f t="shared" si="4"/>
        <v>152.39999999999998</v>
      </c>
      <c r="Q12" s="89">
        <f t="shared" si="5"/>
        <v>632.4</v>
      </c>
    </row>
    <row r="13" spans="2:17" x14ac:dyDescent="0.25">
      <c r="B13" s="60"/>
      <c r="C13" s="59" t="s">
        <v>487</v>
      </c>
      <c r="D13" s="59">
        <v>24272</v>
      </c>
      <c r="E13" s="59">
        <v>2227</v>
      </c>
      <c r="F13" s="88">
        <f t="shared" si="0"/>
        <v>26499</v>
      </c>
      <c r="G13" s="59">
        <v>470</v>
      </c>
      <c r="H13" s="59">
        <v>25</v>
      </c>
      <c r="I13" s="88">
        <f t="shared" si="1"/>
        <v>495</v>
      </c>
      <c r="K13" s="59" t="s">
        <v>487</v>
      </c>
      <c r="L13" s="89">
        <f t="shared" si="2"/>
        <v>29126.399999999998</v>
      </c>
      <c r="M13" s="89">
        <f t="shared" si="2"/>
        <v>2672.3999999999996</v>
      </c>
      <c r="N13" s="89">
        <f t="shared" si="3"/>
        <v>31798.799999999996</v>
      </c>
      <c r="O13" s="89">
        <f t="shared" si="4"/>
        <v>564</v>
      </c>
      <c r="P13" s="89">
        <f t="shared" si="4"/>
        <v>30</v>
      </c>
      <c r="Q13" s="89">
        <f t="shared" si="5"/>
        <v>594</v>
      </c>
    </row>
    <row r="14" spans="2:17" x14ac:dyDescent="0.25">
      <c r="B14" s="60"/>
      <c r="C14" s="59" t="s">
        <v>488</v>
      </c>
      <c r="D14" s="59">
        <v>22106</v>
      </c>
      <c r="E14" s="59">
        <v>5988</v>
      </c>
      <c r="F14" s="88">
        <f t="shared" si="0"/>
        <v>28094</v>
      </c>
      <c r="G14" s="59">
        <v>459</v>
      </c>
      <c r="H14" s="59">
        <v>46</v>
      </c>
      <c r="I14" s="88">
        <f t="shared" si="1"/>
        <v>505</v>
      </c>
      <c r="K14" s="59" t="s">
        <v>488</v>
      </c>
      <c r="L14" s="89">
        <f t="shared" si="2"/>
        <v>26527.199999999997</v>
      </c>
      <c r="M14" s="89">
        <f t="shared" si="2"/>
        <v>7185.5999999999995</v>
      </c>
      <c r="N14" s="89">
        <f t="shared" si="3"/>
        <v>33712.799999999996</v>
      </c>
      <c r="O14" s="89">
        <f t="shared" si="4"/>
        <v>550.79999999999995</v>
      </c>
      <c r="P14" s="89">
        <f t="shared" si="4"/>
        <v>55.199999999999996</v>
      </c>
      <c r="Q14" s="89">
        <f t="shared" si="5"/>
        <v>606</v>
      </c>
    </row>
    <row r="15" spans="2:17" x14ac:dyDescent="0.25">
      <c r="B15" s="60"/>
      <c r="C15" s="59" t="s">
        <v>489</v>
      </c>
      <c r="D15" s="59">
        <v>19174</v>
      </c>
      <c r="E15" s="59">
        <v>10975</v>
      </c>
      <c r="F15" s="88">
        <f t="shared" si="0"/>
        <v>30149</v>
      </c>
      <c r="G15" s="59">
        <v>358</v>
      </c>
      <c r="H15" s="59">
        <v>129</v>
      </c>
      <c r="I15" s="88">
        <f t="shared" si="1"/>
        <v>487</v>
      </c>
      <c r="K15" s="59" t="s">
        <v>489</v>
      </c>
      <c r="L15" s="89">
        <f t="shared" si="2"/>
        <v>23008.800000000003</v>
      </c>
      <c r="M15" s="89">
        <f t="shared" si="2"/>
        <v>13170</v>
      </c>
      <c r="N15" s="89">
        <f t="shared" si="3"/>
        <v>36178.800000000003</v>
      </c>
      <c r="O15" s="89">
        <f t="shared" si="4"/>
        <v>429.59999999999997</v>
      </c>
      <c r="P15" s="89">
        <f t="shared" si="4"/>
        <v>154.80000000000001</v>
      </c>
      <c r="Q15" s="89">
        <f t="shared" si="5"/>
        <v>584.4</v>
      </c>
    </row>
    <row r="16" spans="2:17" x14ac:dyDescent="0.25">
      <c r="B16" s="60"/>
      <c r="C16" s="59" t="s">
        <v>490</v>
      </c>
      <c r="D16" s="59">
        <v>24214</v>
      </c>
      <c r="E16" s="59">
        <v>8431</v>
      </c>
      <c r="F16" s="88">
        <f t="shared" si="0"/>
        <v>32645</v>
      </c>
      <c r="G16" s="59">
        <v>402</v>
      </c>
      <c r="H16" s="59">
        <v>107</v>
      </c>
      <c r="I16" s="88">
        <f t="shared" si="1"/>
        <v>509</v>
      </c>
      <c r="K16" s="59" t="s">
        <v>490</v>
      </c>
      <c r="L16" s="89">
        <f t="shared" si="2"/>
        <v>29056.800000000003</v>
      </c>
      <c r="M16" s="89">
        <f t="shared" si="2"/>
        <v>10117.200000000001</v>
      </c>
      <c r="N16" s="89">
        <f t="shared" si="3"/>
        <v>39174</v>
      </c>
      <c r="O16" s="89">
        <f t="shared" si="4"/>
        <v>482.40000000000003</v>
      </c>
      <c r="P16" s="89">
        <f t="shared" si="4"/>
        <v>128.39999999999998</v>
      </c>
      <c r="Q16" s="89">
        <f t="shared" si="5"/>
        <v>610.79999999999995</v>
      </c>
    </row>
    <row r="17" spans="2:17" x14ac:dyDescent="0.25">
      <c r="B17" s="60"/>
      <c r="C17" s="59" t="s">
        <v>491</v>
      </c>
      <c r="D17" s="59">
        <v>24824</v>
      </c>
      <c r="E17" s="59">
        <v>8521</v>
      </c>
      <c r="F17" s="88">
        <f t="shared" si="0"/>
        <v>33345</v>
      </c>
      <c r="G17" s="59">
        <v>439</v>
      </c>
      <c r="H17" s="59">
        <v>107</v>
      </c>
      <c r="I17" s="88">
        <f t="shared" si="1"/>
        <v>546</v>
      </c>
      <c r="K17" s="59" t="s">
        <v>491</v>
      </c>
      <c r="L17" s="89">
        <f t="shared" si="2"/>
        <v>29788.800000000003</v>
      </c>
      <c r="M17" s="89">
        <f t="shared" si="2"/>
        <v>10225.200000000001</v>
      </c>
      <c r="N17" s="89">
        <f t="shared" si="3"/>
        <v>40014</v>
      </c>
      <c r="O17" s="89">
        <f t="shared" si="4"/>
        <v>526.79999999999995</v>
      </c>
      <c r="P17" s="89">
        <f t="shared" si="4"/>
        <v>128.39999999999998</v>
      </c>
      <c r="Q17" s="89">
        <f t="shared" si="5"/>
        <v>655.19999999999993</v>
      </c>
    </row>
    <row r="18" spans="2:17" x14ac:dyDescent="0.25">
      <c r="B18" s="60"/>
      <c r="C18" s="59" t="s">
        <v>492</v>
      </c>
      <c r="D18" s="59">
        <v>3375</v>
      </c>
      <c r="E18" s="59"/>
      <c r="F18" s="88">
        <f t="shared" si="0"/>
        <v>3375</v>
      </c>
      <c r="G18" s="59">
        <v>61</v>
      </c>
      <c r="H18" s="59"/>
      <c r="I18" s="88">
        <f t="shared" si="1"/>
        <v>61</v>
      </c>
      <c r="K18" s="59" t="s">
        <v>492</v>
      </c>
      <c r="L18" s="89">
        <f t="shared" si="2"/>
        <v>4050</v>
      </c>
      <c r="M18" s="89">
        <f t="shared" si="2"/>
        <v>0</v>
      </c>
      <c r="N18" s="89">
        <f t="shared" si="3"/>
        <v>4050</v>
      </c>
      <c r="O18" s="89">
        <f t="shared" si="4"/>
        <v>73.199999999999989</v>
      </c>
      <c r="P18" s="89">
        <f t="shared" si="4"/>
        <v>0</v>
      </c>
      <c r="Q18" s="89">
        <f t="shared" si="5"/>
        <v>73.199999999999989</v>
      </c>
    </row>
    <row r="19" spans="2:17" x14ac:dyDescent="0.25">
      <c r="B19" s="60"/>
      <c r="C19" s="59" t="s">
        <v>493</v>
      </c>
      <c r="D19" s="59"/>
      <c r="E19" s="59">
        <v>13000</v>
      </c>
      <c r="F19" s="88">
        <f t="shared" si="0"/>
        <v>13000</v>
      </c>
      <c r="G19" s="59"/>
      <c r="H19" s="59">
        <v>314</v>
      </c>
      <c r="I19" s="88">
        <f t="shared" si="1"/>
        <v>314</v>
      </c>
      <c r="K19" s="59" t="s">
        <v>493</v>
      </c>
      <c r="L19" s="89">
        <f t="shared" si="2"/>
        <v>0</v>
      </c>
      <c r="M19" s="89">
        <f t="shared" si="2"/>
        <v>15600</v>
      </c>
      <c r="N19" s="89">
        <f t="shared" si="3"/>
        <v>15600</v>
      </c>
      <c r="O19" s="89">
        <f t="shared" si="4"/>
        <v>0</v>
      </c>
      <c r="P19" s="89">
        <f t="shared" si="4"/>
        <v>376.79999999999995</v>
      </c>
      <c r="Q19" s="89">
        <f t="shared" si="5"/>
        <v>376.79999999999995</v>
      </c>
    </row>
    <row r="20" spans="2:17" x14ac:dyDescent="0.25">
      <c r="B20" s="60"/>
      <c r="C20" s="59"/>
      <c r="D20" s="59">
        <f t="shared" ref="D20:F20" si="6">SUM(D8:D19)</f>
        <v>237867</v>
      </c>
      <c r="E20" s="59">
        <f t="shared" si="6"/>
        <v>124782</v>
      </c>
      <c r="F20" s="59">
        <f t="shared" si="6"/>
        <v>362649</v>
      </c>
      <c r="G20" s="59"/>
      <c r="H20" s="59"/>
      <c r="I20" s="88">
        <f>SUM(I8:I19)</f>
        <v>5745</v>
      </c>
      <c r="K20" s="59" t="s">
        <v>494</v>
      </c>
      <c r="L20" s="90">
        <f t="shared" ref="L20:N20" si="7">SUM(L8:L19)</f>
        <v>285440.39999999997</v>
      </c>
      <c r="M20" s="92">
        <f t="shared" si="7"/>
        <v>149738.4</v>
      </c>
      <c r="N20" s="90">
        <f t="shared" si="7"/>
        <v>435178.8</v>
      </c>
      <c r="O20" s="90"/>
      <c r="P20" s="89">
        <f>SUM(P8:P19)</f>
        <v>1912.8</v>
      </c>
      <c r="Q20" s="89">
        <f>SUM(Q8:Q19)</f>
        <v>6894</v>
      </c>
    </row>
    <row r="21" spans="2:17" x14ac:dyDescent="0.25">
      <c r="B21" s="60"/>
      <c r="C21" s="60"/>
      <c r="D21" s="60"/>
      <c r="E21" s="60">
        <f>E20/F20*100</f>
        <v>34.40847761885459</v>
      </c>
      <c r="F21" s="60"/>
      <c r="G21" s="60"/>
      <c r="H21" s="60"/>
      <c r="I21" s="60"/>
      <c r="M21" s="91">
        <f>M20/N20*100</f>
        <v>34.40847761885459</v>
      </c>
    </row>
    <row r="22" spans="2:17" x14ac:dyDescent="0.25">
      <c r="B22" s="60"/>
      <c r="C22" s="60"/>
      <c r="D22" s="60"/>
      <c r="E22" s="60"/>
      <c r="F22" s="60"/>
      <c r="G22" s="60"/>
      <c r="H22" s="60"/>
      <c r="I22" s="60"/>
    </row>
  </sheetData>
  <mergeCells count="4">
    <mergeCell ref="D6:F6"/>
    <mergeCell ref="G6:I6"/>
    <mergeCell ref="L6:N6"/>
    <mergeCell ref="O6:Q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N22"/>
  <sheetViews>
    <sheetView workbookViewId="0">
      <selection activeCell="G7" sqref="G7"/>
    </sheetView>
  </sheetViews>
  <sheetFormatPr defaultColWidth="8.85546875" defaultRowHeight="15.75" x14ac:dyDescent="0.25"/>
  <cols>
    <col min="1" max="1" width="13.140625" style="178" customWidth="1"/>
    <col min="2" max="2" width="12.42578125" style="178" customWidth="1"/>
    <col min="3" max="3" width="13.28515625" style="178" customWidth="1"/>
    <col min="4" max="4" width="12.5703125" style="178" customWidth="1"/>
    <col min="5" max="5" width="14.28515625" style="178" customWidth="1"/>
    <col min="6" max="6" width="12.140625" style="178" customWidth="1"/>
    <col min="7" max="7" width="13.42578125" style="178" customWidth="1"/>
    <col min="8" max="8" width="14.28515625" style="178" customWidth="1"/>
    <col min="9" max="9" width="13.140625" style="178" customWidth="1"/>
    <col min="10" max="10" width="13.7109375" style="178" customWidth="1"/>
    <col min="11" max="11" width="14.7109375" style="178" customWidth="1"/>
    <col min="12" max="12" width="14.28515625" style="178" customWidth="1"/>
    <col min="13" max="13" width="15.7109375" style="178" customWidth="1"/>
    <col min="14" max="14" width="14.5703125" style="178" customWidth="1"/>
    <col min="15" max="16384" width="8.85546875" style="178"/>
  </cols>
  <sheetData>
    <row r="1" spans="1:14" x14ac:dyDescent="0.25">
      <c r="A1" s="177"/>
      <c r="B1" s="168"/>
      <c r="C1" s="168"/>
      <c r="D1" s="168"/>
      <c r="E1" s="168"/>
      <c r="F1" s="168"/>
      <c r="G1" s="168"/>
      <c r="H1" s="168"/>
      <c r="I1" s="168"/>
      <c r="J1" s="168"/>
      <c r="K1" s="177"/>
    </row>
    <row r="2" spans="1:14" x14ac:dyDescent="0.25">
      <c r="A2" s="177"/>
      <c r="B2" s="168"/>
      <c r="C2" s="168"/>
      <c r="D2" s="168"/>
      <c r="E2" s="168"/>
      <c r="F2" s="168"/>
      <c r="G2" s="168"/>
      <c r="H2" s="168"/>
      <c r="I2" s="168"/>
      <c r="J2" s="168"/>
      <c r="K2" s="177"/>
    </row>
    <row r="3" spans="1:14" x14ac:dyDescent="0.25">
      <c r="A3" s="179" t="s">
        <v>538</v>
      </c>
      <c r="B3" s="168"/>
      <c r="C3" s="168"/>
      <c r="D3" s="168"/>
      <c r="E3" s="168"/>
      <c r="F3" s="168"/>
      <c r="G3" s="168"/>
      <c r="H3" s="168"/>
      <c r="I3" s="168"/>
      <c r="J3" s="168"/>
      <c r="K3" s="179"/>
    </row>
    <row r="4" spans="1:14" x14ac:dyDescent="0.25">
      <c r="A4" s="168"/>
      <c r="B4" s="168"/>
      <c r="C4" s="168"/>
      <c r="D4" s="168"/>
      <c r="E4" s="168"/>
      <c r="F4" s="168"/>
      <c r="G4" s="168"/>
      <c r="H4" s="168"/>
      <c r="I4" s="168"/>
      <c r="J4" s="177"/>
      <c r="K4" s="177"/>
    </row>
    <row r="5" spans="1:14" ht="90.6" customHeight="1" x14ac:dyDescent="0.25">
      <c r="A5" s="169" t="s">
        <v>132</v>
      </c>
      <c r="B5" s="169" t="s">
        <v>159</v>
      </c>
      <c r="C5" s="169" t="s">
        <v>117</v>
      </c>
      <c r="D5" s="169" t="s">
        <v>120</v>
      </c>
      <c r="E5" s="169" t="s">
        <v>513</v>
      </c>
      <c r="F5" s="169" t="s">
        <v>160</v>
      </c>
      <c r="G5" s="169" t="s">
        <v>161</v>
      </c>
      <c r="H5" s="169" t="s">
        <v>162</v>
      </c>
      <c r="I5" s="169" t="s">
        <v>528</v>
      </c>
      <c r="J5" s="169" t="s">
        <v>163</v>
      </c>
      <c r="K5" s="314" t="s">
        <v>527</v>
      </c>
      <c r="L5" s="169" t="s">
        <v>529</v>
      </c>
      <c r="M5" s="169" t="s">
        <v>531</v>
      </c>
      <c r="N5" s="169" t="s">
        <v>530</v>
      </c>
    </row>
    <row r="6" spans="1:14" x14ac:dyDescent="0.25">
      <c r="A6" s="785" t="s">
        <v>496</v>
      </c>
      <c r="B6" s="785"/>
      <c r="C6" s="785"/>
      <c r="D6" s="785"/>
      <c r="E6" s="785"/>
      <c r="F6" s="785"/>
      <c r="G6" s="785"/>
      <c r="H6" s="785"/>
      <c r="I6" s="785"/>
      <c r="J6" s="177"/>
      <c r="K6" s="177"/>
      <c r="L6" s="315"/>
      <c r="M6" s="315"/>
      <c r="N6" s="315"/>
    </row>
    <row r="7" spans="1:14" x14ac:dyDescent="0.25">
      <c r="A7" s="164" t="s">
        <v>124</v>
      </c>
      <c r="B7" s="170">
        <v>14.4</v>
      </c>
      <c r="C7" s="170">
        <f>'Транспортні засоби'!K7</f>
        <v>52387.199999999983</v>
      </c>
      <c r="D7" s="170">
        <f>'Транспортні засоби'!Q7*12</f>
        <v>3338.3999999999992</v>
      </c>
      <c r="E7" s="170">
        <f>((D7/2*'Штатне 2024'!J47)+(D7/2*('Штатне 2024'!J47+'Штатне 2024'!J47*0.2)))*1.083</f>
        <v>555790.76981999981</v>
      </c>
      <c r="F7" s="170">
        <v>8</v>
      </c>
      <c r="G7" s="170">
        <f>F7*'ЦІНИ ПММ ШИНИ АКУМ'!I16*C7/40000</f>
        <v>63938.577599999975</v>
      </c>
      <c r="H7" s="171">
        <f>D7/2080</f>
        <v>1.6049999999999995</v>
      </c>
      <c r="I7" s="170">
        <f>H7*('Спец одяг'!AD8+'Спец одяг'!AH8)</f>
        <v>4919.3009249999986</v>
      </c>
      <c r="J7" s="172">
        <f>H7*2</f>
        <v>3.2099999999999991</v>
      </c>
      <c r="K7" s="173">
        <f>((D7/2*2*'Штатне 2024'!J48)+(D7/2*2)*('Штатне 2024'!J48+'Штатне 2024'!J48*0.2))*1.083</f>
        <v>864607.60900799977</v>
      </c>
      <c r="L7" s="316">
        <f>J7*('Спец одяг'!AD17+'Спец одяг'!AH17)</f>
        <v>14762.276399999997</v>
      </c>
      <c r="M7" s="316">
        <f>2/(18/12)</f>
        <v>1.3333333333333333</v>
      </c>
      <c r="N7" s="316">
        <f>M7*'ЦІНИ ПММ ШИНИ АКУМ'!I19</f>
        <v>6667.4666666666672</v>
      </c>
    </row>
    <row r="8" spans="1:14" x14ac:dyDescent="0.25">
      <c r="A8" s="164" t="s">
        <v>472</v>
      </c>
      <c r="B8" s="170">
        <v>14.4</v>
      </c>
      <c r="C8" s="170">
        <f>'Транспортні засоби'!K8</f>
        <v>52387.199999999983</v>
      </c>
      <c r="D8" s="170">
        <f>'Транспортні засоби'!Q8*12</f>
        <v>3338.3999999999992</v>
      </c>
      <c r="E8" s="170">
        <f>((D8/2*'Штатне 2024'!J47)+(D8/2*('Штатне 2024'!J47+'Штатне 2024'!J47*0.2)))*1.083</f>
        <v>555790.76981999981</v>
      </c>
      <c r="F8" s="170">
        <v>8</v>
      </c>
      <c r="G8" s="170">
        <f>F8*'ЦІНИ ПММ ШИНИ АКУМ'!I16*C8/40000</f>
        <v>63938.577599999975</v>
      </c>
      <c r="H8" s="175">
        <f>D8/2080</f>
        <v>1.6049999999999995</v>
      </c>
      <c r="I8" s="170">
        <f>H8*('Спец одяг'!AD8+'Спец одяг'!AH8)</f>
        <v>4919.3009249999986</v>
      </c>
      <c r="J8" s="172">
        <f t="shared" ref="J8:J9" si="0">H8*2</f>
        <v>3.2099999999999991</v>
      </c>
      <c r="K8" s="173">
        <f>((D8/2*2*'Штатне 2024'!J48)+(D8/2*2)*('Штатне 2024'!J48+'Штатне 2024'!J48*0.2))*1.083</f>
        <v>864607.60900799977</v>
      </c>
      <c r="L8" s="316">
        <f>J8*('Спец одяг'!AD17+'Спец одяг'!AH17)</f>
        <v>14762.276399999997</v>
      </c>
      <c r="M8" s="316">
        <f t="shared" ref="M8:M9" si="1">2/(18/12)</f>
        <v>1.3333333333333333</v>
      </c>
      <c r="N8" s="316">
        <f>M8*'ЦІНИ ПММ ШИНИ АКУМ'!I19</f>
        <v>6667.4666666666672</v>
      </c>
    </row>
    <row r="9" spans="1:14" x14ac:dyDescent="0.25">
      <c r="A9" s="164" t="s">
        <v>473</v>
      </c>
      <c r="B9" s="170">
        <v>11.2</v>
      </c>
      <c r="C9" s="170">
        <f>'Транспортні засоби'!K9</f>
        <v>63158.400000000001</v>
      </c>
      <c r="D9" s="170">
        <f>'Транспортні засоби'!Q9*12</f>
        <v>4024.8</v>
      </c>
      <c r="E9" s="170">
        <f>((D9/2*'Штатне 2024'!J47)+(D9/2*('Штатне 2024'!J47+'Штатне 2024'!J47*0.2)))*1.083</f>
        <v>670065.50754000002</v>
      </c>
      <c r="F9" s="170">
        <v>8</v>
      </c>
      <c r="G9" s="170">
        <f>F9*'ЦІНИ ПММ ШИНИ АКУМ'!I16*C9/40000</f>
        <v>77084.8272</v>
      </c>
      <c r="H9" s="175">
        <f>D9/2080</f>
        <v>1.9350000000000001</v>
      </c>
      <c r="I9" s="170">
        <f>H9*('Спец одяг'!AD8+'Спец одяг'!AH8)</f>
        <v>5930.7459750000007</v>
      </c>
      <c r="J9" s="172">
        <f t="shared" si="0"/>
        <v>3.87</v>
      </c>
      <c r="K9" s="173">
        <f>((D9/2*2*'Штатне 2024'!J48)+(D9/2*2)*('Штатне 2024'!J48+'Штатне 2024'!J48*0.2))*1.083</f>
        <v>1042377.397776</v>
      </c>
      <c r="L9" s="316">
        <f>J9*('Спец одяг'!AD17+'Спец одяг'!AH17)</f>
        <v>17797.5108</v>
      </c>
      <c r="M9" s="316">
        <f t="shared" si="1"/>
        <v>1.3333333333333333</v>
      </c>
      <c r="N9" s="316">
        <f>M9*'ЦІНИ ПММ ШИНИ АКУМ'!I19</f>
        <v>6667.4666666666672</v>
      </c>
    </row>
    <row r="10" spans="1:14" x14ac:dyDescent="0.25">
      <c r="A10" s="170" t="s">
        <v>127</v>
      </c>
      <c r="B10" s="170"/>
      <c r="C10" s="317">
        <f>SUM(C7:C9)</f>
        <v>167932.79999999996</v>
      </c>
      <c r="D10" s="317">
        <f>D7+D8+D9</f>
        <v>10701.599999999999</v>
      </c>
      <c r="E10" s="317">
        <f>SUM(E7:E9)</f>
        <v>1781647.0471799998</v>
      </c>
      <c r="F10" s="170"/>
      <c r="G10" s="317">
        <f>SUM(G7:G9)</f>
        <v>204961.98239999995</v>
      </c>
      <c r="H10" s="170">
        <f t="shared" ref="H10:I10" si="2">SUM(H7:H9)</f>
        <v>5.1449999999999996</v>
      </c>
      <c r="I10" s="317">
        <f t="shared" si="2"/>
        <v>15769.347824999997</v>
      </c>
      <c r="J10" s="176">
        <f>SUM(J7:J9)</f>
        <v>10.29</v>
      </c>
      <c r="K10" s="318">
        <f>SUM(K7:K9)</f>
        <v>2771592.6157919997</v>
      </c>
      <c r="L10" s="317">
        <f>SUM(L7:L9)</f>
        <v>47322.063599999994</v>
      </c>
      <c r="M10" s="317">
        <f t="shared" ref="M10:N10" si="3">SUM(M7:M9)</f>
        <v>4</v>
      </c>
      <c r="N10" s="317">
        <f t="shared" si="3"/>
        <v>20002.400000000001</v>
      </c>
    </row>
    <row r="11" spans="1:14" x14ac:dyDescent="0.25">
      <c r="A11" s="786" t="s">
        <v>128</v>
      </c>
      <c r="B11" s="786"/>
      <c r="C11" s="786"/>
      <c r="D11" s="786"/>
      <c r="E11" s="786"/>
      <c r="F11" s="786"/>
      <c r="G11" s="786"/>
      <c r="H11" s="786"/>
      <c r="I11" s="786"/>
      <c r="J11" s="177"/>
      <c r="K11" s="319"/>
      <c r="L11" s="315"/>
      <c r="M11" s="315"/>
      <c r="N11" s="315"/>
    </row>
    <row r="12" spans="1:14" x14ac:dyDescent="0.25">
      <c r="A12" s="320" t="s">
        <v>147</v>
      </c>
      <c r="B12" s="170">
        <v>12</v>
      </c>
      <c r="C12" s="170">
        <f>'Транспортні засоби'!K12</f>
        <v>38678.03875</v>
      </c>
      <c r="D12" s="170">
        <f>'Транспортні засоби'!Q12*12</f>
        <v>2047.660875</v>
      </c>
      <c r="E12" s="170">
        <f>((D12/2*'Штатне 2024'!J47)+(D12/2*('Штатне 2024'!J47+'Штатне 2024'!J47*0.2)))*1.083</f>
        <v>340903.1314541531</v>
      </c>
      <c r="F12" s="170">
        <v>8</v>
      </c>
      <c r="G12" s="170">
        <f>F12*'ЦІНИ ПММ ШИНИ АКУМ'!I16*C12/40000</f>
        <v>47206.546294375003</v>
      </c>
      <c r="H12" s="171">
        <f>D12/2080</f>
        <v>0.98445234375000001</v>
      </c>
      <c r="I12" s="170">
        <f>H12*('Спец одяг'!AD8+'Спец одяг'!AH8)</f>
        <v>3017.331666808594</v>
      </c>
      <c r="J12" s="173">
        <f>H12*2</f>
        <v>1.9689046875</v>
      </c>
      <c r="K12" s="173">
        <f>((D12/2*2*'Штатне 2024'!J48)+(D12/2*2)*('Штатне 2024'!J48+'Штатне 2024'!J48*0.2))*1.083</f>
        <v>530320.86424424255</v>
      </c>
      <c r="L12" s="316">
        <f>J12*('Спец одяг'!AD17+'Спец одяг'!AH17)</f>
        <v>9054.6776330624998</v>
      </c>
      <c r="M12" s="316">
        <f>2/(18/12)</f>
        <v>1.3333333333333333</v>
      </c>
      <c r="N12" s="316">
        <f>M12*'ЦІНИ ПММ ШИНИ АКУМ'!I19</f>
        <v>6667.4666666666672</v>
      </c>
    </row>
    <row r="13" spans="1:14" x14ac:dyDescent="0.25">
      <c r="A13" s="320" t="s">
        <v>148</v>
      </c>
      <c r="B13" s="170">
        <v>12</v>
      </c>
      <c r="C13" s="170">
        <f>'Транспортні засоби'!K13</f>
        <v>38678.03875</v>
      </c>
      <c r="D13" s="170">
        <f>'Транспортні засоби'!Q13*12</f>
        <v>2047.660875</v>
      </c>
      <c r="E13" s="170">
        <f>((D13/2*'Штатне 2024'!J47)+(D13/2*('Штатне 2024'!J47+'Штатне 2024'!J47*0.2)))*1.083</f>
        <v>340903.1314541531</v>
      </c>
      <c r="F13" s="170">
        <v>8</v>
      </c>
      <c r="G13" s="170">
        <f>F13*'ЦІНИ ПММ ШИНИ АКУМ'!I16*C13/40000</f>
        <v>47206.546294375003</v>
      </c>
      <c r="H13" s="171">
        <f>D13/2080</f>
        <v>0.98445234375000001</v>
      </c>
      <c r="I13" s="170">
        <f>H13*('Спец одяг'!AD8+'Спец одяг'!AH8)</f>
        <v>3017.331666808594</v>
      </c>
      <c r="J13" s="173">
        <f>H13*2</f>
        <v>1.9689046875</v>
      </c>
      <c r="K13" s="173">
        <f>((D13/2*2*'Штатне 2024'!J48)+(D13/2*2)*('Штатне 2024'!J48+'Штатне 2024'!J48*0.2))*1.083</f>
        <v>530320.86424424255</v>
      </c>
      <c r="L13" s="316">
        <f>J13*('Спец одяг'!AD17+'Спец одяг'!AH17)</f>
        <v>9054.6776330624998</v>
      </c>
      <c r="M13" s="316">
        <f>2/(18/12)</f>
        <v>1.3333333333333333</v>
      </c>
      <c r="N13" s="316">
        <f>M13*'ЦІНИ ПММ ШИНИ АКУМ'!I19</f>
        <v>6667.4666666666672</v>
      </c>
    </row>
    <row r="14" spans="1:14" x14ac:dyDescent="0.25">
      <c r="A14" s="170" t="s">
        <v>127</v>
      </c>
      <c r="B14" s="170"/>
      <c r="C14" s="317">
        <f>SUM(C12:C13)</f>
        <v>77356.077499999999</v>
      </c>
      <c r="D14" s="317">
        <f>SUM(D12:D13)</f>
        <v>4095.3217500000001</v>
      </c>
      <c r="E14" s="317">
        <f>SUM(E12:E13)</f>
        <v>681806.26290830621</v>
      </c>
      <c r="F14" s="170"/>
      <c r="G14" s="317">
        <f>SUM(G12:G13)</f>
        <v>94413.092588750005</v>
      </c>
      <c r="H14" s="170">
        <f>(ROUND(H12+H13,1))</f>
        <v>2</v>
      </c>
      <c r="I14" s="317">
        <f>SUM(I12:I13)</f>
        <v>6034.6633336171881</v>
      </c>
      <c r="J14" s="176">
        <f>(ROUND(J12+J13,1))</f>
        <v>3.9</v>
      </c>
      <c r="K14" s="321">
        <f>(ROUND(K12+K13,1))</f>
        <v>1060641.7</v>
      </c>
      <c r="L14" s="322">
        <f>L12+L13</f>
        <v>18109.355266125</v>
      </c>
      <c r="M14" s="316">
        <f>M12+M13</f>
        <v>2.6666666666666665</v>
      </c>
      <c r="N14" s="322">
        <f>N12+N13</f>
        <v>13334.933333333334</v>
      </c>
    </row>
    <row r="15" spans="1:14" x14ac:dyDescent="0.25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</row>
    <row r="16" spans="1:14" x14ac:dyDescent="0.25">
      <c r="A16" s="177"/>
      <c r="B16" s="177"/>
      <c r="C16" s="177"/>
      <c r="D16" s="177"/>
      <c r="E16" s="177"/>
      <c r="F16" s="177"/>
      <c r="G16" s="177"/>
      <c r="H16" s="323"/>
      <c r="I16" s="177"/>
      <c r="J16" s="177"/>
      <c r="K16" s="177"/>
    </row>
    <row r="17" spans="1:11" x14ac:dyDescent="0.25">
      <c r="A17" s="787" t="s">
        <v>383</v>
      </c>
      <c r="B17" s="787"/>
      <c r="C17" s="787"/>
      <c r="D17" s="787"/>
      <c r="E17" s="787"/>
      <c r="F17" s="787"/>
      <c r="G17" s="787"/>
      <c r="H17" s="177"/>
      <c r="I17" s="177"/>
      <c r="J17" s="177"/>
      <c r="K17" s="177"/>
    </row>
    <row r="18" spans="1:11" x14ac:dyDescent="0.25">
      <c r="A18" s="179"/>
      <c r="B18" s="179"/>
      <c r="C18" s="179"/>
      <c r="D18" s="179"/>
      <c r="E18" s="179"/>
      <c r="F18" s="179"/>
      <c r="G18" s="324"/>
      <c r="H18" s="179"/>
      <c r="I18" s="179"/>
      <c r="J18" s="179"/>
      <c r="K18" s="179"/>
    </row>
    <row r="19" spans="1:11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1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1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</row>
    <row r="22" spans="1:11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</sheetData>
  <mergeCells count="3">
    <mergeCell ref="A6:I6"/>
    <mergeCell ref="A11:I11"/>
    <mergeCell ref="A17:G1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21</vt:i4>
      </vt:variant>
      <vt:variant>
        <vt:lpstr>Іменовані діапазони</vt:lpstr>
      </vt:variant>
      <vt:variant>
        <vt:i4>16</vt:i4>
      </vt:variant>
    </vt:vector>
  </HeadingPairs>
  <TitlesOfParts>
    <vt:vector size="37" baseType="lpstr">
      <vt:lpstr>дод 1</vt:lpstr>
      <vt:lpstr>дод2</vt:lpstr>
      <vt:lpstr>дод 3</vt:lpstr>
      <vt:lpstr>ПОВ СОБ ТПВ</vt:lpstr>
      <vt:lpstr>ПОВННА СОБ ВГВ</vt:lpstr>
      <vt:lpstr>Перелік документів</vt:lpstr>
      <vt:lpstr>РІЧНИЙ  План</vt:lpstr>
      <vt:lpstr>Інф про пробіг та ходки</vt:lpstr>
      <vt:lpstr>Загальні відомості</vt:lpstr>
      <vt:lpstr>Спец одяг</vt:lpstr>
      <vt:lpstr>Транспортні засоби</vt:lpstr>
      <vt:lpstr>ЦІНИ ПММ ШИНИ АКУМ</vt:lpstr>
      <vt:lpstr>ПММ збирання</vt:lpstr>
      <vt:lpstr>ПММ перевезення</vt:lpstr>
      <vt:lpstr>Штатне 2024</vt:lpstr>
      <vt:lpstr>Штатне</vt:lpstr>
      <vt:lpstr>ЗВВ</vt:lpstr>
      <vt:lpstr>АДМ</vt:lpstr>
      <vt:lpstr>РОзподіл  ЗВВ АДМ</vt:lpstr>
      <vt:lpstr>Амортизація Ремонт дезін мийка</vt:lpstr>
      <vt:lpstr>Норма накопичення</vt:lpstr>
      <vt:lpstr>АДМ!Область_друку</vt:lpstr>
      <vt:lpstr>'Амортизація Ремонт дезін мийка'!Область_друку</vt:lpstr>
      <vt:lpstr>'дод 1'!Область_друку</vt:lpstr>
      <vt:lpstr>'дод 3'!Область_друку</vt:lpstr>
      <vt:lpstr>дод2!Область_друку</vt:lpstr>
      <vt:lpstr>'Загальні відомості'!Область_друку</vt:lpstr>
      <vt:lpstr>ЗВВ!Область_друку</vt:lpstr>
      <vt:lpstr>'ПММ збирання'!Область_друку</vt:lpstr>
      <vt:lpstr>'ПММ перевезення'!Область_друку</vt:lpstr>
      <vt:lpstr>'ПОВ СОБ ТПВ'!Область_друку</vt:lpstr>
      <vt:lpstr>'ПОВННА СОБ ВГВ'!Область_друку</vt:lpstr>
      <vt:lpstr>'РІЧНИЙ  План'!Область_друку</vt:lpstr>
      <vt:lpstr>'Спец одяг'!Область_друку</vt:lpstr>
      <vt:lpstr>'Транспортні засоби'!Область_друку</vt:lpstr>
      <vt:lpstr>'ЦІНИ ПММ ШИНИ АКУМ'!Область_друку</vt:lpstr>
      <vt:lpstr>'Штатне 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Irina</cp:lastModifiedBy>
  <cp:lastPrinted>2024-01-17T09:41:12Z</cp:lastPrinted>
  <dcterms:created xsi:type="dcterms:W3CDTF">2019-02-13T14:23:21Z</dcterms:created>
  <dcterms:modified xsi:type="dcterms:W3CDTF">2024-01-19T08:30:09Z</dcterms:modified>
</cp:coreProperties>
</file>