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для орг.відділу\Уточнення\"/>
    </mc:Choice>
  </mc:AlternateContent>
  <xr:revisionPtr revIDLastSave="0" documentId="13_ncr:1_{5A07FC51-9AF5-4830-82C7-43D215BF3E79}" xr6:coauthVersionLast="37" xr6:coauthVersionMax="37" xr10:uidLastSave="{00000000-0000-0000-0000-000000000000}"/>
  <bookViews>
    <workbookView xWindow="0" yWindow="0" windowWidth="9165" windowHeight="5115" xr2:uid="{00000000-000D-0000-FFFF-FFFF00000000}"/>
  </bookViews>
  <sheets>
    <sheet name="Аркуш1" sheetId="1" r:id="rId1"/>
  </sheets>
  <definedNames>
    <definedName name="_xlnm.Print_Titles" localSheetId="0">Аркуш1!$15:$19</definedName>
    <definedName name="_xlnm.Print_Area" localSheetId="0">Аркуш1!$A$1:$P$185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1" l="1"/>
  <c r="J36" i="1"/>
  <c r="E36" i="1"/>
  <c r="P36" i="1" l="1"/>
  <c r="F55" i="1" l="1"/>
  <c r="L164" i="1"/>
  <c r="M164" i="1"/>
  <c r="N164" i="1"/>
  <c r="G164" i="1"/>
  <c r="H164" i="1"/>
  <c r="I164" i="1"/>
  <c r="O166" i="1" l="1"/>
  <c r="O164" i="1" s="1"/>
  <c r="K166" i="1"/>
  <c r="K164" i="1" s="1"/>
  <c r="F166" i="1"/>
  <c r="O143" i="1"/>
  <c r="K143" i="1"/>
  <c r="F88" i="1"/>
  <c r="F75" i="1"/>
  <c r="F61" i="1"/>
  <c r="H55" i="1"/>
  <c r="F44" i="1"/>
  <c r="F28" i="1"/>
  <c r="F23" i="1"/>
  <c r="I125" i="1" l="1"/>
  <c r="L51" i="1" l="1"/>
  <c r="M51" i="1"/>
  <c r="N51" i="1"/>
  <c r="L114" i="1"/>
  <c r="M114" i="1"/>
  <c r="N114" i="1"/>
  <c r="O114" i="1"/>
  <c r="K114" i="1"/>
  <c r="G62" i="1" l="1"/>
  <c r="F168" i="1" l="1"/>
  <c r="F164" i="1" s="1"/>
  <c r="E170" i="1"/>
  <c r="J170" i="1"/>
  <c r="P170" i="1" s="1"/>
  <c r="P163" i="1"/>
  <c r="E163" i="1"/>
  <c r="F160" i="1"/>
  <c r="F158" i="1" s="1"/>
  <c r="I151" i="1"/>
  <c r="F149" i="1"/>
  <c r="F148" i="1"/>
  <c r="F180" i="1"/>
  <c r="G180" i="1"/>
  <c r="H180" i="1"/>
  <c r="K180" i="1"/>
  <c r="L180" i="1"/>
  <c r="M180" i="1"/>
  <c r="N180" i="1"/>
  <c r="O180" i="1"/>
  <c r="F127" i="1"/>
  <c r="J126" i="1"/>
  <c r="E126" i="1"/>
  <c r="F101" i="1"/>
  <c r="I174" i="1"/>
  <c r="N174" i="1"/>
  <c r="O71" i="1"/>
  <c r="K71" i="1"/>
  <c r="H70" i="1"/>
  <c r="F70" i="1"/>
  <c r="F68" i="1"/>
  <c r="J66" i="1"/>
  <c r="E66" i="1"/>
  <c r="H65" i="1"/>
  <c r="F65" i="1"/>
  <c r="J64" i="1"/>
  <c r="E64" i="1"/>
  <c r="H62" i="1"/>
  <c r="F62" i="1"/>
  <c r="H61" i="1"/>
  <c r="H59" i="1"/>
  <c r="F59" i="1"/>
  <c r="H56" i="1"/>
  <c r="F56" i="1"/>
  <c r="H54" i="1"/>
  <c r="H174" i="1" s="1"/>
  <c r="G54" i="1"/>
  <c r="O54" i="1"/>
  <c r="K54" i="1"/>
  <c r="F54" i="1"/>
  <c r="F174" i="1" s="1"/>
  <c r="H52" i="1"/>
  <c r="F52" i="1"/>
  <c r="H181" i="1"/>
  <c r="I181" i="1"/>
  <c r="K181" i="1"/>
  <c r="M181" i="1"/>
  <c r="N181" i="1"/>
  <c r="O181" i="1"/>
  <c r="F47" i="1"/>
  <c r="F46" i="1"/>
  <c r="G45" i="1"/>
  <c r="G181" i="1" s="1"/>
  <c r="F45" i="1"/>
  <c r="F181" i="1" s="1"/>
  <c r="J44" i="1"/>
  <c r="E44" i="1"/>
  <c r="I41" i="1"/>
  <c r="E40" i="1"/>
  <c r="F38" i="1"/>
  <c r="F35" i="1" s="1"/>
  <c r="F34" i="1"/>
  <c r="E34" i="1" s="1"/>
  <c r="K34" i="1"/>
  <c r="O34" i="1"/>
  <c r="J34" i="1" s="1"/>
  <c r="F33" i="1"/>
  <c r="O29" i="1"/>
  <c r="K29" i="1"/>
  <c r="F29" i="1"/>
  <c r="P64" i="1" l="1"/>
  <c r="P126" i="1"/>
  <c r="I180" i="1"/>
  <c r="P66" i="1"/>
  <c r="P44" i="1"/>
  <c r="P34" i="1"/>
  <c r="L131" i="1" l="1"/>
  <c r="M131" i="1"/>
  <c r="N131" i="1"/>
  <c r="O131" i="1"/>
  <c r="K131" i="1"/>
  <c r="G131" i="1"/>
  <c r="H131" i="1"/>
  <c r="I131" i="1"/>
  <c r="J140" i="1"/>
  <c r="E140" i="1"/>
  <c r="H51" i="1"/>
  <c r="I51" i="1"/>
  <c r="J67" i="1"/>
  <c r="E67" i="1"/>
  <c r="P67" i="1" s="1"/>
  <c r="P140" i="1" l="1"/>
  <c r="I122" i="1"/>
  <c r="E122" i="1" s="1"/>
  <c r="J162" i="1" l="1"/>
  <c r="E162" i="1"/>
  <c r="P162" i="1" s="1"/>
  <c r="J161" i="1"/>
  <c r="E161" i="1"/>
  <c r="J160" i="1"/>
  <c r="E160" i="1"/>
  <c r="P160" i="1" l="1"/>
  <c r="P161" i="1"/>
  <c r="F147" i="1" l="1"/>
  <c r="F133" i="1"/>
  <c r="F131" i="1" s="1"/>
  <c r="F117" i="1"/>
  <c r="F114" i="1" s="1"/>
  <c r="F108" i="1"/>
  <c r="F97" i="1"/>
  <c r="F92" i="1"/>
  <c r="F53" i="1"/>
  <c r="F51" i="1" s="1"/>
  <c r="F30" i="1"/>
  <c r="F26" i="1"/>
  <c r="F25" i="1"/>
  <c r="F24" i="1"/>
  <c r="L154" i="1" l="1"/>
  <c r="M154" i="1"/>
  <c r="N154" i="1"/>
  <c r="G154" i="1"/>
  <c r="H154" i="1"/>
  <c r="I154" i="1"/>
  <c r="J169" i="1"/>
  <c r="E169" i="1"/>
  <c r="P169" i="1" l="1"/>
  <c r="J168" i="1"/>
  <c r="E168" i="1"/>
  <c r="E167" i="1"/>
  <c r="J167" i="1"/>
  <c r="O154" i="1"/>
  <c r="K154" i="1"/>
  <c r="F154" i="1"/>
  <c r="E157" i="1"/>
  <c r="J119" i="1"/>
  <c r="F175" i="1"/>
  <c r="G175" i="1"/>
  <c r="H175" i="1"/>
  <c r="I175" i="1"/>
  <c r="K175" i="1"/>
  <c r="L175" i="1"/>
  <c r="M175" i="1"/>
  <c r="N175" i="1"/>
  <c r="O175" i="1"/>
  <c r="L130" i="1"/>
  <c r="M130" i="1"/>
  <c r="N130" i="1"/>
  <c r="O130" i="1"/>
  <c r="K130" i="1"/>
  <c r="E143" i="1"/>
  <c r="J143" i="1"/>
  <c r="E134" i="1"/>
  <c r="E135" i="1"/>
  <c r="E136" i="1"/>
  <c r="E137" i="1"/>
  <c r="E138" i="1"/>
  <c r="E139" i="1"/>
  <c r="E141" i="1"/>
  <c r="E142" i="1"/>
  <c r="J134" i="1"/>
  <c r="J135" i="1"/>
  <c r="J136" i="1"/>
  <c r="J137" i="1"/>
  <c r="J138" i="1"/>
  <c r="P138" i="1" s="1"/>
  <c r="J139" i="1"/>
  <c r="J141" i="1"/>
  <c r="J142" i="1"/>
  <c r="J124" i="1"/>
  <c r="E124" i="1"/>
  <c r="E119" i="1"/>
  <c r="E71" i="1"/>
  <c r="J71" i="1"/>
  <c r="P167" i="1" l="1"/>
  <c r="P139" i="1"/>
  <c r="P142" i="1"/>
  <c r="P136" i="1"/>
  <c r="P168" i="1"/>
  <c r="J114" i="1"/>
  <c r="P143" i="1"/>
  <c r="P124" i="1"/>
  <c r="P141" i="1"/>
  <c r="P135" i="1"/>
  <c r="P134" i="1"/>
  <c r="P119" i="1"/>
  <c r="P137" i="1"/>
  <c r="P71" i="1"/>
  <c r="G56" i="1"/>
  <c r="G55" i="1"/>
  <c r="G174" i="1" s="1"/>
  <c r="O55" i="1"/>
  <c r="K55" i="1"/>
  <c r="E42" i="1"/>
  <c r="J41" i="1"/>
  <c r="J42" i="1"/>
  <c r="E41" i="1"/>
  <c r="K174" i="1" l="1"/>
  <c r="K51" i="1"/>
  <c r="O51" i="1"/>
  <c r="O174" i="1"/>
  <c r="G51" i="1"/>
  <c r="P42" i="1"/>
  <c r="P41" i="1"/>
  <c r="J166" i="1"/>
  <c r="E166" i="1"/>
  <c r="P166" i="1" l="1"/>
  <c r="E128" i="1"/>
  <c r="P128" i="1" s="1"/>
  <c r="F182" i="1" l="1"/>
  <c r="G182" i="1"/>
  <c r="H182" i="1"/>
  <c r="I182" i="1"/>
  <c r="K182" i="1"/>
  <c r="L182" i="1"/>
  <c r="M182" i="1"/>
  <c r="N182" i="1"/>
  <c r="O182" i="1"/>
  <c r="E164" i="1"/>
  <c r="E158" i="1"/>
  <c r="E156" i="1"/>
  <c r="E155" i="1"/>
  <c r="J164" i="1"/>
  <c r="O153" i="1"/>
  <c r="K153" i="1"/>
  <c r="F145" i="1"/>
  <c r="G114" i="1"/>
  <c r="H114" i="1"/>
  <c r="I114" i="1"/>
  <c r="F113" i="1"/>
  <c r="L106" i="1"/>
  <c r="M106" i="1"/>
  <c r="N106" i="1"/>
  <c r="O106" i="1"/>
  <c r="K106" i="1"/>
  <c r="G106" i="1"/>
  <c r="H106" i="1"/>
  <c r="I106" i="1"/>
  <c r="F106" i="1"/>
  <c r="F105" i="1" s="1"/>
  <c r="N95" i="1"/>
  <c r="O95" i="1"/>
  <c r="K95" i="1"/>
  <c r="G95" i="1"/>
  <c r="H95" i="1"/>
  <c r="I95" i="1"/>
  <c r="F95" i="1"/>
  <c r="F94" i="1" s="1"/>
  <c r="F90" i="1"/>
  <c r="F89" i="1" s="1"/>
  <c r="L90" i="1"/>
  <c r="M90" i="1"/>
  <c r="N90" i="1"/>
  <c r="O90" i="1"/>
  <c r="K90" i="1"/>
  <c r="G90" i="1"/>
  <c r="H90" i="1"/>
  <c r="I90" i="1"/>
  <c r="L73" i="1"/>
  <c r="M73" i="1"/>
  <c r="N73" i="1"/>
  <c r="O73" i="1"/>
  <c r="K73" i="1"/>
  <c r="G73" i="1"/>
  <c r="H73" i="1"/>
  <c r="I73" i="1"/>
  <c r="F73" i="1"/>
  <c r="E51" i="1"/>
  <c r="J48" i="1"/>
  <c r="E48" i="1"/>
  <c r="G178" i="1"/>
  <c r="H178" i="1"/>
  <c r="I178" i="1"/>
  <c r="K178" i="1"/>
  <c r="L178" i="1"/>
  <c r="M178" i="1"/>
  <c r="N178" i="1"/>
  <c r="O178" i="1"/>
  <c r="G177" i="1"/>
  <c r="H177" i="1"/>
  <c r="I177" i="1"/>
  <c r="K177" i="1"/>
  <c r="N177" i="1"/>
  <c r="O177" i="1"/>
  <c r="G176" i="1"/>
  <c r="H176" i="1"/>
  <c r="I176" i="1"/>
  <c r="K176" i="1"/>
  <c r="L176" i="1"/>
  <c r="M176" i="1"/>
  <c r="N176" i="1"/>
  <c r="O176" i="1"/>
  <c r="E154" i="1" l="1"/>
  <c r="E153" i="1" s="1"/>
  <c r="P164" i="1"/>
  <c r="E182" i="1"/>
  <c r="P48" i="1"/>
  <c r="F178" i="1" l="1"/>
  <c r="F177" i="1" l="1"/>
  <c r="F176" i="1" l="1"/>
  <c r="M98" i="1" l="1"/>
  <c r="M174" i="1" s="1"/>
  <c r="L98" i="1"/>
  <c r="L174" i="1" s="1"/>
  <c r="L35" i="1" l="1"/>
  <c r="L179" i="1" s="1"/>
  <c r="M35" i="1"/>
  <c r="M179" i="1" s="1"/>
  <c r="N35" i="1"/>
  <c r="N179" i="1" s="1"/>
  <c r="O35" i="1"/>
  <c r="O179" i="1" s="1"/>
  <c r="K35" i="1"/>
  <c r="K179" i="1" s="1"/>
  <c r="G35" i="1"/>
  <c r="G179" i="1" s="1"/>
  <c r="H35" i="1"/>
  <c r="H179" i="1" s="1"/>
  <c r="I35" i="1"/>
  <c r="F179" i="1"/>
  <c r="J37" i="1"/>
  <c r="J38" i="1"/>
  <c r="J39" i="1"/>
  <c r="E38" i="1"/>
  <c r="E39" i="1"/>
  <c r="E37" i="1"/>
  <c r="I179" i="1" l="1"/>
  <c r="E35" i="1"/>
  <c r="P37" i="1"/>
  <c r="P38" i="1"/>
  <c r="P39" i="1"/>
  <c r="L22" i="1"/>
  <c r="M22" i="1"/>
  <c r="M21" i="1" s="1"/>
  <c r="N22" i="1"/>
  <c r="N21" i="1" s="1"/>
  <c r="O22" i="1"/>
  <c r="O21" i="1" s="1"/>
  <c r="K22" i="1"/>
  <c r="K21" i="1" s="1"/>
  <c r="J24" i="1"/>
  <c r="J25" i="1"/>
  <c r="J26" i="1"/>
  <c r="J23" i="1"/>
  <c r="E24" i="1"/>
  <c r="E25" i="1"/>
  <c r="E26" i="1"/>
  <c r="E23" i="1"/>
  <c r="P23" i="1" s="1"/>
  <c r="F22" i="1"/>
  <c r="F21" i="1" s="1"/>
  <c r="H22" i="1"/>
  <c r="H21" i="1" s="1"/>
  <c r="I22" i="1"/>
  <c r="I21" i="1" s="1"/>
  <c r="G22" i="1"/>
  <c r="G21" i="1" s="1"/>
  <c r="O173" i="1" l="1"/>
  <c r="O183" i="1" s="1"/>
  <c r="G173" i="1"/>
  <c r="G183" i="1" s="1"/>
  <c r="L173" i="1"/>
  <c r="N173" i="1"/>
  <c r="N183" i="1" s="1"/>
  <c r="K173" i="1"/>
  <c r="K183" i="1" s="1"/>
  <c r="M173" i="1"/>
  <c r="I173" i="1"/>
  <c r="I183" i="1" s="1"/>
  <c r="H173" i="1"/>
  <c r="H183" i="1" s="1"/>
  <c r="F173" i="1"/>
  <c r="F183" i="1" s="1"/>
  <c r="P26" i="1"/>
  <c r="P25" i="1"/>
  <c r="P24" i="1"/>
  <c r="O89" i="1"/>
  <c r="K89" i="1"/>
  <c r="L89" i="1"/>
  <c r="M89" i="1"/>
  <c r="N89" i="1"/>
  <c r="M72" i="1"/>
  <c r="N72" i="1"/>
  <c r="O72" i="1"/>
  <c r="K72" i="1"/>
  <c r="L72" i="1"/>
  <c r="M50" i="1"/>
  <c r="N50" i="1"/>
  <c r="L50" i="1"/>
  <c r="O50" i="1"/>
  <c r="K50" i="1"/>
  <c r="G153" i="1"/>
  <c r="H153" i="1"/>
  <c r="I153" i="1"/>
  <c r="F153" i="1"/>
  <c r="G145" i="1"/>
  <c r="G144" i="1" s="1"/>
  <c r="H145" i="1"/>
  <c r="H144" i="1" s="1"/>
  <c r="I145" i="1"/>
  <c r="I144" i="1" s="1"/>
  <c r="F144" i="1"/>
  <c r="G130" i="1"/>
  <c r="H130" i="1"/>
  <c r="I130" i="1"/>
  <c r="F130" i="1"/>
  <c r="G113" i="1"/>
  <c r="H113" i="1"/>
  <c r="I113" i="1"/>
  <c r="G105" i="1"/>
  <c r="H105" i="1"/>
  <c r="I105" i="1"/>
  <c r="G94" i="1"/>
  <c r="H94" i="1"/>
  <c r="I94" i="1"/>
  <c r="L49" i="1" l="1"/>
  <c r="L181" i="1" l="1"/>
  <c r="L21" i="1"/>
  <c r="M102" i="1"/>
  <c r="L100" i="1"/>
  <c r="K94" i="1"/>
  <c r="N94" i="1"/>
  <c r="O94" i="1"/>
  <c r="L113" i="1"/>
  <c r="M113" i="1"/>
  <c r="N113" i="1"/>
  <c r="O113" i="1"/>
  <c r="K113" i="1"/>
  <c r="J129" i="1"/>
  <c r="E129" i="1"/>
  <c r="J49" i="1"/>
  <c r="E49" i="1"/>
  <c r="L177" i="1" l="1"/>
  <c r="L183" i="1" s="1"/>
  <c r="L95" i="1"/>
  <c r="L94" i="1" s="1"/>
  <c r="M177" i="1"/>
  <c r="M183" i="1" s="1"/>
  <c r="M95" i="1"/>
  <c r="M94" i="1" s="1"/>
  <c r="P129" i="1"/>
  <c r="P49" i="1"/>
  <c r="J90" i="1" l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J116" i="1"/>
  <c r="J117" i="1"/>
  <c r="J118" i="1"/>
  <c r="J120" i="1"/>
  <c r="J121" i="1"/>
  <c r="J122" i="1"/>
  <c r="J123" i="1"/>
  <c r="J125" i="1"/>
  <c r="J127" i="1"/>
  <c r="J130" i="1"/>
  <c r="J131" i="1"/>
  <c r="J132" i="1"/>
  <c r="J13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74" i="1"/>
  <c r="G72" i="1"/>
  <c r="I72" i="1"/>
  <c r="F72" i="1"/>
  <c r="H72" i="1"/>
  <c r="J53" i="1"/>
  <c r="J54" i="1"/>
  <c r="J55" i="1"/>
  <c r="J56" i="1"/>
  <c r="J57" i="1"/>
  <c r="J58" i="1"/>
  <c r="J59" i="1"/>
  <c r="J60" i="1"/>
  <c r="J61" i="1"/>
  <c r="J62" i="1"/>
  <c r="J63" i="1"/>
  <c r="J65" i="1"/>
  <c r="J68" i="1"/>
  <c r="J69" i="1"/>
  <c r="J70" i="1"/>
  <c r="J52" i="1"/>
  <c r="G50" i="1"/>
  <c r="H50" i="1"/>
  <c r="I50" i="1"/>
  <c r="J27" i="1"/>
  <c r="J28" i="1"/>
  <c r="J29" i="1"/>
  <c r="J30" i="1"/>
  <c r="J31" i="1"/>
  <c r="J32" i="1"/>
  <c r="J33" i="1"/>
  <c r="J35" i="1"/>
  <c r="P35" i="1" s="1"/>
  <c r="J43" i="1"/>
  <c r="J45" i="1"/>
  <c r="J46" i="1"/>
  <c r="J47" i="1"/>
  <c r="J22" i="1"/>
  <c r="J21" i="1"/>
  <c r="L20" i="1"/>
  <c r="M20" i="1"/>
  <c r="M171" i="1" s="1"/>
  <c r="N20" i="1"/>
  <c r="N171" i="1" s="1"/>
  <c r="O20" i="1"/>
  <c r="K20" i="1"/>
  <c r="K171" i="1" s="1"/>
  <c r="G20" i="1"/>
  <c r="H20" i="1"/>
  <c r="I20" i="1"/>
  <c r="F20" i="1"/>
  <c r="E147" i="1"/>
  <c r="E148" i="1"/>
  <c r="E149" i="1"/>
  <c r="E150" i="1"/>
  <c r="E151" i="1"/>
  <c r="E152" i="1"/>
  <c r="E133" i="1"/>
  <c r="E116" i="1"/>
  <c r="E117" i="1"/>
  <c r="E118" i="1"/>
  <c r="E120" i="1"/>
  <c r="E121" i="1"/>
  <c r="E123" i="1"/>
  <c r="E125" i="1"/>
  <c r="E127" i="1"/>
  <c r="E108" i="1"/>
  <c r="E109" i="1"/>
  <c r="E110" i="1"/>
  <c r="E111" i="1"/>
  <c r="E112" i="1"/>
  <c r="E97" i="1"/>
  <c r="E98" i="1"/>
  <c r="E99" i="1"/>
  <c r="E100" i="1"/>
  <c r="E101" i="1"/>
  <c r="E102" i="1"/>
  <c r="E103" i="1"/>
  <c r="E104" i="1"/>
  <c r="E92" i="1"/>
  <c r="E93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53" i="1"/>
  <c r="E54" i="1"/>
  <c r="E55" i="1"/>
  <c r="E56" i="1"/>
  <c r="E57" i="1"/>
  <c r="E58" i="1"/>
  <c r="E59" i="1"/>
  <c r="E60" i="1"/>
  <c r="E61" i="1"/>
  <c r="E62" i="1"/>
  <c r="E63" i="1"/>
  <c r="E65" i="1"/>
  <c r="E68" i="1"/>
  <c r="E69" i="1"/>
  <c r="E70" i="1"/>
  <c r="E146" i="1"/>
  <c r="E145" i="1"/>
  <c r="E144" i="1"/>
  <c r="E132" i="1"/>
  <c r="E131" i="1"/>
  <c r="E130" i="1"/>
  <c r="E115" i="1"/>
  <c r="E114" i="1"/>
  <c r="E113" i="1"/>
  <c r="E107" i="1"/>
  <c r="E106" i="1"/>
  <c r="E105" i="1"/>
  <c r="E96" i="1"/>
  <c r="E95" i="1"/>
  <c r="E94" i="1"/>
  <c r="E91" i="1"/>
  <c r="E90" i="1"/>
  <c r="E89" i="1"/>
  <c r="E74" i="1"/>
  <c r="E73" i="1"/>
  <c r="E52" i="1"/>
  <c r="E27" i="1"/>
  <c r="E28" i="1"/>
  <c r="E29" i="1"/>
  <c r="E30" i="1"/>
  <c r="E31" i="1"/>
  <c r="E32" i="1"/>
  <c r="E33" i="1"/>
  <c r="E43" i="1"/>
  <c r="E45" i="1"/>
  <c r="E46" i="1"/>
  <c r="E47" i="1"/>
  <c r="E22" i="1"/>
  <c r="E21" i="1"/>
  <c r="E179" i="1" l="1"/>
  <c r="E72" i="1"/>
  <c r="J180" i="1"/>
  <c r="E180" i="1"/>
  <c r="J174" i="1"/>
  <c r="E174" i="1"/>
  <c r="E181" i="1"/>
  <c r="J181" i="1"/>
  <c r="J178" i="1"/>
  <c r="E175" i="1"/>
  <c r="J175" i="1"/>
  <c r="J179" i="1"/>
  <c r="P114" i="1"/>
  <c r="J182" i="1"/>
  <c r="P182" i="1" s="1"/>
  <c r="E178" i="1"/>
  <c r="G171" i="1"/>
  <c r="E177" i="1"/>
  <c r="J177" i="1"/>
  <c r="E173" i="1"/>
  <c r="J176" i="1"/>
  <c r="E176" i="1"/>
  <c r="J173" i="1"/>
  <c r="I171" i="1"/>
  <c r="F50" i="1"/>
  <c r="E50" i="1" s="1"/>
  <c r="H171" i="1"/>
  <c r="J89" i="1"/>
  <c r="P89" i="1" s="1"/>
  <c r="J50" i="1"/>
  <c r="O171" i="1"/>
  <c r="P21" i="1"/>
  <c r="J72" i="1"/>
  <c r="P72" i="1" s="1"/>
  <c r="J73" i="1"/>
  <c r="P73" i="1" s="1"/>
  <c r="J51" i="1"/>
  <c r="P51" i="1" s="1"/>
  <c r="J20" i="1"/>
  <c r="L171" i="1"/>
  <c r="E20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33" i="1"/>
  <c r="P132" i="1"/>
  <c r="P131" i="1"/>
  <c r="P130" i="1"/>
  <c r="P127" i="1"/>
  <c r="P125" i="1"/>
  <c r="P123" i="1"/>
  <c r="P122" i="1"/>
  <c r="P121" i="1"/>
  <c r="P120" i="1"/>
  <c r="P118" i="1"/>
  <c r="P117" i="1"/>
  <c r="P116" i="1"/>
  <c r="P115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0" i="1"/>
  <c r="P69" i="1"/>
  <c r="P68" i="1"/>
  <c r="P65" i="1"/>
  <c r="P63" i="1"/>
  <c r="P62" i="1"/>
  <c r="P61" i="1"/>
  <c r="P60" i="1"/>
  <c r="P59" i="1"/>
  <c r="P58" i="1"/>
  <c r="P57" i="1"/>
  <c r="P56" i="1"/>
  <c r="P55" i="1"/>
  <c r="P54" i="1"/>
  <c r="P53" i="1"/>
  <c r="P52" i="1"/>
  <c r="P47" i="1"/>
  <c r="P46" i="1"/>
  <c r="P45" i="1"/>
  <c r="P43" i="1"/>
  <c r="P33" i="1"/>
  <c r="P32" i="1"/>
  <c r="P31" i="1"/>
  <c r="P30" i="1"/>
  <c r="P29" i="1"/>
  <c r="P28" i="1"/>
  <c r="P27" i="1"/>
  <c r="P22" i="1"/>
  <c r="P178" i="1" l="1"/>
  <c r="P50" i="1"/>
  <c r="P179" i="1"/>
  <c r="P174" i="1"/>
  <c r="P181" i="1"/>
  <c r="P173" i="1"/>
  <c r="P180" i="1"/>
  <c r="J183" i="1"/>
  <c r="P177" i="1"/>
  <c r="P176" i="1"/>
  <c r="E183" i="1"/>
  <c r="P175" i="1"/>
  <c r="F171" i="1"/>
  <c r="P20" i="1"/>
  <c r="J171" i="1"/>
  <c r="E171" i="1" l="1"/>
  <c r="P183" i="1"/>
  <c r="P171" i="1" l="1"/>
</calcChain>
</file>

<file path=xl/sharedStrings.xml><?xml version="1.0" encoding="utf-8"?>
<sst xmlns="http://schemas.openxmlformats.org/spreadsheetml/2006/main" count="576" uniqueCount="369">
  <si>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</si>
  <si>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</si>
  <si>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</si>
  <si>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</si>
  <si>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</si>
  <si>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</si>
  <si>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</si>
  <si>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</si>
  <si>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</si>
  <si>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</si>
  <si>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</si>
  <si>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</si>
  <si>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</si>
  <si>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</si>
  <si>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</si>
  <si>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</si>
  <si>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</si>
  <si>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</si>
  <si>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</si>
  <si>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</si>
  <si>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</si>
  <si>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</si>
  <si>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</si>
  <si>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</si>
  <si>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</si>
  <si>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</si>
  <si>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</si>
  <si>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</si>
  <si>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</si>
  <si>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</si>
  <si>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</si>
  <si>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</si>
  <si>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</si>
  <si>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</si>
  <si>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</si>
  <si>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</si>
  <si>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</si>
  <si>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</si>
  <si>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</si>
  <si>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</si>
  <si>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</si>
  <si>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</si>
  <si>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</si>
  <si>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</si>
  <si>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</si>
  <si>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</si>
  <si>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</si>
  <si>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</si>
  <si>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</si>
  <si>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</si>
  <si>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</si>
  <si>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</si>
  <si>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</si>
  <si>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</si>
  <si>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</si>
  <si>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</si>
  <si>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</si>
  <si>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</si>
  <si>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</si>
  <si>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</si>
  <si>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</si>
  <si>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</si>
  <si>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</si>
  <si>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</si>
  <si>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</si>
  <si>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</si>
  <si>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</si>
  <si>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</si>
  <si>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</si>
  <si>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</si>
  <si>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</si>
  <si>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</si>
  <si>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</si>
  <si>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</si>
  <si>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</si>
  <si>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</si>
  <si>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</si>
  <si>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</si>
  <si>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</si>
  <si>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</si>
  <si>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</si>
  <si>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</si>
  <si>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</si>
  <si>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</si>
  <si>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</si>
  <si>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</si>
  <si>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</si>
  <si>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</si>
  <si>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</si>
  <si>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</si>
  <si>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</si>
  <si>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</si>
  <si>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</si>
  <si>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</si>
  <si>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</si>
  <si>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</si>
  <si>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</si>
  <si>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</si>
  <si>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</si>
  <si>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</si>
  <si>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</si>
  <si>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</si>
  <si>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</si>
  <si>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</si>
  <si>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</si>
  <si>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</si>
  <si>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</si>
  <si>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</si>
  <si>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</si>
  <si>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</si>
  <si>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</si>
  <si>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</si>
  <si>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</si>
  <si>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</si>
  <si>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</si>
  <si>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</si>
  <si>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</si>
  <si>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</si>
  <si>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</si>
  <si>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</si>
  <si>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</si>
  <si>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</si>
  <si>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</si>
  <si>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</si>
  <si>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</si>
  <si>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</si>
  <si>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</si>
  <si>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</si>
  <si>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</si>
  <si>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</si>
  <si>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</si>
  <si>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</si>
  <si>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</si>
  <si>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</si>
  <si>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</si>
  <si>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</si>
  <si>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</si>
  <si>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</si>
  <si>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</si>
  <si>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</si>
  <si>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</si>
  <si>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</si>
  <si>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</si>
  <si>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</si>
  <si>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</si>
  <si>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</si>
  <si>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</si>
  <si>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</si>
  <si>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</si>
  <si>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</si>
  <si>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</si>
  <si>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</si>
  <si>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</si>
  <si>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</si>
  <si>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</si>
  <si>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</si>
  <si>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</si>
  <si>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</si>
  <si>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</si>
  <si>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</si>
  <si>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</si>
  <si>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</si>
  <si>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</si>
  <si>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</si>
  <si>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</si>
  <si>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</si>
  <si>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</si>
  <si>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</si>
  <si>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</si>
  <si>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</si>
  <si>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</si>
  <si>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</si>
  <si>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</si>
  <si>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</si>
  <si>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</si>
  <si>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0910180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</si>
  <si>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</si>
  <si>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</si>
  <si>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</si>
  <si>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</si>
  <si>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</si>
  <si>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</si>
  <si>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</si>
  <si>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</si>
  <si>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</si>
  <si>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</si>
  <si>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</si>
  <si>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</si>
  <si>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</si>
  <si>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</si>
  <si>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</si>
  <si>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</si>
  <si>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</si>
  <si>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</si>
  <si>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</si>
  <si>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</si>
  <si>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</si>
  <si>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</si>
  <si>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</si>
  <si>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</si>
  <si>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</si>
  <si>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</si>
  <si>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</si>
  <si>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</si>
  <si>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</si>
  <si>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</si>
  <si>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</si>
  <si>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</si>
  <si>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</si>
  <si>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</si>
  <si>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</si>
  <si>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</si>
  <si>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</si>
  <si>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</si>
  <si>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</si>
  <si>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</si>
  <si>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</si>
  <si>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</si>
  <si>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</si>
  <si>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</si>
  <si>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</si>
  <si>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</si>
  <si>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</si>
  <si>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</si>
  <si>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</si>
  <si>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</si>
  <si>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</si>
  <si>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</si>
  <si>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</si>
  <si>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</si>
  <si>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</si>
  <si>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</si>
  <si>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</si>
  <si>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</si>
  <si>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</si>
  <si>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</si>
  <si>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</si>
  <si>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</si>
  <si>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</si>
  <si>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</si>
  <si>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</si>
  <si>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</si>
  <si>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</si>
  <si>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</si>
  <si>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</si>
  <si>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</si>
  <si>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</si>
  <si>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</si>
  <si>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</si>
  <si>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</si>
  <si>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</si>
  <si>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</si>
  <si>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</si>
  <si>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</si>
  <si>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</si>
  <si>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</si>
  <si>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</si>
  <si>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</si>
  <si>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</si>
  <si>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</si>
  <si>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</si>
  <si>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</si>
  <si>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</si>
  <si>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</si>
  <si>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</si>
  <si>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</si>
  <si>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</si>
  <si>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</si>
  <si>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</si>
  <si>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</si>
  <si>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</si>
  <si>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</si>
  <si>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</si>
  <si>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</si>
  <si>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</si>
  <si>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</si>
  <si>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</si>
  <si>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</si>
  <si>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</si>
  <si>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</si>
  <si>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</si>
  <si>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</si>
  <si>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</si>
  <si>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</si>
  <si>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</si>
  <si>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</si>
  <si>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</si>
  <si>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</si>
  <si>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</si>
  <si>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</si>
  <si>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0216011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</si>
  <si>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</si>
  <si>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</si>
  <si>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</si>
  <si>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</si>
  <si>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</si>
  <si>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</si>
  <si>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</si>
  <si>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</si>
  <si>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</si>
  <si>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</si>
  <si>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</si>
  <si>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</si>
  <si>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</si>
  <si>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</si>
  <si>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</si>
  <si>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</si>
  <si>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</si>
  <si>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</si>
  <si>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</si>
  <si>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</si>
  <si>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</si>
  <si>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</si>
  <si>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</si>
  <si>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</si>
  <si>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</si>
  <si>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</si>
  <si>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</si>
  <si>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</si>
  <si>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</si>
  <si>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</si>
  <si>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</si>
  <si>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</si>
  <si>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</si>
  <si>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</si>
  <si>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</si>
  <si>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</si>
  <si>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</si>
  <si>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</si>
  <si>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</si>
  <si>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</si>
  <si>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</si>
  <si>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</si>
  <si>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</si>
  <si>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</si>
  <si>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</si>
  <si>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</si>
  <si>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</si>
  <si>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</si>
  <si>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</si>
  <si>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</si>
  <si>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</si>
  <si>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</si>
  <si>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</si>
  <si>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</si>
  <si>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</si>
  <si>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</si>
  <si>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</si>
  <si>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Додаток 3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</si>
  <si>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</si>
  <si>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</si>
  <si>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</si>
  <si>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</si>
  <si>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</si>
  <si>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</si>
  <si>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</si>
  <si>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</si>
  <si>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</si>
  <si>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від                   04.2024 №          -  VIII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</si>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</sst>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1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3"/>
  <sheetViews>
    <sheetView tabSelected="1" view="pageBreakPreview" zoomScale="70" zoomScaleNormal="70" zoomScaleSheetLayoutView="70" workbookViewId="0">
      <pane xSplit="4" ySplit="19" topLeftCell="E20" activePane="bottomRight" state="frozen"/>
      <selection pane="topRight" activeCell="E1" sqref="E1"/>
      <selection pane="bottomLeft" activeCell="A20" sqref="A20"/>
      <selection pane="bottomRight" activeCell="D8" sqref="D8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17" style="2" customWidth="1"/>
    <col min="6" max="6" width="17.140625" style="2" customWidth="1"/>
    <col min="7" max="15" width="15.7109375" style="2" customWidth="1"/>
    <col min="16" max="16" width="17.5703125" style="2" customWidth="1"/>
    <col min="17" max="16384" width="8.85546875" style="2"/>
  </cols>
  <sheetData>
    <row r="1" spans="1:16">
      <c r="M1" s="2" t="s">
        <v>348</v>
      </c>
    </row>
    <row r="2" spans="1:16">
      <c r="M2" s="2" t="s">
        <v>300</v>
      </c>
    </row>
    <row r="3" spans="1:16">
      <c r="M3" s="2" t="s">
        <v>299</v>
      </c>
    </row>
    <row r="4" spans="1:16">
      <c r="M4" s="2" t="s">
        <v>358</v>
      </c>
    </row>
    <row r="6" spans="1:16" ht="20.45" customHeight="1">
      <c r="M6" s="23" t="s">
        <v>324</v>
      </c>
    </row>
    <row r="7" spans="1:16" ht="20.45" customHeight="1">
      <c r="M7" s="2" t="s">
        <v>300</v>
      </c>
    </row>
    <row r="8" spans="1:16" ht="20.45" customHeight="1">
      <c r="M8" s="2" t="s">
        <v>299</v>
      </c>
    </row>
    <row r="9" spans="1:16" ht="20.45" customHeight="1">
      <c r="M9" s="2" t="s">
        <v>302</v>
      </c>
    </row>
    <row r="11" spans="1:16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>
      <c r="A12" s="38" t="s">
        <v>301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>
      <c r="A13" s="3" t="s">
        <v>1</v>
      </c>
    </row>
    <row r="14" spans="1:16">
      <c r="A14" s="2" t="s">
        <v>2</v>
      </c>
      <c r="P14" s="4" t="s">
        <v>3</v>
      </c>
    </row>
    <row r="15" spans="1:16" ht="26.45" customHeight="1">
      <c r="A15" s="40" t="s">
        <v>4</v>
      </c>
      <c r="B15" s="40" t="s">
        <v>5</v>
      </c>
      <c r="C15" s="40" t="s">
        <v>6</v>
      </c>
      <c r="D15" s="41" t="s">
        <v>7</v>
      </c>
      <c r="E15" s="41" t="s">
        <v>8</v>
      </c>
      <c r="F15" s="41"/>
      <c r="G15" s="41"/>
      <c r="H15" s="41"/>
      <c r="I15" s="41"/>
      <c r="J15" s="41" t="s">
        <v>14</v>
      </c>
      <c r="K15" s="41"/>
      <c r="L15" s="41"/>
      <c r="M15" s="41"/>
      <c r="N15" s="41"/>
      <c r="O15" s="41"/>
      <c r="P15" s="41" t="s">
        <v>16</v>
      </c>
    </row>
    <row r="16" spans="1:16" ht="26.45" customHeight="1">
      <c r="A16" s="40"/>
      <c r="B16" s="40"/>
      <c r="C16" s="40"/>
      <c r="D16" s="41"/>
      <c r="E16" s="41" t="s">
        <v>9</v>
      </c>
      <c r="F16" s="41" t="s">
        <v>10</v>
      </c>
      <c r="G16" s="41" t="s">
        <v>11</v>
      </c>
      <c r="H16" s="41"/>
      <c r="I16" s="41" t="s">
        <v>13</v>
      </c>
      <c r="J16" s="41" t="s">
        <v>9</v>
      </c>
      <c r="K16" s="41" t="s">
        <v>15</v>
      </c>
      <c r="L16" s="41" t="s">
        <v>10</v>
      </c>
      <c r="M16" s="41" t="s">
        <v>11</v>
      </c>
      <c r="N16" s="41"/>
      <c r="O16" s="41" t="s">
        <v>13</v>
      </c>
      <c r="P16" s="41"/>
    </row>
    <row r="17" spans="1:16" ht="30.6" customHeight="1">
      <c r="A17" s="40"/>
      <c r="B17" s="40"/>
      <c r="C17" s="40"/>
      <c r="D17" s="41"/>
      <c r="E17" s="41"/>
      <c r="F17" s="41"/>
      <c r="G17" s="41" t="s">
        <v>322</v>
      </c>
      <c r="H17" s="41" t="s">
        <v>12</v>
      </c>
      <c r="I17" s="41"/>
      <c r="J17" s="41"/>
      <c r="K17" s="41"/>
      <c r="L17" s="41"/>
      <c r="M17" s="41" t="s">
        <v>322</v>
      </c>
      <c r="N17" s="41" t="s">
        <v>12</v>
      </c>
      <c r="O17" s="41"/>
      <c r="P17" s="41"/>
    </row>
    <row r="18" spans="1:16" ht="31.15" customHeight="1">
      <c r="A18" s="40"/>
      <c r="B18" s="40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  <c r="L19" s="7">
        <v>12</v>
      </c>
      <c r="M19" s="7">
        <v>13</v>
      </c>
      <c r="N19" s="7">
        <v>14</v>
      </c>
      <c r="O19" s="7">
        <v>15</v>
      </c>
      <c r="P19" s="7">
        <v>16</v>
      </c>
    </row>
    <row r="20" spans="1:16" ht="47.25">
      <c r="A20" s="8" t="s">
        <v>17</v>
      </c>
      <c r="B20" s="8" t="s">
        <v>18</v>
      </c>
      <c r="C20" s="8" t="s">
        <v>18</v>
      </c>
      <c r="D20" s="9" t="s">
        <v>19</v>
      </c>
      <c r="E20" s="10">
        <f>F20+I20</f>
        <v>152514884</v>
      </c>
      <c r="F20" s="10">
        <f>F21</f>
        <v>152514884</v>
      </c>
      <c r="G20" s="10">
        <f>G21</f>
        <v>82012100</v>
      </c>
      <c r="H20" s="10">
        <f>H21</f>
        <v>5313300</v>
      </c>
      <c r="I20" s="10">
        <f>I21</f>
        <v>0</v>
      </c>
      <c r="J20" s="10">
        <f>L20+O20</f>
        <v>5655505</v>
      </c>
      <c r="K20" s="10">
        <f>K21</f>
        <v>5416905</v>
      </c>
      <c r="L20" s="10">
        <f>L21</f>
        <v>238600</v>
      </c>
      <c r="M20" s="10">
        <f>M21</f>
        <v>0</v>
      </c>
      <c r="N20" s="10">
        <f>N21</f>
        <v>0</v>
      </c>
      <c r="O20" s="10">
        <f>O21</f>
        <v>5416905</v>
      </c>
      <c r="P20" s="10">
        <f t="shared" ref="P20:P69" si="0">E20 + J20</f>
        <v>158170389</v>
      </c>
    </row>
    <row r="21" spans="1:16" ht="47.25">
      <c r="A21" s="8" t="s">
        <v>20</v>
      </c>
      <c r="B21" s="8" t="s">
        <v>18</v>
      </c>
      <c r="C21" s="8" t="s">
        <v>18</v>
      </c>
      <c r="D21" s="9" t="s">
        <v>19</v>
      </c>
      <c r="E21" s="10">
        <f>F21+I21</f>
        <v>152514884</v>
      </c>
      <c r="F21" s="10">
        <f>SUM(F22:F49)-F23-F24-F25-F26-F36-F37-F38-F39</f>
        <v>152514884</v>
      </c>
      <c r="G21" s="10">
        <f t="shared" ref="G21:I21" si="1">SUM(G22:G49)-G23-G24-G25-G26-G36-G37-G38-G39</f>
        <v>82012100</v>
      </c>
      <c r="H21" s="10">
        <f t="shared" si="1"/>
        <v>5313300</v>
      </c>
      <c r="I21" s="10">
        <f t="shared" si="1"/>
        <v>0</v>
      </c>
      <c r="J21" s="10">
        <f>L21+O21</f>
        <v>5655505</v>
      </c>
      <c r="K21" s="10">
        <f>SUM(K22:K49)-K23-K24-K25-K26-K36-K37-K38-K39</f>
        <v>5416905</v>
      </c>
      <c r="L21" s="10">
        <f t="shared" ref="L21:O21" si="2">SUM(L22:L49)-L23-L24-L25-L26-L36-L37-L38-L39</f>
        <v>238600</v>
      </c>
      <c r="M21" s="10">
        <f t="shared" si="2"/>
        <v>0</v>
      </c>
      <c r="N21" s="10">
        <f t="shared" si="2"/>
        <v>0</v>
      </c>
      <c r="O21" s="10">
        <f t="shared" si="2"/>
        <v>5416905</v>
      </c>
      <c r="P21" s="10">
        <f>E21 + J21</f>
        <v>158170389</v>
      </c>
    </row>
    <row r="22" spans="1:16" ht="94.5">
      <c r="A22" s="7" t="s">
        <v>21</v>
      </c>
      <c r="B22" s="7" t="s">
        <v>22</v>
      </c>
      <c r="C22" s="7" t="s">
        <v>23</v>
      </c>
      <c r="D22" s="11" t="s">
        <v>24</v>
      </c>
      <c r="E22" s="12">
        <f>F22+I22</f>
        <v>74024200</v>
      </c>
      <c r="F22" s="12">
        <f>F23+F24+F25+F26</f>
        <v>74024200</v>
      </c>
      <c r="G22" s="12">
        <f>G23+G24+G25+G26</f>
        <v>63820200</v>
      </c>
      <c r="H22" s="12">
        <f t="shared" ref="H22:I22" si="3">H23+H24+H25+H26</f>
        <v>4986300</v>
      </c>
      <c r="I22" s="12">
        <f t="shared" si="3"/>
        <v>0</v>
      </c>
      <c r="J22" s="12">
        <f>L22+O22</f>
        <v>138600</v>
      </c>
      <c r="K22" s="12">
        <f>K23+K24+K25+K26</f>
        <v>0</v>
      </c>
      <c r="L22" s="12">
        <f t="shared" ref="L22:O22" si="4">L23+L24+L25+L26</f>
        <v>138600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0"/>
        <v>74162800</v>
      </c>
    </row>
    <row r="23" spans="1:16" s="6" customFormat="1" ht="47.25">
      <c r="A23" s="13"/>
      <c r="B23" s="13"/>
      <c r="C23" s="13"/>
      <c r="D23" s="1" t="s">
        <v>19</v>
      </c>
      <c r="E23" s="14">
        <f>F23+I23</f>
        <v>66144500</v>
      </c>
      <c r="F23" s="14">
        <f>66352700-109000-99200</f>
        <v>66144500</v>
      </c>
      <c r="G23" s="14">
        <v>57122400</v>
      </c>
      <c r="H23" s="14">
        <v>4610900</v>
      </c>
      <c r="I23" s="14"/>
      <c r="J23" s="14">
        <f>L23+O23</f>
        <v>138598</v>
      </c>
      <c r="K23" s="14"/>
      <c r="L23" s="14">
        <v>138598</v>
      </c>
      <c r="M23" s="14"/>
      <c r="N23" s="14"/>
      <c r="O23" s="14"/>
      <c r="P23" s="14">
        <f t="shared" si="0"/>
        <v>66283098</v>
      </c>
    </row>
    <row r="24" spans="1:16" s="6" customFormat="1" ht="63">
      <c r="A24" s="13"/>
      <c r="B24" s="13"/>
      <c r="C24" s="13"/>
      <c r="D24" s="1" t="s">
        <v>293</v>
      </c>
      <c r="E24" s="14">
        <f t="shared" ref="E24:E26" si="5">F24+I24</f>
        <v>3206600</v>
      </c>
      <c r="F24" s="14">
        <f>3206600</f>
        <v>3206600</v>
      </c>
      <c r="G24" s="14">
        <v>2744700</v>
      </c>
      <c r="H24" s="14">
        <v>171700</v>
      </c>
      <c r="I24" s="14"/>
      <c r="J24" s="14">
        <f t="shared" ref="J24:J26" si="6">L24+O24</f>
        <v>1</v>
      </c>
      <c r="K24" s="14"/>
      <c r="L24" s="14">
        <v>1</v>
      </c>
      <c r="M24" s="14"/>
      <c r="N24" s="14"/>
      <c r="O24" s="14"/>
      <c r="P24" s="14">
        <f t="shared" si="0"/>
        <v>3206601</v>
      </c>
    </row>
    <row r="25" spans="1:16" s="6" customFormat="1" ht="63">
      <c r="A25" s="13"/>
      <c r="B25" s="13"/>
      <c r="C25" s="13"/>
      <c r="D25" s="1" t="s">
        <v>294</v>
      </c>
      <c r="E25" s="14">
        <f t="shared" si="5"/>
        <v>2157300</v>
      </c>
      <c r="F25" s="14">
        <f>2157300</f>
        <v>2157300</v>
      </c>
      <c r="G25" s="14">
        <v>1819000</v>
      </c>
      <c r="H25" s="14">
        <v>91600</v>
      </c>
      <c r="I25" s="14"/>
      <c r="J25" s="14">
        <f t="shared" si="6"/>
        <v>0</v>
      </c>
      <c r="K25" s="14"/>
      <c r="L25" s="14"/>
      <c r="M25" s="14"/>
      <c r="N25" s="14"/>
      <c r="O25" s="14"/>
      <c r="P25" s="14">
        <f t="shared" si="0"/>
        <v>2157300</v>
      </c>
    </row>
    <row r="26" spans="1:16" s="6" customFormat="1" ht="47.25">
      <c r="A26" s="13"/>
      <c r="B26" s="13"/>
      <c r="C26" s="13"/>
      <c r="D26" s="1" t="s">
        <v>295</v>
      </c>
      <c r="E26" s="14">
        <f t="shared" si="5"/>
        <v>2515800</v>
      </c>
      <c r="F26" s="14">
        <f>2515800</f>
        <v>2515800</v>
      </c>
      <c r="G26" s="14">
        <v>2134100</v>
      </c>
      <c r="H26" s="14">
        <v>112100</v>
      </c>
      <c r="I26" s="14"/>
      <c r="J26" s="14">
        <f t="shared" si="6"/>
        <v>1</v>
      </c>
      <c r="K26" s="14"/>
      <c r="L26" s="14">
        <v>1</v>
      </c>
      <c r="M26" s="14"/>
      <c r="N26" s="14"/>
      <c r="O26" s="14"/>
      <c r="P26" s="14">
        <f t="shared" si="0"/>
        <v>2515801</v>
      </c>
    </row>
    <row r="27" spans="1:16" ht="47.25">
      <c r="A27" s="7" t="s">
        <v>25</v>
      </c>
      <c r="B27" s="7" t="s">
        <v>26</v>
      </c>
      <c r="C27" s="7" t="s">
        <v>27</v>
      </c>
      <c r="D27" s="11" t="s">
        <v>28</v>
      </c>
      <c r="E27" s="12">
        <f t="shared" ref="E27:E49" si="7">F27+I27</f>
        <v>50000</v>
      </c>
      <c r="F27" s="12">
        <v>50000</v>
      </c>
      <c r="G27" s="12">
        <v>0</v>
      </c>
      <c r="H27" s="12">
        <v>0</v>
      </c>
      <c r="I27" s="12">
        <v>0</v>
      </c>
      <c r="J27" s="12">
        <f t="shared" ref="J27:J49" si="8">L27+O27</f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50000</v>
      </c>
    </row>
    <row r="28" spans="1:16" ht="31.5">
      <c r="A28" s="7" t="s">
        <v>29</v>
      </c>
      <c r="B28" s="7" t="s">
        <v>30</v>
      </c>
      <c r="C28" s="7" t="s">
        <v>31</v>
      </c>
      <c r="D28" s="11" t="s">
        <v>32</v>
      </c>
      <c r="E28" s="12">
        <f t="shared" si="7"/>
        <v>2674170</v>
      </c>
      <c r="F28" s="12">
        <f>3265000-33000-557830</f>
        <v>2674170</v>
      </c>
      <c r="G28" s="12">
        <v>0</v>
      </c>
      <c r="H28" s="12">
        <v>0</v>
      </c>
      <c r="I28" s="12">
        <v>0</v>
      </c>
      <c r="J28" s="12">
        <f t="shared" si="8"/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0"/>
        <v>2674170</v>
      </c>
    </row>
    <row r="29" spans="1:16" ht="31.5">
      <c r="A29" s="7" t="s">
        <v>33</v>
      </c>
      <c r="B29" s="7" t="s">
        <v>34</v>
      </c>
      <c r="C29" s="7" t="s">
        <v>35</v>
      </c>
      <c r="D29" s="11" t="s">
        <v>36</v>
      </c>
      <c r="E29" s="12">
        <f t="shared" si="7"/>
        <v>19184084</v>
      </c>
      <c r="F29" s="12">
        <f>18586800+794600-1000000+868684-66000</f>
        <v>19184084</v>
      </c>
      <c r="G29" s="12">
        <v>0</v>
      </c>
      <c r="H29" s="12">
        <v>0</v>
      </c>
      <c r="I29" s="12">
        <v>0</v>
      </c>
      <c r="J29" s="12">
        <f t="shared" si="8"/>
        <v>2200405</v>
      </c>
      <c r="K29" s="12">
        <f>2134405+66000</f>
        <v>2200405</v>
      </c>
      <c r="L29" s="12">
        <v>0</v>
      </c>
      <c r="M29" s="12">
        <v>0</v>
      </c>
      <c r="N29" s="12">
        <v>0</v>
      </c>
      <c r="O29" s="12">
        <f>2134405+66000</f>
        <v>2200405</v>
      </c>
      <c r="P29" s="12">
        <f t="shared" si="0"/>
        <v>21384489</v>
      </c>
    </row>
    <row r="30" spans="1:16">
      <c r="A30" s="7" t="s">
        <v>37</v>
      </c>
      <c r="B30" s="7" t="s">
        <v>38</v>
      </c>
      <c r="C30" s="7" t="s">
        <v>39</v>
      </c>
      <c r="D30" s="11" t="s">
        <v>40</v>
      </c>
      <c r="E30" s="12">
        <f t="shared" si="7"/>
        <v>8941500</v>
      </c>
      <c r="F30" s="12">
        <f>8941500</f>
        <v>8941500</v>
      </c>
      <c r="G30" s="12">
        <v>0</v>
      </c>
      <c r="H30" s="12">
        <v>0</v>
      </c>
      <c r="I30" s="12">
        <v>0</v>
      </c>
      <c r="J30" s="12">
        <f t="shared" si="8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0"/>
        <v>8941500</v>
      </c>
    </row>
    <row r="31" spans="1:16" ht="63">
      <c r="A31" s="7" t="s">
        <v>41</v>
      </c>
      <c r="B31" s="7" t="s">
        <v>42</v>
      </c>
      <c r="C31" s="7" t="s">
        <v>43</v>
      </c>
      <c r="D31" s="11" t="s">
        <v>44</v>
      </c>
      <c r="E31" s="12">
        <f t="shared" si="7"/>
        <v>8225200</v>
      </c>
      <c r="F31" s="12">
        <v>8225200</v>
      </c>
      <c r="G31" s="12">
        <v>0</v>
      </c>
      <c r="H31" s="12">
        <v>0</v>
      </c>
      <c r="I31" s="12">
        <v>0</v>
      </c>
      <c r="J31" s="12">
        <f t="shared" si="8"/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0"/>
        <v>8225200</v>
      </c>
    </row>
    <row r="32" spans="1:16" ht="31.5">
      <c r="A32" s="7" t="s">
        <v>45</v>
      </c>
      <c r="B32" s="7" t="s">
        <v>46</v>
      </c>
      <c r="C32" s="7" t="s">
        <v>47</v>
      </c>
      <c r="D32" s="11" t="s">
        <v>48</v>
      </c>
      <c r="E32" s="12">
        <f t="shared" si="7"/>
        <v>1629600</v>
      </c>
      <c r="F32" s="12">
        <v>1629600</v>
      </c>
      <c r="G32" s="12">
        <v>0</v>
      </c>
      <c r="H32" s="12">
        <v>0</v>
      </c>
      <c r="I32" s="12">
        <v>0</v>
      </c>
      <c r="J32" s="12">
        <f t="shared" si="8"/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0"/>
        <v>1629600</v>
      </c>
    </row>
    <row r="33" spans="1:16" ht="26.45" customHeight="1">
      <c r="A33" s="7" t="s">
        <v>49</v>
      </c>
      <c r="B33" s="7" t="s">
        <v>50</v>
      </c>
      <c r="C33" s="7" t="s">
        <v>51</v>
      </c>
      <c r="D33" s="11" t="s">
        <v>52</v>
      </c>
      <c r="E33" s="12">
        <f t="shared" si="7"/>
        <v>4999900</v>
      </c>
      <c r="F33" s="12">
        <f>4000000+900000+99900</f>
        <v>4999900</v>
      </c>
      <c r="G33" s="12">
        <v>0</v>
      </c>
      <c r="H33" s="12">
        <v>0</v>
      </c>
      <c r="I33" s="12">
        <v>0</v>
      </c>
      <c r="J33" s="12">
        <f t="shared" si="8"/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0"/>
        <v>4999900</v>
      </c>
    </row>
    <row r="34" spans="1:16" ht="31.5" hidden="1">
      <c r="A34" s="15" t="s">
        <v>290</v>
      </c>
      <c r="B34" s="7">
        <v>6011</v>
      </c>
      <c r="C34" s="15" t="s">
        <v>292</v>
      </c>
      <c r="D34" s="11" t="s">
        <v>291</v>
      </c>
      <c r="E34" s="12">
        <f t="shared" si="7"/>
        <v>0</v>
      </c>
      <c r="F34" s="12">
        <f>85744400-85744400+1187813-1187813</f>
        <v>0</v>
      </c>
      <c r="G34" s="12"/>
      <c r="H34" s="12"/>
      <c r="I34" s="12"/>
      <c r="J34" s="12">
        <f t="shared" si="8"/>
        <v>0</v>
      </c>
      <c r="K34" s="12">
        <f>2799000-2799000</f>
        <v>0</v>
      </c>
      <c r="L34" s="12"/>
      <c r="M34" s="12"/>
      <c r="N34" s="12"/>
      <c r="O34" s="12">
        <f>2799000-2799000</f>
        <v>0</v>
      </c>
      <c r="P34" s="12">
        <f t="shared" si="0"/>
        <v>0</v>
      </c>
    </row>
    <row r="35" spans="1:16" ht="31.5">
      <c r="A35" s="7" t="s">
        <v>53</v>
      </c>
      <c r="B35" s="7" t="s">
        <v>54</v>
      </c>
      <c r="C35" s="7" t="s">
        <v>55</v>
      </c>
      <c r="D35" s="11" t="s">
        <v>56</v>
      </c>
      <c r="E35" s="12">
        <f>F35+I35</f>
        <v>9213200</v>
      </c>
      <c r="F35" s="12">
        <f>F36+F37+F38+F39</f>
        <v>9213200</v>
      </c>
      <c r="G35" s="12">
        <f t="shared" ref="G35:I35" si="9">SUM(G37:G39)</f>
        <v>0</v>
      </c>
      <c r="H35" s="12">
        <f t="shared" si="9"/>
        <v>0</v>
      </c>
      <c r="I35" s="12">
        <f t="shared" si="9"/>
        <v>0</v>
      </c>
      <c r="J35" s="12">
        <f t="shared" si="8"/>
        <v>0</v>
      </c>
      <c r="K35" s="12">
        <f>SUM(K37:K39)</f>
        <v>0</v>
      </c>
      <c r="L35" s="12">
        <f t="shared" ref="L35:O35" si="10">SUM(L37:L39)</f>
        <v>0</v>
      </c>
      <c r="M35" s="12">
        <f t="shared" si="10"/>
        <v>0</v>
      </c>
      <c r="N35" s="12">
        <f t="shared" si="10"/>
        <v>0</v>
      </c>
      <c r="O35" s="12">
        <f t="shared" si="10"/>
        <v>0</v>
      </c>
      <c r="P35" s="12">
        <f>E35 + J35</f>
        <v>9213200</v>
      </c>
    </row>
    <row r="36" spans="1:16" s="31" customFormat="1" ht="47.25">
      <c r="A36" s="13"/>
      <c r="B36" s="13"/>
      <c r="C36" s="13"/>
      <c r="D36" s="1" t="s">
        <v>19</v>
      </c>
      <c r="E36" s="14">
        <f>F36+I36</f>
        <v>50000</v>
      </c>
      <c r="F36" s="14">
        <v>50000</v>
      </c>
      <c r="G36" s="14"/>
      <c r="H36" s="14"/>
      <c r="I36" s="14"/>
      <c r="J36" s="14">
        <f>L36+O36</f>
        <v>0</v>
      </c>
      <c r="K36" s="14"/>
      <c r="L36" s="14"/>
      <c r="M36" s="14"/>
      <c r="N36" s="14"/>
      <c r="O36" s="14"/>
      <c r="P36" s="14">
        <f t="shared" ref="P36" si="11">E36 + J36</f>
        <v>50000</v>
      </c>
    </row>
    <row r="37" spans="1:16" s="6" customFormat="1" ht="63">
      <c r="A37" s="13"/>
      <c r="B37" s="13"/>
      <c r="C37" s="13"/>
      <c r="D37" s="1" t="s">
        <v>293</v>
      </c>
      <c r="E37" s="14">
        <f>F37+I37</f>
        <v>4176500</v>
      </c>
      <c r="F37" s="14">
        <v>4176500</v>
      </c>
      <c r="G37" s="14"/>
      <c r="H37" s="14"/>
      <c r="I37" s="14"/>
      <c r="J37" s="14">
        <f t="shared" si="8"/>
        <v>0</v>
      </c>
      <c r="K37" s="14"/>
      <c r="L37" s="14"/>
      <c r="M37" s="14"/>
      <c r="N37" s="14"/>
      <c r="O37" s="14"/>
      <c r="P37" s="14">
        <f t="shared" si="0"/>
        <v>4176500</v>
      </c>
    </row>
    <row r="38" spans="1:16" s="6" customFormat="1" ht="63">
      <c r="A38" s="13"/>
      <c r="B38" s="13"/>
      <c r="C38" s="13"/>
      <c r="D38" s="1" t="s">
        <v>294</v>
      </c>
      <c r="E38" s="14">
        <f t="shared" ref="E38:E42" si="12">F38+I38</f>
        <v>1961700</v>
      </c>
      <c r="F38" s="14">
        <f>2210900-249200</f>
        <v>1961700</v>
      </c>
      <c r="G38" s="14"/>
      <c r="H38" s="14"/>
      <c r="I38" s="14"/>
      <c r="J38" s="14">
        <f t="shared" si="8"/>
        <v>0</v>
      </c>
      <c r="K38" s="14"/>
      <c r="L38" s="14"/>
      <c r="M38" s="14"/>
      <c r="N38" s="14"/>
      <c r="O38" s="14"/>
      <c r="P38" s="14">
        <f t="shared" si="0"/>
        <v>1961700</v>
      </c>
    </row>
    <row r="39" spans="1:16" s="6" customFormat="1" ht="47.25">
      <c r="A39" s="13"/>
      <c r="B39" s="13"/>
      <c r="C39" s="13"/>
      <c r="D39" s="1" t="s">
        <v>295</v>
      </c>
      <c r="E39" s="14">
        <f t="shared" si="12"/>
        <v>3025000</v>
      </c>
      <c r="F39" s="14">
        <v>3025000</v>
      </c>
      <c r="G39" s="14"/>
      <c r="H39" s="14"/>
      <c r="I39" s="14"/>
      <c r="J39" s="14">
        <f t="shared" si="8"/>
        <v>0</v>
      </c>
      <c r="K39" s="14"/>
      <c r="L39" s="14"/>
      <c r="M39" s="14"/>
      <c r="N39" s="14"/>
      <c r="O39" s="14"/>
      <c r="P39" s="14">
        <f t="shared" si="0"/>
        <v>3025000</v>
      </c>
    </row>
    <row r="40" spans="1:16">
      <c r="A40" s="15" t="s">
        <v>359</v>
      </c>
      <c r="B40" s="37">
        <v>7130</v>
      </c>
      <c r="C40" s="15" t="s">
        <v>264</v>
      </c>
      <c r="D40" s="11" t="s">
        <v>265</v>
      </c>
      <c r="E40" s="12">
        <f t="shared" si="12"/>
        <v>3000</v>
      </c>
      <c r="F40" s="12">
        <v>3000</v>
      </c>
      <c r="G40" s="12"/>
      <c r="H40" s="12"/>
      <c r="I40" s="12"/>
      <c r="J40" s="14"/>
      <c r="K40" s="12"/>
      <c r="L40" s="12"/>
      <c r="M40" s="12"/>
      <c r="N40" s="12"/>
      <c r="O40" s="12"/>
      <c r="P40" s="12"/>
    </row>
    <row r="41" spans="1:16" ht="47.25">
      <c r="A41" s="15" t="s">
        <v>328</v>
      </c>
      <c r="B41" s="32">
        <v>7350</v>
      </c>
      <c r="C41" s="15" t="s">
        <v>268</v>
      </c>
      <c r="D41" s="11" t="s">
        <v>269</v>
      </c>
      <c r="E41" s="12">
        <f t="shared" si="12"/>
        <v>0</v>
      </c>
      <c r="F41" s="12"/>
      <c r="G41" s="12"/>
      <c r="H41" s="12"/>
      <c r="I41" s="12">
        <f>260000-260000</f>
        <v>0</v>
      </c>
      <c r="J41" s="12">
        <f t="shared" si="8"/>
        <v>260000</v>
      </c>
      <c r="K41" s="12">
        <v>260000</v>
      </c>
      <c r="L41" s="12"/>
      <c r="M41" s="12"/>
      <c r="N41" s="12"/>
      <c r="O41" s="12">
        <v>260000</v>
      </c>
      <c r="P41" s="12">
        <f t="shared" si="0"/>
        <v>260000</v>
      </c>
    </row>
    <row r="42" spans="1:16">
      <c r="A42" s="15" t="s">
        <v>329</v>
      </c>
      <c r="B42" s="32">
        <v>7640</v>
      </c>
      <c r="C42" s="15" t="s">
        <v>331</v>
      </c>
      <c r="D42" s="11" t="s">
        <v>330</v>
      </c>
      <c r="E42" s="12">
        <f t="shared" si="12"/>
        <v>0</v>
      </c>
      <c r="F42" s="12"/>
      <c r="G42" s="12"/>
      <c r="H42" s="12"/>
      <c r="I42" s="12"/>
      <c r="J42" s="12">
        <f t="shared" si="8"/>
        <v>1680000</v>
      </c>
      <c r="K42" s="12">
        <v>1680000</v>
      </c>
      <c r="L42" s="12"/>
      <c r="M42" s="12"/>
      <c r="N42" s="12"/>
      <c r="O42" s="12">
        <v>1680000</v>
      </c>
      <c r="P42" s="12">
        <f t="shared" si="0"/>
        <v>1680000</v>
      </c>
    </row>
    <row r="43" spans="1:16" ht="31.5">
      <c r="A43" s="7" t="s">
        <v>57</v>
      </c>
      <c r="B43" s="7" t="s">
        <v>58</v>
      </c>
      <c r="C43" s="7" t="s">
        <v>59</v>
      </c>
      <c r="D43" s="11" t="s">
        <v>60</v>
      </c>
      <c r="E43" s="12">
        <f t="shared" si="7"/>
        <v>110000</v>
      </c>
      <c r="F43" s="12">
        <v>110000</v>
      </c>
      <c r="G43" s="12">
        <v>0</v>
      </c>
      <c r="H43" s="12">
        <v>0</v>
      </c>
      <c r="I43" s="12">
        <v>0</v>
      </c>
      <c r="J43" s="12">
        <f t="shared" si="8"/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0"/>
        <v>110000</v>
      </c>
    </row>
    <row r="44" spans="1:16" ht="47.25">
      <c r="A44" s="15" t="s">
        <v>360</v>
      </c>
      <c r="B44" s="37">
        <v>8110</v>
      </c>
      <c r="C44" s="15" t="s">
        <v>249</v>
      </c>
      <c r="D44" s="11" t="s">
        <v>250</v>
      </c>
      <c r="E44" s="12">
        <f t="shared" si="7"/>
        <v>91000</v>
      </c>
      <c r="F44" s="12">
        <f>42000+49000</f>
        <v>91000</v>
      </c>
      <c r="G44" s="12"/>
      <c r="H44" s="12"/>
      <c r="I44" s="12"/>
      <c r="J44" s="12">
        <f t="shared" si="8"/>
        <v>0</v>
      </c>
      <c r="K44" s="12"/>
      <c r="L44" s="12"/>
      <c r="M44" s="12"/>
      <c r="N44" s="12"/>
      <c r="O44" s="12"/>
      <c r="P44" s="12">
        <f t="shared" si="0"/>
        <v>91000</v>
      </c>
    </row>
    <row r="45" spans="1:16" ht="31.5">
      <c r="A45" s="7" t="s">
        <v>61</v>
      </c>
      <c r="B45" s="7" t="s">
        <v>62</v>
      </c>
      <c r="C45" s="7" t="s">
        <v>63</v>
      </c>
      <c r="D45" s="11" t="s">
        <v>64</v>
      </c>
      <c r="E45" s="12">
        <f t="shared" si="7"/>
        <v>20543200</v>
      </c>
      <c r="F45" s="12">
        <f>19446000+1542000-444800</f>
        <v>20543200</v>
      </c>
      <c r="G45" s="12">
        <f>16649900+1542000</f>
        <v>18191900</v>
      </c>
      <c r="H45" s="12">
        <v>327000</v>
      </c>
      <c r="I45" s="12">
        <v>0</v>
      </c>
      <c r="J45" s="12">
        <f t="shared" si="8"/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0"/>
        <v>20543200</v>
      </c>
    </row>
    <row r="46" spans="1:16" ht="31.5">
      <c r="A46" s="7" t="s">
        <v>65</v>
      </c>
      <c r="B46" s="7" t="s">
        <v>66</v>
      </c>
      <c r="C46" s="7" t="s">
        <v>63</v>
      </c>
      <c r="D46" s="11" t="s">
        <v>67</v>
      </c>
      <c r="E46" s="12">
        <f t="shared" si="7"/>
        <v>786030</v>
      </c>
      <c r="F46" s="12">
        <f>637000+33000+116030</f>
        <v>786030</v>
      </c>
      <c r="G46" s="12">
        <v>0</v>
      </c>
      <c r="H46" s="12">
        <v>0</v>
      </c>
      <c r="I46" s="12">
        <v>0</v>
      </c>
      <c r="J46" s="12">
        <f t="shared" si="8"/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0"/>
        <v>786030</v>
      </c>
    </row>
    <row r="47" spans="1:16" ht="31.5">
      <c r="A47" s="7" t="s">
        <v>68</v>
      </c>
      <c r="B47" s="7" t="s">
        <v>69</v>
      </c>
      <c r="C47" s="7" t="s">
        <v>63</v>
      </c>
      <c r="D47" s="11" t="s">
        <v>70</v>
      </c>
      <c r="E47" s="12">
        <f t="shared" si="7"/>
        <v>1979800</v>
      </c>
      <c r="F47" s="12">
        <f>1975000+4800</f>
        <v>1979800</v>
      </c>
      <c r="G47" s="12">
        <v>0</v>
      </c>
      <c r="H47" s="12">
        <v>0</v>
      </c>
      <c r="I47" s="12">
        <v>0</v>
      </c>
      <c r="J47" s="12">
        <f t="shared" si="8"/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0"/>
        <v>1979800</v>
      </c>
    </row>
    <row r="48" spans="1:16" s="23" customFormat="1" ht="31.5">
      <c r="A48" s="15" t="s">
        <v>323</v>
      </c>
      <c r="B48" s="30">
        <v>8240</v>
      </c>
      <c r="C48" s="15" t="s">
        <v>63</v>
      </c>
      <c r="D48" s="11" t="s">
        <v>273</v>
      </c>
      <c r="E48" s="12">
        <f t="shared" si="7"/>
        <v>60000</v>
      </c>
      <c r="F48" s="12">
        <v>60000</v>
      </c>
      <c r="G48" s="12"/>
      <c r="H48" s="12"/>
      <c r="I48" s="12"/>
      <c r="J48" s="12">
        <f t="shared" si="8"/>
        <v>1276500</v>
      </c>
      <c r="K48" s="12">
        <v>1276500</v>
      </c>
      <c r="L48" s="12"/>
      <c r="M48" s="12"/>
      <c r="N48" s="12"/>
      <c r="O48" s="12">
        <v>1276500</v>
      </c>
      <c r="P48" s="12">
        <f t="shared" si="0"/>
        <v>1336500</v>
      </c>
    </row>
    <row r="49" spans="1:16" ht="31.5">
      <c r="A49" s="15" t="s">
        <v>289</v>
      </c>
      <c r="B49" s="7">
        <v>8340</v>
      </c>
      <c r="C49" s="7" t="s">
        <v>287</v>
      </c>
      <c r="D49" s="11" t="s">
        <v>288</v>
      </c>
      <c r="E49" s="12">
        <f t="shared" si="7"/>
        <v>0</v>
      </c>
      <c r="F49" s="12"/>
      <c r="G49" s="12"/>
      <c r="H49" s="12"/>
      <c r="I49" s="12"/>
      <c r="J49" s="12">
        <f t="shared" si="8"/>
        <v>100000</v>
      </c>
      <c r="K49" s="12"/>
      <c r="L49" s="12">
        <f>50000+50000</f>
        <v>100000</v>
      </c>
      <c r="M49" s="12"/>
      <c r="N49" s="12"/>
      <c r="O49" s="12"/>
      <c r="P49" s="12">
        <f t="shared" si="0"/>
        <v>100000</v>
      </c>
    </row>
    <row r="50" spans="1:16" ht="47.25">
      <c r="A50" s="8" t="s">
        <v>71</v>
      </c>
      <c r="B50" s="8" t="s">
        <v>18</v>
      </c>
      <c r="C50" s="8" t="s">
        <v>18</v>
      </c>
      <c r="D50" s="9" t="s">
        <v>72</v>
      </c>
      <c r="E50" s="10">
        <f>F50+I50</f>
        <v>444044184.99000001</v>
      </c>
      <c r="F50" s="10">
        <f>F51</f>
        <v>444024184.99000001</v>
      </c>
      <c r="G50" s="10">
        <f>G51</f>
        <v>363893690.99000001</v>
      </c>
      <c r="H50" s="10">
        <f>H51</f>
        <v>35061482</v>
      </c>
      <c r="I50" s="10">
        <f>I51</f>
        <v>20000</v>
      </c>
      <c r="J50" s="10">
        <f>L50+O50</f>
        <v>28543239</v>
      </c>
      <c r="K50" s="10">
        <f>K51</f>
        <v>10510323</v>
      </c>
      <c r="L50" s="10">
        <f t="shared" ref="L50:O50" si="13">L51</f>
        <v>16500000</v>
      </c>
      <c r="M50" s="10">
        <f t="shared" si="13"/>
        <v>0</v>
      </c>
      <c r="N50" s="10">
        <f t="shared" si="13"/>
        <v>0</v>
      </c>
      <c r="O50" s="10">
        <f t="shared" si="13"/>
        <v>12043239</v>
      </c>
      <c r="P50" s="10">
        <f t="shared" si="0"/>
        <v>472587423.99000001</v>
      </c>
    </row>
    <row r="51" spans="1:16" ht="47.25">
      <c r="A51" s="8" t="s">
        <v>73</v>
      </c>
      <c r="B51" s="8" t="s">
        <v>18</v>
      </c>
      <c r="C51" s="8" t="s">
        <v>18</v>
      </c>
      <c r="D51" s="9" t="s">
        <v>72</v>
      </c>
      <c r="E51" s="10">
        <f>F51+I51</f>
        <v>444044184.99000001</v>
      </c>
      <c r="F51" s="10">
        <f>SUM(F52:F71)</f>
        <v>444024184.99000001</v>
      </c>
      <c r="G51" s="10">
        <f t="shared" ref="G51:I51" si="14">SUM(G52:G71)</f>
        <v>363893690.99000001</v>
      </c>
      <c r="H51" s="10">
        <f t="shared" si="14"/>
        <v>35061482</v>
      </c>
      <c r="I51" s="10">
        <f t="shared" si="14"/>
        <v>20000</v>
      </c>
      <c r="J51" s="10">
        <f>L51+O51</f>
        <v>28543239</v>
      </c>
      <c r="K51" s="10">
        <f>SUM(K52:K71)</f>
        <v>10510323</v>
      </c>
      <c r="L51" s="10">
        <f t="shared" ref="L51:O51" si="15">SUM(L52:L71)</f>
        <v>16500000</v>
      </c>
      <c r="M51" s="10">
        <f t="shared" si="15"/>
        <v>0</v>
      </c>
      <c r="N51" s="10">
        <f t="shared" si="15"/>
        <v>0</v>
      </c>
      <c r="O51" s="10">
        <f t="shared" si="15"/>
        <v>12043239</v>
      </c>
      <c r="P51" s="10">
        <f t="shared" si="0"/>
        <v>472587423.99000001</v>
      </c>
    </row>
    <row r="52" spans="1:16" ht="47.25">
      <c r="A52" s="7" t="s">
        <v>74</v>
      </c>
      <c r="B52" s="7" t="s">
        <v>75</v>
      </c>
      <c r="C52" s="7" t="s">
        <v>23</v>
      </c>
      <c r="D52" s="11" t="s">
        <v>76</v>
      </c>
      <c r="E52" s="12">
        <f>F52+I52</f>
        <v>5115833</v>
      </c>
      <c r="F52" s="12">
        <f>5123700-7867</f>
        <v>5115833</v>
      </c>
      <c r="G52" s="12">
        <v>4656300</v>
      </c>
      <c r="H52" s="12">
        <f>400800-640</f>
        <v>400160</v>
      </c>
      <c r="I52" s="12">
        <v>0</v>
      </c>
      <c r="J52" s="12">
        <f>L52+O52</f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0"/>
        <v>5115833</v>
      </c>
    </row>
    <row r="53" spans="1:16" ht="31.5">
      <c r="A53" s="7" t="s">
        <v>77</v>
      </c>
      <c r="B53" s="7" t="s">
        <v>30</v>
      </c>
      <c r="C53" s="7" t="s">
        <v>31</v>
      </c>
      <c r="D53" s="11" t="s">
        <v>32</v>
      </c>
      <c r="E53" s="12">
        <f t="shared" ref="E53:E71" si="16">F53+I53</f>
        <v>99000</v>
      </c>
      <c r="F53" s="12">
        <f>99000</f>
        <v>99000</v>
      </c>
      <c r="G53" s="12">
        <v>0</v>
      </c>
      <c r="H53" s="12">
        <v>0</v>
      </c>
      <c r="I53" s="12">
        <v>0</v>
      </c>
      <c r="J53" s="12">
        <f t="shared" ref="J53:J71" si="17">L53+O53</f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si="0"/>
        <v>99000</v>
      </c>
    </row>
    <row r="54" spans="1:16">
      <c r="A54" s="7" t="s">
        <v>78</v>
      </c>
      <c r="B54" s="7" t="s">
        <v>79</v>
      </c>
      <c r="C54" s="7" t="s">
        <v>80</v>
      </c>
      <c r="D54" s="11" t="s">
        <v>81</v>
      </c>
      <c r="E54" s="12">
        <f t="shared" si="16"/>
        <v>101712755</v>
      </c>
      <c r="F54" s="12">
        <f>108737600-5482940-1541905</f>
        <v>101712755</v>
      </c>
      <c r="G54" s="12">
        <f>85693100-5482940-656964</f>
        <v>79553196</v>
      </c>
      <c r="H54" s="12">
        <f>12904300-668900</f>
        <v>12235400</v>
      </c>
      <c r="I54" s="12">
        <v>0</v>
      </c>
      <c r="J54" s="12">
        <f t="shared" si="17"/>
        <v>20008713</v>
      </c>
      <c r="K54" s="12">
        <f>3621430+287283</f>
        <v>3908713</v>
      </c>
      <c r="L54" s="12">
        <v>16100000</v>
      </c>
      <c r="M54" s="12">
        <v>0</v>
      </c>
      <c r="N54" s="12">
        <v>0</v>
      </c>
      <c r="O54" s="12">
        <f>3621430+287283</f>
        <v>3908713</v>
      </c>
      <c r="P54" s="12">
        <f t="shared" si="0"/>
        <v>121721468</v>
      </c>
    </row>
    <row r="55" spans="1:16" ht="47.25">
      <c r="A55" s="7" t="s">
        <v>82</v>
      </c>
      <c r="B55" s="7" t="s">
        <v>83</v>
      </c>
      <c r="C55" s="7" t="s">
        <v>84</v>
      </c>
      <c r="D55" s="11" t="s">
        <v>85</v>
      </c>
      <c r="E55" s="12">
        <f t="shared" si="16"/>
        <v>92235533</v>
      </c>
      <c r="F55" s="12">
        <f>78349600+15100000-1214067</f>
        <v>92235533</v>
      </c>
      <c r="G55" s="12">
        <f>40380000+15100000</f>
        <v>55480000</v>
      </c>
      <c r="H55" s="12">
        <f>16403600-644047</f>
        <v>15759553</v>
      </c>
      <c r="I55" s="12">
        <v>0</v>
      </c>
      <c r="J55" s="12">
        <f t="shared" si="17"/>
        <v>2451770</v>
      </c>
      <c r="K55" s="12">
        <f>2254770</f>
        <v>2254770</v>
      </c>
      <c r="L55" s="12">
        <v>197000</v>
      </c>
      <c r="M55" s="12">
        <v>0</v>
      </c>
      <c r="N55" s="12">
        <v>0</v>
      </c>
      <c r="O55" s="12">
        <f>2254770</f>
        <v>2254770</v>
      </c>
      <c r="P55" s="12">
        <f t="shared" si="0"/>
        <v>94687303</v>
      </c>
    </row>
    <row r="56" spans="1:16" ht="94.5">
      <c r="A56" s="7" t="s">
        <v>86</v>
      </c>
      <c r="B56" s="7" t="s">
        <v>87</v>
      </c>
      <c r="C56" s="7" t="s">
        <v>88</v>
      </c>
      <c r="D56" s="11" t="s">
        <v>89</v>
      </c>
      <c r="E56" s="12">
        <f t="shared" si="16"/>
        <v>14926050</v>
      </c>
      <c r="F56" s="12">
        <f>14164200+900000-138150</f>
        <v>14926050</v>
      </c>
      <c r="G56" s="12">
        <f>10028000+900000</f>
        <v>10928000</v>
      </c>
      <c r="H56" s="12">
        <f>1929700-9700</f>
        <v>1920000</v>
      </c>
      <c r="I56" s="12">
        <v>0</v>
      </c>
      <c r="J56" s="12">
        <f t="shared" si="17"/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14926050</v>
      </c>
    </row>
    <row r="57" spans="1:16" ht="47.25">
      <c r="A57" s="7" t="s">
        <v>90</v>
      </c>
      <c r="B57" s="7" t="s">
        <v>91</v>
      </c>
      <c r="C57" s="7" t="s">
        <v>84</v>
      </c>
      <c r="D57" s="11" t="s">
        <v>92</v>
      </c>
      <c r="E57" s="12">
        <f t="shared" si="16"/>
        <v>146822800</v>
      </c>
      <c r="F57" s="12">
        <v>146822800</v>
      </c>
      <c r="G57" s="12">
        <v>146592900</v>
      </c>
      <c r="H57" s="12">
        <v>0</v>
      </c>
      <c r="I57" s="12">
        <v>0</v>
      </c>
      <c r="J57" s="12">
        <f t="shared" si="17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146822800</v>
      </c>
    </row>
    <row r="58" spans="1:16" ht="94.5">
      <c r="A58" s="7" t="s">
        <v>93</v>
      </c>
      <c r="B58" s="7" t="s">
        <v>94</v>
      </c>
      <c r="C58" s="7" t="s">
        <v>88</v>
      </c>
      <c r="D58" s="11" t="s">
        <v>95</v>
      </c>
      <c r="E58" s="12">
        <f t="shared" si="16"/>
        <v>12600000</v>
      </c>
      <c r="F58" s="12">
        <v>12600000</v>
      </c>
      <c r="G58" s="12">
        <v>12600000</v>
      </c>
      <c r="H58" s="12">
        <v>0</v>
      </c>
      <c r="I58" s="12">
        <v>0</v>
      </c>
      <c r="J58" s="12">
        <f t="shared" si="17"/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0"/>
        <v>12600000</v>
      </c>
    </row>
    <row r="59" spans="1:16" ht="47.25">
      <c r="A59" s="7" t="s">
        <v>96</v>
      </c>
      <c r="B59" s="7" t="s">
        <v>97</v>
      </c>
      <c r="C59" s="7" t="s">
        <v>98</v>
      </c>
      <c r="D59" s="11" t="s">
        <v>99</v>
      </c>
      <c r="E59" s="12">
        <f t="shared" si="16"/>
        <v>22455552</v>
      </c>
      <c r="F59" s="12">
        <f>22900800-193260-251988</f>
        <v>22455552</v>
      </c>
      <c r="G59" s="12">
        <v>19000000</v>
      </c>
      <c r="H59" s="12">
        <f>1388800-26570</f>
        <v>1362230</v>
      </c>
      <c r="I59" s="12">
        <v>0</v>
      </c>
      <c r="J59" s="12">
        <f t="shared" si="17"/>
        <v>200000</v>
      </c>
      <c r="K59" s="12">
        <v>0</v>
      </c>
      <c r="L59" s="12">
        <v>200000</v>
      </c>
      <c r="M59" s="12">
        <v>0</v>
      </c>
      <c r="N59" s="12">
        <v>0</v>
      </c>
      <c r="O59" s="12">
        <v>0</v>
      </c>
      <c r="P59" s="12">
        <f t="shared" si="0"/>
        <v>22655552</v>
      </c>
    </row>
    <row r="60" spans="1:16" ht="47.25">
      <c r="A60" s="7" t="s">
        <v>100</v>
      </c>
      <c r="B60" s="7" t="s">
        <v>101</v>
      </c>
      <c r="C60" s="7" t="s">
        <v>102</v>
      </c>
      <c r="D60" s="11" t="s">
        <v>103</v>
      </c>
      <c r="E60" s="12">
        <f t="shared" si="16"/>
        <v>30000</v>
      </c>
      <c r="F60" s="12">
        <v>30000</v>
      </c>
      <c r="G60" s="12">
        <v>0</v>
      </c>
      <c r="H60" s="12">
        <v>0</v>
      </c>
      <c r="I60" s="12">
        <v>0</v>
      </c>
      <c r="J60" s="12">
        <f t="shared" si="17"/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0"/>
        <v>30000</v>
      </c>
    </row>
    <row r="61" spans="1:16" ht="31.5">
      <c r="A61" s="7" t="s">
        <v>104</v>
      </c>
      <c r="B61" s="7" t="s">
        <v>105</v>
      </c>
      <c r="C61" s="7" t="s">
        <v>106</v>
      </c>
      <c r="D61" s="11" t="s">
        <v>107</v>
      </c>
      <c r="E61" s="12">
        <f t="shared" si="16"/>
        <v>21578282</v>
      </c>
      <c r="F61" s="12">
        <f>20474900-20000+1103382</f>
        <v>21558282</v>
      </c>
      <c r="G61" s="12">
        <v>17600000</v>
      </c>
      <c r="H61" s="12">
        <f>2136900+259789</f>
        <v>2396689</v>
      </c>
      <c r="I61" s="12">
        <v>20000</v>
      </c>
      <c r="J61" s="12">
        <f t="shared" si="17"/>
        <v>3000</v>
      </c>
      <c r="K61" s="12">
        <v>0</v>
      </c>
      <c r="L61" s="12">
        <v>3000</v>
      </c>
      <c r="M61" s="12">
        <v>0</v>
      </c>
      <c r="N61" s="12">
        <v>0</v>
      </c>
      <c r="O61" s="12">
        <v>0</v>
      </c>
      <c r="P61" s="12">
        <f t="shared" si="0"/>
        <v>21581282</v>
      </c>
    </row>
    <row r="62" spans="1:16" ht="47.25">
      <c r="A62" s="7" t="s">
        <v>108</v>
      </c>
      <c r="B62" s="7" t="s">
        <v>109</v>
      </c>
      <c r="C62" s="7" t="s">
        <v>106</v>
      </c>
      <c r="D62" s="11" t="s">
        <v>110</v>
      </c>
      <c r="E62" s="12">
        <f t="shared" si="16"/>
        <v>516520</v>
      </c>
      <c r="F62" s="12">
        <f>726800-200000-10280</f>
        <v>516520</v>
      </c>
      <c r="G62" s="12">
        <f>393800-200000+18300</f>
        <v>212100</v>
      </c>
      <c r="H62" s="12">
        <f>179000-18630</f>
        <v>160370</v>
      </c>
      <c r="I62" s="12">
        <v>0</v>
      </c>
      <c r="J62" s="12">
        <f t="shared" si="17"/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0"/>
        <v>516520</v>
      </c>
    </row>
    <row r="63" spans="1:16" ht="47.25">
      <c r="A63" s="7" t="s">
        <v>111</v>
      </c>
      <c r="B63" s="7" t="s">
        <v>112</v>
      </c>
      <c r="C63" s="7" t="s">
        <v>106</v>
      </c>
      <c r="D63" s="11" t="s">
        <v>113</v>
      </c>
      <c r="E63" s="12">
        <f t="shared" si="16"/>
        <v>2775740</v>
      </c>
      <c r="F63" s="12">
        <v>2775740</v>
      </c>
      <c r="G63" s="12">
        <v>2775740</v>
      </c>
      <c r="H63" s="12">
        <v>0</v>
      </c>
      <c r="I63" s="12">
        <v>0</v>
      </c>
      <c r="J63" s="12">
        <f t="shared" si="17"/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0"/>
        <v>2775740</v>
      </c>
    </row>
    <row r="64" spans="1:16" ht="126">
      <c r="A64" s="15" t="s">
        <v>361</v>
      </c>
      <c r="B64" s="37">
        <v>1154</v>
      </c>
      <c r="C64" s="15" t="s">
        <v>106</v>
      </c>
      <c r="D64" s="11" t="s">
        <v>362</v>
      </c>
      <c r="E64" s="12">
        <f t="shared" si="16"/>
        <v>245454.99</v>
      </c>
      <c r="F64" s="12">
        <v>245454.99</v>
      </c>
      <c r="G64" s="12">
        <v>245454.99</v>
      </c>
      <c r="H64" s="12"/>
      <c r="I64" s="12"/>
      <c r="J64" s="12">
        <f t="shared" si="17"/>
        <v>0</v>
      </c>
      <c r="K64" s="12"/>
      <c r="L64" s="12"/>
      <c r="M64" s="12"/>
      <c r="N64" s="12"/>
      <c r="O64" s="12"/>
      <c r="P64" s="12">
        <f t="shared" si="0"/>
        <v>245454.99</v>
      </c>
    </row>
    <row r="65" spans="1:16" ht="47.25">
      <c r="A65" s="7" t="s">
        <v>114</v>
      </c>
      <c r="B65" s="7" t="s">
        <v>115</v>
      </c>
      <c r="C65" s="7" t="s">
        <v>106</v>
      </c>
      <c r="D65" s="11" t="s">
        <v>116</v>
      </c>
      <c r="E65" s="12">
        <f t="shared" si="16"/>
        <v>4467418</v>
      </c>
      <c r="F65" s="12">
        <f>4471900-4482</f>
        <v>4467418</v>
      </c>
      <c r="G65" s="12">
        <v>4150000</v>
      </c>
      <c r="H65" s="12">
        <f>56900-300</f>
        <v>56600</v>
      </c>
      <c r="I65" s="12">
        <v>0</v>
      </c>
      <c r="J65" s="12">
        <f t="shared" si="17"/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0"/>
        <v>4467418</v>
      </c>
    </row>
    <row r="66" spans="1:16" ht="141.75">
      <c r="A66" s="15" t="s">
        <v>363</v>
      </c>
      <c r="B66" s="37">
        <v>1291</v>
      </c>
      <c r="C66" s="34" t="s">
        <v>106</v>
      </c>
      <c r="D66" s="11" t="s">
        <v>364</v>
      </c>
      <c r="E66" s="12">
        <f t="shared" si="16"/>
        <v>0</v>
      </c>
      <c r="F66" s="12"/>
      <c r="G66" s="12"/>
      <c r="H66" s="12"/>
      <c r="I66" s="12"/>
      <c r="J66" s="12">
        <f t="shared" si="17"/>
        <v>656964</v>
      </c>
      <c r="K66" s="12">
        <v>656964</v>
      </c>
      <c r="L66" s="12"/>
      <c r="M66" s="12"/>
      <c r="N66" s="12"/>
      <c r="O66" s="12">
        <v>656964</v>
      </c>
      <c r="P66" s="12">
        <f t="shared" si="0"/>
        <v>656964</v>
      </c>
    </row>
    <row r="67" spans="1:16" ht="126">
      <c r="A67" s="34" t="s">
        <v>353</v>
      </c>
      <c r="B67" s="34" t="s">
        <v>354</v>
      </c>
      <c r="C67" s="34" t="s">
        <v>106</v>
      </c>
      <c r="D67" s="35" t="s">
        <v>355</v>
      </c>
      <c r="E67" s="12">
        <f t="shared" si="16"/>
        <v>0</v>
      </c>
      <c r="F67" s="12"/>
      <c r="G67" s="12"/>
      <c r="H67" s="12"/>
      <c r="I67" s="12"/>
      <c r="J67" s="12">
        <f t="shared" si="17"/>
        <v>1532916</v>
      </c>
      <c r="K67" s="12"/>
      <c r="L67" s="12"/>
      <c r="M67" s="12"/>
      <c r="N67" s="12"/>
      <c r="O67" s="36">
        <v>1532916</v>
      </c>
      <c r="P67" s="12">
        <f t="shared" si="0"/>
        <v>1532916</v>
      </c>
    </row>
    <row r="68" spans="1:16" ht="94.5">
      <c r="A68" s="7" t="s">
        <v>117</v>
      </c>
      <c r="B68" s="7" t="s">
        <v>118</v>
      </c>
      <c r="C68" s="7" t="s">
        <v>119</v>
      </c>
      <c r="D68" s="11" t="s">
        <v>120</v>
      </c>
      <c r="E68" s="12">
        <f t="shared" si="16"/>
        <v>3339500</v>
      </c>
      <c r="F68" s="12">
        <f>3348600-9100</f>
        <v>3339500</v>
      </c>
      <c r="G68" s="12">
        <v>0</v>
      </c>
      <c r="H68" s="12">
        <v>0</v>
      </c>
      <c r="I68" s="12">
        <v>0</v>
      </c>
      <c r="J68" s="12">
        <f t="shared" si="17"/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f t="shared" si="0"/>
        <v>3339500</v>
      </c>
    </row>
    <row r="69" spans="1:16" ht="31.5">
      <c r="A69" s="7" t="s">
        <v>121</v>
      </c>
      <c r="B69" s="7" t="s">
        <v>50</v>
      </c>
      <c r="C69" s="7" t="s">
        <v>51</v>
      </c>
      <c r="D69" s="11" t="s">
        <v>52</v>
      </c>
      <c r="E69" s="12">
        <f t="shared" si="16"/>
        <v>3100000</v>
      </c>
      <c r="F69" s="12">
        <v>3100000</v>
      </c>
      <c r="G69" s="12">
        <v>0</v>
      </c>
      <c r="H69" s="12">
        <v>0</v>
      </c>
      <c r="I69" s="12">
        <v>0</v>
      </c>
      <c r="J69" s="12">
        <f t="shared" si="17"/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si="0"/>
        <v>3100000</v>
      </c>
    </row>
    <row r="70" spans="1:16" ht="47.25">
      <c r="A70" s="7" t="s">
        <v>122</v>
      </c>
      <c r="B70" s="7" t="s">
        <v>123</v>
      </c>
      <c r="C70" s="7" t="s">
        <v>124</v>
      </c>
      <c r="D70" s="11" t="s">
        <v>125</v>
      </c>
      <c r="E70" s="12">
        <f t="shared" si="16"/>
        <v>11923747</v>
      </c>
      <c r="F70" s="12">
        <f>11976800-53053</f>
        <v>11923747</v>
      </c>
      <c r="G70" s="12">
        <v>10100000</v>
      </c>
      <c r="H70" s="12">
        <f>771800-1320</f>
        <v>770480</v>
      </c>
      <c r="I70" s="12">
        <v>0</v>
      </c>
      <c r="J70" s="12">
        <f t="shared" si="17"/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ref="P70:P102" si="18">E70 + J70</f>
        <v>11923747</v>
      </c>
    </row>
    <row r="71" spans="1:16" ht="47.25">
      <c r="A71" s="15" t="s">
        <v>332</v>
      </c>
      <c r="B71" s="32">
        <v>8110</v>
      </c>
      <c r="C71" s="15" t="s">
        <v>249</v>
      </c>
      <c r="D71" s="11" t="s">
        <v>250</v>
      </c>
      <c r="E71" s="12">
        <f t="shared" si="16"/>
        <v>100000</v>
      </c>
      <c r="F71" s="12">
        <v>100000</v>
      </c>
      <c r="G71" s="12"/>
      <c r="H71" s="12"/>
      <c r="I71" s="12"/>
      <c r="J71" s="12">
        <f t="shared" si="17"/>
        <v>3689876</v>
      </c>
      <c r="K71" s="12">
        <f>3000000+689876</f>
        <v>3689876</v>
      </c>
      <c r="L71" s="12"/>
      <c r="M71" s="12"/>
      <c r="N71" s="12"/>
      <c r="O71" s="12">
        <f>3000000+689876</f>
        <v>3689876</v>
      </c>
      <c r="P71" s="12">
        <f t="shared" si="18"/>
        <v>3789876</v>
      </c>
    </row>
    <row r="72" spans="1:16" ht="47.25">
      <c r="A72" s="8" t="s">
        <v>126</v>
      </c>
      <c r="B72" s="8" t="s">
        <v>18</v>
      </c>
      <c r="C72" s="8" t="s">
        <v>18</v>
      </c>
      <c r="D72" s="9" t="s">
        <v>127</v>
      </c>
      <c r="E72" s="10">
        <f>F72+I72</f>
        <v>99620965</v>
      </c>
      <c r="F72" s="10">
        <f>F73</f>
        <v>99620965</v>
      </c>
      <c r="G72" s="10">
        <f>G73</f>
        <v>39846100</v>
      </c>
      <c r="H72" s="10">
        <f>H73</f>
        <v>1363500</v>
      </c>
      <c r="I72" s="10">
        <f>I73</f>
        <v>0</v>
      </c>
      <c r="J72" s="10">
        <f>L72+O72</f>
        <v>56400</v>
      </c>
      <c r="K72" s="10">
        <f>K73</f>
        <v>0</v>
      </c>
      <c r="L72" s="10">
        <f t="shared" ref="L72:O72" si="19">L73</f>
        <v>0</v>
      </c>
      <c r="M72" s="10">
        <f t="shared" si="19"/>
        <v>0</v>
      </c>
      <c r="N72" s="10">
        <f t="shared" si="19"/>
        <v>0</v>
      </c>
      <c r="O72" s="10">
        <f t="shared" si="19"/>
        <v>56400</v>
      </c>
      <c r="P72" s="10">
        <f t="shared" si="18"/>
        <v>99677365</v>
      </c>
    </row>
    <row r="73" spans="1:16" ht="47.25">
      <c r="A73" s="8" t="s">
        <v>128</v>
      </c>
      <c r="B73" s="8" t="s">
        <v>18</v>
      </c>
      <c r="C73" s="8" t="s">
        <v>18</v>
      </c>
      <c r="D73" s="9" t="s">
        <v>127</v>
      </c>
      <c r="E73" s="10">
        <f>F73+I73</f>
        <v>99620965</v>
      </c>
      <c r="F73" s="10">
        <f>SUM(F74:F88)</f>
        <v>99620965</v>
      </c>
      <c r="G73" s="10">
        <f t="shared" ref="G73:K73" si="20">SUM(G74:G88)</f>
        <v>39846100</v>
      </c>
      <c r="H73" s="10">
        <f t="shared" si="20"/>
        <v>1363500</v>
      </c>
      <c r="I73" s="10">
        <f t="shared" si="20"/>
        <v>0</v>
      </c>
      <c r="J73" s="10">
        <f>L73+O73</f>
        <v>56400</v>
      </c>
      <c r="K73" s="10">
        <f t="shared" si="20"/>
        <v>0</v>
      </c>
      <c r="L73" s="10">
        <f t="shared" ref="L73" si="21">SUM(L74:L88)</f>
        <v>0</v>
      </c>
      <c r="M73" s="10">
        <f t="shared" ref="M73" si="22">SUM(M74:M88)</f>
        <v>0</v>
      </c>
      <c r="N73" s="10">
        <f t="shared" ref="N73" si="23">SUM(N74:N88)</f>
        <v>0</v>
      </c>
      <c r="O73" s="10">
        <f t="shared" ref="O73" si="24">SUM(O74:O88)</f>
        <v>56400</v>
      </c>
      <c r="P73" s="10">
        <f t="shared" si="18"/>
        <v>99677365</v>
      </c>
    </row>
    <row r="74" spans="1:16" ht="47.25">
      <c r="A74" s="7" t="s">
        <v>129</v>
      </c>
      <c r="B74" s="7" t="s">
        <v>75</v>
      </c>
      <c r="C74" s="7" t="s">
        <v>23</v>
      </c>
      <c r="D74" s="11" t="s">
        <v>76</v>
      </c>
      <c r="E74" s="12">
        <f>F74+I74</f>
        <v>15522300</v>
      </c>
      <c r="F74" s="12">
        <v>15522300</v>
      </c>
      <c r="G74" s="12">
        <v>14208400</v>
      </c>
      <c r="H74" s="12">
        <v>770900</v>
      </c>
      <c r="I74" s="12">
        <v>0</v>
      </c>
      <c r="J74" s="12">
        <f>L74+O74</f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8"/>
        <v>15522300</v>
      </c>
    </row>
    <row r="75" spans="1:16" ht="31.5">
      <c r="A75" s="7" t="s">
        <v>130</v>
      </c>
      <c r="B75" s="7" t="s">
        <v>30</v>
      </c>
      <c r="C75" s="7" t="s">
        <v>31</v>
      </c>
      <c r="D75" s="11" t="s">
        <v>32</v>
      </c>
      <c r="E75" s="12">
        <f t="shared" ref="E75:E88" si="25">F75+I75</f>
        <v>248200</v>
      </c>
      <c r="F75" s="12">
        <f>149000+99200</f>
        <v>248200</v>
      </c>
      <c r="G75" s="12">
        <v>0</v>
      </c>
      <c r="H75" s="12">
        <v>0</v>
      </c>
      <c r="I75" s="12">
        <v>0</v>
      </c>
      <c r="J75" s="12">
        <f t="shared" ref="J75:J153" si="26">L75+O75</f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18"/>
        <v>248200</v>
      </c>
    </row>
    <row r="76" spans="1:16" ht="47.25">
      <c r="A76" s="7" t="s">
        <v>131</v>
      </c>
      <c r="B76" s="7" t="s">
        <v>132</v>
      </c>
      <c r="C76" s="7" t="s">
        <v>133</v>
      </c>
      <c r="D76" s="11" t="s">
        <v>134</v>
      </c>
      <c r="E76" s="12">
        <f t="shared" si="25"/>
        <v>2311000</v>
      </c>
      <c r="F76" s="12">
        <v>2311000</v>
      </c>
      <c r="G76" s="12">
        <v>0</v>
      </c>
      <c r="H76" s="12">
        <v>0</v>
      </c>
      <c r="I76" s="12">
        <v>0</v>
      </c>
      <c r="J76" s="12">
        <f t="shared" si="26"/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si="18"/>
        <v>2311000</v>
      </c>
    </row>
    <row r="77" spans="1:16" ht="31.5">
      <c r="A77" s="7" t="s">
        <v>135</v>
      </c>
      <c r="B77" s="7" t="s">
        <v>136</v>
      </c>
      <c r="C77" s="7" t="s">
        <v>97</v>
      </c>
      <c r="D77" s="11" t="s">
        <v>137</v>
      </c>
      <c r="E77" s="12">
        <f t="shared" si="25"/>
        <v>11500</v>
      </c>
      <c r="F77" s="12">
        <v>11500</v>
      </c>
      <c r="G77" s="12">
        <v>0</v>
      </c>
      <c r="H77" s="12">
        <v>0</v>
      </c>
      <c r="I77" s="12">
        <v>0</v>
      </c>
      <c r="J77" s="12">
        <f t="shared" si="26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18"/>
        <v>11500</v>
      </c>
    </row>
    <row r="78" spans="1:16" ht="47.25">
      <c r="A78" s="7" t="s">
        <v>138</v>
      </c>
      <c r="B78" s="7" t="s">
        <v>139</v>
      </c>
      <c r="C78" s="7" t="s">
        <v>97</v>
      </c>
      <c r="D78" s="11" t="s">
        <v>140</v>
      </c>
      <c r="E78" s="12">
        <f t="shared" si="25"/>
        <v>306529</v>
      </c>
      <c r="F78" s="12">
        <v>306529</v>
      </c>
      <c r="G78" s="12">
        <v>0</v>
      </c>
      <c r="H78" s="12">
        <v>0</v>
      </c>
      <c r="I78" s="12">
        <v>0</v>
      </c>
      <c r="J78" s="12">
        <f t="shared" si="26"/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f t="shared" si="18"/>
        <v>306529</v>
      </c>
    </row>
    <row r="79" spans="1:16" ht="47.25">
      <c r="A79" s="7" t="s">
        <v>141</v>
      </c>
      <c r="B79" s="7" t="s">
        <v>142</v>
      </c>
      <c r="C79" s="7" t="s">
        <v>133</v>
      </c>
      <c r="D79" s="11" t="s">
        <v>143</v>
      </c>
      <c r="E79" s="12">
        <f t="shared" si="25"/>
        <v>182216</v>
      </c>
      <c r="F79" s="12">
        <v>182216</v>
      </c>
      <c r="G79" s="12">
        <v>0</v>
      </c>
      <c r="H79" s="12">
        <v>0</v>
      </c>
      <c r="I79" s="12">
        <v>0</v>
      </c>
      <c r="J79" s="12">
        <f t="shared" si="26"/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si="18"/>
        <v>182216</v>
      </c>
    </row>
    <row r="80" spans="1:16" ht="78.75">
      <c r="A80" s="7" t="s">
        <v>144</v>
      </c>
      <c r="B80" s="7" t="s">
        <v>145</v>
      </c>
      <c r="C80" s="7" t="s">
        <v>146</v>
      </c>
      <c r="D80" s="11" t="s">
        <v>147</v>
      </c>
      <c r="E80" s="12">
        <f t="shared" si="25"/>
        <v>19637500</v>
      </c>
      <c r="F80" s="12">
        <v>19637500</v>
      </c>
      <c r="G80" s="12">
        <v>18509200</v>
      </c>
      <c r="H80" s="12">
        <v>345300</v>
      </c>
      <c r="I80" s="12">
        <v>0</v>
      </c>
      <c r="J80" s="12">
        <f t="shared" si="26"/>
        <v>56400</v>
      </c>
      <c r="K80" s="12">
        <v>0</v>
      </c>
      <c r="L80" s="12">
        <v>0</v>
      </c>
      <c r="M80" s="12">
        <v>0</v>
      </c>
      <c r="N80" s="12">
        <v>0</v>
      </c>
      <c r="O80" s="12">
        <v>56400</v>
      </c>
      <c r="P80" s="12">
        <f t="shared" si="18"/>
        <v>19693900</v>
      </c>
    </row>
    <row r="81" spans="1:16" ht="31.5">
      <c r="A81" s="7" t="s">
        <v>148</v>
      </c>
      <c r="B81" s="7" t="s">
        <v>149</v>
      </c>
      <c r="C81" s="7" t="s">
        <v>119</v>
      </c>
      <c r="D81" s="11" t="s">
        <v>150</v>
      </c>
      <c r="E81" s="12">
        <f t="shared" si="25"/>
        <v>8328600</v>
      </c>
      <c r="F81" s="12">
        <v>8328600</v>
      </c>
      <c r="G81" s="12">
        <v>7128500</v>
      </c>
      <c r="H81" s="12">
        <v>247300</v>
      </c>
      <c r="I81" s="12">
        <v>0</v>
      </c>
      <c r="J81" s="12">
        <f t="shared" si="26"/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18"/>
        <v>8328600</v>
      </c>
    </row>
    <row r="82" spans="1:16" ht="31.5">
      <c r="A82" s="7" t="s">
        <v>151</v>
      </c>
      <c r="B82" s="7" t="s">
        <v>152</v>
      </c>
      <c r="C82" s="7" t="s">
        <v>119</v>
      </c>
      <c r="D82" s="11" t="s">
        <v>153</v>
      </c>
      <c r="E82" s="12">
        <f t="shared" si="25"/>
        <v>700000</v>
      </c>
      <c r="F82" s="12">
        <v>700000</v>
      </c>
      <c r="G82" s="12">
        <v>0</v>
      </c>
      <c r="H82" s="12">
        <v>0</v>
      </c>
      <c r="I82" s="12">
        <v>0</v>
      </c>
      <c r="J82" s="12">
        <f t="shared" si="26"/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f t="shared" si="18"/>
        <v>700000</v>
      </c>
    </row>
    <row r="83" spans="1:16" ht="110.25">
      <c r="A83" s="7" t="s">
        <v>154</v>
      </c>
      <c r="B83" s="7" t="s">
        <v>155</v>
      </c>
      <c r="C83" s="7" t="s">
        <v>79</v>
      </c>
      <c r="D83" s="11" t="s">
        <v>156</v>
      </c>
      <c r="E83" s="12">
        <f t="shared" si="25"/>
        <v>3300000</v>
      </c>
      <c r="F83" s="12">
        <v>3300000</v>
      </c>
      <c r="G83" s="12">
        <v>0</v>
      </c>
      <c r="H83" s="12">
        <v>0</v>
      </c>
      <c r="I83" s="12">
        <v>0</v>
      </c>
      <c r="J83" s="12">
        <f t="shared" si="26"/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f t="shared" si="18"/>
        <v>3300000</v>
      </c>
    </row>
    <row r="84" spans="1:16" ht="78.75">
      <c r="A84" s="7" t="s">
        <v>157</v>
      </c>
      <c r="B84" s="7" t="s">
        <v>158</v>
      </c>
      <c r="C84" s="7" t="s">
        <v>79</v>
      </c>
      <c r="D84" s="11" t="s">
        <v>159</v>
      </c>
      <c r="E84" s="12">
        <f t="shared" si="25"/>
        <v>28720</v>
      </c>
      <c r="F84" s="12">
        <v>28720</v>
      </c>
      <c r="G84" s="12">
        <v>0</v>
      </c>
      <c r="H84" s="12">
        <v>0</v>
      </c>
      <c r="I84" s="12">
        <v>0</v>
      </c>
      <c r="J84" s="12">
        <f t="shared" si="26"/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18"/>
        <v>28720</v>
      </c>
    </row>
    <row r="85" spans="1:16" ht="94.5">
      <c r="A85" s="7" t="s">
        <v>160</v>
      </c>
      <c r="B85" s="7" t="s">
        <v>161</v>
      </c>
      <c r="C85" s="7" t="s">
        <v>162</v>
      </c>
      <c r="D85" s="11" t="s">
        <v>163</v>
      </c>
      <c r="E85" s="12">
        <f t="shared" si="25"/>
        <v>1500000</v>
      </c>
      <c r="F85" s="12">
        <v>1500000</v>
      </c>
      <c r="G85" s="12">
        <v>0</v>
      </c>
      <c r="H85" s="12">
        <v>0</v>
      </c>
      <c r="I85" s="12">
        <v>0</v>
      </c>
      <c r="J85" s="12">
        <f t="shared" si="26"/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18"/>
        <v>1500000</v>
      </c>
    </row>
    <row r="86" spans="1:16" ht="63">
      <c r="A86" s="7" t="s">
        <v>164</v>
      </c>
      <c r="B86" s="7" t="s">
        <v>165</v>
      </c>
      <c r="C86" s="7" t="s">
        <v>133</v>
      </c>
      <c r="D86" s="11" t="s">
        <v>166</v>
      </c>
      <c r="E86" s="12">
        <f t="shared" si="25"/>
        <v>71000</v>
      </c>
      <c r="F86" s="12">
        <v>71000</v>
      </c>
      <c r="G86" s="12">
        <v>0</v>
      </c>
      <c r="H86" s="12">
        <v>0</v>
      </c>
      <c r="I86" s="12">
        <v>0</v>
      </c>
      <c r="J86" s="12">
        <f t="shared" si="26"/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f t="shared" si="18"/>
        <v>71000</v>
      </c>
    </row>
    <row r="87" spans="1:16" ht="63">
      <c r="A87" s="7" t="s">
        <v>167</v>
      </c>
      <c r="B87" s="7" t="s">
        <v>168</v>
      </c>
      <c r="C87" s="7" t="s">
        <v>97</v>
      </c>
      <c r="D87" s="11" t="s">
        <v>169</v>
      </c>
      <c r="E87" s="12">
        <f t="shared" si="25"/>
        <v>688600</v>
      </c>
      <c r="F87" s="12">
        <v>688600</v>
      </c>
      <c r="G87" s="12">
        <v>0</v>
      </c>
      <c r="H87" s="12">
        <v>0</v>
      </c>
      <c r="I87" s="12">
        <v>0</v>
      </c>
      <c r="J87" s="12">
        <f t="shared" si="26"/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18"/>
        <v>688600</v>
      </c>
    </row>
    <row r="88" spans="1:16" ht="31.5">
      <c r="A88" s="7" t="s">
        <v>170</v>
      </c>
      <c r="B88" s="7" t="s">
        <v>50</v>
      </c>
      <c r="C88" s="7" t="s">
        <v>51</v>
      </c>
      <c r="D88" s="11" t="s">
        <v>52</v>
      </c>
      <c r="E88" s="12">
        <f t="shared" si="25"/>
        <v>46784800</v>
      </c>
      <c r="F88" s="12">
        <f>12346800+338100+1000000+33000000+99900</f>
        <v>46784800</v>
      </c>
      <c r="G88" s="12">
        <v>0</v>
      </c>
      <c r="H88" s="12">
        <v>0</v>
      </c>
      <c r="I88" s="12">
        <v>0</v>
      </c>
      <c r="J88" s="12">
        <f t="shared" si="26"/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18"/>
        <v>46784800</v>
      </c>
    </row>
    <row r="89" spans="1:16" ht="47.25">
      <c r="A89" s="8" t="s">
        <v>171</v>
      </c>
      <c r="B89" s="8" t="s">
        <v>18</v>
      </c>
      <c r="C89" s="8" t="s">
        <v>18</v>
      </c>
      <c r="D89" s="9" t="s">
        <v>172</v>
      </c>
      <c r="E89" s="10">
        <f t="shared" ref="E89:E96" si="27">F89+I89</f>
        <v>2530500</v>
      </c>
      <c r="F89" s="10">
        <f>F90</f>
        <v>2530500</v>
      </c>
      <c r="G89" s="10">
        <v>2115000</v>
      </c>
      <c r="H89" s="10">
        <v>0</v>
      </c>
      <c r="I89" s="10">
        <v>0</v>
      </c>
      <c r="J89" s="10">
        <f t="shared" si="26"/>
        <v>0</v>
      </c>
      <c r="K89" s="10">
        <f>K90</f>
        <v>0</v>
      </c>
      <c r="L89" s="10">
        <f t="shared" ref="L89:O89" si="28">L90</f>
        <v>0</v>
      </c>
      <c r="M89" s="10">
        <f t="shared" si="28"/>
        <v>0</v>
      </c>
      <c r="N89" s="10">
        <f t="shared" si="28"/>
        <v>0</v>
      </c>
      <c r="O89" s="10">
        <f t="shared" si="28"/>
        <v>0</v>
      </c>
      <c r="P89" s="10">
        <f t="shared" si="18"/>
        <v>2530500</v>
      </c>
    </row>
    <row r="90" spans="1:16" ht="47.25">
      <c r="A90" s="8" t="s">
        <v>173</v>
      </c>
      <c r="B90" s="8" t="s">
        <v>18</v>
      </c>
      <c r="C90" s="8" t="s">
        <v>18</v>
      </c>
      <c r="D90" s="9" t="s">
        <v>172</v>
      </c>
      <c r="E90" s="10">
        <f t="shared" si="27"/>
        <v>2530500</v>
      </c>
      <c r="F90" s="10">
        <f>SUM(F91:F93)</f>
        <v>2530500</v>
      </c>
      <c r="G90" s="10">
        <f t="shared" ref="G90:K90" si="29">SUM(G91:G93)</f>
        <v>2115000</v>
      </c>
      <c r="H90" s="10">
        <f t="shared" si="29"/>
        <v>0</v>
      </c>
      <c r="I90" s="10">
        <f t="shared" si="29"/>
        <v>0</v>
      </c>
      <c r="J90" s="10">
        <f t="shared" si="26"/>
        <v>0</v>
      </c>
      <c r="K90" s="10">
        <f t="shared" si="29"/>
        <v>0</v>
      </c>
      <c r="L90" s="10">
        <f t="shared" ref="L90" si="30">SUM(L91:L93)</f>
        <v>0</v>
      </c>
      <c r="M90" s="10">
        <f t="shared" ref="M90" si="31">SUM(M91:M93)</f>
        <v>0</v>
      </c>
      <c r="N90" s="10">
        <f t="shared" ref="N90" si="32">SUM(N91:N93)</f>
        <v>0</v>
      </c>
      <c r="O90" s="10">
        <f t="shared" ref="O90" si="33">SUM(O91:O93)</f>
        <v>0</v>
      </c>
      <c r="P90" s="10">
        <f t="shared" si="18"/>
        <v>2530500</v>
      </c>
    </row>
    <row r="91" spans="1:16" ht="47.25">
      <c r="A91" s="7" t="s">
        <v>174</v>
      </c>
      <c r="B91" s="7" t="s">
        <v>75</v>
      </c>
      <c r="C91" s="7" t="s">
        <v>23</v>
      </c>
      <c r="D91" s="11" t="s">
        <v>76</v>
      </c>
      <c r="E91" s="12">
        <f t="shared" si="27"/>
        <v>2226500</v>
      </c>
      <c r="F91" s="12">
        <v>2226500</v>
      </c>
      <c r="G91" s="12">
        <v>2115000</v>
      </c>
      <c r="H91" s="12">
        <v>0</v>
      </c>
      <c r="I91" s="12">
        <v>0</v>
      </c>
      <c r="J91" s="12">
        <f t="shared" si="26"/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f t="shared" si="18"/>
        <v>2226500</v>
      </c>
    </row>
    <row r="92" spans="1:16" ht="31.5">
      <c r="A92" s="7" t="s">
        <v>175</v>
      </c>
      <c r="B92" s="7" t="s">
        <v>30</v>
      </c>
      <c r="C92" s="7" t="s">
        <v>31</v>
      </c>
      <c r="D92" s="11" t="s">
        <v>32</v>
      </c>
      <c r="E92" s="12">
        <f t="shared" si="27"/>
        <v>99000</v>
      </c>
      <c r="F92" s="12">
        <f>99000</f>
        <v>99000</v>
      </c>
      <c r="G92" s="12">
        <v>0</v>
      </c>
      <c r="H92" s="12">
        <v>0</v>
      </c>
      <c r="I92" s="12">
        <v>0</v>
      </c>
      <c r="J92" s="12">
        <f t="shared" si="26"/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si="18"/>
        <v>99000</v>
      </c>
    </row>
    <row r="93" spans="1:16" ht="31.5">
      <c r="A93" s="7" t="s">
        <v>176</v>
      </c>
      <c r="B93" s="7" t="s">
        <v>177</v>
      </c>
      <c r="C93" s="7" t="s">
        <v>119</v>
      </c>
      <c r="D93" s="11" t="s">
        <v>178</v>
      </c>
      <c r="E93" s="12">
        <f t="shared" si="27"/>
        <v>205000</v>
      </c>
      <c r="F93" s="12">
        <v>205000</v>
      </c>
      <c r="G93" s="12">
        <v>0</v>
      </c>
      <c r="H93" s="12">
        <v>0</v>
      </c>
      <c r="I93" s="12">
        <v>0</v>
      </c>
      <c r="J93" s="12">
        <f t="shared" si="26"/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18"/>
        <v>205000</v>
      </c>
    </row>
    <row r="94" spans="1:16" ht="47.25">
      <c r="A94" s="8" t="s">
        <v>179</v>
      </c>
      <c r="B94" s="8" t="s">
        <v>18</v>
      </c>
      <c r="C94" s="8" t="s">
        <v>18</v>
      </c>
      <c r="D94" s="9" t="s">
        <v>180</v>
      </c>
      <c r="E94" s="10">
        <f t="shared" si="27"/>
        <v>56631300</v>
      </c>
      <c r="F94" s="10">
        <f>F95</f>
        <v>56631300</v>
      </c>
      <c r="G94" s="10">
        <f t="shared" ref="G94:I94" si="34">G95</f>
        <v>50609600</v>
      </c>
      <c r="H94" s="10">
        <f t="shared" si="34"/>
        <v>3196000</v>
      </c>
      <c r="I94" s="10">
        <f t="shared" si="34"/>
        <v>0</v>
      </c>
      <c r="J94" s="10">
        <f t="shared" si="26"/>
        <v>1305000</v>
      </c>
      <c r="K94" s="10">
        <f>K95</f>
        <v>0</v>
      </c>
      <c r="L94" s="10">
        <f t="shared" ref="L94:O94" si="35">L95</f>
        <v>1105000</v>
      </c>
      <c r="M94" s="10">
        <f t="shared" si="35"/>
        <v>525100</v>
      </c>
      <c r="N94" s="10">
        <f t="shared" si="35"/>
        <v>0</v>
      </c>
      <c r="O94" s="10">
        <f t="shared" si="35"/>
        <v>200000</v>
      </c>
      <c r="P94" s="10">
        <f t="shared" si="18"/>
        <v>57936300</v>
      </c>
    </row>
    <row r="95" spans="1:16" ht="47.25">
      <c r="A95" s="8" t="s">
        <v>181</v>
      </c>
      <c r="B95" s="8" t="s">
        <v>18</v>
      </c>
      <c r="C95" s="8" t="s">
        <v>18</v>
      </c>
      <c r="D95" s="9" t="s">
        <v>180</v>
      </c>
      <c r="E95" s="10">
        <f t="shared" si="27"/>
        <v>56631300</v>
      </c>
      <c r="F95" s="10">
        <f>SUM(F96:F104)</f>
        <v>56631300</v>
      </c>
      <c r="G95" s="10">
        <f t="shared" ref="G95:K95" si="36">SUM(G96:G104)</f>
        <v>50609600</v>
      </c>
      <c r="H95" s="10">
        <f t="shared" si="36"/>
        <v>3196000</v>
      </c>
      <c r="I95" s="10">
        <f t="shared" si="36"/>
        <v>0</v>
      </c>
      <c r="J95" s="10">
        <f t="shared" si="26"/>
        <v>1305000</v>
      </c>
      <c r="K95" s="10">
        <f t="shared" si="36"/>
        <v>0</v>
      </c>
      <c r="L95" s="10">
        <f t="shared" ref="L95" si="37">SUM(L96:L104)</f>
        <v>1105000</v>
      </c>
      <c r="M95" s="10">
        <f t="shared" ref="M95" si="38">SUM(M96:M104)</f>
        <v>525100</v>
      </c>
      <c r="N95" s="10">
        <f t="shared" ref="N95" si="39">SUM(N96:N104)</f>
        <v>0</v>
      </c>
      <c r="O95" s="10">
        <f t="shared" ref="O95" si="40">SUM(O96:O104)</f>
        <v>200000</v>
      </c>
      <c r="P95" s="10">
        <f t="shared" si="18"/>
        <v>57936300</v>
      </c>
    </row>
    <row r="96" spans="1:16" ht="47.25">
      <c r="A96" s="7" t="s">
        <v>182</v>
      </c>
      <c r="B96" s="7" t="s">
        <v>75</v>
      </c>
      <c r="C96" s="7" t="s">
        <v>23</v>
      </c>
      <c r="D96" s="11" t="s">
        <v>76</v>
      </c>
      <c r="E96" s="12">
        <f t="shared" si="27"/>
        <v>912100</v>
      </c>
      <c r="F96" s="12">
        <v>912100</v>
      </c>
      <c r="G96" s="12">
        <v>884400</v>
      </c>
      <c r="H96" s="12">
        <v>0</v>
      </c>
      <c r="I96" s="12">
        <v>0</v>
      </c>
      <c r="J96" s="12">
        <f t="shared" si="26"/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f t="shared" si="18"/>
        <v>912100</v>
      </c>
    </row>
    <row r="97" spans="1:16" ht="31.5">
      <c r="A97" s="7" t="s">
        <v>183</v>
      </c>
      <c r="B97" s="7" t="s">
        <v>30</v>
      </c>
      <c r="C97" s="7" t="s">
        <v>31</v>
      </c>
      <c r="D97" s="11" t="s">
        <v>32</v>
      </c>
      <c r="E97" s="12">
        <f t="shared" ref="E97:E104" si="41">F97+I97</f>
        <v>99000</v>
      </c>
      <c r="F97" s="12">
        <f>99000</f>
        <v>99000</v>
      </c>
      <c r="G97" s="12">
        <v>0</v>
      </c>
      <c r="H97" s="12">
        <v>0</v>
      </c>
      <c r="I97" s="12">
        <v>0</v>
      </c>
      <c r="J97" s="12">
        <f t="shared" si="26"/>
        <v>0</v>
      </c>
      <c r="K97" s="12">
        <v>0</v>
      </c>
      <c r="L97" s="12"/>
      <c r="M97" s="12"/>
      <c r="N97" s="12"/>
      <c r="O97" s="12"/>
      <c r="P97" s="12">
        <f t="shared" si="18"/>
        <v>99000</v>
      </c>
    </row>
    <row r="98" spans="1:16" ht="31.5">
      <c r="A98" s="7" t="s">
        <v>184</v>
      </c>
      <c r="B98" s="7" t="s">
        <v>185</v>
      </c>
      <c r="C98" s="7" t="s">
        <v>98</v>
      </c>
      <c r="D98" s="11" t="s">
        <v>186</v>
      </c>
      <c r="E98" s="12">
        <f t="shared" si="41"/>
        <v>25824300</v>
      </c>
      <c r="F98" s="12">
        <v>25824300</v>
      </c>
      <c r="G98" s="12">
        <v>25065000</v>
      </c>
      <c r="H98" s="12">
        <v>636100</v>
      </c>
      <c r="I98" s="12">
        <v>0</v>
      </c>
      <c r="J98" s="12">
        <f t="shared" si="26"/>
        <v>1025000</v>
      </c>
      <c r="K98" s="12">
        <v>0</v>
      </c>
      <c r="L98" s="12">
        <f>1024000-200000+1000</f>
        <v>825000</v>
      </c>
      <c r="M98" s="12">
        <f>405800+89300</f>
        <v>495100</v>
      </c>
      <c r="N98" s="12">
        <v>0</v>
      </c>
      <c r="O98" s="12">
        <v>200000</v>
      </c>
      <c r="P98" s="12">
        <f t="shared" si="18"/>
        <v>26849300</v>
      </c>
    </row>
    <row r="99" spans="1:16" ht="94.5">
      <c r="A99" s="7" t="s">
        <v>187</v>
      </c>
      <c r="B99" s="7" t="s">
        <v>118</v>
      </c>
      <c r="C99" s="7" t="s">
        <v>119</v>
      </c>
      <c r="D99" s="11" t="s">
        <v>120</v>
      </c>
      <c r="E99" s="12">
        <f t="shared" si="41"/>
        <v>150000</v>
      </c>
      <c r="F99" s="12">
        <v>150000</v>
      </c>
      <c r="G99" s="12">
        <v>0</v>
      </c>
      <c r="H99" s="12">
        <v>0</v>
      </c>
      <c r="I99" s="12">
        <v>0</v>
      </c>
      <c r="J99" s="12">
        <f t="shared" si="26"/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f t="shared" si="18"/>
        <v>150000</v>
      </c>
    </row>
    <row r="100" spans="1:16">
      <c r="A100" s="7" t="s">
        <v>188</v>
      </c>
      <c r="B100" s="7" t="s">
        <v>189</v>
      </c>
      <c r="C100" s="7" t="s">
        <v>190</v>
      </c>
      <c r="D100" s="11" t="s">
        <v>191</v>
      </c>
      <c r="E100" s="12">
        <f t="shared" si="41"/>
        <v>9730300</v>
      </c>
      <c r="F100" s="12">
        <v>9730300</v>
      </c>
      <c r="G100" s="12">
        <v>8119400</v>
      </c>
      <c r="H100" s="12">
        <v>1029700</v>
      </c>
      <c r="I100" s="12">
        <v>0</v>
      </c>
      <c r="J100" s="12">
        <f t="shared" si="26"/>
        <v>80000</v>
      </c>
      <c r="K100" s="12">
        <v>0</v>
      </c>
      <c r="L100" s="12">
        <f>80000</f>
        <v>80000</v>
      </c>
      <c r="M100" s="12">
        <v>0</v>
      </c>
      <c r="N100" s="12">
        <v>0</v>
      </c>
      <c r="O100" s="12">
        <v>0</v>
      </c>
      <c r="P100" s="12">
        <f t="shared" si="18"/>
        <v>9810300</v>
      </c>
    </row>
    <row r="101" spans="1:16" ht="31.5">
      <c r="A101" s="7" t="s">
        <v>192</v>
      </c>
      <c r="B101" s="7" t="s">
        <v>193</v>
      </c>
      <c r="C101" s="7" t="s">
        <v>190</v>
      </c>
      <c r="D101" s="11" t="s">
        <v>194</v>
      </c>
      <c r="E101" s="12">
        <f t="shared" si="41"/>
        <v>3812600</v>
      </c>
      <c r="F101" s="12">
        <f>3612600+200000</f>
        <v>3812600</v>
      </c>
      <c r="G101" s="12">
        <v>2754000</v>
      </c>
      <c r="H101" s="12">
        <v>436000</v>
      </c>
      <c r="I101" s="12">
        <v>0</v>
      </c>
      <c r="J101" s="12">
        <f t="shared" si="26"/>
        <v>40000</v>
      </c>
      <c r="K101" s="12">
        <v>0</v>
      </c>
      <c r="L101" s="12">
        <v>40000</v>
      </c>
      <c r="M101" s="12">
        <v>0</v>
      </c>
      <c r="N101" s="12">
        <v>0</v>
      </c>
      <c r="O101" s="12">
        <v>0</v>
      </c>
      <c r="P101" s="12">
        <f t="shared" si="18"/>
        <v>3852600</v>
      </c>
    </row>
    <row r="102" spans="1:16" ht="47.25">
      <c r="A102" s="7" t="s">
        <v>195</v>
      </c>
      <c r="B102" s="7" t="s">
        <v>196</v>
      </c>
      <c r="C102" s="7" t="s">
        <v>197</v>
      </c>
      <c r="D102" s="11" t="s">
        <v>198</v>
      </c>
      <c r="E102" s="12">
        <f t="shared" si="41"/>
        <v>12911200</v>
      </c>
      <c r="F102" s="12">
        <v>12911200</v>
      </c>
      <c r="G102" s="12">
        <v>11348400</v>
      </c>
      <c r="H102" s="12">
        <v>1030900</v>
      </c>
      <c r="I102" s="12">
        <v>0</v>
      </c>
      <c r="J102" s="12">
        <f t="shared" si="26"/>
        <v>160000</v>
      </c>
      <c r="K102" s="12">
        <v>0</v>
      </c>
      <c r="L102" s="12">
        <v>160000</v>
      </c>
      <c r="M102" s="12">
        <f>30000</f>
        <v>30000</v>
      </c>
      <c r="N102" s="12">
        <v>0</v>
      </c>
      <c r="O102" s="12">
        <v>0</v>
      </c>
      <c r="P102" s="12">
        <f t="shared" si="18"/>
        <v>13071200</v>
      </c>
    </row>
    <row r="103" spans="1:16" ht="31.5">
      <c r="A103" s="7" t="s">
        <v>199</v>
      </c>
      <c r="B103" s="7" t="s">
        <v>200</v>
      </c>
      <c r="C103" s="7" t="s">
        <v>201</v>
      </c>
      <c r="D103" s="11" t="s">
        <v>202</v>
      </c>
      <c r="E103" s="12">
        <f t="shared" si="41"/>
        <v>2591800</v>
      </c>
      <c r="F103" s="12">
        <v>2591800</v>
      </c>
      <c r="G103" s="12">
        <v>2438400</v>
      </c>
      <c r="H103" s="12">
        <v>63300</v>
      </c>
      <c r="I103" s="12">
        <v>0</v>
      </c>
      <c r="J103" s="12">
        <f t="shared" si="26"/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f t="shared" ref="P103:P149" si="42">E103 + J103</f>
        <v>2591800</v>
      </c>
    </row>
    <row r="104" spans="1:16" ht="31.5">
      <c r="A104" s="7" t="s">
        <v>203</v>
      </c>
      <c r="B104" s="7" t="s">
        <v>204</v>
      </c>
      <c r="C104" s="7" t="s">
        <v>201</v>
      </c>
      <c r="D104" s="11" t="s">
        <v>205</v>
      </c>
      <c r="E104" s="12">
        <f t="shared" si="41"/>
        <v>600000</v>
      </c>
      <c r="F104" s="12">
        <v>600000</v>
      </c>
      <c r="G104" s="12">
        <v>0</v>
      </c>
      <c r="H104" s="12">
        <v>0</v>
      </c>
      <c r="I104" s="12">
        <v>0</v>
      </c>
      <c r="J104" s="12">
        <f t="shared" si="26"/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f t="shared" si="42"/>
        <v>600000</v>
      </c>
    </row>
    <row r="105" spans="1:16" ht="47.25">
      <c r="A105" s="8" t="s">
        <v>206</v>
      </c>
      <c r="B105" s="8" t="s">
        <v>18</v>
      </c>
      <c r="C105" s="8" t="s">
        <v>18</v>
      </c>
      <c r="D105" s="9" t="s">
        <v>207</v>
      </c>
      <c r="E105" s="10">
        <f t="shared" ref="E105:E115" si="43">F105+I105</f>
        <v>7078200</v>
      </c>
      <c r="F105" s="10">
        <f>F106</f>
        <v>7078200</v>
      </c>
      <c r="G105" s="10">
        <f t="shared" ref="G105:I105" si="44">G106</f>
        <v>2566100</v>
      </c>
      <c r="H105" s="10">
        <f t="shared" si="44"/>
        <v>58000</v>
      </c>
      <c r="I105" s="10">
        <f t="shared" si="44"/>
        <v>0</v>
      </c>
      <c r="J105" s="10">
        <f t="shared" si="26"/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f t="shared" si="42"/>
        <v>7078200</v>
      </c>
    </row>
    <row r="106" spans="1:16" ht="47.25">
      <c r="A106" s="8" t="s">
        <v>208</v>
      </c>
      <c r="B106" s="8" t="s">
        <v>18</v>
      </c>
      <c r="C106" s="8" t="s">
        <v>18</v>
      </c>
      <c r="D106" s="9" t="s">
        <v>207</v>
      </c>
      <c r="E106" s="10">
        <f t="shared" si="43"/>
        <v>7078200</v>
      </c>
      <c r="F106" s="10">
        <f>SUM(F107:F112)</f>
        <v>7078200</v>
      </c>
      <c r="G106" s="10">
        <f t="shared" ref="G106:K106" si="45">SUM(G107:G112)</f>
        <v>2566100</v>
      </c>
      <c r="H106" s="10">
        <f t="shared" si="45"/>
        <v>58000</v>
      </c>
      <c r="I106" s="10">
        <f t="shared" si="45"/>
        <v>0</v>
      </c>
      <c r="J106" s="10">
        <f t="shared" si="26"/>
        <v>0</v>
      </c>
      <c r="K106" s="10">
        <f t="shared" si="45"/>
        <v>0</v>
      </c>
      <c r="L106" s="10">
        <f t="shared" ref="L106" si="46">SUM(L107:L112)</f>
        <v>0</v>
      </c>
      <c r="M106" s="10">
        <f t="shared" ref="M106" si="47">SUM(M107:M112)</f>
        <v>0</v>
      </c>
      <c r="N106" s="10">
        <f t="shared" ref="N106" si="48">SUM(N107:N112)</f>
        <v>0</v>
      </c>
      <c r="O106" s="10">
        <f t="shared" ref="O106" si="49">SUM(O107:O112)</f>
        <v>0</v>
      </c>
      <c r="P106" s="10">
        <f t="shared" si="42"/>
        <v>7078200</v>
      </c>
    </row>
    <row r="107" spans="1:16" ht="47.25">
      <c r="A107" s="7" t="s">
        <v>209</v>
      </c>
      <c r="B107" s="7" t="s">
        <v>75</v>
      </c>
      <c r="C107" s="7" t="s">
        <v>23</v>
      </c>
      <c r="D107" s="11" t="s">
        <v>76</v>
      </c>
      <c r="E107" s="12">
        <f t="shared" si="43"/>
        <v>2042100</v>
      </c>
      <c r="F107" s="12">
        <v>2042100</v>
      </c>
      <c r="G107" s="12">
        <v>1932200</v>
      </c>
      <c r="H107" s="12">
        <v>0</v>
      </c>
      <c r="I107" s="12">
        <v>0</v>
      </c>
      <c r="J107" s="12">
        <f t="shared" si="26"/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f t="shared" si="42"/>
        <v>2042100</v>
      </c>
    </row>
    <row r="108" spans="1:16" ht="31.5">
      <c r="A108" s="7" t="s">
        <v>210</v>
      </c>
      <c r="B108" s="7" t="s">
        <v>30</v>
      </c>
      <c r="C108" s="7" t="s">
        <v>31</v>
      </c>
      <c r="D108" s="11" t="s">
        <v>32</v>
      </c>
      <c r="E108" s="12">
        <f t="shared" si="43"/>
        <v>99000</v>
      </c>
      <c r="F108" s="12">
        <f>99000</f>
        <v>99000</v>
      </c>
      <c r="G108" s="12">
        <v>0</v>
      </c>
      <c r="H108" s="12">
        <v>0</v>
      </c>
      <c r="I108" s="12">
        <v>0</v>
      </c>
      <c r="J108" s="12">
        <f t="shared" si="26"/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f t="shared" si="42"/>
        <v>99000</v>
      </c>
    </row>
    <row r="109" spans="1:16" ht="31.5">
      <c r="A109" s="7" t="s">
        <v>211</v>
      </c>
      <c r="B109" s="7" t="s">
        <v>212</v>
      </c>
      <c r="C109" s="7" t="s">
        <v>119</v>
      </c>
      <c r="D109" s="11" t="s">
        <v>213</v>
      </c>
      <c r="E109" s="12">
        <f t="shared" si="43"/>
        <v>1880400</v>
      </c>
      <c r="F109" s="12">
        <v>1880400</v>
      </c>
      <c r="G109" s="12">
        <v>633900</v>
      </c>
      <c r="H109" s="12">
        <v>58000</v>
      </c>
      <c r="I109" s="12">
        <v>0</v>
      </c>
      <c r="J109" s="12">
        <f t="shared" si="26"/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f t="shared" si="42"/>
        <v>1880400</v>
      </c>
    </row>
    <row r="110" spans="1:16" ht="47.25">
      <c r="A110" s="7" t="s">
        <v>214</v>
      </c>
      <c r="B110" s="7" t="s">
        <v>215</v>
      </c>
      <c r="C110" s="7" t="s">
        <v>124</v>
      </c>
      <c r="D110" s="11" t="s">
        <v>216</v>
      </c>
      <c r="E110" s="12">
        <f t="shared" si="43"/>
        <v>950000</v>
      </c>
      <c r="F110" s="12">
        <v>950000</v>
      </c>
      <c r="G110" s="12">
        <v>0</v>
      </c>
      <c r="H110" s="12">
        <v>0</v>
      </c>
      <c r="I110" s="12">
        <v>0</v>
      </c>
      <c r="J110" s="12">
        <f t="shared" si="26"/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f t="shared" si="42"/>
        <v>950000</v>
      </c>
    </row>
    <row r="111" spans="1:16" ht="47.25">
      <c r="A111" s="7" t="s">
        <v>217</v>
      </c>
      <c r="B111" s="7" t="s">
        <v>218</v>
      </c>
      <c r="C111" s="7" t="s">
        <v>124</v>
      </c>
      <c r="D111" s="11" t="s">
        <v>219</v>
      </c>
      <c r="E111" s="12">
        <f t="shared" si="43"/>
        <v>320000</v>
      </c>
      <c r="F111" s="12">
        <v>320000</v>
      </c>
      <c r="G111" s="12">
        <v>0</v>
      </c>
      <c r="H111" s="12">
        <v>0</v>
      </c>
      <c r="I111" s="12">
        <v>0</v>
      </c>
      <c r="J111" s="12">
        <f t="shared" si="26"/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f t="shared" si="42"/>
        <v>320000</v>
      </c>
    </row>
    <row r="112" spans="1:16" ht="78.75">
      <c r="A112" s="7" t="s">
        <v>220</v>
      </c>
      <c r="B112" s="7" t="s">
        <v>221</v>
      </c>
      <c r="C112" s="7" t="s">
        <v>124</v>
      </c>
      <c r="D112" s="11" t="s">
        <v>222</v>
      </c>
      <c r="E112" s="12">
        <f t="shared" si="43"/>
        <v>1786700</v>
      </c>
      <c r="F112" s="12">
        <v>1786700</v>
      </c>
      <c r="G112" s="12">
        <v>0</v>
      </c>
      <c r="H112" s="12">
        <v>0</v>
      </c>
      <c r="I112" s="12">
        <v>0</v>
      </c>
      <c r="J112" s="12">
        <f t="shared" si="26"/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f t="shared" si="42"/>
        <v>1786700</v>
      </c>
    </row>
    <row r="113" spans="1:16" ht="63">
      <c r="A113" s="8" t="s">
        <v>223</v>
      </c>
      <c r="B113" s="8" t="s">
        <v>18</v>
      </c>
      <c r="C113" s="8" t="s">
        <v>18</v>
      </c>
      <c r="D113" s="9" t="s">
        <v>224</v>
      </c>
      <c r="E113" s="10">
        <f t="shared" si="43"/>
        <v>142561210</v>
      </c>
      <c r="F113" s="10">
        <f>F114</f>
        <v>51829841</v>
      </c>
      <c r="G113" s="10">
        <f t="shared" ref="G113:I113" si="50">G114</f>
        <v>3502400</v>
      </c>
      <c r="H113" s="10">
        <f t="shared" si="50"/>
        <v>14400</v>
      </c>
      <c r="I113" s="10">
        <f t="shared" si="50"/>
        <v>90731369</v>
      </c>
      <c r="J113" s="10">
        <f t="shared" si="26"/>
        <v>6463934.4400000004</v>
      </c>
      <c r="K113" s="10">
        <f>K114</f>
        <v>5399987</v>
      </c>
      <c r="L113" s="10">
        <f t="shared" ref="L113:O113" si="51">L114</f>
        <v>100000</v>
      </c>
      <c r="M113" s="10">
        <f t="shared" si="51"/>
        <v>0</v>
      </c>
      <c r="N113" s="10">
        <f t="shared" si="51"/>
        <v>0</v>
      </c>
      <c r="O113" s="10">
        <f t="shared" si="51"/>
        <v>6363934.4400000004</v>
      </c>
      <c r="P113" s="10">
        <f t="shared" si="42"/>
        <v>149025144.44</v>
      </c>
    </row>
    <row r="114" spans="1:16" ht="63">
      <c r="A114" s="8" t="s">
        <v>225</v>
      </c>
      <c r="B114" s="8" t="s">
        <v>18</v>
      </c>
      <c r="C114" s="8" t="s">
        <v>18</v>
      </c>
      <c r="D114" s="9" t="s">
        <v>224</v>
      </c>
      <c r="E114" s="10">
        <f t="shared" si="43"/>
        <v>142561210</v>
      </c>
      <c r="F114" s="10">
        <f>SUM(F115:F129)</f>
        <v>51829841</v>
      </c>
      <c r="G114" s="10">
        <f t="shared" ref="G114:I114" si="52">SUM(G115:G129)</f>
        <v>3502400</v>
      </c>
      <c r="H114" s="10">
        <f t="shared" si="52"/>
        <v>14400</v>
      </c>
      <c r="I114" s="10">
        <f t="shared" si="52"/>
        <v>90731369</v>
      </c>
      <c r="J114" s="10">
        <f>L114+O114</f>
        <v>6463934.4400000004</v>
      </c>
      <c r="K114" s="10">
        <f>SUM(K115:K129)</f>
        <v>5399987</v>
      </c>
      <c r="L114" s="10">
        <f t="shared" ref="L114:O114" si="53">SUM(L115:L129)</f>
        <v>100000</v>
      </c>
      <c r="M114" s="10">
        <f t="shared" si="53"/>
        <v>0</v>
      </c>
      <c r="N114" s="10">
        <f t="shared" si="53"/>
        <v>0</v>
      </c>
      <c r="O114" s="10">
        <f t="shared" si="53"/>
        <v>6363934.4400000004</v>
      </c>
      <c r="P114" s="10">
        <f>E114 + J114</f>
        <v>149025144.44</v>
      </c>
    </row>
    <row r="115" spans="1:16" ht="47.25">
      <c r="A115" s="7" t="s">
        <v>226</v>
      </c>
      <c r="B115" s="7" t="s">
        <v>75</v>
      </c>
      <c r="C115" s="7" t="s">
        <v>23</v>
      </c>
      <c r="D115" s="11" t="s">
        <v>76</v>
      </c>
      <c r="E115" s="12">
        <f t="shared" si="43"/>
        <v>3829700</v>
      </c>
      <c r="F115" s="12">
        <v>3829700</v>
      </c>
      <c r="G115" s="12">
        <v>3502400</v>
      </c>
      <c r="H115" s="12">
        <v>14400</v>
      </c>
      <c r="I115" s="12">
        <v>0</v>
      </c>
      <c r="J115" s="12">
        <f t="shared" si="26"/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f t="shared" si="42"/>
        <v>3829700</v>
      </c>
    </row>
    <row r="116" spans="1:16" ht="47.25">
      <c r="A116" s="7" t="s">
        <v>227</v>
      </c>
      <c r="B116" s="7" t="s">
        <v>26</v>
      </c>
      <c r="C116" s="7" t="s">
        <v>27</v>
      </c>
      <c r="D116" s="11" t="s">
        <v>28</v>
      </c>
      <c r="E116" s="12">
        <f t="shared" ref="E116:E129" si="54">F116+I116</f>
        <v>25000</v>
      </c>
      <c r="F116" s="12">
        <v>25000</v>
      </c>
      <c r="G116" s="12">
        <v>0</v>
      </c>
      <c r="H116" s="12">
        <v>0</v>
      </c>
      <c r="I116" s="12">
        <v>0</v>
      </c>
      <c r="J116" s="12">
        <f t="shared" si="26"/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f t="shared" si="42"/>
        <v>25000</v>
      </c>
    </row>
    <row r="117" spans="1:16" ht="31.5">
      <c r="A117" s="7" t="s">
        <v>228</v>
      </c>
      <c r="B117" s="7" t="s">
        <v>30</v>
      </c>
      <c r="C117" s="7" t="s">
        <v>31</v>
      </c>
      <c r="D117" s="11" t="s">
        <v>32</v>
      </c>
      <c r="E117" s="12">
        <f t="shared" si="54"/>
        <v>99000</v>
      </c>
      <c r="F117" s="12">
        <f>99000</f>
        <v>99000</v>
      </c>
      <c r="G117" s="12">
        <v>0</v>
      </c>
      <c r="H117" s="12">
        <v>0</v>
      </c>
      <c r="I117" s="12">
        <v>0</v>
      </c>
      <c r="J117" s="12">
        <f t="shared" si="26"/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f t="shared" si="42"/>
        <v>99000</v>
      </c>
    </row>
    <row r="118" spans="1:16" ht="31.5">
      <c r="A118" s="7" t="s">
        <v>229</v>
      </c>
      <c r="B118" s="7" t="s">
        <v>230</v>
      </c>
      <c r="C118" s="7" t="s">
        <v>231</v>
      </c>
      <c r="D118" s="11" t="s">
        <v>232</v>
      </c>
      <c r="E118" s="12">
        <f t="shared" si="54"/>
        <v>30000</v>
      </c>
      <c r="F118" s="12">
        <v>30000</v>
      </c>
      <c r="G118" s="12">
        <v>0</v>
      </c>
      <c r="H118" s="12">
        <v>0</v>
      </c>
      <c r="I118" s="12">
        <v>0</v>
      </c>
      <c r="J118" s="12">
        <f t="shared" si="26"/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42"/>
        <v>30000</v>
      </c>
    </row>
    <row r="119" spans="1:16" ht="31.5">
      <c r="A119" s="32">
        <v>1216011</v>
      </c>
      <c r="B119" s="32">
        <v>6011</v>
      </c>
      <c r="C119" s="15" t="s">
        <v>292</v>
      </c>
      <c r="D119" s="11" t="s">
        <v>291</v>
      </c>
      <c r="E119" s="12">
        <f t="shared" si="54"/>
        <v>319069</v>
      </c>
      <c r="F119" s="12"/>
      <c r="G119" s="12"/>
      <c r="H119" s="12"/>
      <c r="I119" s="12">
        <v>319069</v>
      </c>
      <c r="J119" s="12">
        <f t="shared" si="26"/>
        <v>4029487</v>
      </c>
      <c r="K119" s="12">
        <v>4029487</v>
      </c>
      <c r="L119" s="12"/>
      <c r="M119" s="12"/>
      <c r="N119" s="12"/>
      <c r="O119" s="12">
        <v>4029487</v>
      </c>
      <c r="P119" s="12">
        <f t="shared" si="42"/>
        <v>4348556</v>
      </c>
    </row>
    <row r="120" spans="1:16" ht="31.5">
      <c r="A120" s="7" t="s">
        <v>233</v>
      </c>
      <c r="B120" s="7" t="s">
        <v>234</v>
      </c>
      <c r="C120" s="7" t="s">
        <v>55</v>
      </c>
      <c r="D120" s="11" t="s">
        <v>235</v>
      </c>
      <c r="E120" s="12">
        <f t="shared" si="54"/>
        <v>300000</v>
      </c>
      <c r="F120" s="12">
        <v>0</v>
      </c>
      <c r="G120" s="12">
        <v>0</v>
      </c>
      <c r="H120" s="12">
        <v>0</v>
      </c>
      <c r="I120" s="12">
        <v>300000</v>
      </c>
      <c r="J120" s="12">
        <f t="shared" si="26"/>
        <v>495000</v>
      </c>
      <c r="K120" s="12">
        <v>495000</v>
      </c>
      <c r="L120" s="12">
        <v>0</v>
      </c>
      <c r="M120" s="12">
        <v>0</v>
      </c>
      <c r="N120" s="12">
        <v>0</v>
      </c>
      <c r="O120" s="12">
        <v>495000</v>
      </c>
      <c r="P120" s="12">
        <f t="shared" si="42"/>
        <v>795000</v>
      </c>
    </row>
    <row r="121" spans="1:16" ht="47.25">
      <c r="A121" s="7" t="s">
        <v>236</v>
      </c>
      <c r="B121" s="7" t="s">
        <v>237</v>
      </c>
      <c r="C121" s="7" t="s">
        <v>55</v>
      </c>
      <c r="D121" s="11" t="s">
        <v>238</v>
      </c>
      <c r="E121" s="12">
        <f t="shared" si="54"/>
        <v>1493000</v>
      </c>
      <c r="F121" s="12">
        <v>0</v>
      </c>
      <c r="G121" s="12">
        <v>0</v>
      </c>
      <c r="H121" s="12">
        <v>0</v>
      </c>
      <c r="I121" s="12">
        <v>1493000</v>
      </c>
      <c r="J121" s="12">
        <f t="shared" si="26"/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f t="shared" si="42"/>
        <v>1493000</v>
      </c>
    </row>
    <row r="122" spans="1:16" ht="31.5">
      <c r="A122" s="7" t="s">
        <v>239</v>
      </c>
      <c r="B122" s="7" t="s">
        <v>54</v>
      </c>
      <c r="C122" s="7" t="s">
        <v>55</v>
      </c>
      <c r="D122" s="11" t="s">
        <v>56</v>
      </c>
      <c r="E122" s="12">
        <f>F122+I122</f>
        <v>74475200</v>
      </c>
      <c r="F122" s="12">
        <f>19865000+465200+345000-50000</f>
        <v>20625200</v>
      </c>
      <c r="G122" s="12">
        <v>0</v>
      </c>
      <c r="H122" s="12">
        <v>0</v>
      </c>
      <c r="I122" s="12">
        <f>54195000-345000</f>
        <v>53850000</v>
      </c>
      <c r="J122" s="12">
        <f t="shared" si="26"/>
        <v>875500</v>
      </c>
      <c r="K122" s="12">
        <v>875500</v>
      </c>
      <c r="L122" s="12">
        <v>0</v>
      </c>
      <c r="M122" s="12">
        <v>0</v>
      </c>
      <c r="N122" s="12">
        <v>0</v>
      </c>
      <c r="O122" s="12">
        <v>875500</v>
      </c>
      <c r="P122" s="12">
        <f t="shared" si="42"/>
        <v>75350700</v>
      </c>
    </row>
    <row r="123" spans="1:16" ht="47.25">
      <c r="A123" s="7" t="s">
        <v>240</v>
      </c>
      <c r="B123" s="7" t="s">
        <v>241</v>
      </c>
      <c r="C123" s="7" t="s">
        <v>242</v>
      </c>
      <c r="D123" s="11" t="s">
        <v>243</v>
      </c>
      <c r="E123" s="12">
        <f t="shared" si="54"/>
        <v>25700000</v>
      </c>
      <c r="F123" s="12">
        <v>25700000</v>
      </c>
      <c r="G123" s="12">
        <v>0</v>
      </c>
      <c r="H123" s="12">
        <v>0</v>
      </c>
      <c r="I123" s="12">
        <v>0</v>
      </c>
      <c r="J123" s="12">
        <f t="shared" si="26"/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f t="shared" si="42"/>
        <v>25700000</v>
      </c>
    </row>
    <row r="124" spans="1:16" ht="141.75">
      <c r="A124" s="32">
        <v>1217691</v>
      </c>
      <c r="B124" s="32">
        <v>7691</v>
      </c>
      <c r="C124" s="15" t="s">
        <v>59</v>
      </c>
      <c r="D124" s="11" t="s">
        <v>333</v>
      </c>
      <c r="E124" s="12">
        <f t="shared" si="54"/>
        <v>0</v>
      </c>
      <c r="F124" s="12"/>
      <c r="G124" s="12"/>
      <c r="H124" s="12"/>
      <c r="I124" s="12"/>
      <c r="J124" s="12">
        <f t="shared" si="26"/>
        <v>393146</v>
      </c>
      <c r="K124" s="12"/>
      <c r="L124" s="12"/>
      <c r="M124" s="12"/>
      <c r="N124" s="12"/>
      <c r="O124" s="12">
        <v>393146</v>
      </c>
      <c r="P124" s="12">
        <f t="shared" si="42"/>
        <v>393146</v>
      </c>
    </row>
    <row r="125" spans="1:16" ht="31.5">
      <c r="A125" s="7" t="s">
        <v>244</v>
      </c>
      <c r="B125" s="7" t="s">
        <v>245</v>
      </c>
      <c r="C125" s="7" t="s">
        <v>59</v>
      </c>
      <c r="D125" s="11" t="s">
        <v>246</v>
      </c>
      <c r="E125" s="12">
        <f t="shared" si="54"/>
        <v>34769300</v>
      </c>
      <c r="F125" s="12">
        <v>0</v>
      </c>
      <c r="G125" s="12">
        <v>0</v>
      </c>
      <c r="H125" s="12">
        <v>0</v>
      </c>
      <c r="I125" s="12">
        <f>31215000+3554300</f>
        <v>34769300</v>
      </c>
      <c r="J125" s="12">
        <f t="shared" si="26"/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f t="shared" si="42"/>
        <v>34769300</v>
      </c>
    </row>
    <row r="126" spans="1:16" ht="63">
      <c r="A126" s="37">
        <v>1217700</v>
      </c>
      <c r="B126" s="37">
        <v>7700</v>
      </c>
      <c r="C126" s="15" t="s">
        <v>31</v>
      </c>
      <c r="D126" s="11" t="s">
        <v>365</v>
      </c>
      <c r="E126" s="12">
        <f t="shared" si="54"/>
        <v>0</v>
      </c>
      <c r="F126" s="12"/>
      <c r="G126" s="12"/>
      <c r="H126" s="12"/>
      <c r="I126" s="12"/>
      <c r="J126" s="12">
        <f t="shared" si="26"/>
        <v>420801.44</v>
      </c>
      <c r="K126" s="12"/>
      <c r="L126" s="12"/>
      <c r="M126" s="12"/>
      <c r="N126" s="12"/>
      <c r="O126" s="12">
        <v>420801.44</v>
      </c>
      <c r="P126" s="12">
        <f t="shared" si="42"/>
        <v>420801.44</v>
      </c>
    </row>
    <row r="127" spans="1:16" ht="47.25">
      <c r="A127" s="7" t="s">
        <v>247</v>
      </c>
      <c r="B127" s="7" t="s">
        <v>248</v>
      </c>
      <c r="C127" s="7" t="s">
        <v>249</v>
      </c>
      <c r="D127" s="11" t="s">
        <v>250</v>
      </c>
      <c r="E127" s="12">
        <f t="shared" si="54"/>
        <v>1508241</v>
      </c>
      <c r="F127" s="12">
        <f>835000+552900+58341+62000</f>
        <v>1508241</v>
      </c>
      <c r="G127" s="12">
        <v>0</v>
      </c>
      <c r="H127" s="12">
        <v>0</v>
      </c>
      <c r="I127" s="12">
        <v>0</v>
      </c>
      <c r="J127" s="12">
        <f t="shared" si="26"/>
        <v>0</v>
      </c>
      <c r="K127" s="12"/>
      <c r="L127" s="12">
        <v>0</v>
      </c>
      <c r="M127" s="12">
        <v>0</v>
      </c>
      <c r="N127" s="12">
        <v>0</v>
      </c>
      <c r="O127" s="12"/>
      <c r="P127" s="12">
        <f t="shared" si="42"/>
        <v>1508241</v>
      </c>
    </row>
    <row r="128" spans="1:16" ht="31.5">
      <c r="A128" s="15" t="s">
        <v>325</v>
      </c>
      <c r="B128" s="30">
        <v>8240</v>
      </c>
      <c r="C128" s="15" t="s">
        <v>63</v>
      </c>
      <c r="D128" s="11" t="s">
        <v>273</v>
      </c>
      <c r="E128" s="12">
        <f t="shared" si="54"/>
        <v>12700</v>
      </c>
      <c r="F128" s="12">
        <v>12700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>
        <f t="shared" si="42"/>
        <v>12700</v>
      </c>
    </row>
    <row r="129" spans="1:16" ht="31.5">
      <c r="A129" s="15" t="s">
        <v>296</v>
      </c>
      <c r="B129" s="7">
        <v>8340</v>
      </c>
      <c r="C129" s="7" t="s">
        <v>287</v>
      </c>
      <c r="D129" s="11" t="s">
        <v>288</v>
      </c>
      <c r="E129" s="12">
        <f t="shared" si="54"/>
        <v>0</v>
      </c>
      <c r="F129" s="12"/>
      <c r="G129" s="12"/>
      <c r="H129" s="12"/>
      <c r="I129" s="12"/>
      <c r="J129" s="12">
        <f t="shared" si="26"/>
        <v>250000</v>
      </c>
      <c r="K129" s="12"/>
      <c r="L129" s="12">
        <v>100000</v>
      </c>
      <c r="M129" s="12"/>
      <c r="N129" s="12"/>
      <c r="O129" s="12">
        <v>150000</v>
      </c>
      <c r="P129" s="12">
        <f t="shared" si="42"/>
        <v>250000</v>
      </c>
    </row>
    <row r="130" spans="1:16" ht="63">
      <c r="A130" s="8" t="s">
        <v>251</v>
      </c>
      <c r="B130" s="8" t="s">
        <v>18</v>
      </c>
      <c r="C130" s="8" t="s">
        <v>18</v>
      </c>
      <c r="D130" s="9" t="s">
        <v>252</v>
      </c>
      <c r="E130" s="10">
        <f t="shared" ref="E130:E146" si="55">F130+I130</f>
        <v>4485000</v>
      </c>
      <c r="F130" s="10">
        <f>F131</f>
        <v>4485000</v>
      </c>
      <c r="G130" s="10">
        <f t="shared" ref="G130:I130" si="56">G131</f>
        <v>4270900</v>
      </c>
      <c r="H130" s="10">
        <f t="shared" si="56"/>
        <v>0</v>
      </c>
      <c r="I130" s="10">
        <f t="shared" si="56"/>
        <v>0</v>
      </c>
      <c r="J130" s="10">
        <f t="shared" si="26"/>
        <v>109962166</v>
      </c>
      <c r="K130" s="10">
        <f>K131</f>
        <v>109962166</v>
      </c>
      <c r="L130" s="10">
        <f t="shared" ref="L130:O130" si="57">L131</f>
        <v>0</v>
      </c>
      <c r="M130" s="10">
        <f t="shared" si="57"/>
        <v>0</v>
      </c>
      <c r="N130" s="10">
        <f t="shared" si="57"/>
        <v>0</v>
      </c>
      <c r="O130" s="10">
        <f t="shared" si="57"/>
        <v>109962166</v>
      </c>
      <c r="P130" s="10">
        <f t="shared" si="42"/>
        <v>114447166</v>
      </c>
    </row>
    <row r="131" spans="1:16" ht="63">
      <c r="A131" s="8" t="s">
        <v>253</v>
      </c>
      <c r="B131" s="8" t="s">
        <v>18</v>
      </c>
      <c r="C131" s="8" t="s">
        <v>18</v>
      </c>
      <c r="D131" s="9" t="s">
        <v>252</v>
      </c>
      <c r="E131" s="10">
        <f t="shared" si="55"/>
        <v>4485000</v>
      </c>
      <c r="F131" s="10">
        <f>SUM(F132:F143)</f>
        <v>4485000</v>
      </c>
      <c r="G131" s="10">
        <f t="shared" ref="G131:K131" si="58">SUM(G132:G143)</f>
        <v>4270900</v>
      </c>
      <c r="H131" s="10">
        <f t="shared" si="58"/>
        <v>0</v>
      </c>
      <c r="I131" s="10">
        <f t="shared" si="58"/>
        <v>0</v>
      </c>
      <c r="J131" s="10">
        <f t="shared" si="26"/>
        <v>109962166</v>
      </c>
      <c r="K131" s="10">
        <f t="shared" si="58"/>
        <v>109962166</v>
      </c>
      <c r="L131" s="10">
        <f t="shared" ref="L131" si="59">SUM(L132:L143)</f>
        <v>0</v>
      </c>
      <c r="M131" s="10">
        <f t="shared" ref="M131" si="60">SUM(M132:M143)</f>
        <v>0</v>
      </c>
      <c r="N131" s="10">
        <f t="shared" ref="N131" si="61">SUM(N132:N143)</f>
        <v>0</v>
      </c>
      <c r="O131" s="10">
        <f t="shared" ref="O131" si="62">SUM(O132:O143)</f>
        <v>109962166</v>
      </c>
      <c r="P131" s="10">
        <f t="shared" si="42"/>
        <v>114447166</v>
      </c>
    </row>
    <row r="132" spans="1:16" ht="47.25">
      <c r="A132" s="7" t="s">
        <v>254</v>
      </c>
      <c r="B132" s="7" t="s">
        <v>75</v>
      </c>
      <c r="C132" s="7" t="s">
        <v>23</v>
      </c>
      <c r="D132" s="11" t="s">
        <v>76</v>
      </c>
      <c r="E132" s="12">
        <f t="shared" si="55"/>
        <v>4386000</v>
      </c>
      <c r="F132" s="12">
        <v>4386000</v>
      </c>
      <c r="G132" s="12">
        <v>4270900</v>
      </c>
      <c r="H132" s="12">
        <v>0</v>
      </c>
      <c r="I132" s="12">
        <v>0</v>
      </c>
      <c r="J132" s="12">
        <f t="shared" si="26"/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f t="shared" si="42"/>
        <v>4386000</v>
      </c>
    </row>
    <row r="133" spans="1:16" ht="31.5">
      <c r="A133" s="7" t="s">
        <v>255</v>
      </c>
      <c r="B133" s="7" t="s">
        <v>30</v>
      </c>
      <c r="C133" s="7" t="s">
        <v>31</v>
      </c>
      <c r="D133" s="11" t="s">
        <v>32</v>
      </c>
      <c r="E133" s="12">
        <f t="shared" si="55"/>
        <v>99000</v>
      </c>
      <c r="F133" s="12">
        <f>99000</f>
        <v>99000</v>
      </c>
      <c r="G133" s="12">
        <v>0</v>
      </c>
      <c r="H133" s="12">
        <v>0</v>
      </c>
      <c r="I133" s="12">
        <v>0</v>
      </c>
      <c r="J133" s="12">
        <f t="shared" si="26"/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f t="shared" si="42"/>
        <v>99000</v>
      </c>
    </row>
    <row r="134" spans="1:16" ht="31.5">
      <c r="A134" s="32">
        <v>1512010</v>
      </c>
      <c r="B134" s="15" t="s">
        <v>34</v>
      </c>
      <c r="C134" s="15" t="s">
        <v>35</v>
      </c>
      <c r="D134" s="11" t="s">
        <v>36</v>
      </c>
      <c r="E134" s="12">
        <f t="shared" si="55"/>
        <v>0</v>
      </c>
      <c r="F134" s="12"/>
      <c r="G134" s="12"/>
      <c r="H134" s="12"/>
      <c r="I134" s="12"/>
      <c r="J134" s="12">
        <f t="shared" si="26"/>
        <v>1205627</v>
      </c>
      <c r="K134" s="12">
        <v>1205627</v>
      </c>
      <c r="L134" s="12"/>
      <c r="M134" s="12"/>
      <c r="N134" s="12"/>
      <c r="O134" s="12">
        <v>1205627</v>
      </c>
      <c r="P134" s="12">
        <f t="shared" si="42"/>
        <v>1205627</v>
      </c>
    </row>
    <row r="135" spans="1:16" ht="31.5">
      <c r="A135" s="32">
        <v>1516013</v>
      </c>
      <c r="B135" s="15" t="s">
        <v>334</v>
      </c>
      <c r="C135" s="15" t="s">
        <v>55</v>
      </c>
      <c r="D135" s="11" t="s">
        <v>335</v>
      </c>
      <c r="E135" s="12">
        <f t="shared" si="55"/>
        <v>0</v>
      </c>
      <c r="F135" s="12"/>
      <c r="G135" s="12"/>
      <c r="H135" s="12"/>
      <c r="I135" s="12"/>
      <c r="J135" s="12">
        <f t="shared" si="26"/>
        <v>382750</v>
      </c>
      <c r="K135" s="12">
        <v>382750</v>
      </c>
      <c r="L135" s="12"/>
      <c r="M135" s="12"/>
      <c r="N135" s="12"/>
      <c r="O135" s="12">
        <v>382750</v>
      </c>
      <c r="P135" s="12">
        <f t="shared" si="42"/>
        <v>382750</v>
      </c>
    </row>
    <row r="136" spans="1:16" ht="31.5">
      <c r="A136" s="32">
        <v>1516015</v>
      </c>
      <c r="B136" s="15" t="s">
        <v>234</v>
      </c>
      <c r="C136" s="15" t="s">
        <v>55</v>
      </c>
      <c r="D136" s="11" t="s">
        <v>235</v>
      </c>
      <c r="E136" s="12">
        <f t="shared" si="55"/>
        <v>0</v>
      </c>
      <c r="F136" s="12"/>
      <c r="G136" s="12"/>
      <c r="H136" s="12"/>
      <c r="I136" s="12"/>
      <c r="J136" s="12">
        <f t="shared" si="26"/>
        <v>23415217</v>
      </c>
      <c r="K136" s="12">
        <v>23415217</v>
      </c>
      <c r="L136" s="12"/>
      <c r="M136" s="12"/>
      <c r="N136" s="12"/>
      <c r="O136" s="12">
        <v>23415217</v>
      </c>
      <c r="P136" s="12">
        <f t="shared" si="42"/>
        <v>23415217</v>
      </c>
    </row>
    <row r="137" spans="1:16" ht="78.75">
      <c r="A137" s="32">
        <v>1516050</v>
      </c>
      <c r="B137" s="15" t="s">
        <v>336</v>
      </c>
      <c r="C137" s="15" t="s">
        <v>55</v>
      </c>
      <c r="D137" s="11" t="s">
        <v>337</v>
      </c>
      <c r="E137" s="12">
        <f t="shared" si="55"/>
        <v>0</v>
      </c>
      <c r="F137" s="12"/>
      <c r="G137" s="12"/>
      <c r="H137" s="12"/>
      <c r="I137" s="12"/>
      <c r="J137" s="12">
        <f t="shared" si="26"/>
        <v>2439154</v>
      </c>
      <c r="K137" s="12">
        <v>2439154</v>
      </c>
      <c r="L137" s="12"/>
      <c r="M137" s="12"/>
      <c r="N137" s="12"/>
      <c r="O137" s="12">
        <v>2439154</v>
      </c>
      <c r="P137" s="12">
        <f t="shared" si="42"/>
        <v>2439154</v>
      </c>
    </row>
    <row r="138" spans="1:16" ht="31.5">
      <c r="A138" s="32">
        <v>1517310</v>
      </c>
      <c r="B138" s="15" t="s">
        <v>338</v>
      </c>
      <c r="C138" s="15" t="s">
        <v>268</v>
      </c>
      <c r="D138" s="11" t="s">
        <v>339</v>
      </c>
      <c r="E138" s="12">
        <f t="shared" si="55"/>
        <v>0</v>
      </c>
      <c r="F138" s="12"/>
      <c r="G138" s="12"/>
      <c r="H138" s="12"/>
      <c r="I138" s="12"/>
      <c r="J138" s="12">
        <f t="shared" si="26"/>
        <v>19000000</v>
      </c>
      <c r="K138" s="12">
        <v>19000000</v>
      </c>
      <c r="L138" s="12"/>
      <c r="M138" s="12"/>
      <c r="N138" s="12"/>
      <c r="O138" s="12">
        <v>19000000</v>
      </c>
      <c r="P138" s="12">
        <f t="shared" si="42"/>
        <v>19000000</v>
      </c>
    </row>
    <row r="139" spans="1:16" ht="31.5">
      <c r="A139" s="32">
        <v>1517321</v>
      </c>
      <c r="B139" s="15" t="s">
        <v>340</v>
      </c>
      <c r="C139" s="15" t="s">
        <v>268</v>
      </c>
      <c r="D139" s="11" t="s">
        <v>341</v>
      </c>
      <c r="E139" s="12">
        <f t="shared" si="55"/>
        <v>0</v>
      </c>
      <c r="F139" s="12"/>
      <c r="G139" s="12"/>
      <c r="H139" s="12"/>
      <c r="I139" s="12"/>
      <c r="J139" s="12">
        <f t="shared" si="26"/>
        <v>202660</v>
      </c>
      <c r="K139" s="12">
        <v>202660</v>
      </c>
      <c r="L139" s="12"/>
      <c r="M139" s="12"/>
      <c r="N139" s="12"/>
      <c r="O139" s="12">
        <v>202660</v>
      </c>
      <c r="P139" s="12">
        <f t="shared" si="42"/>
        <v>202660</v>
      </c>
    </row>
    <row r="140" spans="1:16" ht="31.5">
      <c r="A140" s="33">
        <v>1517368</v>
      </c>
      <c r="B140" s="15" t="s">
        <v>356</v>
      </c>
      <c r="C140" s="15" t="s">
        <v>59</v>
      </c>
      <c r="D140" s="11" t="s">
        <v>357</v>
      </c>
      <c r="E140" s="12">
        <f t="shared" si="55"/>
        <v>0</v>
      </c>
      <c r="F140" s="12"/>
      <c r="G140" s="12"/>
      <c r="H140" s="12"/>
      <c r="I140" s="12"/>
      <c r="J140" s="12">
        <f t="shared" si="26"/>
        <v>26491442</v>
      </c>
      <c r="K140" s="12">
        <v>26491442</v>
      </c>
      <c r="L140" s="12"/>
      <c r="M140" s="12"/>
      <c r="N140" s="12"/>
      <c r="O140" s="12">
        <v>26491442</v>
      </c>
      <c r="P140" s="12">
        <f t="shared" si="42"/>
        <v>26491442</v>
      </c>
    </row>
    <row r="141" spans="1:16" ht="47.25">
      <c r="A141" s="32">
        <v>1517370</v>
      </c>
      <c r="B141" s="15" t="s">
        <v>342</v>
      </c>
      <c r="C141" s="15" t="s">
        <v>59</v>
      </c>
      <c r="D141" s="11" t="s">
        <v>343</v>
      </c>
      <c r="E141" s="12">
        <f t="shared" si="55"/>
        <v>0</v>
      </c>
      <c r="F141" s="12"/>
      <c r="G141" s="12"/>
      <c r="H141" s="12"/>
      <c r="I141" s="12"/>
      <c r="J141" s="12">
        <f t="shared" si="26"/>
        <v>7820447</v>
      </c>
      <c r="K141" s="12">
        <v>7820447</v>
      </c>
      <c r="L141" s="12"/>
      <c r="M141" s="12"/>
      <c r="N141" s="12"/>
      <c r="O141" s="12">
        <v>7820447</v>
      </c>
      <c r="P141" s="12">
        <f t="shared" si="42"/>
        <v>7820447</v>
      </c>
    </row>
    <row r="142" spans="1:16">
      <c r="A142" s="32">
        <v>1517640</v>
      </c>
      <c r="B142" s="15" t="s">
        <v>344</v>
      </c>
      <c r="C142" s="15" t="s">
        <v>331</v>
      </c>
      <c r="D142" s="11" t="s">
        <v>330</v>
      </c>
      <c r="E142" s="12">
        <f t="shared" si="55"/>
        <v>0</v>
      </c>
      <c r="F142" s="12"/>
      <c r="G142" s="12"/>
      <c r="H142" s="12"/>
      <c r="I142" s="12"/>
      <c r="J142" s="12">
        <f t="shared" si="26"/>
        <v>7720091</v>
      </c>
      <c r="K142" s="12">
        <v>7720091</v>
      </c>
      <c r="L142" s="12"/>
      <c r="M142" s="12"/>
      <c r="N142" s="12"/>
      <c r="O142" s="12">
        <v>7720091</v>
      </c>
      <c r="P142" s="12">
        <f t="shared" si="42"/>
        <v>7720091</v>
      </c>
    </row>
    <row r="143" spans="1:16" ht="47.25">
      <c r="A143" s="32">
        <v>1518110</v>
      </c>
      <c r="B143" s="15" t="s">
        <v>248</v>
      </c>
      <c r="C143" s="15" t="s">
        <v>249</v>
      </c>
      <c r="D143" s="11" t="s">
        <v>250</v>
      </c>
      <c r="E143" s="12">
        <f t="shared" si="55"/>
        <v>0</v>
      </c>
      <c r="F143" s="12"/>
      <c r="G143" s="12"/>
      <c r="H143" s="12"/>
      <c r="I143" s="12"/>
      <c r="J143" s="12">
        <f t="shared" si="26"/>
        <v>21284778</v>
      </c>
      <c r="K143" s="12">
        <f>22333778-1000000-49000</f>
        <v>21284778</v>
      </c>
      <c r="L143" s="12"/>
      <c r="M143" s="12"/>
      <c r="N143" s="12"/>
      <c r="O143" s="12">
        <f>22333778-1000000-49000</f>
        <v>21284778</v>
      </c>
      <c r="P143" s="12">
        <f t="shared" si="42"/>
        <v>21284778</v>
      </c>
    </row>
    <row r="144" spans="1:16" ht="63">
      <c r="A144" s="8" t="s">
        <v>256</v>
      </c>
      <c r="B144" s="8" t="s">
        <v>18</v>
      </c>
      <c r="C144" s="8" t="s">
        <v>18</v>
      </c>
      <c r="D144" s="9" t="s">
        <v>257</v>
      </c>
      <c r="E144" s="10">
        <f t="shared" si="55"/>
        <v>24386100</v>
      </c>
      <c r="F144" s="10">
        <f>F145</f>
        <v>4417800</v>
      </c>
      <c r="G144" s="10">
        <f t="shared" ref="G144:I144" si="63">G145</f>
        <v>3675600</v>
      </c>
      <c r="H144" s="10">
        <f t="shared" si="63"/>
        <v>0</v>
      </c>
      <c r="I144" s="10">
        <f t="shared" si="63"/>
        <v>19968300</v>
      </c>
      <c r="J144" s="10">
        <f t="shared" si="26"/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f t="shared" si="42"/>
        <v>24386100</v>
      </c>
    </row>
    <row r="145" spans="1:16" ht="63">
      <c r="A145" s="8" t="s">
        <v>258</v>
      </c>
      <c r="B145" s="8" t="s">
        <v>18</v>
      </c>
      <c r="C145" s="8" t="s">
        <v>18</v>
      </c>
      <c r="D145" s="9" t="s">
        <v>257</v>
      </c>
      <c r="E145" s="10">
        <f t="shared" si="55"/>
        <v>24386100</v>
      </c>
      <c r="F145" s="10">
        <f>SUM(F146:F152)</f>
        <v>4417800</v>
      </c>
      <c r="G145" s="10">
        <f t="shared" ref="G145:I145" si="64">SUM(G146:G152)</f>
        <v>3675600</v>
      </c>
      <c r="H145" s="10">
        <f t="shared" si="64"/>
        <v>0</v>
      </c>
      <c r="I145" s="10">
        <f t="shared" si="64"/>
        <v>19968300</v>
      </c>
      <c r="J145" s="10">
        <f t="shared" si="26"/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f t="shared" si="42"/>
        <v>24386100</v>
      </c>
    </row>
    <row r="146" spans="1:16" ht="47.25">
      <c r="A146" s="7" t="s">
        <v>259</v>
      </c>
      <c r="B146" s="7" t="s">
        <v>75</v>
      </c>
      <c r="C146" s="7" t="s">
        <v>23</v>
      </c>
      <c r="D146" s="11" t="s">
        <v>76</v>
      </c>
      <c r="E146" s="12">
        <f t="shared" si="55"/>
        <v>3762800</v>
      </c>
      <c r="F146" s="12">
        <v>3762800</v>
      </c>
      <c r="G146" s="12">
        <v>3675600</v>
      </c>
      <c r="H146" s="12">
        <v>0</v>
      </c>
      <c r="I146" s="12">
        <v>0</v>
      </c>
      <c r="J146" s="12">
        <f t="shared" si="26"/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f t="shared" si="42"/>
        <v>3762800</v>
      </c>
    </row>
    <row r="147" spans="1:16" ht="31.5">
      <c r="A147" s="7" t="s">
        <v>260</v>
      </c>
      <c r="B147" s="7" t="s">
        <v>30</v>
      </c>
      <c r="C147" s="7" t="s">
        <v>31</v>
      </c>
      <c r="D147" s="11" t="s">
        <v>32</v>
      </c>
      <c r="E147" s="12">
        <f t="shared" ref="E147:E152" si="65">F147+I147</f>
        <v>159000</v>
      </c>
      <c r="F147" s="12">
        <f>159000</f>
        <v>159000</v>
      </c>
      <c r="G147" s="12">
        <v>0</v>
      </c>
      <c r="H147" s="12">
        <v>0</v>
      </c>
      <c r="I147" s="12">
        <v>0</v>
      </c>
      <c r="J147" s="12">
        <f t="shared" si="26"/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f t="shared" si="42"/>
        <v>159000</v>
      </c>
    </row>
    <row r="148" spans="1:16" ht="47.25">
      <c r="A148" s="7" t="s">
        <v>261</v>
      </c>
      <c r="B148" s="7" t="s">
        <v>237</v>
      </c>
      <c r="C148" s="7" t="s">
        <v>55</v>
      </c>
      <c r="D148" s="11" t="s">
        <v>238</v>
      </c>
      <c r="E148" s="12">
        <f t="shared" si="65"/>
        <v>250000</v>
      </c>
      <c r="F148" s="12">
        <f>146000+104000</f>
        <v>250000</v>
      </c>
      <c r="G148" s="12">
        <v>0</v>
      </c>
      <c r="H148" s="12">
        <v>0</v>
      </c>
      <c r="I148" s="12">
        <v>0</v>
      </c>
      <c r="J148" s="12">
        <f t="shared" si="26"/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f t="shared" si="42"/>
        <v>250000</v>
      </c>
    </row>
    <row r="149" spans="1:16">
      <c r="A149" s="7" t="s">
        <v>262</v>
      </c>
      <c r="B149" s="7" t="s">
        <v>263</v>
      </c>
      <c r="C149" s="7" t="s">
        <v>264</v>
      </c>
      <c r="D149" s="11" t="s">
        <v>265</v>
      </c>
      <c r="E149" s="12">
        <f t="shared" si="65"/>
        <v>96000</v>
      </c>
      <c r="F149" s="12">
        <f>200000-104000</f>
        <v>96000</v>
      </c>
      <c r="G149" s="12">
        <v>0</v>
      </c>
      <c r="H149" s="12">
        <v>0</v>
      </c>
      <c r="I149" s="12">
        <v>0</v>
      </c>
      <c r="J149" s="12">
        <f t="shared" si="26"/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f t="shared" si="42"/>
        <v>96000</v>
      </c>
    </row>
    <row r="150" spans="1:16" ht="47.25">
      <c r="A150" s="7" t="s">
        <v>266</v>
      </c>
      <c r="B150" s="7" t="s">
        <v>267</v>
      </c>
      <c r="C150" s="7" t="s">
        <v>268</v>
      </c>
      <c r="D150" s="11" t="s">
        <v>269</v>
      </c>
      <c r="E150" s="12">
        <f t="shared" si="65"/>
        <v>1500000</v>
      </c>
      <c r="F150" s="12">
        <v>0</v>
      </c>
      <c r="G150" s="12">
        <v>0</v>
      </c>
      <c r="H150" s="12">
        <v>0</v>
      </c>
      <c r="I150" s="12">
        <v>1500000</v>
      </c>
      <c r="J150" s="12">
        <f t="shared" si="26"/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f t="shared" ref="P150:P171" si="66">E150 + J150</f>
        <v>1500000</v>
      </c>
    </row>
    <row r="151" spans="1:16" ht="31.5">
      <c r="A151" s="7" t="s">
        <v>270</v>
      </c>
      <c r="B151" s="7" t="s">
        <v>245</v>
      </c>
      <c r="C151" s="7" t="s">
        <v>59</v>
      </c>
      <c r="D151" s="11" t="s">
        <v>246</v>
      </c>
      <c r="E151" s="12">
        <f t="shared" si="65"/>
        <v>18468300</v>
      </c>
      <c r="F151" s="12">
        <v>0</v>
      </c>
      <c r="G151" s="12">
        <v>0</v>
      </c>
      <c r="H151" s="12">
        <v>0</v>
      </c>
      <c r="I151" s="12">
        <f>18281300+187000</f>
        <v>18468300</v>
      </c>
      <c r="J151" s="12">
        <f t="shared" si="26"/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f t="shared" si="66"/>
        <v>18468300</v>
      </c>
    </row>
    <row r="152" spans="1:16" ht="31.5">
      <c r="A152" s="7" t="s">
        <v>271</v>
      </c>
      <c r="B152" s="7" t="s">
        <v>272</v>
      </c>
      <c r="C152" s="7" t="s">
        <v>63</v>
      </c>
      <c r="D152" s="11" t="s">
        <v>273</v>
      </c>
      <c r="E152" s="12">
        <f t="shared" si="65"/>
        <v>150000</v>
      </c>
      <c r="F152" s="12">
        <v>150000</v>
      </c>
      <c r="G152" s="12">
        <v>0</v>
      </c>
      <c r="H152" s="12">
        <v>0</v>
      </c>
      <c r="I152" s="12">
        <v>0</v>
      </c>
      <c r="J152" s="12">
        <f t="shared" si="26"/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f t="shared" si="66"/>
        <v>150000</v>
      </c>
    </row>
    <row r="153" spans="1:16" ht="47.25">
      <c r="A153" s="8" t="s">
        <v>274</v>
      </c>
      <c r="B153" s="8" t="s">
        <v>18</v>
      </c>
      <c r="C153" s="8" t="s">
        <v>18</v>
      </c>
      <c r="D153" s="9" t="s">
        <v>275</v>
      </c>
      <c r="E153" s="10">
        <f>E154</f>
        <v>23823211</v>
      </c>
      <c r="F153" s="10">
        <f>F154</f>
        <v>17400834</v>
      </c>
      <c r="G153" s="10">
        <f t="shared" ref="G153:I153" si="67">G154</f>
        <v>5671600</v>
      </c>
      <c r="H153" s="10">
        <f t="shared" si="67"/>
        <v>0</v>
      </c>
      <c r="I153" s="10">
        <f t="shared" si="67"/>
        <v>0</v>
      </c>
      <c r="J153" s="10">
        <f t="shared" si="26"/>
        <v>22252000</v>
      </c>
      <c r="K153" s="10">
        <f>K154</f>
        <v>22252000</v>
      </c>
      <c r="L153" s="10">
        <v>0</v>
      </c>
      <c r="M153" s="10">
        <v>0</v>
      </c>
      <c r="N153" s="10">
        <v>0</v>
      </c>
      <c r="O153" s="10">
        <f>O154</f>
        <v>22252000</v>
      </c>
      <c r="P153" s="10">
        <f t="shared" si="66"/>
        <v>46075211</v>
      </c>
    </row>
    <row r="154" spans="1:16" ht="47.25">
      <c r="A154" s="8" t="s">
        <v>276</v>
      </c>
      <c r="B154" s="8" t="s">
        <v>18</v>
      </c>
      <c r="C154" s="8" t="s">
        <v>18</v>
      </c>
      <c r="D154" s="9" t="s">
        <v>275</v>
      </c>
      <c r="E154" s="10">
        <f>SUM(E155:E158)+E164</f>
        <v>23823211</v>
      </c>
      <c r="F154" s="10">
        <f>F155+F156+F157+F158+F164</f>
        <v>17400834</v>
      </c>
      <c r="G154" s="10">
        <f t="shared" ref="G154:K154" si="68">G155+G156+G157+G158+G164</f>
        <v>5671600</v>
      </c>
      <c r="H154" s="10">
        <f t="shared" si="68"/>
        <v>0</v>
      </c>
      <c r="I154" s="10">
        <f t="shared" si="68"/>
        <v>0</v>
      </c>
      <c r="J154" s="10">
        <f t="shared" ref="J154:J170" si="69">L154+O154</f>
        <v>22252000</v>
      </c>
      <c r="K154" s="10">
        <f t="shared" si="68"/>
        <v>22252000</v>
      </c>
      <c r="L154" s="10">
        <f t="shared" ref="L154" si="70">L155+L156+L157+L158+L164</f>
        <v>0</v>
      </c>
      <c r="M154" s="10">
        <f t="shared" ref="M154" si="71">M155+M156+M157+M158+M164</f>
        <v>0</v>
      </c>
      <c r="N154" s="10">
        <f t="shared" ref="N154" si="72">N155+N156+N157+N158+N164</f>
        <v>0</v>
      </c>
      <c r="O154" s="10">
        <f t="shared" ref="O154" si="73">O155+O156+O157+O158+O164</f>
        <v>22252000</v>
      </c>
      <c r="P154" s="10">
        <f t="shared" si="66"/>
        <v>46075211</v>
      </c>
    </row>
    <row r="155" spans="1:16" ht="47.25">
      <c r="A155" s="7" t="s">
        <v>277</v>
      </c>
      <c r="B155" s="7" t="s">
        <v>75</v>
      </c>
      <c r="C155" s="7" t="s">
        <v>23</v>
      </c>
      <c r="D155" s="11" t="s">
        <v>76</v>
      </c>
      <c r="E155" s="12">
        <f>F155+I155</f>
        <v>5938700</v>
      </c>
      <c r="F155" s="12">
        <v>5938700</v>
      </c>
      <c r="G155" s="12">
        <v>5671600</v>
      </c>
      <c r="H155" s="12">
        <v>0</v>
      </c>
      <c r="I155" s="12">
        <v>0</v>
      </c>
      <c r="J155" s="12">
        <f t="shared" si="69"/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f t="shared" si="66"/>
        <v>5938700</v>
      </c>
    </row>
    <row r="156" spans="1:16" ht="31.5">
      <c r="A156" s="7" t="s">
        <v>278</v>
      </c>
      <c r="B156" s="7" t="s">
        <v>30</v>
      </c>
      <c r="C156" s="7" t="s">
        <v>31</v>
      </c>
      <c r="D156" s="11" t="s">
        <v>32</v>
      </c>
      <c r="E156" s="12">
        <f>F156+I156</f>
        <v>52900</v>
      </c>
      <c r="F156" s="12">
        <v>52900</v>
      </c>
      <c r="G156" s="12">
        <v>0</v>
      </c>
      <c r="H156" s="12">
        <v>0</v>
      </c>
      <c r="I156" s="12">
        <v>0</v>
      </c>
      <c r="J156" s="12">
        <f t="shared" si="69"/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f t="shared" si="66"/>
        <v>52900</v>
      </c>
    </row>
    <row r="157" spans="1:16">
      <c r="A157" s="7" t="s">
        <v>279</v>
      </c>
      <c r="B157" s="7" t="s">
        <v>280</v>
      </c>
      <c r="C157" s="7" t="s">
        <v>31</v>
      </c>
      <c r="D157" s="11" t="s">
        <v>281</v>
      </c>
      <c r="E157" s="12">
        <f>8000000-1577623</f>
        <v>6422377</v>
      </c>
      <c r="F157" s="12">
        <v>0</v>
      </c>
      <c r="G157" s="12">
        <v>0</v>
      </c>
      <c r="H157" s="12">
        <v>0</v>
      </c>
      <c r="I157" s="12">
        <v>0</v>
      </c>
      <c r="J157" s="12">
        <f t="shared" si="69"/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f t="shared" si="66"/>
        <v>6422377</v>
      </c>
    </row>
    <row r="158" spans="1:16">
      <c r="A158" s="7" t="s">
        <v>282</v>
      </c>
      <c r="B158" s="7" t="s">
        <v>283</v>
      </c>
      <c r="C158" s="7" t="s">
        <v>30</v>
      </c>
      <c r="D158" s="11" t="s">
        <v>284</v>
      </c>
      <c r="E158" s="12">
        <f>F158+I158</f>
        <v>4407500</v>
      </c>
      <c r="F158" s="12">
        <f>F160+F161+F162+F163</f>
        <v>4407500</v>
      </c>
      <c r="G158" s="12">
        <v>0</v>
      </c>
      <c r="H158" s="12">
        <v>0</v>
      </c>
      <c r="I158" s="12">
        <v>0</v>
      </c>
      <c r="J158" s="12">
        <f t="shared" si="69"/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f t="shared" si="66"/>
        <v>4407500</v>
      </c>
    </row>
    <row r="159" spans="1:16" s="6" customFormat="1">
      <c r="A159" s="13"/>
      <c r="B159" s="13"/>
      <c r="C159" s="13"/>
      <c r="D159" s="1" t="s">
        <v>350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1:16" s="6" customFormat="1" ht="126">
      <c r="A160" s="13"/>
      <c r="B160" s="13"/>
      <c r="C160" s="13"/>
      <c r="D160" s="1" t="s">
        <v>349</v>
      </c>
      <c r="E160" s="14">
        <f>F160+I160</f>
        <v>1570500</v>
      </c>
      <c r="F160" s="14">
        <f>1261500+309000</f>
        <v>1570500</v>
      </c>
      <c r="G160" s="14"/>
      <c r="H160" s="14"/>
      <c r="I160" s="14"/>
      <c r="J160" s="14">
        <f>L160+O160</f>
        <v>0</v>
      </c>
      <c r="K160" s="14"/>
      <c r="L160" s="14"/>
      <c r="M160" s="14"/>
      <c r="N160" s="14"/>
      <c r="O160" s="14"/>
      <c r="P160" s="14">
        <f>E160+J160</f>
        <v>1570500</v>
      </c>
    </row>
    <row r="161" spans="1:16" s="6" customFormat="1" ht="63">
      <c r="A161" s="13"/>
      <c r="B161" s="13"/>
      <c r="C161" s="13"/>
      <c r="D161" s="1" t="s">
        <v>351</v>
      </c>
      <c r="E161" s="14">
        <f>F161+I161</f>
        <v>300000</v>
      </c>
      <c r="F161" s="14">
        <v>300000</v>
      </c>
      <c r="G161" s="14"/>
      <c r="H161" s="14"/>
      <c r="I161" s="14"/>
      <c r="J161" s="14">
        <f>L161+O161</f>
        <v>0</v>
      </c>
      <c r="K161" s="14"/>
      <c r="L161" s="14"/>
      <c r="M161" s="14"/>
      <c r="N161" s="14"/>
      <c r="O161" s="14"/>
      <c r="P161" s="14">
        <f t="shared" si="66"/>
        <v>300000</v>
      </c>
    </row>
    <row r="162" spans="1:16" s="6" customFormat="1" ht="78.75">
      <c r="A162" s="13"/>
      <c r="B162" s="13"/>
      <c r="C162" s="13"/>
      <c r="D162" s="1" t="s">
        <v>352</v>
      </c>
      <c r="E162" s="14">
        <f>F162+I162</f>
        <v>2237000</v>
      </c>
      <c r="F162" s="14">
        <v>2237000</v>
      </c>
      <c r="G162" s="14"/>
      <c r="H162" s="14"/>
      <c r="I162" s="14"/>
      <c r="J162" s="14">
        <f>L162+O162</f>
        <v>0</v>
      </c>
      <c r="K162" s="14"/>
      <c r="L162" s="14"/>
      <c r="M162" s="14"/>
      <c r="N162" s="14"/>
      <c r="O162" s="14"/>
      <c r="P162" s="14">
        <f>E162+J162</f>
        <v>2237000</v>
      </c>
    </row>
    <row r="163" spans="1:16" s="6" customFormat="1" ht="78.75">
      <c r="A163" s="13"/>
      <c r="B163" s="13"/>
      <c r="C163" s="13"/>
      <c r="D163" s="1" t="s">
        <v>366</v>
      </c>
      <c r="E163" s="14">
        <f>F163+I163</f>
        <v>300000</v>
      </c>
      <c r="F163" s="14">
        <v>300000</v>
      </c>
      <c r="G163" s="14"/>
      <c r="H163" s="14"/>
      <c r="I163" s="14"/>
      <c r="J163" s="14"/>
      <c r="K163" s="14"/>
      <c r="L163" s="14"/>
      <c r="M163" s="14"/>
      <c r="N163" s="14"/>
      <c r="O163" s="14"/>
      <c r="P163" s="14">
        <f>E163+J163</f>
        <v>300000</v>
      </c>
    </row>
    <row r="164" spans="1:16" s="23" customFormat="1" ht="63">
      <c r="A164" s="30">
        <v>3719800</v>
      </c>
      <c r="B164" s="30">
        <v>9800</v>
      </c>
      <c r="C164" s="30"/>
      <c r="D164" s="11" t="s">
        <v>326</v>
      </c>
      <c r="E164" s="12">
        <f>F164+I164</f>
        <v>7001734</v>
      </c>
      <c r="F164" s="12">
        <f>F166+F167+F168+F169+F170</f>
        <v>7001734</v>
      </c>
      <c r="G164" s="12">
        <f t="shared" ref="G164:O164" si="74">G166+G167+G168+G169+G170</f>
        <v>0</v>
      </c>
      <c r="H164" s="12">
        <f t="shared" si="74"/>
        <v>0</v>
      </c>
      <c r="I164" s="12">
        <f t="shared" si="74"/>
        <v>0</v>
      </c>
      <c r="J164" s="12">
        <f t="shared" si="69"/>
        <v>22252000</v>
      </c>
      <c r="K164" s="12">
        <f t="shared" si="74"/>
        <v>22252000</v>
      </c>
      <c r="L164" s="12">
        <f t="shared" si="74"/>
        <v>0</v>
      </c>
      <c r="M164" s="12">
        <f t="shared" si="74"/>
        <v>0</v>
      </c>
      <c r="N164" s="12">
        <f t="shared" si="74"/>
        <v>0</v>
      </c>
      <c r="O164" s="12">
        <f t="shared" si="74"/>
        <v>22252000</v>
      </c>
      <c r="P164" s="12">
        <f t="shared" si="66"/>
        <v>29253734</v>
      </c>
    </row>
    <row r="165" spans="1:16" s="31" customFormat="1">
      <c r="A165" s="13"/>
      <c r="B165" s="13"/>
      <c r="C165" s="13"/>
      <c r="D165" s="1" t="s">
        <v>350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1:16" s="31" customFormat="1" ht="173.25">
      <c r="A166" s="13"/>
      <c r="B166" s="13"/>
      <c r="C166" s="13"/>
      <c r="D166" s="1" t="s">
        <v>368</v>
      </c>
      <c r="E166" s="14">
        <f t="shared" ref="E166:E170" si="75">F166+I166</f>
        <v>4025334</v>
      </c>
      <c r="F166" s="14">
        <f>190000+1000000+1290000+545334+1000000</f>
        <v>4025334</v>
      </c>
      <c r="G166" s="14"/>
      <c r="H166" s="14"/>
      <c r="I166" s="14"/>
      <c r="J166" s="14">
        <f t="shared" si="69"/>
        <v>14752000</v>
      </c>
      <c r="K166" s="14">
        <f>1300000+6800000+840000+1062000+4750000</f>
        <v>14752000</v>
      </c>
      <c r="L166" s="14"/>
      <c r="M166" s="14"/>
      <c r="N166" s="14"/>
      <c r="O166" s="14">
        <f>1300000+6800000+840000+1062000+4750000</f>
        <v>14752000</v>
      </c>
      <c r="P166" s="14">
        <f t="shared" si="66"/>
        <v>18777334</v>
      </c>
    </row>
    <row r="167" spans="1:16" s="31" customFormat="1" ht="94.5">
      <c r="A167" s="13"/>
      <c r="B167" s="13"/>
      <c r="C167" s="13"/>
      <c r="D167" s="1" t="s">
        <v>345</v>
      </c>
      <c r="E167" s="14">
        <f t="shared" si="75"/>
        <v>0</v>
      </c>
      <c r="F167" s="14"/>
      <c r="G167" s="14"/>
      <c r="H167" s="14"/>
      <c r="I167" s="14"/>
      <c r="J167" s="14">
        <f t="shared" si="69"/>
        <v>5000000</v>
      </c>
      <c r="K167" s="14">
        <v>5000000</v>
      </c>
      <c r="L167" s="14"/>
      <c r="M167" s="14"/>
      <c r="N167" s="14"/>
      <c r="O167" s="14">
        <v>5000000</v>
      </c>
      <c r="P167" s="14">
        <f t="shared" si="66"/>
        <v>5000000</v>
      </c>
    </row>
    <row r="168" spans="1:16" s="31" customFormat="1" ht="63">
      <c r="A168" s="13"/>
      <c r="B168" s="13"/>
      <c r="C168" s="13"/>
      <c r="D168" s="1" t="s">
        <v>346</v>
      </c>
      <c r="E168" s="14">
        <f t="shared" si="75"/>
        <v>976400</v>
      </c>
      <c r="F168" s="14">
        <f>950000+26400</f>
        <v>976400</v>
      </c>
      <c r="G168" s="14"/>
      <c r="H168" s="14"/>
      <c r="I168" s="14"/>
      <c r="J168" s="14">
        <f t="shared" si="69"/>
        <v>1550000</v>
      </c>
      <c r="K168" s="14">
        <v>1550000</v>
      </c>
      <c r="L168" s="14"/>
      <c r="M168" s="14"/>
      <c r="N168" s="14"/>
      <c r="O168" s="14">
        <v>1550000</v>
      </c>
      <c r="P168" s="14">
        <f t="shared" si="66"/>
        <v>2526400</v>
      </c>
    </row>
    <row r="169" spans="1:16" s="31" customFormat="1" ht="78.75">
      <c r="A169" s="13"/>
      <c r="B169" s="13"/>
      <c r="C169" s="13"/>
      <c r="D169" s="1" t="s">
        <v>347</v>
      </c>
      <c r="E169" s="14">
        <f t="shared" si="75"/>
        <v>2000000</v>
      </c>
      <c r="F169" s="14">
        <v>2000000</v>
      </c>
      <c r="G169" s="14"/>
      <c r="H169" s="14"/>
      <c r="I169" s="14"/>
      <c r="J169" s="14">
        <f t="shared" si="69"/>
        <v>0</v>
      </c>
      <c r="K169" s="14"/>
      <c r="L169" s="14"/>
      <c r="M169" s="14"/>
      <c r="N169" s="14"/>
      <c r="O169" s="14"/>
      <c r="P169" s="14">
        <f t="shared" si="66"/>
        <v>2000000</v>
      </c>
    </row>
    <row r="170" spans="1:16" s="31" customFormat="1" ht="78.75">
      <c r="A170" s="13"/>
      <c r="B170" s="13"/>
      <c r="C170" s="13"/>
      <c r="D170" s="1" t="s">
        <v>367</v>
      </c>
      <c r="E170" s="14">
        <f t="shared" si="75"/>
        <v>0</v>
      </c>
      <c r="F170" s="14"/>
      <c r="G170" s="14"/>
      <c r="H170" s="14"/>
      <c r="I170" s="14"/>
      <c r="J170" s="14">
        <f t="shared" si="69"/>
        <v>950000</v>
      </c>
      <c r="K170" s="14">
        <v>950000</v>
      </c>
      <c r="L170" s="14"/>
      <c r="M170" s="14"/>
      <c r="N170" s="14"/>
      <c r="O170" s="14">
        <v>950000</v>
      </c>
      <c r="P170" s="14">
        <f t="shared" si="66"/>
        <v>950000</v>
      </c>
    </row>
    <row r="171" spans="1:16">
      <c r="A171" s="8" t="s">
        <v>286</v>
      </c>
      <c r="B171" s="8" t="s">
        <v>286</v>
      </c>
      <c r="C171" s="8" t="s">
        <v>286</v>
      </c>
      <c r="D171" s="16" t="s">
        <v>285</v>
      </c>
      <c r="E171" s="10">
        <f>F171+I171+E157</f>
        <v>957675554.99000001</v>
      </c>
      <c r="F171" s="10">
        <f>F20+F50+F72+F89+F94+F105+F113+F130+F144+F153</f>
        <v>840533508.99000001</v>
      </c>
      <c r="G171" s="10">
        <f>G20+G50+G72+G89+G94+G105+G113+G130+G144+G153</f>
        <v>558163090.99000001</v>
      </c>
      <c r="H171" s="10">
        <f>H20+H50+H72+H89+H94+H105+H113+H130+H144+H153</f>
        <v>45006682</v>
      </c>
      <c r="I171" s="10">
        <f>I20+I50+I72+I89+I94+I105+I113+I130+I144+I153</f>
        <v>110719669</v>
      </c>
      <c r="J171" s="10">
        <f>L171+O171</f>
        <v>174238244.44</v>
      </c>
      <c r="K171" s="10">
        <f>K20+K50+K72+K89+K94+K105+K113+K130+K144+K153</f>
        <v>153541381</v>
      </c>
      <c r="L171" s="10">
        <f>L20+L50+L72+L89+L94+L105+L113+L130+L144+L153</f>
        <v>17943600</v>
      </c>
      <c r="M171" s="10">
        <f>M20+M50+M72+M89+M94+M105+M113+M130+M144+M153</f>
        <v>525100</v>
      </c>
      <c r="N171" s="10">
        <f>N20+N50+N72+N89+N94+N105+N113+N130+N144+N153</f>
        <v>0</v>
      </c>
      <c r="O171" s="10">
        <f>O20+O50+O72+O89+O94+O105+O113+O130+O144+O153</f>
        <v>156294644.44</v>
      </c>
      <c r="P171" s="10">
        <f t="shared" si="66"/>
        <v>1131913799.4300001</v>
      </c>
    </row>
    <row r="173" spans="1:16" s="21" customFormat="1" ht="18.75">
      <c r="A173" s="17"/>
      <c r="B173" s="17"/>
      <c r="C173" s="18" t="s">
        <v>303</v>
      </c>
      <c r="D173" s="19" t="s">
        <v>304</v>
      </c>
      <c r="E173" s="20">
        <f t="shared" ref="E173:O173" si="76">E22+E27+E28+E52+E53+E74+E75+E91+E92+E96+E97+E107+E108+E115+E116+E117+E132+E133+E146+E147+E155+E156</f>
        <v>121563503</v>
      </c>
      <c r="F173" s="20">
        <f t="shared" si="76"/>
        <v>121563503</v>
      </c>
      <c r="G173" s="20">
        <f t="shared" si="76"/>
        <v>104737000</v>
      </c>
      <c r="H173" s="20">
        <f t="shared" si="76"/>
        <v>6171760</v>
      </c>
      <c r="I173" s="20">
        <f t="shared" si="76"/>
        <v>0</v>
      </c>
      <c r="J173" s="20">
        <f t="shared" si="76"/>
        <v>138600</v>
      </c>
      <c r="K173" s="20">
        <f t="shared" si="76"/>
        <v>0</v>
      </c>
      <c r="L173" s="20">
        <f t="shared" si="76"/>
        <v>138600</v>
      </c>
      <c r="M173" s="20">
        <f t="shared" si="76"/>
        <v>0</v>
      </c>
      <c r="N173" s="20">
        <f t="shared" si="76"/>
        <v>0</v>
      </c>
      <c r="O173" s="20">
        <f t="shared" si="76"/>
        <v>0</v>
      </c>
      <c r="P173" s="20">
        <f>E173+J173</f>
        <v>121702103</v>
      </c>
    </row>
    <row r="174" spans="1:16" s="21" customFormat="1" ht="18.75">
      <c r="A174" s="17"/>
      <c r="B174" s="17"/>
      <c r="C174" s="18" t="s">
        <v>305</v>
      </c>
      <c r="D174" s="19" t="s">
        <v>306</v>
      </c>
      <c r="E174" s="20">
        <f>E54+E55+E56+E57+E58+E59+E60+E61+E62+E63+E64+E65+E66+E67+E98</f>
        <v>446190404.99000001</v>
      </c>
      <c r="F174" s="20">
        <f t="shared" ref="F174:O174" si="77">F54+F55+F56+F57+F58+F59+F60+F61+F62+F63+F64+F65+F66+F67+F98</f>
        <v>446170404.99000001</v>
      </c>
      <c r="G174" s="20">
        <f t="shared" si="77"/>
        <v>374202390.99000001</v>
      </c>
      <c r="H174" s="20">
        <f t="shared" si="77"/>
        <v>34526942</v>
      </c>
      <c r="I174" s="20">
        <f t="shared" si="77"/>
        <v>20000</v>
      </c>
      <c r="J174" s="20">
        <f t="shared" si="77"/>
        <v>25878363</v>
      </c>
      <c r="K174" s="20">
        <f t="shared" si="77"/>
        <v>6820447</v>
      </c>
      <c r="L174" s="20">
        <f t="shared" si="77"/>
        <v>17325000</v>
      </c>
      <c r="M174" s="20">
        <f t="shared" si="77"/>
        <v>495100</v>
      </c>
      <c r="N174" s="20">
        <f t="shared" si="77"/>
        <v>0</v>
      </c>
      <c r="O174" s="20">
        <f t="shared" si="77"/>
        <v>8553363</v>
      </c>
      <c r="P174" s="20">
        <f t="shared" ref="P174:P182" si="78">E174+J174</f>
        <v>472068767.99000001</v>
      </c>
    </row>
    <row r="175" spans="1:16" s="21" customFormat="1" ht="18.75">
      <c r="A175" s="17"/>
      <c r="B175" s="17"/>
      <c r="C175" s="18" t="s">
        <v>307</v>
      </c>
      <c r="D175" s="19" t="s">
        <v>308</v>
      </c>
      <c r="E175" s="20">
        <f t="shared" ref="E175:O175" si="79">E29+E30+E31+E32+E134</f>
        <v>37980384</v>
      </c>
      <c r="F175" s="20">
        <f t="shared" si="79"/>
        <v>37980384</v>
      </c>
      <c r="G175" s="20">
        <f t="shared" si="79"/>
        <v>0</v>
      </c>
      <c r="H175" s="20">
        <f t="shared" si="79"/>
        <v>0</v>
      </c>
      <c r="I175" s="20">
        <f t="shared" si="79"/>
        <v>0</v>
      </c>
      <c r="J175" s="20">
        <f t="shared" si="79"/>
        <v>3406032</v>
      </c>
      <c r="K175" s="20">
        <f t="shared" si="79"/>
        <v>3406032</v>
      </c>
      <c r="L175" s="20">
        <f t="shared" si="79"/>
        <v>0</v>
      </c>
      <c r="M175" s="20">
        <f t="shared" si="79"/>
        <v>0</v>
      </c>
      <c r="N175" s="20">
        <f t="shared" si="79"/>
        <v>0</v>
      </c>
      <c r="O175" s="20">
        <f t="shared" si="79"/>
        <v>3406032</v>
      </c>
      <c r="P175" s="20">
        <f t="shared" si="78"/>
        <v>41386416</v>
      </c>
    </row>
    <row r="176" spans="1:16" s="21" customFormat="1" ht="32.25">
      <c r="A176" s="17"/>
      <c r="B176" s="17"/>
      <c r="C176" s="18" t="s">
        <v>309</v>
      </c>
      <c r="D176" s="19" t="s">
        <v>310</v>
      </c>
      <c r="E176" s="20">
        <f t="shared" ref="E176:O176" si="80">E33+E68+E69+E76+E77+E78+E79+E80+E81+E82+E83+E84+E85+E86+E87+E88+E93+E99+E109+E118</f>
        <v>97555265</v>
      </c>
      <c r="F176" s="20">
        <f t="shared" si="80"/>
        <v>97555265</v>
      </c>
      <c r="G176" s="20">
        <f t="shared" si="80"/>
        <v>26271600</v>
      </c>
      <c r="H176" s="20">
        <f t="shared" si="80"/>
        <v>650600</v>
      </c>
      <c r="I176" s="20">
        <f t="shared" si="80"/>
        <v>0</v>
      </c>
      <c r="J176" s="20">
        <f t="shared" si="80"/>
        <v>56400</v>
      </c>
      <c r="K176" s="20">
        <f t="shared" si="80"/>
        <v>0</v>
      </c>
      <c r="L176" s="20">
        <f t="shared" si="80"/>
        <v>0</v>
      </c>
      <c r="M176" s="20">
        <f t="shared" si="80"/>
        <v>0</v>
      </c>
      <c r="N176" s="20">
        <f t="shared" si="80"/>
        <v>0</v>
      </c>
      <c r="O176" s="20">
        <f t="shared" si="80"/>
        <v>56400</v>
      </c>
      <c r="P176" s="20">
        <f t="shared" si="78"/>
        <v>97611665</v>
      </c>
    </row>
    <row r="177" spans="1:16" s="21" customFormat="1" ht="18.75">
      <c r="A177" s="17"/>
      <c r="B177" s="17"/>
      <c r="C177" s="18" t="s">
        <v>311</v>
      </c>
      <c r="D177" s="19" t="s">
        <v>312</v>
      </c>
      <c r="E177" s="20">
        <f>E100+E101+E102+E103+E104</f>
        <v>29645900</v>
      </c>
      <c r="F177" s="20">
        <f t="shared" ref="F177:O177" si="81">F100+F101+F102+F103+F104</f>
        <v>29645900</v>
      </c>
      <c r="G177" s="20">
        <f t="shared" si="81"/>
        <v>24660200</v>
      </c>
      <c r="H177" s="20">
        <f t="shared" si="81"/>
        <v>2559900</v>
      </c>
      <c r="I177" s="20">
        <f t="shared" si="81"/>
        <v>0</v>
      </c>
      <c r="J177" s="20">
        <f t="shared" si="81"/>
        <v>280000</v>
      </c>
      <c r="K177" s="20">
        <f t="shared" si="81"/>
        <v>0</v>
      </c>
      <c r="L177" s="20">
        <f t="shared" si="81"/>
        <v>280000</v>
      </c>
      <c r="M177" s="20">
        <f t="shared" si="81"/>
        <v>30000</v>
      </c>
      <c r="N177" s="20">
        <f t="shared" si="81"/>
        <v>0</v>
      </c>
      <c r="O177" s="20">
        <f t="shared" si="81"/>
        <v>0</v>
      </c>
      <c r="P177" s="20">
        <f t="shared" si="78"/>
        <v>29925900</v>
      </c>
    </row>
    <row r="178" spans="1:16" s="21" customFormat="1" ht="18.75">
      <c r="A178" s="17"/>
      <c r="B178" s="17"/>
      <c r="C178" s="18" t="s">
        <v>313</v>
      </c>
      <c r="D178" s="19" t="s">
        <v>314</v>
      </c>
      <c r="E178" s="20">
        <f>E70+E110+E111+E112</f>
        <v>14980447</v>
      </c>
      <c r="F178" s="20">
        <f t="shared" ref="F178:O178" si="82">F70+F110+F111+F112</f>
        <v>14980447</v>
      </c>
      <c r="G178" s="20">
        <f t="shared" si="82"/>
        <v>10100000</v>
      </c>
      <c r="H178" s="20">
        <f t="shared" si="82"/>
        <v>770480</v>
      </c>
      <c r="I178" s="20">
        <f t="shared" si="82"/>
        <v>0</v>
      </c>
      <c r="J178" s="20">
        <f t="shared" si="82"/>
        <v>0</v>
      </c>
      <c r="K178" s="20">
        <f t="shared" si="82"/>
        <v>0</v>
      </c>
      <c r="L178" s="20">
        <f t="shared" si="82"/>
        <v>0</v>
      </c>
      <c r="M178" s="20">
        <f t="shared" si="82"/>
        <v>0</v>
      </c>
      <c r="N178" s="20">
        <f t="shared" si="82"/>
        <v>0</v>
      </c>
      <c r="O178" s="20">
        <f t="shared" si="82"/>
        <v>0</v>
      </c>
      <c r="P178" s="20">
        <f t="shared" si="78"/>
        <v>14980447</v>
      </c>
    </row>
    <row r="179" spans="1:16" s="21" customFormat="1" ht="18.75">
      <c r="A179" s="17"/>
      <c r="B179" s="17"/>
      <c r="C179" s="18" t="s">
        <v>315</v>
      </c>
      <c r="D179" s="19" t="s">
        <v>316</v>
      </c>
      <c r="E179" s="20">
        <f>E34+E35+E119+E120+E121+E122+E135+E136+E137+E148</f>
        <v>86050469</v>
      </c>
      <c r="F179" s="20">
        <f t="shared" ref="F179:O179" si="83">F34+F35+F119+F120+F121+F122+F135+F136+F137+F148</f>
        <v>30088400</v>
      </c>
      <c r="G179" s="20">
        <f t="shared" si="83"/>
        <v>0</v>
      </c>
      <c r="H179" s="20">
        <f t="shared" si="83"/>
        <v>0</v>
      </c>
      <c r="I179" s="20">
        <f t="shared" si="83"/>
        <v>55962069</v>
      </c>
      <c r="J179" s="20">
        <f t="shared" si="83"/>
        <v>31637108</v>
      </c>
      <c r="K179" s="20">
        <f t="shared" si="83"/>
        <v>31637108</v>
      </c>
      <c r="L179" s="20">
        <f t="shared" si="83"/>
        <v>0</v>
      </c>
      <c r="M179" s="20">
        <f t="shared" si="83"/>
        <v>0</v>
      </c>
      <c r="N179" s="20">
        <f t="shared" si="83"/>
        <v>0</v>
      </c>
      <c r="O179" s="20">
        <f t="shared" si="83"/>
        <v>31637108</v>
      </c>
      <c r="P179" s="20">
        <f t="shared" si="78"/>
        <v>117687577</v>
      </c>
    </row>
    <row r="180" spans="1:16" s="21" customFormat="1" ht="18.75">
      <c r="A180" s="17"/>
      <c r="B180" s="17"/>
      <c r="C180" s="18" t="s">
        <v>317</v>
      </c>
      <c r="D180" s="19" t="s">
        <v>318</v>
      </c>
      <c r="E180" s="20">
        <f>E40+E41+E42+E43+E123+E124+E125+E126+E138+E139+E140+E141+E142+E149+E150+E151</f>
        <v>80646600</v>
      </c>
      <c r="F180" s="20">
        <f t="shared" ref="F180:O180" si="84">F40+F41+F42+F43+F123+F124+F125+F126+F138+F139+F140+F141+F142+F149+F150+F151</f>
        <v>25909000</v>
      </c>
      <c r="G180" s="20">
        <f t="shared" si="84"/>
        <v>0</v>
      </c>
      <c r="H180" s="20">
        <f t="shared" si="84"/>
        <v>0</v>
      </c>
      <c r="I180" s="20">
        <f t="shared" si="84"/>
        <v>54737600</v>
      </c>
      <c r="J180" s="20">
        <f t="shared" si="84"/>
        <v>63988587.439999998</v>
      </c>
      <c r="K180" s="20">
        <f t="shared" si="84"/>
        <v>63174640</v>
      </c>
      <c r="L180" s="20">
        <f t="shared" si="84"/>
        <v>0</v>
      </c>
      <c r="M180" s="20">
        <f t="shared" si="84"/>
        <v>0</v>
      </c>
      <c r="N180" s="20">
        <f t="shared" si="84"/>
        <v>0</v>
      </c>
      <c r="O180" s="20">
        <f t="shared" si="84"/>
        <v>63988587.439999998</v>
      </c>
      <c r="P180" s="20">
        <f>E180+J180</f>
        <v>144635187.44</v>
      </c>
    </row>
    <row r="181" spans="1:16" s="22" customFormat="1" ht="18.75">
      <c r="A181" s="17"/>
      <c r="B181" s="17"/>
      <c r="C181" s="18" t="s">
        <v>319</v>
      </c>
      <c r="D181" s="19" t="s">
        <v>327</v>
      </c>
      <c r="E181" s="20">
        <f>E44+E45+E46+E47+E48+E49+E71+E128+E129+E127+E143+E152+E157</f>
        <v>31653348</v>
      </c>
      <c r="F181" s="20">
        <f t="shared" ref="F181:O181" si="85">F44+F45+F46+F47+F48+F49+F71+F128+F129+F127+F143+F152+F157</f>
        <v>25230971</v>
      </c>
      <c r="G181" s="20">
        <f t="shared" si="85"/>
        <v>18191900</v>
      </c>
      <c r="H181" s="20">
        <f t="shared" si="85"/>
        <v>327000</v>
      </c>
      <c r="I181" s="20">
        <f t="shared" si="85"/>
        <v>0</v>
      </c>
      <c r="J181" s="20">
        <f t="shared" si="85"/>
        <v>26601154</v>
      </c>
      <c r="K181" s="20">
        <f t="shared" si="85"/>
        <v>26251154</v>
      </c>
      <c r="L181" s="20">
        <f t="shared" si="85"/>
        <v>200000</v>
      </c>
      <c r="M181" s="20">
        <f t="shared" si="85"/>
        <v>0</v>
      </c>
      <c r="N181" s="20">
        <f t="shared" si="85"/>
        <v>0</v>
      </c>
      <c r="O181" s="20">
        <f t="shared" si="85"/>
        <v>26401154</v>
      </c>
      <c r="P181" s="20">
        <f t="shared" si="78"/>
        <v>58254502</v>
      </c>
    </row>
    <row r="182" spans="1:16" s="23" customFormat="1" ht="18.75">
      <c r="A182" s="17"/>
      <c r="B182" s="17"/>
      <c r="C182" s="18" t="s">
        <v>320</v>
      </c>
      <c r="D182" s="19" t="s">
        <v>321</v>
      </c>
      <c r="E182" s="20">
        <f>E158+E164</f>
        <v>11409234</v>
      </c>
      <c r="F182" s="20">
        <f t="shared" ref="F182:O182" si="86">F158+F164</f>
        <v>11409234</v>
      </c>
      <c r="G182" s="20">
        <f t="shared" si="86"/>
        <v>0</v>
      </c>
      <c r="H182" s="20">
        <f t="shared" si="86"/>
        <v>0</v>
      </c>
      <c r="I182" s="20">
        <f t="shared" si="86"/>
        <v>0</v>
      </c>
      <c r="J182" s="20">
        <f t="shared" si="86"/>
        <v>22252000</v>
      </c>
      <c r="K182" s="20">
        <f t="shared" si="86"/>
        <v>22252000</v>
      </c>
      <c r="L182" s="20">
        <f t="shared" si="86"/>
        <v>0</v>
      </c>
      <c r="M182" s="20">
        <f t="shared" si="86"/>
        <v>0</v>
      </c>
      <c r="N182" s="20">
        <f t="shared" si="86"/>
        <v>0</v>
      </c>
      <c r="O182" s="20">
        <f t="shared" si="86"/>
        <v>22252000</v>
      </c>
      <c r="P182" s="20">
        <f t="shared" si="78"/>
        <v>33661234</v>
      </c>
    </row>
    <row r="183" spans="1:16" s="23" customFormat="1">
      <c r="A183" s="24"/>
      <c r="B183" s="24"/>
      <c r="C183" s="24"/>
      <c r="D183" s="24" t="s">
        <v>16</v>
      </c>
      <c r="E183" s="25">
        <f>SUM(E173:E182)</f>
        <v>957675554.99000001</v>
      </c>
      <c r="F183" s="25">
        <f t="shared" ref="F183:O183" si="87">SUM(F173:F182)</f>
        <v>840533508.99000001</v>
      </c>
      <c r="G183" s="25">
        <f t="shared" si="87"/>
        <v>558163090.99000001</v>
      </c>
      <c r="H183" s="25">
        <f t="shared" si="87"/>
        <v>45006682</v>
      </c>
      <c r="I183" s="25">
        <f t="shared" si="87"/>
        <v>110719669</v>
      </c>
      <c r="J183" s="25">
        <f t="shared" si="87"/>
        <v>174238244.44</v>
      </c>
      <c r="K183" s="25">
        <f t="shared" si="87"/>
        <v>153541381</v>
      </c>
      <c r="L183" s="25">
        <f t="shared" si="87"/>
        <v>17943600</v>
      </c>
      <c r="M183" s="25">
        <f t="shared" si="87"/>
        <v>525100</v>
      </c>
      <c r="N183" s="25">
        <f t="shared" si="87"/>
        <v>0</v>
      </c>
      <c r="O183" s="25">
        <f t="shared" si="87"/>
        <v>156294644.44</v>
      </c>
      <c r="P183" s="25">
        <f>E183+J183</f>
        <v>1131913799.4300001</v>
      </c>
    </row>
    <row r="184" spans="1:16" s="23" customFormat="1" ht="11.45" customHeight="1"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s="23" customFormat="1">
      <c r="D185" s="23" t="s">
        <v>297</v>
      </c>
      <c r="E185" s="26"/>
      <c r="F185" s="26"/>
      <c r="G185" s="26"/>
      <c r="H185" s="26"/>
      <c r="I185" s="26" t="s">
        <v>298</v>
      </c>
      <c r="J185" s="26"/>
      <c r="K185" s="26"/>
      <c r="L185" s="26"/>
      <c r="M185" s="26"/>
      <c r="N185" s="26"/>
      <c r="O185" s="26"/>
      <c r="P185" s="26"/>
    </row>
    <row r="186" spans="1:16">
      <c r="E186" s="5"/>
    </row>
    <row r="187" spans="1:16">
      <c r="D187" s="4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>
      <c r="D188" s="4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s="27" customFormat="1">
      <c r="D189" s="29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s="27" customFormat="1">
      <c r="D190" s="29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2" spans="1:16" s="5" customFormat="1"/>
    <row r="193" s="5" customFormat="1"/>
  </sheetData>
  <mergeCells count="22">
    <mergeCell ref="J16:J18"/>
    <mergeCell ref="K16:K18"/>
    <mergeCell ref="L16:L18"/>
    <mergeCell ref="M16:N16"/>
    <mergeCell ref="M17:M18"/>
    <mergeCell ref="N17:N18"/>
    <mergeCell ref="A11:P11"/>
    <mergeCell ref="A12:P12"/>
    <mergeCell ref="A15:A18"/>
    <mergeCell ref="B15:B18"/>
    <mergeCell ref="C15:C18"/>
    <mergeCell ref="D15:D18"/>
    <mergeCell ref="E15:I15"/>
    <mergeCell ref="E16:E18"/>
    <mergeCell ref="F16:F18"/>
    <mergeCell ref="G16:H16"/>
    <mergeCell ref="O16:O18"/>
    <mergeCell ref="P15:P18"/>
    <mergeCell ref="G17:G18"/>
    <mergeCell ref="H17:H18"/>
    <mergeCell ref="I16:I18"/>
    <mergeCell ref="J15:O15"/>
  </mergeCells>
  <pageMargins left="0.19685039370078741" right="0.19685039370078741" top="0.59055118110236227" bottom="0.39370078740157483" header="0" footer="0"/>
  <pageSetup paperSize="9" scale="54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User</cp:lastModifiedBy>
  <cp:lastPrinted>2024-04-03T08:08:34Z</cp:lastPrinted>
  <dcterms:created xsi:type="dcterms:W3CDTF">2023-12-16T13:37:11Z</dcterms:created>
  <dcterms:modified xsi:type="dcterms:W3CDTF">2024-04-08T07:45:41Z</dcterms:modified>
</cp:coreProperties>
</file>