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6_НАСТУПНЕ\на сайт рада\"/>
    </mc:Choice>
  </mc:AlternateContent>
  <bookViews>
    <workbookView xWindow="0" yWindow="0" windowWidth="9168" windowHeight="5112"/>
  </bookViews>
  <sheets>
    <sheet name="Аркуш1" sheetId="1" r:id="rId1"/>
  </sheets>
  <definedNames>
    <definedName name="_xlnm.Print_Titles" localSheetId="0">Аркуш1!$15:$19</definedName>
    <definedName name="_xlnm.Print_Area" localSheetId="0">Аркуш1!$A$1:$P$194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1" i="1" l="1"/>
  <c r="K141" i="1"/>
  <c r="I128" i="1"/>
  <c r="F61" i="1" l="1"/>
  <c r="I61" i="1" l="1"/>
  <c r="F187" i="1" l="1"/>
  <c r="G187" i="1"/>
  <c r="H187" i="1"/>
  <c r="I187" i="1"/>
  <c r="J187" i="1"/>
  <c r="K187" i="1"/>
  <c r="L187" i="1"/>
  <c r="M187" i="1"/>
  <c r="N187" i="1"/>
  <c r="O187" i="1"/>
  <c r="F188" i="1"/>
  <c r="G188" i="1"/>
  <c r="H188" i="1"/>
  <c r="I188" i="1"/>
  <c r="J188" i="1"/>
  <c r="K188" i="1"/>
  <c r="L188" i="1"/>
  <c r="M188" i="1"/>
  <c r="N188" i="1"/>
  <c r="O188" i="1"/>
  <c r="E188" i="1"/>
  <c r="O174" i="1"/>
  <c r="K174" i="1"/>
  <c r="F174" i="1"/>
  <c r="E164" i="1"/>
  <c r="O144" i="1"/>
  <c r="K144" i="1"/>
  <c r="I132" i="1"/>
  <c r="I119" i="1" s="1"/>
  <c r="L119" i="1"/>
  <c r="M119" i="1"/>
  <c r="N119" i="1"/>
  <c r="O119" i="1"/>
  <c r="K119" i="1"/>
  <c r="G119" i="1"/>
  <c r="H119" i="1"/>
  <c r="F119" i="1"/>
  <c r="P129" i="1"/>
  <c r="J129" i="1"/>
  <c r="E129" i="1"/>
  <c r="O128" i="1"/>
  <c r="K128" i="1"/>
  <c r="F128" i="1"/>
  <c r="J125" i="1"/>
  <c r="P125" i="1" s="1"/>
  <c r="E125" i="1"/>
  <c r="F113" i="1"/>
  <c r="G105" i="1"/>
  <c r="F105" i="1"/>
  <c r="G104" i="1"/>
  <c r="F104" i="1"/>
  <c r="F55" i="1"/>
  <c r="H54" i="1"/>
  <c r="F54" i="1"/>
  <c r="H55" i="1"/>
  <c r="L21" i="1"/>
  <c r="M21" i="1"/>
  <c r="N21" i="1"/>
  <c r="O21" i="1"/>
  <c r="K21" i="1"/>
  <c r="G21" i="1"/>
  <c r="H21" i="1"/>
  <c r="I21" i="1"/>
  <c r="F21" i="1"/>
  <c r="F44" i="1"/>
  <c r="F35" i="1"/>
  <c r="O31" i="1"/>
  <c r="K31" i="1"/>
  <c r="F31" i="1"/>
  <c r="F28" i="1"/>
  <c r="H189" i="1" l="1"/>
  <c r="I189" i="1"/>
  <c r="M189" i="1"/>
  <c r="N189" i="1"/>
  <c r="G44" i="1"/>
  <c r="G189" i="1" s="1"/>
  <c r="O29" i="1"/>
  <c r="K29" i="1"/>
  <c r="G186" i="1" l="1"/>
  <c r="I186" i="1"/>
  <c r="K186" i="1"/>
  <c r="L186" i="1"/>
  <c r="M186" i="1"/>
  <c r="N186" i="1"/>
  <c r="O186" i="1"/>
  <c r="I182" i="1"/>
  <c r="N182" i="1"/>
  <c r="O175" i="1"/>
  <c r="K175" i="1"/>
  <c r="K172" i="1" s="1"/>
  <c r="L165" i="1"/>
  <c r="M165" i="1"/>
  <c r="N165" i="1"/>
  <c r="O165" i="1"/>
  <c r="K165" i="1"/>
  <c r="G165" i="1"/>
  <c r="H165" i="1"/>
  <c r="I165" i="1"/>
  <c r="J171" i="1"/>
  <c r="E171" i="1"/>
  <c r="F156" i="1"/>
  <c r="F134" i="1"/>
  <c r="F120" i="1"/>
  <c r="E116" i="1"/>
  <c r="P116" i="1" s="1"/>
  <c r="L51" i="1"/>
  <c r="M51" i="1"/>
  <c r="N51" i="1"/>
  <c r="I51" i="1"/>
  <c r="E69" i="1"/>
  <c r="P69" i="1" s="1"/>
  <c r="E68" i="1"/>
  <c r="P68" i="1" s="1"/>
  <c r="G66" i="1"/>
  <c r="F66" i="1"/>
  <c r="E66" i="1" s="1"/>
  <c r="P66" i="1" s="1"/>
  <c r="P171" i="1" l="1"/>
  <c r="J49" i="1"/>
  <c r="E49" i="1"/>
  <c r="P49" i="1" s="1"/>
  <c r="F47" i="1"/>
  <c r="F46" i="1"/>
  <c r="F29" i="1"/>
  <c r="H23" i="1"/>
  <c r="F23" i="1"/>
  <c r="L172" i="1" l="1"/>
  <c r="M172" i="1"/>
  <c r="N172" i="1"/>
  <c r="G172" i="1"/>
  <c r="H172" i="1"/>
  <c r="I172" i="1"/>
  <c r="O172" i="1" l="1"/>
  <c r="O150" i="1"/>
  <c r="K150" i="1"/>
  <c r="F92" i="1"/>
  <c r="F79" i="1"/>
  <c r="F43" i="1"/>
  <c r="G62" i="1" l="1"/>
  <c r="F176" i="1" l="1"/>
  <c r="F172" i="1" s="1"/>
  <c r="E178" i="1"/>
  <c r="J178" i="1"/>
  <c r="E170" i="1"/>
  <c r="P170" i="1" s="1"/>
  <c r="F167" i="1"/>
  <c r="F165" i="1" s="1"/>
  <c r="I158" i="1"/>
  <c r="F155" i="1"/>
  <c r="J133" i="1"/>
  <c r="E133" i="1"/>
  <c r="O75" i="1"/>
  <c r="O189" i="1" s="1"/>
  <c r="K75" i="1"/>
  <c r="K189" i="1" s="1"/>
  <c r="H74" i="1"/>
  <c r="H186" i="1" s="1"/>
  <c r="F74" i="1"/>
  <c r="F186" i="1" s="1"/>
  <c r="F72" i="1"/>
  <c r="J70" i="1"/>
  <c r="E70" i="1"/>
  <c r="H65" i="1"/>
  <c r="F65" i="1"/>
  <c r="J64" i="1"/>
  <c r="E64" i="1"/>
  <c r="H62" i="1"/>
  <c r="F62" i="1"/>
  <c r="H61" i="1"/>
  <c r="H59" i="1"/>
  <c r="F59" i="1"/>
  <c r="H56" i="1"/>
  <c r="F56" i="1"/>
  <c r="G54" i="1"/>
  <c r="O54" i="1"/>
  <c r="K54" i="1"/>
  <c r="H52" i="1"/>
  <c r="F52" i="1"/>
  <c r="F45" i="1"/>
  <c r="F189" i="1" s="1"/>
  <c r="J43" i="1"/>
  <c r="E43" i="1"/>
  <c r="I40" i="1"/>
  <c r="E39" i="1"/>
  <c r="F37" i="1"/>
  <c r="F34" i="1"/>
  <c r="E34" i="1" s="1"/>
  <c r="K34" i="1"/>
  <c r="O34" i="1"/>
  <c r="J34" i="1" s="1"/>
  <c r="F33" i="1"/>
  <c r="H182" i="1" l="1"/>
  <c r="H51" i="1"/>
  <c r="F182" i="1"/>
  <c r="P178" i="1"/>
  <c r="P133" i="1"/>
  <c r="P64" i="1"/>
  <c r="P70" i="1"/>
  <c r="P43" i="1"/>
  <c r="P34" i="1"/>
  <c r="L138" i="1" l="1"/>
  <c r="M138" i="1"/>
  <c r="N138" i="1"/>
  <c r="O138" i="1"/>
  <c r="K138" i="1"/>
  <c r="G138" i="1"/>
  <c r="H138" i="1"/>
  <c r="I138" i="1"/>
  <c r="J147" i="1"/>
  <c r="E147" i="1"/>
  <c r="J71" i="1"/>
  <c r="E71" i="1"/>
  <c r="P71" i="1" l="1"/>
  <c r="P147" i="1"/>
  <c r="E128" i="1" l="1"/>
  <c r="E187" i="1" s="1"/>
  <c r="J169" i="1"/>
  <c r="E169" i="1"/>
  <c r="P169" i="1" s="1"/>
  <c r="J168" i="1"/>
  <c r="E168" i="1"/>
  <c r="J167" i="1"/>
  <c r="E167" i="1"/>
  <c r="P167" i="1" l="1"/>
  <c r="P168" i="1"/>
  <c r="F154" i="1" l="1"/>
  <c r="F140" i="1"/>
  <c r="F138" i="1" s="1"/>
  <c r="F122" i="1"/>
  <c r="F112" i="1"/>
  <c r="F110" i="1" s="1"/>
  <c r="F101" i="1"/>
  <c r="F96" i="1"/>
  <c r="F53" i="1"/>
  <c r="F51" i="1" s="1"/>
  <c r="F30" i="1"/>
  <c r="F26" i="1"/>
  <c r="F25" i="1"/>
  <c r="F24" i="1"/>
  <c r="L161" i="1" l="1"/>
  <c r="M161" i="1"/>
  <c r="N161" i="1"/>
  <c r="G161" i="1"/>
  <c r="H161" i="1"/>
  <c r="I161" i="1"/>
  <c r="J177" i="1"/>
  <c r="E177" i="1"/>
  <c r="P177" i="1" l="1"/>
  <c r="J176" i="1"/>
  <c r="E176" i="1"/>
  <c r="E175" i="1"/>
  <c r="J175" i="1"/>
  <c r="O161" i="1"/>
  <c r="K161" i="1"/>
  <c r="F161" i="1"/>
  <c r="J124" i="1"/>
  <c r="F183" i="1"/>
  <c r="G183" i="1"/>
  <c r="H183" i="1"/>
  <c r="I183" i="1"/>
  <c r="K183" i="1"/>
  <c r="L183" i="1"/>
  <c r="M183" i="1"/>
  <c r="N183" i="1"/>
  <c r="O183" i="1"/>
  <c r="L137" i="1"/>
  <c r="M137" i="1"/>
  <c r="N137" i="1"/>
  <c r="O137" i="1"/>
  <c r="K137" i="1"/>
  <c r="E150" i="1"/>
  <c r="J150" i="1"/>
  <c r="E141" i="1"/>
  <c r="E142" i="1"/>
  <c r="E143" i="1"/>
  <c r="E144" i="1"/>
  <c r="E145" i="1"/>
  <c r="E146" i="1"/>
  <c r="E148" i="1"/>
  <c r="E149" i="1"/>
  <c r="J141" i="1"/>
  <c r="J142" i="1"/>
  <c r="J143" i="1"/>
  <c r="J144" i="1"/>
  <c r="J145" i="1"/>
  <c r="P145" i="1" s="1"/>
  <c r="J146" i="1"/>
  <c r="J148" i="1"/>
  <c r="J149" i="1"/>
  <c r="J131" i="1"/>
  <c r="E131" i="1"/>
  <c r="E124" i="1"/>
  <c r="E75" i="1"/>
  <c r="J75" i="1"/>
  <c r="P175" i="1" l="1"/>
  <c r="P146" i="1"/>
  <c r="P149" i="1"/>
  <c r="P143" i="1"/>
  <c r="P176" i="1"/>
  <c r="J119" i="1"/>
  <c r="P150" i="1"/>
  <c r="P131" i="1"/>
  <c r="P148" i="1"/>
  <c r="P142" i="1"/>
  <c r="P141" i="1"/>
  <c r="P124" i="1"/>
  <c r="P144" i="1"/>
  <c r="P75" i="1"/>
  <c r="G56" i="1"/>
  <c r="G55" i="1"/>
  <c r="O55" i="1"/>
  <c r="K55" i="1"/>
  <c r="E41" i="1"/>
  <c r="J40" i="1"/>
  <c r="J41" i="1"/>
  <c r="E40" i="1"/>
  <c r="G51" i="1" l="1"/>
  <c r="G182" i="1"/>
  <c r="K182" i="1"/>
  <c r="K51" i="1"/>
  <c r="O51" i="1"/>
  <c r="O182" i="1"/>
  <c r="P41" i="1"/>
  <c r="P40" i="1"/>
  <c r="J174" i="1"/>
  <c r="E174" i="1"/>
  <c r="P174" i="1" l="1"/>
  <c r="E135" i="1"/>
  <c r="P135" i="1" s="1"/>
  <c r="F190" i="1" l="1"/>
  <c r="G190" i="1"/>
  <c r="H190" i="1"/>
  <c r="I190" i="1"/>
  <c r="K190" i="1"/>
  <c r="L190" i="1"/>
  <c r="M190" i="1"/>
  <c r="N190" i="1"/>
  <c r="O190" i="1"/>
  <c r="E172" i="1"/>
  <c r="E165" i="1"/>
  <c r="E163" i="1"/>
  <c r="E162" i="1"/>
  <c r="J172" i="1"/>
  <c r="O160" i="1"/>
  <c r="K160" i="1"/>
  <c r="F152" i="1"/>
  <c r="F118" i="1"/>
  <c r="L110" i="1"/>
  <c r="M110" i="1"/>
  <c r="N110" i="1"/>
  <c r="O110" i="1"/>
  <c r="K110" i="1"/>
  <c r="G110" i="1"/>
  <c r="H110" i="1"/>
  <c r="I110" i="1"/>
  <c r="F109" i="1"/>
  <c r="N99" i="1"/>
  <c r="O99" i="1"/>
  <c r="K99" i="1"/>
  <c r="G99" i="1"/>
  <c r="H99" i="1"/>
  <c r="I99" i="1"/>
  <c r="F99" i="1"/>
  <c r="F98" i="1" s="1"/>
  <c r="F94" i="1"/>
  <c r="F93" i="1" s="1"/>
  <c r="L94" i="1"/>
  <c r="M94" i="1"/>
  <c r="N94" i="1"/>
  <c r="O94" i="1"/>
  <c r="K94" i="1"/>
  <c r="G94" i="1"/>
  <c r="H94" i="1"/>
  <c r="I94" i="1"/>
  <c r="L77" i="1"/>
  <c r="M77" i="1"/>
  <c r="N77" i="1"/>
  <c r="O77" i="1"/>
  <c r="K77" i="1"/>
  <c r="G77" i="1"/>
  <c r="H77" i="1"/>
  <c r="I77" i="1"/>
  <c r="F77" i="1"/>
  <c r="E51" i="1"/>
  <c r="J47" i="1"/>
  <c r="E47" i="1"/>
  <c r="G185" i="1"/>
  <c r="H185" i="1"/>
  <c r="I185" i="1"/>
  <c r="K185" i="1"/>
  <c r="N185" i="1"/>
  <c r="O185" i="1"/>
  <c r="G184" i="1"/>
  <c r="H184" i="1"/>
  <c r="I184" i="1"/>
  <c r="K184" i="1"/>
  <c r="L184" i="1"/>
  <c r="M184" i="1"/>
  <c r="N184" i="1"/>
  <c r="O184" i="1"/>
  <c r="E161" i="1" l="1"/>
  <c r="E160" i="1" s="1"/>
  <c r="P172" i="1"/>
  <c r="E190" i="1"/>
  <c r="P47" i="1"/>
  <c r="F185" i="1" l="1"/>
  <c r="F184" i="1" l="1"/>
  <c r="M102" i="1" l="1"/>
  <c r="M182" i="1" s="1"/>
  <c r="L102" i="1"/>
  <c r="L182" i="1" s="1"/>
  <c r="L35" i="1" l="1"/>
  <c r="M35" i="1"/>
  <c r="N35" i="1"/>
  <c r="O35" i="1"/>
  <c r="K35" i="1"/>
  <c r="G35" i="1"/>
  <c r="H35" i="1"/>
  <c r="I35" i="1"/>
  <c r="J36" i="1"/>
  <c r="J37" i="1"/>
  <c r="J38" i="1"/>
  <c r="E37" i="1"/>
  <c r="E38" i="1"/>
  <c r="E36" i="1"/>
  <c r="E35" i="1" l="1"/>
  <c r="P36" i="1"/>
  <c r="P37" i="1"/>
  <c r="P38" i="1"/>
  <c r="L22" i="1"/>
  <c r="M22" i="1"/>
  <c r="N22" i="1"/>
  <c r="O22" i="1"/>
  <c r="K22" i="1"/>
  <c r="J24" i="1"/>
  <c r="J25" i="1"/>
  <c r="J26" i="1"/>
  <c r="J23" i="1"/>
  <c r="E24" i="1"/>
  <c r="E25" i="1"/>
  <c r="E26" i="1"/>
  <c r="E23" i="1"/>
  <c r="F22" i="1"/>
  <c r="H22" i="1"/>
  <c r="I22" i="1"/>
  <c r="G22" i="1"/>
  <c r="P23" i="1" l="1"/>
  <c r="O181" i="1"/>
  <c r="O191" i="1" s="1"/>
  <c r="G181" i="1"/>
  <c r="G191" i="1" s="1"/>
  <c r="L181" i="1"/>
  <c r="N181" i="1"/>
  <c r="N191" i="1" s="1"/>
  <c r="K181" i="1"/>
  <c r="K191" i="1" s="1"/>
  <c r="M181" i="1"/>
  <c r="I181" i="1"/>
  <c r="I191" i="1" s="1"/>
  <c r="H181" i="1"/>
  <c r="H191" i="1" s="1"/>
  <c r="F181" i="1"/>
  <c r="F191" i="1" s="1"/>
  <c r="P26" i="1"/>
  <c r="P25" i="1"/>
  <c r="P24" i="1"/>
  <c r="O93" i="1"/>
  <c r="K93" i="1"/>
  <c r="L93" i="1"/>
  <c r="M93" i="1"/>
  <c r="N93" i="1"/>
  <c r="M76" i="1"/>
  <c r="N76" i="1"/>
  <c r="O76" i="1"/>
  <c r="K76" i="1"/>
  <c r="L76" i="1"/>
  <c r="M50" i="1"/>
  <c r="N50" i="1"/>
  <c r="L50" i="1"/>
  <c r="O50" i="1"/>
  <c r="K50" i="1"/>
  <c r="G160" i="1"/>
  <c r="H160" i="1"/>
  <c r="I160" i="1"/>
  <c r="F160" i="1"/>
  <c r="G152" i="1"/>
  <c r="G151" i="1" s="1"/>
  <c r="H152" i="1"/>
  <c r="H151" i="1" s="1"/>
  <c r="I152" i="1"/>
  <c r="I151" i="1" s="1"/>
  <c r="F151" i="1"/>
  <c r="G137" i="1"/>
  <c r="H137" i="1"/>
  <c r="I137" i="1"/>
  <c r="F137" i="1"/>
  <c r="G118" i="1"/>
  <c r="H118" i="1"/>
  <c r="I118" i="1"/>
  <c r="G109" i="1"/>
  <c r="H109" i="1"/>
  <c r="I109" i="1"/>
  <c r="G98" i="1"/>
  <c r="H98" i="1"/>
  <c r="I98" i="1"/>
  <c r="L48" i="1" l="1"/>
  <c r="L189" i="1" s="1"/>
  <c r="M106" i="1" l="1"/>
  <c r="L104" i="1"/>
  <c r="K98" i="1"/>
  <c r="N98" i="1"/>
  <c r="O98" i="1"/>
  <c r="L118" i="1"/>
  <c r="M118" i="1"/>
  <c r="N118" i="1"/>
  <c r="O118" i="1"/>
  <c r="K118" i="1"/>
  <c r="J136" i="1"/>
  <c r="E136" i="1"/>
  <c r="J48" i="1"/>
  <c r="E48" i="1"/>
  <c r="L185" i="1" l="1"/>
  <c r="L191" i="1" s="1"/>
  <c r="L99" i="1"/>
  <c r="L98" i="1" s="1"/>
  <c r="M185" i="1"/>
  <c r="M191" i="1" s="1"/>
  <c r="M99" i="1"/>
  <c r="M98" i="1" s="1"/>
  <c r="P136" i="1"/>
  <c r="P48" i="1"/>
  <c r="J94" i="1" l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7" i="1"/>
  <c r="J118" i="1"/>
  <c r="J120" i="1"/>
  <c r="J121" i="1"/>
  <c r="J122" i="1"/>
  <c r="J123" i="1"/>
  <c r="J126" i="1"/>
  <c r="J127" i="1"/>
  <c r="J128" i="1"/>
  <c r="J130" i="1"/>
  <c r="J132" i="1"/>
  <c r="J134" i="1"/>
  <c r="J137" i="1"/>
  <c r="J138" i="1"/>
  <c r="J139" i="1"/>
  <c r="J14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78" i="1"/>
  <c r="G76" i="1"/>
  <c r="I76" i="1"/>
  <c r="F76" i="1"/>
  <c r="H76" i="1"/>
  <c r="J53" i="1"/>
  <c r="J54" i="1"/>
  <c r="J55" i="1"/>
  <c r="J56" i="1"/>
  <c r="J57" i="1"/>
  <c r="J58" i="1"/>
  <c r="J59" i="1"/>
  <c r="J60" i="1"/>
  <c r="J61" i="1"/>
  <c r="J62" i="1"/>
  <c r="J63" i="1"/>
  <c r="J65" i="1"/>
  <c r="J72" i="1"/>
  <c r="J73" i="1"/>
  <c r="J74" i="1"/>
  <c r="J52" i="1"/>
  <c r="G50" i="1"/>
  <c r="H50" i="1"/>
  <c r="I50" i="1"/>
  <c r="J27" i="1"/>
  <c r="J28" i="1"/>
  <c r="J29" i="1"/>
  <c r="J30" i="1"/>
  <c r="J31" i="1"/>
  <c r="J32" i="1"/>
  <c r="J33" i="1"/>
  <c r="J35" i="1"/>
  <c r="P35" i="1" s="1"/>
  <c r="J42" i="1"/>
  <c r="J44" i="1"/>
  <c r="J45" i="1"/>
  <c r="J46" i="1"/>
  <c r="J22" i="1"/>
  <c r="J21" i="1"/>
  <c r="L20" i="1"/>
  <c r="M20" i="1"/>
  <c r="M179" i="1" s="1"/>
  <c r="N20" i="1"/>
  <c r="N179" i="1" s="1"/>
  <c r="O20" i="1"/>
  <c r="K20" i="1"/>
  <c r="K179" i="1" s="1"/>
  <c r="G20" i="1"/>
  <c r="H20" i="1"/>
  <c r="I20" i="1"/>
  <c r="F20" i="1"/>
  <c r="E154" i="1"/>
  <c r="E155" i="1"/>
  <c r="E156" i="1"/>
  <c r="E157" i="1"/>
  <c r="E158" i="1"/>
  <c r="E159" i="1"/>
  <c r="E140" i="1"/>
  <c r="E121" i="1"/>
  <c r="E122" i="1"/>
  <c r="E123" i="1"/>
  <c r="E126" i="1"/>
  <c r="E127" i="1"/>
  <c r="E130" i="1"/>
  <c r="E132" i="1"/>
  <c r="E134" i="1"/>
  <c r="E112" i="1"/>
  <c r="E113" i="1"/>
  <c r="E114" i="1"/>
  <c r="E115" i="1"/>
  <c r="E117" i="1"/>
  <c r="E101" i="1"/>
  <c r="E102" i="1"/>
  <c r="E103" i="1"/>
  <c r="E104" i="1"/>
  <c r="E105" i="1"/>
  <c r="E106" i="1"/>
  <c r="E107" i="1"/>
  <c r="E108" i="1"/>
  <c r="E96" i="1"/>
  <c r="E97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53" i="1"/>
  <c r="E54" i="1"/>
  <c r="E55" i="1"/>
  <c r="E56" i="1"/>
  <c r="E57" i="1"/>
  <c r="E58" i="1"/>
  <c r="E59" i="1"/>
  <c r="E60" i="1"/>
  <c r="E61" i="1"/>
  <c r="E62" i="1"/>
  <c r="E63" i="1"/>
  <c r="E65" i="1"/>
  <c r="E72" i="1"/>
  <c r="E73" i="1"/>
  <c r="E74" i="1"/>
  <c r="E153" i="1"/>
  <c r="E152" i="1"/>
  <c r="E151" i="1"/>
  <c r="E139" i="1"/>
  <c r="E138" i="1"/>
  <c r="E137" i="1"/>
  <c r="E120" i="1"/>
  <c r="E119" i="1"/>
  <c r="E118" i="1"/>
  <c r="E111" i="1"/>
  <c r="E110" i="1"/>
  <c r="E109" i="1"/>
  <c r="E100" i="1"/>
  <c r="E99" i="1"/>
  <c r="E98" i="1"/>
  <c r="E95" i="1"/>
  <c r="E94" i="1"/>
  <c r="E93" i="1"/>
  <c r="E78" i="1"/>
  <c r="E77" i="1"/>
  <c r="E52" i="1"/>
  <c r="E27" i="1"/>
  <c r="E28" i="1"/>
  <c r="E29" i="1"/>
  <c r="E30" i="1"/>
  <c r="E31" i="1"/>
  <c r="E32" i="1"/>
  <c r="E33" i="1"/>
  <c r="E42" i="1"/>
  <c r="E44" i="1"/>
  <c r="E45" i="1"/>
  <c r="E46" i="1"/>
  <c r="E22" i="1"/>
  <c r="E21" i="1"/>
  <c r="J189" i="1" l="1"/>
  <c r="E189" i="1"/>
  <c r="E182" i="1"/>
  <c r="J186" i="1"/>
  <c r="E76" i="1"/>
  <c r="E186" i="1"/>
  <c r="J182" i="1"/>
  <c r="E183" i="1"/>
  <c r="J183" i="1"/>
  <c r="P119" i="1"/>
  <c r="J190" i="1"/>
  <c r="P190" i="1" s="1"/>
  <c r="G179" i="1"/>
  <c r="E185" i="1"/>
  <c r="J185" i="1"/>
  <c r="E181" i="1"/>
  <c r="J184" i="1"/>
  <c r="E184" i="1"/>
  <c r="J181" i="1"/>
  <c r="I179" i="1"/>
  <c r="F50" i="1"/>
  <c r="E50" i="1" s="1"/>
  <c r="H179" i="1"/>
  <c r="J93" i="1"/>
  <c r="P93" i="1" s="1"/>
  <c r="J50" i="1"/>
  <c r="O179" i="1"/>
  <c r="P21" i="1"/>
  <c r="J76" i="1"/>
  <c r="P76" i="1" s="1"/>
  <c r="J77" i="1"/>
  <c r="P77" i="1" s="1"/>
  <c r="J51" i="1"/>
  <c r="P51" i="1" s="1"/>
  <c r="J20" i="1"/>
  <c r="L179" i="1"/>
  <c r="E20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40" i="1"/>
  <c r="P139" i="1"/>
  <c r="P138" i="1"/>
  <c r="P137" i="1"/>
  <c r="P134" i="1"/>
  <c r="P132" i="1"/>
  <c r="P130" i="1"/>
  <c r="P128" i="1"/>
  <c r="P127" i="1"/>
  <c r="P126" i="1"/>
  <c r="P123" i="1"/>
  <c r="P122" i="1"/>
  <c r="P121" i="1"/>
  <c r="P120" i="1"/>
  <c r="P118" i="1"/>
  <c r="P117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4" i="1"/>
  <c r="P73" i="1"/>
  <c r="P72" i="1"/>
  <c r="P65" i="1"/>
  <c r="P63" i="1"/>
  <c r="P62" i="1"/>
  <c r="P61" i="1"/>
  <c r="P60" i="1"/>
  <c r="P59" i="1"/>
  <c r="P58" i="1"/>
  <c r="P57" i="1"/>
  <c r="P56" i="1"/>
  <c r="P55" i="1"/>
  <c r="P54" i="1"/>
  <c r="P53" i="1"/>
  <c r="P52" i="1"/>
  <c r="P46" i="1"/>
  <c r="P45" i="1"/>
  <c r="P44" i="1"/>
  <c r="P42" i="1"/>
  <c r="P33" i="1"/>
  <c r="P32" i="1"/>
  <c r="P31" i="1"/>
  <c r="P30" i="1"/>
  <c r="P29" i="1"/>
  <c r="P28" i="1"/>
  <c r="P27" i="1"/>
  <c r="P22" i="1"/>
  <c r="P186" i="1" l="1"/>
  <c r="P50" i="1"/>
  <c r="P187" i="1"/>
  <c r="P182" i="1"/>
  <c r="P189" i="1"/>
  <c r="P181" i="1"/>
  <c r="P188" i="1"/>
  <c r="J191" i="1"/>
  <c r="P185" i="1"/>
  <c r="P184" i="1"/>
  <c r="E191" i="1"/>
  <c r="P183" i="1"/>
  <c r="F179" i="1"/>
  <c r="P20" i="1"/>
  <c r="J179" i="1"/>
  <c r="E179" i="1" l="1"/>
  <c r="P191" i="1"/>
  <c r="P179" i="1" l="1"/>
</calcChain>
</file>

<file path=xl/sharedStrings.xml><?xml version="1.0" encoding="utf-8"?>
<sst xmlns="http://schemas.openxmlformats.org/spreadsheetml/2006/main" count="594" uniqueCount="380">
  <si>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</si>
  <si>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</si>
  <si>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</si>
  <si>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</si>
  <si>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</si>
  <si>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</si>
  <si>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</si>
  <si>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</si>
  <si>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</si>
  <si>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</si>
  <si>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</si>
  <si>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</si>
  <si>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</si>
  <si>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</si>
  <si>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</si>
  <si>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</si>
  <si>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</si>
  <si>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</si>
  <si>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</si>
  <si>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</si>
  <si>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</si>
  <si>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</si>
  <si>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</si>
  <si>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</si>
  <si>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</si>
  <si>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</si>
  <si>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</si>
  <si>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</si>
  <si>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</si>
  <si>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</si>
  <si>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</si>
  <si>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</si>
  <si>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</si>
  <si>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</si>
  <si>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</si>
  <si>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</si>
  <si>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</si>
  <si>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</si>
  <si>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</si>
  <si>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</si>
  <si>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</si>
  <si>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</si>
  <si>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</si>
  <si>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</si>
  <si>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</si>
  <si>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</si>
  <si>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</si>
  <si>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</si>
  <si>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</si>
  <si>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</si>
  <si>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</si>
  <si>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</si>
  <si>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</si>
  <si>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</si>
  <si>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</si>
  <si>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</si>
  <si>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</si>
  <si>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</si>
  <si>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</si>
  <si>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</si>
  <si>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</si>
  <si>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</si>
  <si>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</si>
  <si>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</si>
  <si>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</si>
  <si>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</si>
  <si>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</si>
  <si>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</si>
  <si>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</si>
  <si>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</si>
  <si>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</si>
  <si>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</si>
  <si>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</si>
  <si>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</si>
  <si>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</si>
  <si>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</si>
  <si>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</si>
  <si>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</si>
  <si>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</si>
  <si>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</si>
  <si>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</si>
  <si>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</si>
  <si>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</si>
  <si>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</si>
  <si>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</si>
  <si>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</si>
  <si>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</si>
  <si>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</si>
  <si>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</si>
  <si>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</si>
  <si>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</si>
  <si>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</si>
  <si>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</si>
  <si>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</si>
  <si>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</si>
  <si>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</si>
  <si>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</si>
  <si>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</si>
  <si>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</si>
  <si>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</si>
  <si>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</si>
  <si>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</si>
  <si>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</si>
  <si>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</si>
  <si>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</si>
  <si>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</si>
  <si>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</si>
  <si>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</si>
  <si>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</si>
  <si>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</si>
  <si>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</si>
  <si>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</si>
  <si>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</si>
  <si>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</si>
  <si>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</si>
  <si>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</si>
  <si>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</si>
  <si>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</si>
  <si>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</si>
  <si>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</si>
  <si>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</si>
  <si>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</si>
  <si>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</si>
  <si>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</si>
  <si>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</si>
  <si>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</si>
  <si>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</si>
  <si>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</si>
  <si>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</si>
  <si>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</si>
  <si>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</si>
  <si>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</si>
  <si>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</si>
  <si>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</si>
  <si>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</si>
  <si>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</si>
  <si>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</si>
  <si>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</si>
  <si>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</si>
  <si>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</si>
  <si>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</si>
  <si>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</si>
  <si>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</si>
  <si>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</si>
  <si>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</si>
  <si>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</si>
  <si>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</si>
  <si>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</si>
  <si>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</si>
  <si>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</si>
  <si>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</si>
  <si>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</si>
  <si>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</si>
  <si>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</si>
  <si>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</si>
  <si>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</si>
  <si>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</si>
  <si>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</si>
  <si>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</si>
  <si>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</si>
  <si>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</si>
  <si>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</si>
  <si>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</si>
  <si>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</si>
  <si>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</si>
  <si>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</si>
  <si>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</si>
  <si>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</si>
  <si>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</si>
  <si>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</si>
  <si>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</si>
  <si>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</si>
  <si>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</si>
  <si>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</si>
  <si>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</si>
  <si>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</si>
  <si>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</si>
  <si>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</si>
  <si>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</si>
  <si>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</si>
  <si>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</si>
  <si>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</si>
  <si>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</si>
  <si>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</si>
  <si>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</si>
  <si>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</si>
  <si>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</si>
  <si>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</si>
  <si>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</si>
  <si>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</si>
  <si>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</si>
  <si>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</si>
  <si>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</si>
  <si>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</si>
  <si>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</si>
  <si>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</si>
  <si>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</si>
  <si>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</si>
  <si>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</si>
  <si>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</si>
  <si>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</si>
  <si>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</si>
  <si>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</si>
  <si>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</si>
  <si>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</si>
  <si>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</si>
  <si>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</si>
  <si>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</si>
  <si>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</si>
  <si>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</si>
  <si>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</si>
  <si>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</si>
  <si>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</si>
  <si>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</si>
  <si>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</si>
  <si>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</si>
  <si>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</si>
  <si>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</si>
  <si>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</si>
  <si>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</si>
  <si>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</si>
  <si>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</si>
  <si>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</si>
  <si>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</si>
  <si>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</si>
  <si>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</si>
  <si>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</si>
  <si>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</si>
  <si>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</si>
  <si>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</si>
  <si>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</si>
  <si>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</si>
  <si>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</si>
  <si>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</si>
  <si>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</si>
  <si>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</si>
  <si>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</si>
  <si>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</si>
  <si>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</si>
  <si>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</si>
  <si>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</si>
  <si>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</si>
  <si>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</si>
  <si>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</si>
  <si>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</si>
  <si>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</si>
  <si>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</si>
  <si>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</si>
  <si>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</si>
  <si>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</si>
  <si>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</si>
  <si>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</si>
  <si>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</si>
  <si>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</si>
  <si>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</si>
  <si>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</si>
  <si>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</si>
  <si>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</si>
  <si>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</si>
  <si>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</si>
  <si>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</si>
  <si>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</si>
  <si>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</si>
  <si>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</si>
  <si>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</si>
  <si>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</si>
  <si>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</si>
  <si>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</si>
  <si>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</si>
  <si>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</si>
  <si>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</si>
  <si>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</si>
  <si>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</si>
  <si>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</si>
  <si>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</si>
  <si>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</si>
  <si>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</si>
  <si>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</si>
  <si>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</si>
  <si>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</si>
  <si>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</si>
  <si>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</si>
  <si>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</si>
  <si>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</si>
  <si>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</si>
  <si>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</si>
  <si>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</si>
  <si>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</si>
  <si>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</si>
  <si>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</si>
  <si>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</si>
  <si>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</si>
  <si>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</si>
  <si>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</si>
  <si>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</si>
  <si>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</si>
  <si>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</si>
  <si>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Начальник фінансового управління</t>
  </si>
  <si>
    <t>Ольга ЯКОВЕНКО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</si>
  <si>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</si>
  <si>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</si>
  <si>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</si>
  <si>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від 22.12.2023  № 522 - VIII"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</si>
  <si>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</si>
  <si>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</si>
  <si>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</si>
  <si>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</si>
  <si>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</si>
  <si>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</si>
  <si>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</si>
  <si>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</si>
  <si>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</si>
  <si>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</si>
  <si>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</si>
  <si>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</si>
  <si>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</si>
  <si>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</si>
  <si>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</si>
  <si>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</si>
  <si>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</si>
  <si>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9000</t>
  </si>
  <si>
    <t>Міжбюджетні трансферти</t>
  </si>
  <si>
    <t>оплата праці і нарахування на заробітну плату</t>
  </si>
  <si>
    <t>0218240</t>
  </si>
  <si>
    <t>"Додаток 3</t>
  </si>
  <si>
    <t>1218240</t>
  </si>
  <si>
    <t>Субвенція з місцевого бюджету державному бюджету на виконання програм соціально-економічного розвитку регіонів, всього -</t>
  </si>
  <si>
    <t>Інша діяльність</t>
  </si>
  <si>
    <t>0217350</t>
  </si>
  <si>
    <t>0217640</t>
  </si>
  <si>
    <t>Заходи з енергозбереження</t>
  </si>
  <si>
    <t>0470</t>
  </si>
  <si>
    <t>0618110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</si>
  <si>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</si>
  <si>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6013</t>
  </si>
  <si>
    <t>Забезпечення діяльності водопровідно-каналізаційного господарства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</si>
  <si>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</si>
  <si>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</si>
  <si>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7310</t>
  </si>
  <si>
    <t>Будівництво об'єктів житлово-комунального господарства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</si>
  <si>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</si>
  <si>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</si>
  <si>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</si>
  <si>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</si>
  <si>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7640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</si>
  <si>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</si>
  <si>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</si>
  <si>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</si>
  <si>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</si>
  <si>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в т.ч. за програмами: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</si>
  <si>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</si>
  <si>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</si>
  <si>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</si>
  <si>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</si>
  <si>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</si>
  <si>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7368</t>
  </si>
  <si>
    <t>Виконання інвестиційних проектів за рахунок субвенцій з інших бюджетів</t>
  </si>
  <si>
    <t>0217130</t>
  </si>
  <si>
    <t>0218110</t>
  </si>
  <si>
    <t>0611154</t>
  </si>
  <si>
    <t>Забезпечення діяльності інклюзивно-ресурсних центрів за рахунок залишку коштів за освітньою субвенцією на кінець бюджетного періоду (крім залишку коштів, що мають цільове призначення, виділених відповідно до рішень Кабінету Міністрів України у попередніх бюджетних періодах)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</si>
  <si>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</si>
  <si>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</si>
  <si>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</si>
  <si>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Міська цільова програма розвитку фізичної культури і спорту на території Чорноморської міської територіальної громади на 2022-2025 роки</t>
  </si>
  <si>
    <t>Міська цільова соціальна програма розвитку цивільного захисту Чорноморської міської територіальної громади на 2021-2025 роки</t>
  </si>
  <si>
    <t xml:space="preserve">Міська цільова програма підтримки Сил територіальної оборони Збройних Сил України, військових частин Збройних Сил України, Національної гвардії України, інших військових формувань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</si>
  <si>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0218775</t>
  </si>
  <si>
    <t>Інші заходи за рахунок коштів резервного фонду місцевого бюджету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</si>
  <si>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</si>
  <si>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</si>
  <si>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</si>
  <si>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в тому числі: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</si>
  <si>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</si>
  <si>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</si>
  <si>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</si>
  <si>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</si>
  <si>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</si>
  <si>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від                   05.2024 №          -  VIII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</si>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</sst>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.00_ ;\-#,##0.00\ "/>
    <numFmt numFmtId="166" formatCode="#,##0.000"/>
  </numFmts>
  <fonts count="14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4" fontId="13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" fontId="11" fillId="2" borderId="1" xfId="1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1"/>
  <sheetViews>
    <sheetView tabSelected="1" view="pageBreakPreview" topLeftCell="A162" zoomScale="70" zoomScaleNormal="70" zoomScaleSheetLayoutView="70" workbookViewId="0">
      <selection activeCell="M200" sqref="M200"/>
    </sheetView>
  </sheetViews>
  <sheetFormatPr defaultColWidth="8.88671875" defaultRowHeight="15.6"/>
  <cols>
    <col min="1" max="3" width="12.109375" style="2" customWidth="1"/>
    <col min="4" max="4" width="40.6640625" style="2" customWidth="1"/>
    <col min="5" max="15" width="15.6640625" style="2" customWidth="1"/>
    <col min="16" max="16" width="17.5546875" style="2" customWidth="1"/>
    <col min="17" max="16384" width="8.88671875" style="2"/>
  </cols>
  <sheetData>
    <row r="1" spans="1:16">
      <c r="M1" s="2" t="s">
        <v>379</v>
      </c>
    </row>
    <row r="2" spans="1:16">
      <c r="M2" s="2" t="s">
        <v>300</v>
      </c>
    </row>
    <row r="3" spans="1:16">
      <c r="M3" s="2" t="s">
        <v>299</v>
      </c>
    </row>
    <row r="4" spans="1:16">
      <c r="M4" s="2" t="s">
        <v>378</v>
      </c>
    </row>
    <row r="6" spans="1:16" ht="20.399999999999999" customHeight="1">
      <c r="M6" s="23" t="s">
        <v>324</v>
      </c>
    </row>
    <row r="7" spans="1:16" ht="20.399999999999999" customHeight="1">
      <c r="M7" s="2" t="s">
        <v>300</v>
      </c>
    </row>
    <row r="8" spans="1:16" ht="20.399999999999999" customHeight="1">
      <c r="M8" s="2" t="s">
        <v>299</v>
      </c>
    </row>
    <row r="9" spans="1:16" ht="20.399999999999999" customHeight="1">
      <c r="M9" s="2" t="s">
        <v>302</v>
      </c>
    </row>
    <row r="11" spans="1:16">
      <c r="A11" s="48" t="s">
        <v>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6">
      <c r="A12" s="48" t="s">
        <v>301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>
      <c r="A13" s="3" t="s">
        <v>1</v>
      </c>
    </row>
    <row r="14" spans="1:16">
      <c r="A14" s="2" t="s">
        <v>2</v>
      </c>
      <c r="P14" s="4" t="s">
        <v>3</v>
      </c>
    </row>
    <row r="15" spans="1:16" ht="26.4" customHeight="1">
      <c r="A15" s="50" t="s">
        <v>4</v>
      </c>
      <c r="B15" s="50" t="s">
        <v>5</v>
      </c>
      <c r="C15" s="50" t="s">
        <v>6</v>
      </c>
      <c r="D15" s="51" t="s">
        <v>7</v>
      </c>
      <c r="E15" s="51" t="s">
        <v>8</v>
      </c>
      <c r="F15" s="51"/>
      <c r="G15" s="51"/>
      <c r="H15" s="51"/>
      <c r="I15" s="51"/>
      <c r="J15" s="51" t="s">
        <v>14</v>
      </c>
      <c r="K15" s="51"/>
      <c r="L15" s="51"/>
      <c r="M15" s="51"/>
      <c r="N15" s="51"/>
      <c r="O15" s="51"/>
      <c r="P15" s="51" t="s">
        <v>16</v>
      </c>
    </row>
    <row r="16" spans="1:16" ht="26.4" customHeight="1">
      <c r="A16" s="50"/>
      <c r="B16" s="50"/>
      <c r="C16" s="50"/>
      <c r="D16" s="51"/>
      <c r="E16" s="51" t="s">
        <v>9</v>
      </c>
      <c r="F16" s="51" t="s">
        <v>10</v>
      </c>
      <c r="G16" s="51" t="s">
        <v>11</v>
      </c>
      <c r="H16" s="51"/>
      <c r="I16" s="51" t="s">
        <v>13</v>
      </c>
      <c r="J16" s="51" t="s">
        <v>9</v>
      </c>
      <c r="K16" s="51" t="s">
        <v>15</v>
      </c>
      <c r="L16" s="51" t="s">
        <v>10</v>
      </c>
      <c r="M16" s="51" t="s">
        <v>11</v>
      </c>
      <c r="N16" s="51"/>
      <c r="O16" s="51" t="s">
        <v>13</v>
      </c>
      <c r="P16" s="51"/>
    </row>
    <row r="17" spans="1:16" ht="30.6" customHeight="1">
      <c r="A17" s="50"/>
      <c r="B17" s="50"/>
      <c r="C17" s="50"/>
      <c r="D17" s="51"/>
      <c r="E17" s="51"/>
      <c r="F17" s="51"/>
      <c r="G17" s="51" t="s">
        <v>322</v>
      </c>
      <c r="H17" s="51" t="s">
        <v>12</v>
      </c>
      <c r="I17" s="51"/>
      <c r="J17" s="51"/>
      <c r="K17" s="51"/>
      <c r="L17" s="51"/>
      <c r="M17" s="51" t="s">
        <v>322</v>
      </c>
      <c r="N17" s="51" t="s">
        <v>12</v>
      </c>
      <c r="O17" s="51"/>
      <c r="P17" s="51"/>
    </row>
    <row r="18" spans="1:16" ht="31.2" customHeight="1">
      <c r="A18" s="50"/>
      <c r="B18" s="50"/>
      <c r="C18" s="50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</row>
    <row r="19" spans="1:16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  <c r="M19" s="7">
        <v>13</v>
      </c>
      <c r="N19" s="7">
        <v>14</v>
      </c>
      <c r="O19" s="7">
        <v>15</v>
      </c>
      <c r="P19" s="7">
        <v>16</v>
      </c>
    </row>
    <row r="20" spans="1:16" ht="46.8">
      <c r="A20" s="8" t="s">
        <v>17</v>
      </c>
      <c r="B20" s="8" t="s">
        <v>18</v>
      </c>
      <c r="C20" s="8" t="s">
        <v>18</v>
      </c>
      <c r="D20" s="9" t="s">
        <v>19</v>
      </c>
      <c r="E20" s="10">
        <f>F20+I20</f>
        <v>154987505</v>
      </c>
      <c r="F20" s="10">
        <f>F21</f>
        <v>154987505</v>
      </c>
      <c r="G20" s="10">
        <f>G21</f>
        <v>82793300</v>
      </c>
      <c r="H20" s="10">
        <f>H21</f>
        <v>5213300</v>
      </c>
      <c r="I20" s="10">
        <f>I21</f>
        <v>0</v>
      </c>
      <c r="J20" s="10">
        <f>L20+O20</f>
        <v>7356804</v>
      </c>
      <c r="K20" s="10">
        <f>K21</f>
        <v>7118204</v>
      </c>
      <c r="L20" s="10">
        <f>L21</f>
        <v>238600</v>
      </c>
      <c r="M20" s="10">
        <f>M21</f>
        <v>0</v>
      </c>
      <c r="N20" s="10">
        <f>N21</f>
        <v>0</v>
      </c>
      <c r="O20" s="10">
        <f>O21</f>
        <v>7118204</v>
      </c>
      <c r="P20" s="10">
        <f t="shared" ref="P20:P73" si="0">E20 + J20</f>
        <v>162344309</v>
      </c>
    </row>
    <row r="21" spans="1:16" ht="46.8">
      <c r="A21" s="8" t="s">
        <v>20</v>
      </c>
      <c r="B21" s="8" t="s">
        <v>18</v>
      </c>
      <c r="C21" s="8" t="s">
        <v>18</v>
      </c>
      <c r="D21" s="9" t="s">
        <v>19</v>
      </c>
      <c r="E21" s="10">
        <f>F21+I21</f>
        <v>154987505</v>
      </c>
      <c r="F21" s="10">
        <f>SUM(F22:F49)-F23-F24-F25-F26-F36-F37-F38</f>
        <v>154987505</v>
      </c>
      <c r="G21" s="10">
        <f t="shared" ref="G21:K21" si="1">SUM(G22:G49)-G23-G24-G25-G26-G36-G37-G38</f>
        <v>82793300</v>
      </c>
      <c r="H21" s="10">
        <f t="shared" si="1"/>
        <v>5213300</v>
      </c>
      <c r="I21" s="10">
        <f t="shared" si="1"/>
        <v>0</v>
      </c>
      <c r="J21" s="10">
        <f>L21+O21</f>
        <v>7356804</v>
      </c>
      <c r="K21" s="10">
        <f t="shared" si="1"/>
        <v>7118204</v>
      </c>
      <c r="L21" s="10">
        <f t="shared" ref="L21" si="2">SUM(L22:L49)-L23-L24-L25-L26-L36-L37-L38</f>
        <v>238600</v>
      </c>
      <c r="M21" s="10">
        <f t="shared" ref="M21" si="3">SUM(M22:M49)-M23-M24-M25-M26-M36-M37-M38</f>
        <v>0</v>
      </c>
      <c r="N21" s="10">
        <f t="shared" ref="N21" si="4">SUM(N22:N49)-N23-N24-N25-N26-N36-N37-N38</f>
        <v>0</v>
      </c>
      <c r="O21" s="10">
        <f t="shared" ref="O21" si="5">SUM(O22:O49)-O23-O24-O25-O26-O36-O37-O38</f>
        <v>7118204</v>
      </c>
      <c r="P21" s="10">
        <f>E21 + J21</f>
        <v>162344309</v>
      </c>
    </row>
    <row r="22" spans="1:16" ht="93.6">
      <c r="A22" s="7" t="s">
        <v>21</v>
      </c>
      <c r="B22" s="7" t="s">
        <v>22</v>
      </c>
      <c r="C22" s="7" t="s">
        <v>23</v>
      </c>
      <c r="D22" s="11" t="s">
        <v>24</v>
      </c>
      <c r="E22" s="12">
        <f>F22+I22</f>
        <v>73924200</v>
      </c>
      <c r="F22" s="12">
        <f>F23+F24+F25+F26</f>
        <v>73924200</v>
      </c>
      <c r="G22" s="12">
        <f>G23+G24+G25+G26</f>
        <v>63820200</v>
      </c>
      <c r="H22" s="12">
        <f t="shared" ref="H22:I22" si="6">H23+H24+H25+H26</f>
        <v>4886300</v>
      </c>
      <c r="I22" s="12">
        <f t="shared" si="6"/>
        <v>0</v>
      </c>
      <c r="J22" s="12">
        <f>L22+O22</f>
        <v>138600</v>
      </c>
      <c r="K22" s="12">
        <f>K23+K24+K25+K26</f>
        <v>0</v>
      </c>
      <c r="L22" s="12">
        <f t="shared" ref="L22:O22" si="7">L23+L24+L25+L26</f>
        <v>138600</v>
      </c>
      <c r="M22" s="12">
        <f t="shared" si="7"/>
        <v>0</v>
      </c>
      <c r="N22" s="12">
        <f t="shared" si="7"/>
        <v>0</v>
      </c>
      <c r="O22" s="12">
        <f t="shared" si="7"/>
        <v>0</v>
      </c>
      <c r="P22" s="12">
        <f t="shared" si="0"/>
        <v>74062800</v>
      </c>
    </row>
    <row r="23" spans="1:16" s="6" customFormat="1" ht="46.8">
      <c r="A23" s="13"/>
      <c r="B23" s="13"/>
      <c r="C23" s="13"/>
      <c r="D23" s="1" t="s">
        <v>19</v>
      </c>
      <c r="E23" s="14">
        <f>F23+I23</f>
        <v>66044500</v>
      </c>
      <c r="F23" s="14">
        <f>66352700-109000-99200-100000</f>
        <v>66044500</v>
      </c>
      <c r="G23" s="14">
        <v>57122400</v>
      </c>
      <c r="H23" s="14">
        <f>4610900-100000</f>
        <v>4510900</v>
      </c>
      <c r="I23" s="14"/>
      <c r="J23" s="14">
        <f>L23+O23</f>
        <v>138598</v>
      </c>
      <c r="K23" s="14"/>
      <c r="L23" s="14">
        <v>138598</v>
      </c>
      <c r="M23" s="14"/>
      <c r="N23" s="14"/>
      <c r="O23" s="14"/>
      <c r="P23" s="14">
        <f t="shared" si="0"/>
        <v>66183098</v>
      </c>
    </row>
    <row r="24" spans="1:16" s="6" customFormat="1" ht="46.8">
      <c r="A24" s="13"/>
      <c r="B24" s="13"/>
      <c r="C24" s="13"/>
      <c r="D24" s="1" t="s">
        <v>293</v>
      </c>
      <c r="E24" s="14">
        <f t="shared" ref="E24:E26" si="8">F24+I24</f>
        <v>3206600</v>
      </c>
      <c r="F24" s="14">
        <f>3206600</f>
        <v>3206600</v>
      </c>
      <c r="G24" s="14">
        <v>2744700</v>
      </c>
      <c r="H24" s="14">
        <v>171700</v>
      </c>
      <c r="I24" s="14"/>
      <c r="J24" s="14">
        <f t="shared" ref="J24:J26" si="9">L24+O24</f>
        <v>1</v>
      </c>
      <c r="K24" s="14"/>
      <c r="L24" s="14">
        <v>1</v>
      </c>
      <c r="M24" s="14"/>
      <c r="N24" s="14"/>
      <c r="O24" s="14"/>
      <c r="P24" s="14">
        <f t="shared" si="0"/>
        <v>3206601</v>
      </c>
    </row>
    <row r="25" spans="1:16" s="6" customFormat="1" ht="62.4">
      <c r="A25" s="13"/>
      <c r="B25" s="13"/>
      <c r="C25" s="13"/>
      <c r="D25" s="1" t="s">
        <v>294</v>
      </c>
      <c r="E25" s="14">
        <f t="shared" si="8"/>
        <v>2157300</v>
      </c>
      <c r="F25" s="14">
        <f>2157300</f>
        <v>2157300</v>
      </c>
      <c r="G25" s="14">
        <v>1819000</v>
      </c>
      <c r="H25" s="14">
        <v>91600</v>
      </c>
      <c r="I25" s="14"/>
      <c r="J25" s="14">
        <f t="shared" si="9"/>
        <v>0</v>
      </c>
      <c r="K25" s="14"/>
      <c r="L25" s="14"/>
      <c r="M25" s="14"/>
      <c r="N25" s="14"/>
      <c r="O25" s="14"/>
      <c r="P25" s="14">
        <f t="shared" si="0"/>
        <v>2157300</v>
      </c>
    </row>
    <row r="26" spans="1:16" s="6" customFormat="1" ht="46.8">
      <c r="A26" s="13"/>
      <c r="B26" s="13"/>
      <c r="C26" s="13"/>
      <c r="D26" s="1" t="s">
        <v>295</v>
      </c>
      <c r="E26" s="14">
        <f t="shared" si="8"/>
        <v>2515800</v>
      </c>
      <c r="F26" s="14">
        <f>2515800</f>
        <v>2515800</v>
      </c>
      <c r="G26" s="14">
        <v>2134100</v>
      </c>
      <c r="H26" s="14">
        <v>112100</v>
      </c>
      <c r="I26" s="14"/>
      <c r="J26" s="14">
        <f t="shared" si="9"/>
        <v>1</v>
      </c>
      <c r="K26" s="14"/>
      <c r="L26" s="14">
        <v>1</v>
      </c>
      <c r="M26" s="14"/>
      <c r="N26" s="14"/>
      <c r="O26" s="14"/>
      <c r="P26" s="14">
        <f t="shared" si="0"/>
        <v>2515801</v>
      </c>
    </row>
    <row r="27" spans="1:16" ht="46.8">
      <c r="A27" s="7" t="s">
        <v>25</v>
      </c>
      <c r="B27" s="7" t="s">
        <v>26</v>
      </c>
      <c r="C27" s="7" t="s">
        <v>27</v>
      </c>
      <c r="D27" s="11" t="s">
        <v>28</v>
      </c>
      <c r="E27" s="12">
        <f t="shared" ref="E27:E49" si="10">F27+I27</f>
        <v>50000</v>
      </c>
      <c r="F27" s="12">
        <v>50000</v>
      </c>
      <c r="G27" s="12">
        <v>0</v>
      </c>
      <c r="H27" s="12">
        <v>0</v>
      </c>
      <c r="I27" s="12">
        <v>0</v>
      </c>
      <c r="J27" s="12">
        <f t="shared" ref="J27:J49" si="11">L27+O27</f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0"/>
        <v>50000</v>
      </c>
    </row>
    <row r="28" spans="1:16" ht="31.2">
      <c r="A28" s="7" t="s">
        <v>29</v>
      </c>
      <c r="B28" s="7" t="s">
        <v>30</v>
      </c>
      <c r="C28" s="7" t="s">
        <v>31</v>
      </c>
      <c r="D28" s="11" t="s">
        <v>32</v>
      </c>
      <c r="E28" s="12">
        <f t="shared" si="10"/>
        <v>2576170</v>
      </c>
      <c r="F28" s="12">
        <f>3265000-33000-557830+100000-99000-99000</f>
        <v>2576170</v>
      </c>
      <c r="G28" s="12">
        <v>0</v>
      </c>
      <c r="H28" s="12">
        <v>0</v>
      </c>
      <c r="I28" s="12">
        <v>0</v>
      </c>
      <c r="J28" s="12">
        <f t="shared" si="11"/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0"/>
        <v>2576170</v>
      </c>
    </row>
    <row r="29" spans="1:16" ht="31.2">
      <c r="A29" s="7" t="s">
        <v>33</v>
      </c>
      <c r="B29" s="7" t="s">
        <v>34</v>
      </c>
      <c r="C29" s="7" t="s">
        <v>35</v>
      </c>
      <c r="D29" s="11" t="s">
        <v>36</v>
      </c>
      <c r="E29" s="12">
        <f t="shared" si="10"/>
        <v>19766804</v>
      </c>
      <c r="F29" s="12">
        <f>18586800+794600-1000000+868684-66000+582720</f>
        <v>19766804</v>
      </c>
      <c r="G29" s="12">
        <v>0</v>
      </c>
      <c r="H29" s="12">
        <v>0</v>
      </c>
      <c r="I29" s="12">
        <v>0</v>
      </c>
      <c r="J29" s="12">
        <f t="shared" si="11"/>
        <v>2900405</v>
      </c>
      <c r="K29" s="12">
        <f>2134405+66000+700000</f>
        <v>2900405</v>
      </c>
      <c r="L29" s="12">
        <v>0</v>
      </c>
      <c r="M29" s="12">
        <v>0</v>
      </c>
      <c r="N29" s="12">
        <v>0</v>
      </c>
      <c r="O29" s="12">
        <f>2134405+66000+700000</f>
        <v>2900405</v>
      </c>
      <c r="P29" s="12">
        <f t="shared" si="0"/>
        <v>22667209</v>
      </c>
    </row>
    <row r="30" spans="1:16">
      <c r="A30" s="7" t="s">
        <v>37</v>
      </c>
      <c r="B30" s="7" t="s">
        <v>38</v>
      </c>
      <c r="C30" s="7" t="s">
        <v>39</v>
      </c>
      <c r="D30" s="11" t="s">
        <v>40</v>
      </c>
      <c r="E30" s="12">
        <f t="shared" si="10"/>
        <v>8941500</v>
      </c>
      <c r="F30" s="12">
        <f>8941500</f>
        <v>8941500</v>
      </c>
      <c r="G30" s="12">
        <v>0</v>
      </c>
      <c r="H30" s="12">
        <v>0</v>
      </c>
      <c r="I30" s="12">
        <v>0</v>
      </c>
      <c r="J30" s="12">
        <f t="shared" si="11"/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0"/>
        <v>8941500</v>
      </c>
    </row>
    <row r="31" spans="1:16" ht="62.4">
      <c r="A31" s="7" t="s">
        <v>41</v>
      </c>
      <c r="B31" s="7" t="s">
        <v>42</v>
      </c>
      <c r="C31" s="7" t="s">
        <v>43</v>
      </c>
      <c r="D31" s="11" t="s">
        <v>44</v>
      </c>
      <c r="E31" s="12">
        <f t="shared" si="10"/>
        <v>8963200</v>
      </c>
      <c r="F31" s="12">
        <f>8225200+99000+603000+36000</f>
        <v>8963200</v>
      </c>
      <c r="G31" s="12">
        <v>0</v>
      </c>
      <c r="H31" s="12">
        <v>0</v>
      </c>
      <c r="I31" s="12">
        <v>0</v>
      </c>
      <c r="J31" s="12">
        <f t="shared" si="11"/>
        <v>964000</v>
      </c>
      <c r="K31" s="12">
        <f>1000000-36000</f>
        <v>964000</v>
      </c>
      <c r="L31" s="12">
        <v>0</v>
      </c>
      <c r="M31" s="12">
        <v>0</v>
      </c>
      <c r="N31" s="12">
        <v>0</v>
      </c>
      <c r="O31" s="12">
        <f>1000000-36000</f>
        <v>964000</v>
      </c>
      <c r="P31" s="12">
        <f t="shared" si="0"/>
        <v>9927200</v>
      </c>
    </row>
    <row r="32" spans="1:16" ht="31.2">
      <c r="A32" s="7" t="s">
        <v>45</v>
      </c>
      <c r="B32" s="7" t="s">
        <v>46</v>
      </c>
      <c r="C32" s="7" t="s">
        <v>47</v>
      </c>
      <c r="D32" s="11" t="s">
        <v>48</v>
      </c>
      <c r="E32" s="12">
        <f t="shared" si="10"/>
        <v>1629600</v>
      </c>
      <c r="F32" s="12">
        <v>1629600</v>
      </c>
      <c r="G32" s="12">
        <v>0</v>
      </c>
      <c r="H32" s="12">
        <v>0</v>
      </c>
      <c r="I32" s="12">
        <v>0</v>
      </c>
      <c r="J32" s="12">
        <f t="shared" si="11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0"/>
        <v>1629600</v>
      </c>
    </row>
    <row r="33" spans="1:16" ht="26.4" customHeight="1">
      <c r="A33" s="7" t="s">
        <v>49</v>
      </c>
      <c r="B33" s="7" t="s">
        <v>50</v>
      </c>
      <c r="C33" s="7" t="s">
        <v>51</v>
      </c>
      <c r="D33" s="11" t="s">
        <v>52</v>
      </c>
      <c r="E33" s="12">
        <f t="shared" si="10"/>
        <v>4999900</v>
      </c>
      <c r="F33" s="12">
        <f>4000000+900000+99900</f>
        <v>4999900</v>
      </c>
      <c r="G33" s="12">
        <v>0</v>
      </c>
      <c r="H33" s="12">
        <v>0</v>
      </c>
      <c r="I33" s="12">
        <v>0</v>
      </c>
      <c r="J33" s="12">
        <f t="shared" si="11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0"/>
        <v>4999900</v>
      </c>
    </row>
    <row r="34" spans="1:16" ht="31.2" hidden="1">
      <c r="A34" s="15" t="s">
        <v>290</v>
      </c>
      <c r="B34" s="7">
        <v>6011</v>
      </c>
      <c r="C34" s="15" t="s">
        <v>292</v>
      </c>
      <c r="D34" s="11" t="s">
        <v>291</v>
      </c>
      <c r="E34" s="12">
        <f t="shared" si="10"/>
        <v>0</v>
      </c>
      <c r="F34" s="12">
        <f>85744400-85744400+1187813-1187813</f>
        <v>0</v>
      </c>
      <c r="G34" s="12"/>
      <c r="H34" s="12"/>
      <c r="I34" s="12"/>
      <c r="J34" s="12">
        <f t="shared" si="11"/>
        <v>0</v>
      </c>
      <c r="K34" s="12">
        <f>2799000-2799000</f>
        <v>0</v>
      </c>
      <c r="L34" s="12"/>
      <c r="M34" s="12"/>
      <c r="N34" s="12"/>
      <c r="O34" s="12">
        <f>2799000-2799000</f>
        <v>0</v>
      </c>
      <c r="P34" s="12">
        <f t="shared" si="0"/>
        <v>0</v>
      </c>
    </row>
    <row r="35" spans="1:16" ht="31.2">
      <c r="A35" s="7" t="s">
        <v>53</v>
      </c>
      <c r="B35" s="7" t="s">
        <v>54</v>
      </c>
      <c r="C35" s="7" t="s">
        <v>55</v>
      </c>
      <c r="D35" s="11" t="s">
        <v>56</v>
      </c>
      <c r="E35" s="12">
        <f>F35+I35</f>
        <v>9163200</v>
      </c>
      <c r="F35" s="12">
        <f>F36+F37+F38</f>
        <v>9163200</v>
      </c>
      <c r="G35" s="12">
        <f t="shared" ref="G35:I35" si="12">SUM(G36:G38)</f>
        <v>0</v>
      </c>
      <c r="H35" s="12">
        <f t="shared" si="12"/>
        <v>0</v>
      </c>
      <c r="I35" s="12">
        <f t="shared" si="12"/>
        <v>0</v>
      </c>
      <c r="J35" s="12">
        <f t="shared" si="11"/>
        <v>0</v>
      </c>
      <c r="K35" s="12">
        <f>SUM(K36:K38)</f>
        <v>0</v>
      </c>
      <c r="L35" s="12">
        <f t="shared" ref="L35:O35" si="13">SUM(L36:L38)</f>
        <v>0</v>
      </c>
      <c r="M35" s="12">
        <f t="shared" si="13"/>
        <v>0</v>
      </c>
      <c r="N35" s="12">
        <f t="shared" si="13"/>
        <v>0</v>
      </c>
      <c r="O35" s="12">
        <f t="shared" si="13"/>
        <v>0</v>
      </c>
      <c r="P35" s="12">
        <f>E35 + J35</f>
        <v>9163200</v>
      </c>
    </row>
    <row r="36" spans="1:16" s="6" customFormat="1" ht="46.8">
      <c r="A36" s="13"/>
      <c r="B36" s="13"/>
      <c r="C36" s="13"/>
      <c r="D36" s="1" t="s">
        <v>293</v>
      </c>
      <c r="E36" s="14">
        <f>F36+I36</f>
        <v>4176500</v>
      </c>
      <c r="F36" s="14">
        <v>4176500</v>
      </c>
      <c r="G36" s="14"/>
      <c r="H36" s="14"/>
      <c r="I36" s="14"/>
      <c r="J36" s="14">
        <f t="shared" si="11"/>
        <v>0</v>
      </c>
      <c r="K36" s="14"/>
      <c r="L36" s="14"/>
      <c r="M36" s="14"/>
      <c r="N36" s="14"/>
      <c r="O36" s="14"/>
      <c r="P36" s="14">
        <f t="shared" si="0"/>
        <v>4176500</v>
      </c>
    </row>
    <row r="37" spans="1:16" s="6" customFormat="1" ht="62.4">
      <c r="A37" s="13"/>
      <c r="B37" s="13"/>
      <c r="C37" s="13"/>
      <c r="D37" s="1" t="s">
        <v>294</v>
      </c>
      <c r="E37" s="14">
        <f t="shared" ref="E37:E41" si="14">F37+I37</f>
        <v>1961700</v>
      </c>
      <c r="F37" s="14">
        <f>2210900-249200</f>
        <v>1961700</v>
      </c>
      <c r="G37" s="14"/>
      <c r="H37" s="14"/>
      <c r="I37" s="14"/>
      <c r="J37" s="14">
        <f t="shared" si="11"/>
        <v>0</v>
      </c>
      <c r="K37" s="14"/>
      <c r="L37" s="14"/>
      <c r="M37" s="14"/>
      <c r="N37" s="14"/>
      <c r="O37" s="14"/>
      <c r="P37" s="14">
        <f t="shared" si="0"/>
        <v>1961700</v>
      </c>
    </row>
    <row r="38" spans="1:16" s="6" customFormat="1" ht="46.8">
      <c r="A38" s="13"/>
      <c r="B38" s="13"/>
      <c r="C38" s="13"/>
      <c r="D38" s="1" t="s">
        <v>295</v>
      </c>
      <c r="E38" s="14">
        <f t="shared" si="14"/>
        <v>3025000</v>
      </c>
      <c r="F38" s="14">
        <v>3025000</v>
      </c>
      <c r="G38" s="14"/>
      <c r="H38" s="14"/>
      <c r="I38" s="14"/>
      <c r="J38" s="14">
        <f t="shared" si="11"/>
        <v>0</v>
      </c>
      <c r="K38" s="14"/>
      <c r="L38" s="14"/>
      <c r="M38" s="14"/>
      <c r="N38" s="14"/>
      <c r="O38" s="14"/>
      <c r="P38" s="14">
        <f t="shared" si="0"/>
        <v>3025000</v>
      </c>
    </row>
    <row r="39" spans="1:16">
      <c r="A39" s="15" t="s">
        <v>357</v>
      </c>
      <c r="B39" s="36">
        <v>7130</v>
      </c>
      <c r="C39" s="15" t="s">
        <v>264</v>
      </c>
      <c r="D39" s="11" t="s">
        <v>265</v>
      </c>
      <c r="E39" s="12">
        <f t="shared" si="14"/>
        <v>3000</v>
      </c>
      <c r="F39" s="12">
        <v>3000</v>
      </c>
      <c r="G39" s="12"/>
      <c r="H39" s="12"/>
      <c r="I39" s="12"/>
      <c r="J39" s="14"/>
      <c r="K39" s="12"/>
      <c r="L39" s="12"/>
      <c r="M39" s="12"/>
      <c r="N39" s="12"/>
      <c r="O39" s="12"/>
      <c r="P39" s="12"/>
    </row>
    <row r="40" spans="1:16" ht="46.8">
      <c r="A40" s="15" t="s">
        <v>328</v>
      </c>
      <c r="B40" s="32">
        <v>7350</v>
      </c>
      <c r="C40" s="15" t="s">
        <v>268</v>
      </c>
      <c r="D40" s="11" t="s">
        <v>269</v>
      </c>
      <c r="E40" s="12">
        <f t="shared" si="14"/>
        <v>0</v>
      </c>
      <c r="F40" s="12"/>
      <c r="G40" s="12"/>
      <c r="H40" s="12"/>
      <c r="I40" s="12">
        <f>260000-260000</f>
        <v>0</v>
      </c>
      <c r="J40" s="12">
        <f t="shared" si="11"/>
        <v>260000</v>
      </c>
      <c r="K40" s="12">
        <v>260000</v>
      </c>
      <c r="L40" s="12"/>
      <c r="M40" s="12"/>
      <c r="N40" s="12"/>
      <c r="O40" s="12">
        <v>260000</v>
      </c>
      <c r="P40" s="12">
        <f t="shared" si="0"/>
        <v>260000</v>
      </c>
    </row>
    <row r="41" spans="1:16">
      <c r="A41" s="15" t="s">
        <v>329</v>
      </c>
      <c r="B41" s="32">
        <v>7640</v>
      </c>
      <c r="C41" s="15" t="s">
        <v>331</v>
      </c>
      <c r="D41" s="11" t="s">
        <v>330</v>
      </c>
      <c r="E41" s="12">
        <f t="shared" si="14"/>
        <v>0</v>
      </c>
      <c r="F41" s="12"/>
      <c r="G41" s="12"/>
      <c r="H41" s="12"/>
      <c r="I41" s="12"/>
      <c r="J41" s="12">
        <f t="shared" si="11"/>
        <v>1680000</v>
      </c>
      <c r="K41" s="12">
        <v>1680000</v>
      </c>
      <c r="L41" s="12"/>
      <c r="M41" s="12"/>
      <c r="N41" s="12"/>
      <c r="O41" s="12">
        <v>1680000</v>
      </c>
      <c r="P41" s="12">
        <f t="shared" si="0"/>
        <v>1680000</v>
      </c>
    </row>
    <row r="42" spans="1:16" ht="31.2">
      <c r="A42" s="7" t="s">
        <v>57</v>
      </c>
      <c r="B42" s="7" t="s">
        <v>58</v>
      </c>
      <c r="C42" s="7" t="s">
        <v>59</v>
      </c>
      <c r="D42" s="11" t="s">
        <v>60</v>
      </c>
      <c r="E42" s="12">
        <f t="shared" si="10"/>
        <v>110000</v>
      </c>
      <c r="F42" s="12">
        <v>110000</v>
      </c>
      <c r="G42" s="12">
        <v>0</v>
      </c>
      <c r="H42" s="12">
        <v>0</v>
      </c>
      <c r="I42" s="12">
        <v>0</v>
      </c>
      <c r="J42" s="12">
        <f t="shared" si="11"/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f t="shared" si="0"/>
        <v>110000</v>
      </c>
    </row>
    <row r="43" spans="1:16" ht="46.8">
      <c r="A43" s="15" t="s">
        <v>358</v>
      </c>
      <c r="B43" s="36">
        <v>8110</v>
      </c>
      <c r="C43" s="15" t="s">
        <v>249</v>
      </c>
      <c r="D43" s="11" t="s">
        <v>250</v>
      </c>
      <c r="E43" s="12">
        <f t="shared" si="10"/>
        <v>91000</v>
      </c>
      <c r="F43" s="12">
        <f>42000+49000</f>
        <v>91000</v>
      </c>
      <c r="G43" s="12"/>
      <c r="H43" s="12"/>
      <c r="I43" s="12"/>
      <c r="J43" s="12">
        <f t="shared" si="11"/>
        <v>0</v>
      </c>
      <c r="K43" s="12"/>
      <c r="L43" s="12"/>
      <c r="M43" s="12"/>
      <c r="N43" s="12"/>
      <c r="O43" s="12"/>
      <c r="P43" s="12">
        <f t="shared" si="0"/>
        <v>91000</v>
      </c>
    </row>
    <row r="44" spans="1:16" ht="31.2">
      <c r="A44" s="7" t="s">
        <v>61</v>
      </c>
      <c r="B44" s="7" t="s">
        <v>62</v>
      </c>
      <c r="C44" s="7" t="s">
        <v>63</v>
      </c>
      <c r="D44" s="11" t="s">
        <v>64</v>
      </c>
      <c r="E44" s="12">
        <f t="shared" si="10"/>
        <v>21287101</v>
      </c>
      <c r="F44" s="12">
        <f>19446000+1542000-444800+1481200-700000-37299</f>
        <v>21287101</v>
      </c>
      <c r="G44" s="12">
        <f>16649900+1542000+1481200-700000</f>
        <v>18973100</v>
      </c>
      <c r="H44" s="12">
        <v>327000</v>
      </c>
      <c r="I44" s="12">
        <v>0</v>
      </c>
      <c r="J44" s="12">
        <f t="shared" si="11"/>
        <v>37299</v>
      </c>
      <c r="K44" s="12">
        <v>37299</v>
      </c>
      <c r="L44" s="12">
        <v>0</v>
      </c>
      <c r="M44" s="12">
        <v>0</v>
      </c>
      <c r="N44" s="12">
        <v>0</v>
      </c>
      <c r="O44" s="12">
        <v>37299</v>
      </c>
      <c r="P44" s="12">
        <f t="shared" si="0"/>
        <v>21324400</v>
      </c>
    </row>
    <row r="45" spans="1:16" ht="31.2">
      <c r="A45" s="7" t="s">
        <v>65</v>
      </c>
      <c r="B45" s="7" t="s">
        <v>66</v>
      </c>
      <c r="C45" s="7" t="s">
        <v>63</v>
      </c>
      <c r="D45" s="11" t="s">
        <v>67</v>
      </c>
      <c r="E45" s="12">
        <f t="shared" si="10"/>
        <v>786030</v>
      </c>
      <c r="F45" s="12">
        <f>637000+33000+116030</f>
        <v>786030</v>
      </c>
      <c r="G45" s="12">
        <v>0</v>
      </c>
      <c r="H45" s="12">
        <v>0</v>
      </c>
      <c r="I45" s="12">
        <v>0</v>
      </c>
      <c r="J45" s="12">
        <f t="shared" si="11"/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f t="shared" si="0"/>
        <v>786030</v>
      </c>
    </row>
    <row r="46" spans="1:16" ht="31.2">
      <c r="A46" s="7" t="s">
        <v>68</v>
      </c>
      <c r="B46" s="7" t="s">
        <v>69</v>
      </c>
      <c r="C46" s="7" t="s">
        <v>63</v>
      </c>
      <c r="D46" s="11" t="s">
        <v>70</v>
      </c>
      <c r="E46" s="12">
        <f t="shared" si="10"/>
        <v>2105800</v>
      </c>
      <c r="F46" s="12">
        <f>1975000+4800+126000</f>
        <v>2105800</v>
      </c>
      <c r="G46" s="12">
        <v>0</v>
      </c>
      <c r="H46" s="12">
        <v>0</v>
      </c>
      <c r="I46" s="12">
        <v>0</v>
      </c>
      <c r="J46" s="12">
        <f t="shared" si="11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f t="shared" si="0"/>
        <v>2105800</v>
      </c>
    </row>
    <row r="47" spans="1:16" s="23" customFormat="1" ht="31.2">
      <c r="A47" s="15" t="s">
        <v>323</v>
      </c>
      <c r="B47" s="30">
        <v>8240</v>
      </c>
      <c r="C47" s="15" t="s">
        <v>63</v>
      </c>
      <c r="D47" s="11" t="s">
        <v>273</v>
      </c>
      <c r="E47" s="12">
        <f t="shared" si="10"/>
        <v>0</v>
      </c>
      <c r="F47" s="12">
        <f>60000-60000</f>
        <v>0</v>
      </c>
      <c r="G47" s="12"/>
      <c r="H47" s="12"/>
      <c r="I47" s="12"/>
      <c r="J47" s="12">
        <f t="shared" si="11"/>
        <v>1276500</v>
      </c>
      <c r="K47" s="12">
        <v>1276500</v>
      </c>
      <c r="L47" s="12"/>
      <c r="M47" s="12"/>
      <c r="N47" s="12"/>
      <c r="O47" s="12">
        <v>1276500</v>
      </c>
      <c r="P47" s="12">
        <f t="shared" si="0"/>
        <v>1276500</v>
      </c>
    </row>
    <row r="48" spans="1:16" ht="31.2">
      <c r="A48" s="15" t="s">
        <v>289</v>
      </c>
      <c r="B48" s="7">
        <v>8340</v>
      </c>
      <c r="C48" s="7" t="s">
        <v>287</v>
      </c>
      <c r="D48" s="11" t="s">
        <v>288</v>
      </c>
      <c r="E48" s="12">
        <f t="shared" si="10"/>
        <v>0</v>
      </c>
      <c r="F48" s="12"/>
      <c r="G48" s="12"/>
      <c r="H48" s="12"/>
      <c r="I48" s="12"/>
      <c r="J48" s="12">
        <f t="shared" si="11"/>
        <v>100000</v>
      </c>
      <c r="K48" s="12"/>
      <c r="L48" s="12">
        <f>50000+50000</f>
        <v>100000</v>
      </c>
      <c r="M48" s="12"/>
      <c r="N48" s="12"/>
      <c r="O48" s="12"/>
      <c r="P48" s="12">
        <f t="shared" si="0"/>
        <v>100000</v>
      </c>
    </row>
    <row r="49" spans="1:16" ht="31.2">
      <c r="A49" s="15" t="s">
        <v>367</v>
      </c>
      <c r="B49" s="37">
        <v>8775</v>
      </c>
      <c r="C49" s="15" t="s">
        <v>31</v>
      </c>
      <c r="D49" s="11" t="s">
        <v>368</v>
      </c>
      <c r="E49" s="12">
        <f t="shared" si="10"/>
        <v>590000</v>
      </c>
      <c r="F49" s="12">
        <v>590000</v>
      </c>
      <c r="G49" s="12"/>
      <c r="H49" s="12"/>
      <c r="I49" s="12"/>
      <c r="J49" s="12">
        <f t="shared" si="11"/>
        <v>0</v>
      </c>
      <c r="K49" s="12"/>
      <c r="L49" s="12"/>
      <c r="M49" s="12"/>
      <c r="N49" s="12"/>
      <c r="O49" s="12"/>
      <c r="P49" s="12">
        <f t="shared" si="0"/>
        <v>590000</v>
      </c>
    </row>
    <row r="50" spans="1:16" ht="46.8">
      <c r="A50" s="8" t="s">
        <v>71</v>
      </c>
      <c r="B50" s="8" t="s">
        <v>18</v>
      </c>
      <c r="C50" s="8" t="s">
        <v>18</v>
      </c>
      <c r="D50" s="9" t="s">
        <v>72</v>
      </c>
      <c r="E50" s="10">
        <f>F50+I50</f>
        <v>444141468.99000001</v>
      </c>
      <c r="F50" s="10">
        <f>F51</f>
        <v>444075468.99000001</v>
      </c>
      <c r="G50" s="10">
        <f>G51</f>
        <v>363990974.99000001</v>
      </c>
      <c r="H50" s="10">
        <f>H51</f>
        <v>34689901</v>
      </c>
      <c r="I50" s="10">
        <f>I51</f>
        <v>66000</v>
      </c>
      <c r="J50" s="10">
        <f>L50+O50</f>
        <v>28543239</v>
      </c>
      <c r="K50" s="10">
        <f>K51</f>
        <v>10510323</v>
      </c>
      <c r="L50" s="10">
        <f t="shared" ref="L50:O50" si="15">L51</f>
        <v>16500000</v>
      </c>
      <c r="M50" s="10">
        <f t="shared" si="15"/>
        <v>0</v>
      </c>
      <c r="N50" s="10">
        <f t="shared" si="15"/>
        <v>0</v>
      </c>
      <c r="O50" s="10">
        <f t="shared" si="15"/>
        <v>12043239</v>
      </c>
      <c r="P50" s="10">
        <f t="shared" si="0"/>
        <v>472684707.99000001</v>
      </c>
    </row>
    <row r="51" spans="1:16" ht="46.8">
      <c r="A51" s="8" t="s">
        <v>73</v>
      </c>
      <c r="B51" s="8" t="s">
        <v>18</v>
      </c>
      <c r="C51" s="8" t="s">
        <v>18</v>
      </c>
      <c r="D51" s="9" t="s">
        <v>72</v>
      </c>
      <c r="E51" s="10">
        <f>F51+I51</f>
        <v>444141468.99000001</v>
      </c>
      <c r="F51" s="10">
        <f>SUM(F52:F75)-F68-F69</f>
        <v>444075468.99000001</v>
      </c>
      <c r="G51" s="10">
        <f t="shared" ref="G51:K51" si="16">SUM(G52:G75)-G68-G69</f>
        <v>363990974.99000001</v>
      </c>
      <c r="H51" s="10">
        <f t="shared" si="16"/>
        <v>34689901</v>
      </c>
      <c r="I51" s="10">
        <f t="shared" si="16"/>
        <v>66000</v>
      </c>
      <c r="J51" s="10">
        <f>L51+O51</f>
        <v>28543239</v>
      </c>
      <c r="K51" s="10">
        <f t="shared" si="16"/>
        <v>10510323</v>
      </c>
      <c r="L51" s="10">
        <f t="shared" ref="L51" si="17">SUM(L52:L75)-L68-L69</f>
        <v>16500000</v>
      </c>
      <c r="M51" s="10">
        <f t="shared" ref="M51" si="18">SUM(M52:M75)-M68-M69</f>
        <v>0</v>
      </c>
      <c r="N51" s="10">
        <f t="shared" ref="N51" si="19">SUM(N52:N75)-N68-N69</f>
        <v>0</v>
      </c>
      <c r="O51" s="10">
        <f t="shared" ref="O51" si="20">SUM(O52:O75)-O68-O69</f>
        <v>12043239</v>
      </c>
      <c r="P51" s="10">
        <f t="shared" si="0"/>
        <v>472684707.99000001</v>
      </c>
    </row>
    <row r="52" spans="1:16" ht="46.8">
      <c r="A52" s="7" t="s">
        <v>74</v>
      </c>
      <c r="B52" s="7" t="s">
        <v>75</v>
      </c>
      <c r="C52" s="7" t="s">
        <v>23</v>
      </c>
      <c r="D52" s="11" t="s">
        <v>76</v>
      </c>
      <c r="E52" s="12">
        <f>F52+I52</f>
        <v>5115833</v>
      </c>
      <c r="F52" s="12">
        <f>5123700-7867</f>
        <v>5115833</v>
      </c>
      <c r="G52" s="12">
        <v>4656300</v>
      </c>
      <c r="H52" s="12">
        <f>400800-640</f>
        <v>400160</v>
      </c>
      <c r="I52" s="12">
        <v>0</v>
      </c>
      <c r="J52" s="12">
        <f>L52+O52</f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f t="shared" si="0"/>
        <v>5115833</v>
      </c>
    </row>
    <row r="53" spans="1:16" ht="31.2">
      <c r="A53" s="7" t="s">
        <v>77</v>
      </c>
      <c r="B53" s="7" t="s">
        <v>30</v>
      </c>
      <c r="C53" s="7" t="s">
        <v>31</v>
      </c>
      <c r="D53" s="11" t="s">
        <v>32</v>
      </c>
      <c r="E53" s="12">
        <f t="shared" ref="E53:E75" si="21">F53+I53</f>
        <v>99000</v>
      </c>
      <c r="F53" s="12">
        <f>99000</f>
        <v>99000</v>
      </c>
      <c r="G53" s="12">
        <v>0</v>
      </c>
      <c r="H53" s="12">
        <v>0</v>
      </c>
      <c r="I53" s="12">
        <v>0</v>
      </c>
      <c r="J53" s="12">
        <f t="shared" ref="J53:J75" si="22">L53+O53</f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0"/>
        <v>99000</v>
      </c>
    </row>
    <row r="54" spans="1:16">
      <c r="A54" s="7" t="s">
        <v>78</v>
      </c>
      <c r="B54" s="7" t="s">
        <v>79</v>
      </c>
      <c r="C54" s="7" t="s">
        <v>80</v>
      </c>
      <c r="D54" s="11" t="s">
        <v>81</v>
      </c>
      <c r="E54" s="12">
        <f t="shared" si="21"/>
        <v>101341174</v>
      </c>
      <c r="F54" s="12">
        <f>108737600-5482940-1541905-371581</f>
        <v>101341174</v>
      </c>
      <c r="G54" s="12">
        <f>85693100-5482940-656964</f>
        <v>79553196</v>
      </c>
      <c r="H54" s="12">
        <f>12904300-668900-371581</f>
        <v>11863819</v>
      </c>
      <c r="I54" s="12">
        <v>0</v>
      </c>
      <c r="J54" s="12">
        <f t="shared" si="22"/>
        <v>20008713</v>
      </c>
      <c r="K54" s="12">
        <f>3621430+287283</f>
        <v>3908713</v>
      </c>
      <c r="L54" s="12">
        <v>16100000</v>
      </c>
      <c r="M54" s="12">
        <v>0</v>
      </c>
      <c r="N54" s="12">
        <v>0</v>
      </c>
      <c r="O54" s="12">
        <f>3621430+287283</f>
        <v>3908713</v>
      </c>
      <c r="P54" s="12">
        <f t="shared" si="0"/>
        <v>121349887</v>
      </c>
    </row>
    <row r="55" spans="1:16" ht="46.8">
      <c r="A55" s="7" t="s">
        <v>82</v>
      </c>
      <c r="B55" s="7" t="s">
        <v>83</v>
      </c>
      <c r="C55" s="7" t="s">
        <v>84</v>
      </c>
      <c r="D55" s="11" t="s">
        <v>85</v>
      </c>
      <c r="E55" s="12">
        <f t="shared" si="21"/>
        <v>93062543</v>
      </c>
      <c r="F55" s="12">
        <f>78349600+15100000-1214067+658273+168737</f>
        <v>93062543</v>
      </c>
      <c r="G55" s="12">
        <f>40380000+15100000</f>
        <v>55480000</v>
      </c>
      <c r="H55" s="12">
        <f>16403600-644047</f>
        <v>15759553</v>
      </c>
      <c r="I55" s="12">
        <v>0</v>
      </c>
      <c r="J55" s="12">
        <f t="shared" si="22"/>
        <v>2451770</v>
      </c>
      <c r="K55" s="12">
        <f>2254770</f>
        <v>2254770</v>
      </c>
      <c r="L55" s="12">
        <v>197000</v>
      </c>
      <c r="M55" s="12">
        <v>0</v>
      </c>
      <c r="N55" s="12">
        <v>0</v>
      </c>
      <c r="O55" s="12">
        <f>2254770</f>
        <v>2254770</v>
      </c>
      <c r="P55" s="12">
        <f t="shared" si="0"/>
        <v>95514313</v>
      </c>
    </row>
    <row r="56" spans="1:16" ht="93.6">
      <c r="A56" s="7" t="s">
        <v>86</v>
      </c>
      <c r="B56" s="7" t="s">
        <v>87</v>
      </c>
      <c r="C56" s="7" t="s">
        <v>88</v>
      </c>
      <c r="D56" s="11" t="s">
        <v>89</v>
      </c>
      <c r="E56" s="12">
        <f t="shared" si="21"/>
        <v>14926050</v>
      </c>
      <c r="F56" s="12">
        <f>14164200+900000-138150</f>
        <v>14926050</v>
      </c>
      <c r="G56" s="12">
        <f>10028000+900000</f>
        <v>10928000</v>
      </c>
      <c r="H56" s="12">
        <f>1929700-9700</f>
        <v>1920000</v>
      </c>
      <c r="I56" s="12">
        <v>0</v>
      </c>
      <c r="J56" s="12">
        <f t="shared" si="22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f t="shared" si="0"/>
        <v>14926050</v>
      </c>
    </row>
    <row r="57" spans="1:16" ht="46.8">
      <c r="A57" s="7" t="s">
        <v>90</v>
      </c>
      <c r="B57" s="7" t="s">
        <v>91</v>
      </c>
      <c r="C57" s="7" t="s">
        <v>84</v>
      </c>
      <c r="D57" s="11" t="s">
        <v>92</v>
      </c>
      <c r="E57" s="12">
        <f t="shared" si="21"/>
        <v>146822800</v>
      </c>
      <c r="F57" s="12">
        <v>146822800</v>
      </c>
      <c r="G57" s="12">
        <v>146592900</v>
      </c>
      <c r="H57" s="12">
        <v>0</v>
      </c>
      <c r="I57" s="12">
        <v>0</v>
      </c>
      <c r="J57" s="12">
        <f t="shared" si="22"/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f t="shared" si="0"/>
        <v>146822800</v>
      </c>
    </row>
    <row r="58" spans="1:16" ht="93.6">
      <c r="A58" s="7" t="s">
        <v>93</v>
      </c>
      <c r="B58" s="7" t="s">
        <v>94</v>
      </c>
      <c r="C58" s="7" t="s">
        <v>88</v>
      </c>
      <c r="D58" s="11" t="s">
        <v>95</v>
      </c>
      <c r="E58" s="12">
        <f t="shared" si="21"/>
        <v>12600000</v>
      </c>
      <c r="F58" s="12">
        <v>12600000</v>
      </c>
      <c r="G58" s="12">
        <v>12600000</v>
      </c>
      <c r="H58" s="12">
        <v>0</v>
      </c>
      <c r="I58" s="12">
        <v>0</v>
      </c>
      <c r="J58" s="12">
        <f t="shared" si="22"/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f t="shared" si="0"/>
        <v>12600000</v>
      </c>
    </row>
    <row r="59" spans="1:16" ht="46.8">
      <c r="A59" s="7" t="s">
        <v>96</v>
      </c>
      <c r="B59" s="7" t="s">
        <v>97</v>
      </c>
      <c r="C59" s="7" t="s">
        <v>98</v>
      </c>
      <c r="D59" s="11" t="s">
        <v>99</v>
      </c>
      <c r="E59" s="12">
        <f t="shared" si="21"/>
        <v>22455552</v>
      </c>
      <c r="F59" s="12">
        <f>22900800-193260-251988</f>
        <v>22455552</v>
      </c>
      <c r="G59" s="12">
        <v>19000000</v>
      </c>
      <c r="H59" s="12">
        <f>1388800-26570</f>
        <v>1362230</v>
      </c>
      <c r="I59" s="12">
        <v>0</v>
      </c>
      <c r="J59" s="12">
        <f t="shared" si="22"/>
        <v>200000</v>
      </c>
      <c r="K59" s="12">
        <v>0</v>
      </c>
      <c r="L59" s="12">
        <v>200000</v>
      </c>
      <c r="M59" s="12">
        <v>0</v>
      </c>
      <c r="N59" s="12">
        <v>0</v>
      </c>
      <c r="O59" s="12">
        <v>0</v>
      </c>
      <c r="P59" s="12">
        <f t="shared" si="0"/>
        <v>22655552</v>
      </c>
    </row>
    <row r="60" spans="1:16" ht="46.8">
      <c r="A60" s="7" t="s">
        <v>100</v>
      </c>
      <c r="B60" s="7" t="s">
        <v>101</v>
      </c>
      <c r="C60" s="7" t="s">
        <v>102</v>
      </c>
      <c r="D60" s="11" t="s">
        <v>103</v>
      </c>
      <c r="E60" s="12">
        <f t="shared" si="21"/>
        <v>30000</v>
      </c>
      <c r="F60" s="12">
        <v>30000</v>
      </c>
      <c r="G60" s="12">
        <v>0</v>
      </c>
      <c r="H60" s="12">
        <v>0</v>
      </c>
      <c r="I60" s="12">
        <v>0</v>
      </c>
      <c r="J60" s="12">
        <f t="shared" si="22"/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f t="shared" si="0"/>
        <v>30000</v>
      </c>
    </row>
    <row r="61" spans="1:16" ht="31.2">
      <c r="A61" s="7" t="s">
        <v>104</v>
      </c>
      <c r="B61" s="7" t="s">
        <v>105</v>
      </c>
      <c r="C61" s="7" t="s">
        <v>106</v>
      </c>
      <c r="D61" s="11" t="s">
        <v>107</v>
      </c>
      <c r="E61" s="12">
        <f t="shared" si="21"/>
        <v>21122853</v>
      </c>
      <c r="F61" s="12">
        <f>20474900-20000+1103382-658273+202844-46000</f>
        <v>21056853</v>
      </c>
      <c r="G61" s="12">
        <v>17600000</v>
      </c>
      <c r="H61" s="12">
        <f>2136900+259789</f>
        <v>2396689</v>
      </c>
      <c r="I61" s="12">
        <f>20000+46000</f>
        <v>66000</v>
      </c>
      <c r="J61" s="12">
        <f t="shared" si="22"/>
        <v>3000</v>
      </c>
      <c r="K61" s="12">
        <v>0</v>
      </c>
      <c r="L61" s="12">
        <v>3000</v>
      </c>
      <c r="M61" s="12">
        <v>0</v>
      </c>
      <c r="N61" s="12">
        <v>0</v>
      </c>
      <c r="O61" s="12">
        <v>0</v>
      </c>
      <c r="P61" s="12">
        <f t="shared" si="0"/>
        <v>21125853</v>
      </c>
    </row>
    <row r="62" spans="1:16" ht="46.8">
      <c r="A62" s="7" t="s">
        <v>108</v>
      </c>
      <c r="B62" s="7" t="s">
        <v>109</v>
      </c>
      <c r="C62" s="7" t="s">
        <v>106</v>
      </c>
      <c r="D62" s="11" t="s">
        <v>110</v>
      </c>
      <c r="E62" s="12">
        <f t="shared" si="21"/>
        <v>516520</v>
      </c>
      <c r="F62" s="12">
        <f>726800-200000-10280</f>
        <v>516520</v>
      </c>
      <c r="G62" s="12">
        <f>393800-200000+18300</f>
        <v>212100</v>
      </c>
      <c r="H62" s="12">
        <f>179000-18630</f>
        <v>160370</v>
      </c>
      <c r="I62" s="12">
        <v>0</v>
      </c>
      <c r="J62" s="12">
        <f t="shared" si="22"/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f t="shared" si="0"/>
        <v>516520</v>
      </c>
    </row>
    <row r="63" spans="1:16" ht="46.8">
      <c r="A63" s="7" t="s">
        <v>111</v>
      </c>
      <c r="B63" s="7" t="s">
        <v>112</v>
      </c>
      <c r="C63" s="7" t="s">
        <v>106</v>
      </c>
      <c r="D63" s="11" t="s">
        <v>113</v>
      </c>
      <c r="E63" s="12">
        <f t="shared" si="21"/>
        <v>2775740</v>
      </c>
      <c r="F63" s="12">
        <v>2775740</v>
      </c>
      <c r="G63" s="12">
        <v>2775740</v>
      </c>
      <c r="H63" s="12">
        <v>0</v>
      </c>
      <c r="I63" s="12">
        <v>0</v>
      </c>
      <c r="J63" s="12">
        <f t="shared" si="22"/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f t="shared" si="0"/>
        <v>2775740</v>
      </c>
    </row>
    <row r="64" spans="1:16" ht="124.8">
      <c r="A64" s="15" t="s">
        <v>359</v>
      </c>
      <c r="B64" s="36">
        <v>1154</v>
      </c>
      <c r="C64" s="15" t="s">
        <v>106</v>
      </c>
      <c r="D64" s="11" t="s">
        <v>360</v>
      </c>
      <c r="E64" s="12">
        <f t="shared" si="21"/>
        <v>245454.99</v>
      </c>
      <c r="F64" s="12">
        <v>245454.99</v>
      </c>
      <c r="G64" s="12">
        <v>245454.99</v>
      </c>
      <c r="H64" s="12"/>
      <c r="I64" s="12"/>
      <c r="J64" s="12">
        <f t="shared" si="22"/>
        <v>0</v>
      </c>
      <c r="K64" s="12"/>
      <c r="L64" s="12"/>
      <c r="M64" s="12"/>
      <c r="N64" s="12"/>
      <c r="O64" s="12"/>
      <c r="P64" s="12">
        <f t="shared" si="0"/>
        <v>245454.99</v>
      </c>
    </row>
    <row r="65" spans="1:18" ht="46.8">
      <c r="A65" s="7" t="s">
        <v>114</v>
      </c>
      <c r="B65" s="7" t="s">
        <v>115</v>
      </c>
      <c r="C65" s="7" t="s">
        <v>106</v>
      </c>
      <c r="D65" s="11" t="s">
        <v>116</v>
      </c>
      <c r="E65" s="12">
        <f t="shared" si="21"/>
        <v>4467418</v>
      </c>
      <c r="F65" s="12">
        <f>4471900-4482</f>
        <v>4467418</v>
      </c>
      <c r="G65" s="12">
        <v>4150000</v>
      </c>
      <c r="H65" s="12">
        <f>56900-300</f>
        <v>56600</v>
      </c>
      <c r="I65" s="12">
        <v>0</v>
      </c>
      <c r="J65" s="12">
        <f t="shared" si="22"/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f t="shared" si="0"/>
        <v>4467418</v>
      </c>
    </row>
    <row r="66" spans="1:18" s="39" customFormat="1" ht="93.6">
      <c r="A66" s="34" t="s">
        <v>369</v>
      </c>
      <c r="B66" s="34" t="s">
        <v>370</v>
      </c>
      <c r="C66" s="34" t="s">
        <v>106</v>
      </c>
      <c r="D66" s="35" t="s">
        <v>371</v>
      </c>
      <c r="E66" s="44">
        <f>F66+I66</f>
        <v>97284</v>
      </c>
      <c r="F66" s="44">
        <f>F68+F69</f>
        <v>97284</v>
      </c>
      <c r="G66" s="44">
        <f t="shared" ref="G66" si="23">G68+G69</f>
        <v>97284</v>
      </c>
      <c r="H66" s="44"/>
      <c r="I66" s="44"/>
      <c r="J66" s="44"/>
      <c r="K66" s="44"/>
      <c r="L66" s="44"/>
      <c r="M66" s="44"/>
      <c r="N66" s="44"/>
      <c r="O66" s="44"/>
      <c r="P66" s="44">
        <f t="shared" ref="P66:P69" si="24">E66+J66</f>
        <v>97284</v>
      </c>
      <c r="Q66" s="38"/>
      <c r="R66" s="38"/>
    </row>
    <row r="67" spans="1:18" s="39" customFormat="1">
      <c r="A67" s="34"/>
      <c r="B67" s="34"/>
      <c r="C67" s="34"/>
      <c r="D67" s="35" t="s">
        <v>372</v>
      </c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38"/>
      <c r="R67" s="38"/>
    </row>
    <row r="68" spans="1:18" s="43" customFormat="1" ht="78">
      <c r="A68" s="40"/>
      <c r="B68" s="40"/>
      <c r="C68" s="40"/>
      <c r="D68" s="41" t="s">
        <v>373</v>
      </c>
      <c r="E68" s="45">
        <f t="shared" ref="E68:E69" si="25">F68+I68</f>
        <v>60434</v>
      </c>
      <c r="F68" s="45">
        <v>60434</v>
      </c>
      <c r="G68" s="45">
        <v>60434</v>
      </c>
      <c r="H68" s="45"/>
      <c r="I68" s="45"/>
      <c r="J68" s="45"/>
      <c r="K68" s="45"/>
      <c r="L68" s="45"/>
      <c r="M68" s="45"/>
      <c r="N68" s="45"/>
      <c r="O68" s="45"/>
      <c r="P68" s="45">
        <f t="shared" si="24"/>
        <v>60434</v>
      </c>
      <c r="Q68" s="42"/>
      <c r="R68" s="42"/>
    </row>
    <row r="69" spans="1:18" s="43" customFormat="1" ht="78">
      <c r="A69" s="40"/>
      <c r="B69" s="40"/>
      <c r="C69" s="40"/>
      <c r="D69" s="41" t="s">
        <v>374</v>
      </c>
      <c r="E69" s="45">
        <f t="shared" si="25"/>
        <v>36850</v>
      </c>
      <c r="F69" s="45">
        <v>36850</v>
      </c>
      <c r="G69" s="45">
        <v>36850</v>
      </c>
      <c r="H69" s="45"/>
      <c r="I69" s="45"/>
      <c r="J69" s="45"/>
      <c r="K69" s="45"/>
      <c r="L69" s="45"/>
      <c r="M69" s="45"/>
      <c r="N69" s="45"/>
      <c r="O69" s="45"/>
      <c r="P69" s="45">
        <f t="shared" si="24"/>
        <v>36850</v>
      </c>
      <c r="Q69" s="42"/>
      <c r="R69" s="42"/>
    </row>
    <row r="70" spans="1:18" ht="140.4">
      <c r="A70" s="15" t="s">
        <v>361</v>
      </c>
      <c r="B70" s="36">
        <v>1291</v>
      </c>
      <c r="C70" s="34" t="s">
        <v>106</v>
      </c>
      <c r="D70" s="11" t="s">
        <v>362</v>
      </c>
      <c r="E70" s="46">
        <f t="shared" si="21"/>
        <v>0</v>
      </c>
      <c r="F70" s="46"/>
      <c r="G70" s="46"/>
      <c r="H70" s="46"/>
      <c r="I70" s="46"/>
      <c r="J70" s="46">
        <f t="shared" si="22"/>
        <v>656964</v>
      </c>
      <c r="K70" s="46">
        <v>656964</v>
      </c>
      <c r="L70" s="46"/>
      <c r="M70" s="46"/>
      <c r="N70" s="46"/>
      <c r="O70" s="46">
        <v>656964</v>
      </c>
      <c r="P70" s="46">
        <f t="shared" si="0"/>
        <v>656964</v>
      </c>
    </row>
    <row r="71" spans="1:18" ht="124.8">
      <c r="A71" s="34" t="s">
        <v>352</v>
      </c>
      <c r="B71" s="34" t="s">
        <v>353</v>
      </c>
      <c r="C71" s="34" t="s">
        <v>106</v>
      </c>
      <c r="D71" s="35" t="s">
        <v>354</v>
      </c>
      <c r="E71" s="46">
        <f t="shared" si="21"/>
        <v>0</v>
      </c>
      <c r="F71" s="46"/>
      <c r="G71" s="46"/>
      <c r="H71" s="46"/>
      <c r="I71" s="46"/>
      <c r="J71" s="46">
        <f t="shared" si="22"/>
        <v>1532916</v>
      </c>
      <c r="K71" s="46"/>
      <c r="L71" s="46"/>
      <c r="M71" s="46"/>
      <c r="N71" s="46"/>
      <c r="O71" s="44">
        <v>1532916</v>
      </c>
      <c r="P71" s="46">
        <f t="shared" si="0"/>
        <v>1532916</v>
      </c>
    </row>
    <row r="72" spans="1:18" ht="93.6">
      <c r="A72" s="7" t="s">
        <v>117</v>
      </c>
      <c r="B72" s="7" t="s">
        <v>118</v>
      </c>
      <c r="C72" s="7" t="s">
        <v>119</v>
      </c>
      <c r="D72" s="11" t="s">
        <v>120</v>
      </c>
      <c r="E72" s="12">
        <f t="shared" si="21"/>
        <v>3339500</v>
      </c>
      <c r="F72" s="12">
        <f>3348600-9100</f>
        <v>3339500</v>
      </c>
      <c r="G72" s="12">
        <v>0</v>
      </c>
      <c r="H72" s="12">
        <v>0</v>
      </c>
      <c r="I72" s="12">
        <v>0</v>
      </c>
      <c r="J72" s="12">
        <f t="shared" si="22"/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f t="shared" si="0"/>
        <v>3339500</v>
      </c>
    </row>
    <row r="73" spans="1:18" ht="31.2">
      <c r="A73" s="7" t="s">
        <v>121</v>
      </c>
      <c r="B73" s="7" t="s">
        <v>50</v>
      </c>
      <c r="C73" s="7" t="s">
        <v>51</v>
      </c>
      <c r="D73" s="11" t="s">
        <v>52</v>
      </c>
      <c r="E73" s="12">
        <f t="shared" si="21"/>
        <v>3100000</v>
      </c>
      <c r="F73" s="12">
        <v>3100000</v>
      </c>
      <c r="G73" s="12">
        <v>0</v>
      </c>
      <c r="H73" s="12">
        <v>0</v>
      </c>
      <c r="I73" s="12">
        <v>0</v>
      </c>
      <c r="J73" s="12">
        <f t="shared" si="22"/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f t="shared" si="0"/>
        <v>3100000</v>
      </c>
    </row>
    <row r="74" spans="1:18" ht="46.8">
      <c r="A74" s="7" t="s">
        <v>122</v>
      </c>
      <c r="B74" s="7" t="s">
        <v>123</v>
      </c>
      <c r="C74" s="7" t="s">
        <v>124</v>
      </c>
      <c r="D74" s="11" t="s">
        <v>125</v>
      </c>
      <c r="E74" s="12">
        <f t="shared" si="21"/>
        <v>11923747</v>
      </c>
      <c r="F74" s="12">
        <f>11976800-53053</f>
        <v>11923747</v>
      </c>
      <c r="G74" s="12">
        <v>10100000</v>
      </c>
      <c r="H74" s="12">
        <f>771800-1320</f>
        <v>770480</v>
      </c>
      <c r="I74" s="12">
        <v>0</v>
      </c>
      <c r="J74" s="12">
        <f t="shared" si="22"/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f t="shared" ref="P74:P106" si="26">E74 + J74</f>
        <v>11923747</v>
      </c>
    </row>
    <row r="75" spans="1:18" ht="46.8">
      <c r="A75" s="15" t="s">
        <v>332</v>
      </c>
      <c r="B75" s="32">
        <v>8110</v>
      </c>
      <c r="C75" s="15" t="s">
        <v>249</v>
      </c>
      <c r="D75" s="11" t="s">
        <v>250</v>
      </c>
      <c r="E75" s="12">
        <f t="shared" si="21"/>
        <v>100000</v>
      </c>
      <c r="F75" s="12">
        <v>100000</v>
      </c>
      <c r="G75" s="12"/>
      <c r="H75" s="12"/>
      <c r="I75" s="12"/>
      <c r="J75" s="12">
        <f t="shared" si="22"/>
        <v>3689876</v>
      </c>
      <c r="K75" s="12">
        <f>3000000+689876</f>
        <v>3689876</v>
      </c>
      <c r="L75" s="12"/>
      <c r="M75" s="12"/>
      <c r="N75" s="12"/>
      <c r="O75" s="12">
        <f>3000000+689876</f>
        <v>3689876</v>
      </c>
      <c r="P75" s="12">
        <f t="shared" si="26"/>
        <v>3789876</v>
      </c>
    </row>
    <row r="76" spans="1:18" ht="46.8">
      <c r="A76" s="8" t="s">
        <v>126</v>
      </c>
      <c r="B76" s="8" t="s">
        <v>18</v>
      </c>
      <c r="C76" s="8" t="s">
        <v>18</v>
      </c>
      <c r="D76" s="9" t="s">
        <v>127</v>
      </c>
      <c r="E76" s="10">
        <f>F76+I76</f>
        <v>99620965</v>
      </c>
      <c r="F76" s="10">
        <f>F77</f>
        <v>99620965</v>
      </c>
      <c r="G76" s="10">
        <f>G77</f>
        <v>39846100</v>
      </c>
      <c r="H76" s="10">
        <f>H77</f>
        <v>1363500</v>
      </c>
      <c r="I76" s="10">
        <f>I77</f>
        <v>0</v>
      </c>
      <c r="J76" s="10">
        <f>L76+O76</f>
        <v>56400</v>
      </c>
      <c r="K76" s="10">
        <f>K77</f>
        <v>0</v>
      </c>
      <c r="L76" s="10">
        <f t="shared" ref="L76:O76" si="27">L77</f>
        <v>0</v>
      </c>
      <c r="M76" s="10">
        <f t="shared" si="27"/>
        <v>0</v>
      </c>
      <c r="N76" s="10">
        <f t="shared" si="27"/>
        <v>0</v>
      </c>
      <c r="O76" s="10">
        <f t="shared" si="27"/>
        <v>56400</v>
      </c>
      <c r="P76" s="10">
        <f t="shared" si="26"/>
        <v>99677365</v>
      </c>
    </row>
    <row r="77" spans="1:18" ht="46.8">
      <c r="A77" s="8" t="s">
        <v>128</v>
      </c>
      <c r="B77" s="8" t="s">
        <v>18</v>
      </c>
      <c r="C77" s="8" t="s">
        <v>18</v>
      </c>
      <c r="D77" s="9" t="s">
        <v>127</v>
      </c>
      <c r="E77" s="10">
        <f>F77+I77</f>
        <v>99620965</v>
      </c>
      <c r="F77" s="10">
        <f>SUM(F78:F92)</f>
        <v>99620965</v>
      </c>
      <c r="G77" s="10">
        <f t="shared" ref="G77:K77" si="28">SUM(G78:G92)</f>
        <v>39846100</v>
      </c>
      <c r="H77" s="10">
        <f t="shared" si="28"/>
        <v>1363500</v>
      </c>
      <c r="I77" s="10">
        <f t="shared" si="28"/>
        <v>0</v>
      </c>
      <c r="J77" s="10">
        <f>L77+O77</f>
        <v>56400</v>
      </c>
      <c r="K77" s="10">
        <f t="shared" si="28"/>
        <v>0</v>
      </c>
      <c r="L77" s="10">
        <f t="shared" ref="L77" si="29">SUM(L78:L92)</f>
        <v>0</v>
      </c>
      <c r="M77" s="10">
        <f t="shared" ref="M77" si="30">SUM(M78:M92)</f>
        <v>0</v>
      </c>
      <c r="N77" s="10">
        <f t="shared" ref="N77" si="31">SUM(N78:N92)</f>
        <v>0</v>
      </c>
      <c r="O77" s="10">
        <f t="shared" ref="O77" si="32">SUM(O78:O92)</f>
        <v>56400</v>
      </c>
      <c r="P77" s="10">
        <f t="shared" si="26"/>
        <v>99677365</v>
      </c>
    </row>
    <row r="78" spans="1:18" ht="46.8">
      <c r="A78" s="7" t="s">
        <v>129</v>
      </c>
      <c r="B78" s="7" t="s">
        <v>75</v>
      </c>
      <c r="C78" s="7" t="s">
        <v>23</v>
      </c>
      <c r="D78" s="11" t="s">
        <v>76</v>
      </c>
      <c r="E78" s="12">
        <f>F78+I78</f>
        <v>15522300</v>
      </c>
      <c r="F78" s="12">
        <v>15522300</v>
      </c>
      <c r="G78" s="12">
        <v>14208400</v>
      </c>
      <c r="H78" s="12">
        <v>770900</v>
      </c>
      <c r="I78" s="12">
        <v>0</v>
      </c>
      <c r="J78" s="12">
        <f>L78+O78</f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f t="shared" si="26"/>
        <v>15522300</v>
      </c>
    </row>
    <row r="79" spans="1:18" ht="31.2">
      <c r="A79" s="7" t="s">
        <v>130</v>
      </c>
      <c r="B79" s="7" t="s">
        <v>30</v>
      </c>
      <c r="C79" s="7" t="s">
        <v>31</v>
      </c>
      <c r="D79" s="11" t="s">
        <v>32</v>
      </c>
      <c r="E79" s="12">
        <f t="shared" ref="E79:E92" si="33">F79+I79</f>
        <v>248200</v>
      </c>
      <c r="F79" s="12">
        <f>149000+99200</f>
        <v>248200</v>
      </c>
      <c r="G79" s="12">
        <v>0</v>
      </c>
      <c r="H79" s="12">
        <v>0</v>
      </c>
      <c r="I79" s="12">
        <v>0</v>
      </c>
      <c r="J79" s="12">
        <f t="shared" ref="J79:J160" si="34">L79+O79</f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f t="shared" si="26"/>
        <v>248200</v>
      </c>
    </row>
    <row r="80" spans="1:18" ht="46.8">
      <c r="A80" s="7" t="s">
        <v>131</v>
      </c>
      <c r="B80" s="7" t="s">
        <v>132</v>
      </c>
      <c r="C80" s="7" t="s">
        <v>133</v>
      </c>
      <c r="D80" s="11" t="s">
        <v>134</v>
      </c>
      <c r="E80" s="12">
        <f t="shared" si="33"/>
        <v>2311000</v>
      </c>
      <c r="F80" s="12">
        <v>2311000</v>
      </c>
      <c r="G80" s="12">
        <v>0</v>
      </c>
      <c r="H80" s="12">
        <v>0</v>
      </c>
      <c r="I80" s="12">
        <v>0</v>
      </c>
      <c r="J80" s="12">
        <f t="shared" si="34"/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f t="shared" si="26"/>
        <v>2311000</v>
      </c>
    </row>
    <row r="81" spans="1:16" ht="31.2">
      <c r="A81" s="7" t="s">
        <v>135</v>
      </c>
      <c r="B81" s="7" t="s">
        <v>136</v>
      </c>
      <c r="C81" s="7" t="s">
        <v>97</v>
      </c>
      <c r="D81" s="11" t="s">
        <v>137</v>
      </c>
      <c r="E81" s="12">
        <f t="shared" si="33"/>
        <v>11500</v>
      </c>
      <c r="F81" s="12">
        <v>11500</v>
      </c>
      <c r="G81" s="12">
        <v>0</v>
      </c>
      <c r="H81" s="12">
        <v>0</v>
      </c>
      <c r="I81" s="12">
        <v>0</v>
      </c>
      <c r="J81" s="12">
        <f t="shared" si="34"/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f t="shared" si="26"/>
        <v>11500</v>
      </c>
    </row>
    <row r="82" spans="1:16" ht="46.8">
      <c r="A82" s="7" t="s">
        <v>138</v>
      </c>
      <c r="B82" s="7" t="s">
        <v>139</v>
      </c>
      <c r="C82" s="7" t="s">
        <v>97</v>
      </c>
      <c r="D82" s="11" t="s">
        <v>140</v>
      </c>
      <c r="E82" s="12">
        <f t="shared" si="33"/>
        <v>306529</v>
      </c>
      <c r="F82" s="12">
        <v>306529</v>
      </c>
      <c r="G82" s="12">
        <v>0</v>
      </c>
      <c r="H82" s="12">
        <v>0</v>
      </c>
      <c r="I82" s="12">
        <v>0</v>
      </c>
      <c r="J82" s="12">
        <f t="shared" si="34"/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f t="shared" si="26"/>
        <v>306529</v>
      </c>
    </row>
    <row r="83" spans="1:16" ht="46.8">
      <c r="A83" s="7" t="s">
        <v>141</v>
      </c>
      <c r="B83" s="7" t="s">
        <v>142</v>
      </c>
      <c r="C83" s="7" t="s">
        <v>133</v>
      </c>
      <c r="D83" s="11" t="s">
        <v>143</v>
      </c>
      <c r="E83" s="12">
        <f t="shared" si="33"/>
        <v>182216</v>
      </c>
      <c r="F83" s="12">
        <v>182216</v>
      </c>
      <c r="G83" s="12">
        <v>0</v>
      </c>
      <c r="H83" s="12">
        <v>0</v>
      </c>
      <c r="I83" s="12">
        <v>0</v>
      </c>
      <c r="J83" s="12">
        <f t="shared" si="34"/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f t="shared" si="26"/>
        <v>182216</v>
      </c>
    </row>
    <row r="84" spans="1:16" ht="62.4">
      <c r="A84" s="7" t="s">
        <v>144</v>
      </c>
      <c r="B84" s="7" t="s">
        <v>145</v>
      </c>
      <c r="C84" s="7" t="s">
        <v>146</v>
      </c>
      <c r="D84" s="11" t="s">
        <v>147</v>
      </c>
      <c r="E84" s="12">
        <f t="shared" si="33"/>
        <v>19637500</v>
      </c>
      <c r="F84" s="12">
        <v>19637500</v>
      </c>
      <c r="G84" s="12">
        <v>18509200</v>
      </c>
      <c r="H84" s="12">
        <v>345300</v>
      </c>
      <c r="I84" s="12">
        <v>0</v>
      </c>
      <c r="J84" s="12">
        <f t="shared" si="34"/>
        <v>56400</v>
      </c>
      <c r="K84" s="12">
        <v>0</v>
      </c>
      <c r="L84" s="12">
        <v>0</v>
      </c>
      <c r="M84" s="12">
        <v>0</v>
      </c>
      <c r="N84" s="12">
        <v>0</v>
      </c>
      <c r="O84" s="12">
        <v>56400</v>
      </c>
      <c r="P84" s="12">
        <f t="shared" si="26"/>
        <v>19693900</v>
      </c>
    </row>
    <row r="85" spans="1:16" ht="31.2">
      <c r="A85" s="7" t="s">
        <v>148</v>
      </c>
      <c r="B85" s="7" t="s">
        <v>149</v>
      </c>
      <c r="C85" s="7" t="s">
        <v>119</v>
      </c>
      <c r="D85" s="11" t="s">
        <v>150</v>
      </c>
      <c r="E85" s="12">
        <f t="shared" si="33"/>
        <v>8328600</v>
      </c>
      <c r="F85" s="12">
        <v>8328600</v>
      </c>
      <c r="G85" s="12">
        <v>7128500</v>
      </c>
      <c r="H85" s="12">
        <v>247300</v>
      </c>
      <c r="I85" s="12">
        <v>0</v>
      </c>
      <c r="J85" s="12">
        <f t="shared" si="34"/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f t="shared" si="26"/>
        <v>8328600</v>
      </c>
    </row>
    <row r="86" spans="1:16" ht="31.2">
      <c r="A86" s="7" t="s">
        <v>151</v>
      </c>
      <c r="B86" s="7" t="s">
        <v>152</v>
      </c>
      <c r="C86" s="7" t="s">
        <v>119</v>
      </c>
      <c r="D86" s="11" t="s">
        <v>153</v>
      </c>
      <c r="E86" s="12">
        <f t="shared" si="33"/>
        <v>700000</v>
      </c>
      <c r="F86" s="12">
        <v>700000</v>
      </c>
      <c r="G86" s="12">
        <v>0</v>
      </c>
      <c r="H86" s="12">
        <v>0</v>
      </c>
      <c r="I86" s="12">
        <v>0</v>
      </c>
      <c r="J86" s="12">
        <f t="shared" si="34"/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f t="shared" si="26"/>
        <v>700000</v>
      </c>
    </row>
    <row r="87" spans="1:16" ht="109.2">
      <c r="A87" s="7" t="s">
        <v>154</v>
      </c>
      <c r="B87" s="7" t="s">
        <v>155</v>
      </c>
      <c r="C87" s="7" t="s">
        <v>79</v>
      </c>
      <c r="D87" s="11" t="s">
        <v>156</v>
      </c>
      <c r="E87" s="12">
        <f t="shared" si="33"/>
        <v>3300000</v>
      </c>
      <c r="F87" s="12">
        <v>3300000</v>
      </c>
      <c r="G87" s="12">
        <v>0</v>
      </c>
      <c r="H87" s="12">
        <v>0</v>
      </c>
      <c r="I87" s="12">
        <v>0</v>
      </c>
      <c r="J87" s="12">
        <f t="shared" si="34"/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f t="shared" si="26"/>
        <v>3300000</v>
      </c>
    </row>
    <row r="88" spans="1:16" ht="78">
      <c r="A88" s="7" t="s">
        <v>157</v>
      </c>
      <c r="B88" s="7" t="s">
        <v>158</v>
      </c>
      <c r="C88" s="7" t="s">
        <v>79</v>
      </c>
      <c r="D88" s="11" t="s">
        <v>159</v>
      </c>
      <c r="E88" s="12">
        <f t="shared" si="33"/>
        <v>28720</v>
      </c>
      <c r="F88" s="12">
        <v>28720</v>
      </c>
      <c r="G88" s="12">
        <v>0</v>
      </c>
      <c r="H88" s="12">
        <v>0</v>
      </c>
      <c r="I88" s="12">
        <v>0</v>
      </c>
      <c r="J88" s="12">
        <f t="shared" si="34"/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f t="shared" si="26"/>
        <v>28720</v>
      </c>
    </row>
    <row r="89" spans="1:16" ht="93.6">
      <c r="A89" s="7" t="s">
        <v>160</v>
      </c>
      <c r="B89" s="7" t="s">
        <v>161</v>
      </c>
      <c r="C89" s="7" t="s">
        <v>162</v>
      </c>
      <c r="D89" s="11" t="s">
        <v>163</v>
      </c>
      <c r="E89" s="12">
        <f t="shared" si="33"/>
        <v>1500000</v>
      </c>
      <c r="F89" s="12">
        <v>1500000</v>
      </c>
      <c r="G89" s="12">
        <v>0</v>
      </c>
      <c r="H89" s="12">
        <v>0</v>
      </c>
      <c r="I89" s="12">
        <v>0</v>
      </c>
      <c r="J89" s="12">
        <f t="shared" si="34"/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f t="shared" si="26"/>
        <v>1500000</v>
      </c>
    </row>
    <row r="90" spans="1:16" ht="62.4">
      <c r="A90" s="7" t="s">
        <v>164</v>
      </c>
      <c r="B90" s="7" t="s">
        <v>165</v>
      </c>
      <c r="C90" s="7" t="s">
        <v>133</v>
      </c>
      <c r="D90" s="11" t="s">
        <v>166</v>
      </c>
      <c r="E90" s="12">
        <f t="shared" si="33"/>
        <v>71000</v>
      </c>
      <c r="F90" s="12">
        <v>71000</v>
      </c>
      <c r="G90" s="12">
        <v>0</v>
      </c>
      <c r="H90" s="12">
        <v>0</v>
      </c>
      <c r="I90" s="12">
        <v>0</v>
      </c>
      <c r="J90" s="12">
        <f t="shared" si="34"/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f t="shared" si="26"/>
        <v>71000</v>
      </c>
    </row>
    <row r="91" spans="1:16" ht="62.4">
      <c r="A91" s="7" t="s">
        <v>167</v>
      </c>
      <c r="B91" s="7" t="s">
        <v>168</v>
      </c>
      <c r="C91" s="7" t="s">
        <v>97</v>
      </c>
      <c r="D91" s="11" t="s">
        <v>169</v>
      </c>
      <c r="E91" s="12">
        <f t="shared" si="33"/>
        <v>688600</v>
      </c>
      <c r="F91" s="12">
        <v>688600</v>
      </c>
      <c r="G91" s="12">
        <v>0</v>
      </c>
      <c r="H91" s="12">
        <v>0</v>
      </c>
      <c r="I91" s="12">
        <v>0</v>
      </c>
      <c r="J91" s="12">
        <f t="shared" si="34"/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f t="shared" si="26"/>
        <v>688600</v>
      </c>
    </row>
    <row r="92" spans="1:16" ht="31.2">
      <c r="A92" s="7" t="s">
        <v>170</v>
      </c>
      <c r="B92" s="7" t="s">
        <v>50</v>
      </c>
      <c r="C92" s="7" t="s">
        <v>51</v>
      </c>
      <c r="D92" s="11" t="s">
        <v>52</v>
      </c>
      <c r="E92" s="12">
        <f t="shared" si="33"/>
        <v>46784800</v>
      </c>
      <c r="F92" s="12">
        <f>12346800+338100+1000000+33000000+99900</f>
        <v>46784800</v>
      </c>
      <c r="G92" s="12">
        <v>0</v>
      </c>
      <c r="H92" s="12">
        <v>0</v>
      </c>
      <c r="I92" s="12">
        <v>0</v>
      </c>
      <c r="J92" s="12">
        <f t="shared" si="34"/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f t="shared" si="26"/>
        <v>46784800</v>
      </c>
    </row>
    <row r="93" spans="1:16" ht="46.8">
      <c r="A93" s="8" t="s">
        <v>171</v>
      </c>
      <c r="B93" s="8" t="s">
        <v>18</v>
      </c>
      <c r="C93" s="8" t="s">
        <v>18</v>
      </c>
      <c r="D93" s="9" t="s">
        <v>172</v>
      </c>
      <c r="E93" s="10">
        <f t="shared" ref="E93:E100" si="35">F93+I93</f>
        <v>2530500</v>
      </c>
      <c r="F93" s="10">
        <f>F94</f>
        <v>2530500</v>
      </c>
      <c r="G93" s="10">
        <v>2115000</v>
      </c>
      <c r="H93" s="10">
        <v>0</v>
      </c>
      <c r="I93" s="10">
        <v>0</v>
      </c>
      <c r="J93" s="10">
        <f t="shared" si="34"/>
        <v>0</v>
      </c>
      <c r="K93" s="10">
        <f>K94</f>
        <v>0</v>
      </c>
      <c r="L93" s="10">
        <f t="shared" ref="L93:O93" si="36">L94</f>
        <v>0</v>
      </c>
      <c r="M93" s="10">
        <f t="shared" si="36"/>
        <v>0</v>
      </c>
      <c r="N93" s="10">
        <f t="shared" si="36"/>
        <v>0</v>
      </c>
      <c r="O93" s="10">
        <f t="shared" si="36"/>
        <v>0</v>
      </c>
      <c r="P93" s="10">
        <f t="shared" si="26"/>
        <v>2530500</v>
      </c>
    </row>
    <row r="94" spans="1:16" ht="46.8">
      <c r="A94" s="8" t="s">
        <v>173</v>
      </c>
      <c r="B94" s="8" t="s">
        <v>18</v>
      </c>
      <c r="C94" s="8" t="s">
        <v>18</v>
      </c>
      <c r="D94" s="9" t="s">
        <v>172</v>
      </c>
      <c r="E94" s="10">
        <f t="shared" si="35"/>
        <v>2530500</v>
      </c>
      <c r="F94" s="10">
        <f>SUM(F95:F97)</f>
        <v>2530500</v>
      </c>
      <c r="G94" s="10">
        <f t="shared" ref="G94:K94" si="37">SUM(G95:G97)</f>
        <v>2115000</v>
      </c>
      <c r="H94" s="10">
        <f t="shared" si="37"/>
        <v>0</v>
      </c>
      <c r="I94" s="10">
        <f t="shared" si="37"/>
        <v>0</v>
      </c>
      <c r="J94" s="10">
        <f t="shared" si="34"/>
        <v>0</v>
      </c>
      <c r="K94" s="10">
        <f t="shared" si="37"/>
        <v>0</v>
      </c>
      <c r="L94" s="10">
        <f t="shared" ref="L94" si="38">SUM(L95:L97)</f>
        <v>0</v>
      </c>
      <c r="M94" s="10">
        <f t="shared" ref="M94" si="39">SUM(M95:M97)</f>
        <v>0</v>
      </c>
      <c r="N94" s="10">
        <f t="shared" ref="N94" si="40">SUM(N95:N97)</f>
        <v>0</v>
      </c>
      <c r="O94" s="10">
        <f t="shared" ref="O94" si="41">SUM(O95:O97)</f>
        <v>0</v>
      </c>
      <c r="P94" s="10">
        <f t="shared" si="26"/>
        <v>2530500</v>
      </c>
    </row>
    <row r="95" spans="1:16" ht="46.8">
      <c r="A95" s="7" t="s">
        <v>174</v>
      </c>
      <c r="B95" s="7" t="s">
        <v>75</v>
      </c>
      <c r="C95" s="7" t="s">
        <v>23</v>
      </c>
      <c r="D95" s="11" t="s">
        <v>76</v>
      </c>
      <c r="E95" s="12">
        <f t="shared" si="35"/>
        <v>2226500</v>
      </c>
      <c r="F95" s="12">
        <v>2226500</v>
      </c>
      <c r="G95" s="12">
        <v>2115000</v>
      </c>
      <c r="H95" s="12">
        <v>0</v>
      </c>
      <c r="I95" s="12">
        <v>0</v>
      </c>
      <c r="J95" s="12">
        <f t="shared" si="34"/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f t="shared" si="26"/>
        <v>2226500</v>
      </c>
    </row>
    <row r="96" spans="1:16" ht="31.2">
      <c r="A96" s="7" t="s">
        <v>175</v>
      </c>
      <c r="B96" s="7" t="s">
        <v>30</v>
      </c>
      <c r="C96" s="7" t="s">
        <v>31</v>
      </c>
      <c r="D96" s="11" t="s">
        <v>32</v>
      </c>
      <c r="E96" s="12">
        <f t="shared" si="35"/>
        <v>99000</v>
      </c>
      <c r="F96" s="12">
        <f>99000</f>
        <v>99000</v>
      </c>
      <c r="G96" s="12">
        <v>0</v>
      </c>
      <c r="H96" s="12">
        <v>0</v>
      </c>
      <c r="I96" s="12">
        <v>0</v>
      </c>
      <c r="J96" s="12">
        <f t="shared" si="34"/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f t="shared" si="26"/>
        <v>99000</v>
      </c>
    </row>
    <row r="97" spans="1:16" ht="31.2">
      <c r="A97" s="7" t="s">
        <v>176</v>
      </c>
      <c r="B97" s="7" t="s">
        <v>177</v>
      </c>
      <c r="C97" s="7" t="s">
        <v>119</v>
      </c>
      <c r="D97" s="11" t="s">
        <v>178</v>
      </c>
      <c r="E97" s="12">
        <f t="shared" si="35"/>
        <v>205000</v>
      </c>
      <c r="F97" s="12">
        <v>205000</v>
      </c>
      <c r="G97" s="12">
        <v>0</v>
      </c>
      <c r="H97" s="12">
        <v>0</v>
      </c>
      <c r="I97" s="12">
        <v>0</v>
      </c>
      <c r="J97" s="12">
        <f t="shared" si="34"/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f t="shared" si="26"/>
        <v>205000</v>
      </c>
    </row>
    <row r="98" spans="1:16" ht="46.8">
      <c r="A98" s="8" t="s">
        <v>179</v>
      </c>
      <c r="B98" s="8" t="s">
        <v>18</v>
      </c>
      <c r="C98" s="8" t="s">
        <v>18</v>
      </c>
      <c r="D98" s="9" t="s">
        <v>180</v>
      </c>
      <c r="E98" s="10">
        <f t="shared" si="35"/>
        <v>56631300</v>
      </c>
      <c r="F98" s="10">
        <f>F99</f>
        <v>56631300</v>
      </c>
      <c r="G98" s="10">
        <f t="shared" ref="G98:I98" si="42">G99</f>
        <v>50409600</v>
      </c>
      <c r="H98" s="10">
        <f t="shared" si="42"/>
        <v>3196000</v>
      </c>
      <c r="I98" s="10">
        <f t="shared" si="42"/>
        <v>0</v>
      </c>
      <c r="J98" s="10">
        <f t="shared" si="34"/>
        <v>1305000</v>
      </c>
      <c r="K98" s="10">
        <f>K99</f>
        <v>0</v>
      </c>
      <c r="L98" s="10">
        <f t="shared" ref="L98:O98" si="43">L99</f>
        <v>1105000</v>
      </c>
      <c r="M98" s="10">
        <f t="shared" si="43"/>
        <v>525100</v>
      </c>
      <c r="N98" s="10">
        <f t="shared" si="43"/>
        <v>0</v>
      </c>
      <c r="O98" s="10">
        <f t="shared" si="43"/>
        <v>200000</v>
      </c>
      <c r="P98" s="10">
        <f t="shared" si="26"/>
        <v>57936300</v>
      </c>
    </row>
    <row r="99" spans="1:16" ht="46.8">
      <c r="A99" s="8" t="s">
        <v>181</v>
      </c>
      <c r="B99" s="8" t="s">
        <v>18</v>
      </c>
      <c r="C99" s="8" t="s">
        <v>18</v>
      </c>
      <c r="D99" s="9" t="s">
        <v>180</v>
      </c>
      <c r="E99" s="10">
        <f t="shared" si="35"/>
        <v>56631300</v>
      </c>
      <c r="F99" s="10">
        <f>SUM(F100:F108)</f>
        <v>56631300</v>
      </c>
      <c r="G99" s="10">
        <f t="shared" ref="G99:K99" si="44">SUM(G100:G108)</f>
        <v>50409600</v>
      </c>
      <c r="H99" s="10">
        <f t="shared" si="44"/>
        <v>3196000</v>
      </c>
      <c r="I99" s="10">
        <f t="shared" si="44"/>
        <v>0</v>
      </c>
      <c r="J99" s="10">
        <f t="shared" si="34"/>
        <v>1305000</v>
      </c>
      <c r="K99" s="10">
        <f t="shared" si="44"/>
        <v>0</v>
      </c>
      <c r="L99" s="10">
        <f t="shared" ref="L99" si="45">SUM(L100:L108)</f>
        <v>1105000</v>
      </c>
      <c r="M99" s="10">
        <f t="shared" ref="M99" si="46">SUM(M100:M108)</f>
        <v>525100</v>
      </c>
      <c r="N99" s="10">
        <f t="shared" ref="N99" si="47">SUM(N100:N108)</f>
        <v>0</v>
      </c>
      <c r="O99" s="10">
        <f t="shared" ref="O99" si="48">SUM(O100:O108)</f>
        <v>200000</v>
      </c>
      <c r="P99" s="10">
        <f t="shared" si="26"/>
        <v>57936300</v>
      </c>
    </row>
    <row r="100" spans="1:16" ht="46.8">
      <c r="A100" s="7" t="s">
        <v>182</v>
      </c>
      <c r="B100" s="7" t="s">
        <v>75</v>
      </c>
      <c r="C100" s="7" t="s">
        <v>23</v>
      </c>
      <c r="D100" s="11" t="s">
        <v>76</v>
      </c>
      <c r="E100" s="12">
        <f t="shared" si="35"/>
        <v>912100</v>
      </c>
      <c r="F100" s="12">
        <v>912100</v>
      </c>
      <c r="G100" s="12">
        <v>884400</v>
      </c>
      <c r="H100" s="12">
        <v>0</v>
      </c>
      <c r="I100" s="12">
        <v>0</v>
      </c>
      <c r="J100" s="12">
        <f t="shared" si="34"/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f t="shared" si="26"/>
        <v>912100</v>
      </c>
    </row>
    <row r="101" spans="1:16" ht="31.2">
      <c r="A101" s="7" t="s">
        <v>183</v>
      </c>
      <c r="B101" s="7" t="s">
        <v>30</v>
      </c>
      <c r="C101" s="7" t="s">
        <v>31</v>
      </c>
      <c r="D101" s="11" t="s">
        <v>32</v>
      </c>
      <c r="E101" s="12">
        <f t="shared" ref="E101:E108" si="49">F101+I101</f>
        <v>99000</v>
      </c>
      <c r="F101" s="12">
        <f>99000</f>
        <v>99000</v>
      </c>
      <c r="G101" s="12">
        <v>0</v>
      </c>
      <c r="H101" s="12">
        <v>0</v>
      </c>
      <c r="I101" s="12">
        <v>0</v>
      </c>
      <c r="J101" s="12">
        <f t="shared" si="34"/>
        <v>0</v>
      </c>
      <c r="K101" s="12">
        <v>0</v>
      </c>
      <c r="L101" s="12"/>
      <c r="M101" s="12"/>
      <c r="N101" s="12"/>
      <c r="O101" s="12"/>
      <c r="P101" s="12">
        <f t="shared" si="26"/>
        <v>99000</v>
      </c>
    </row>
    <row r="102" spans="1:16" ht="31.2">
      <c r="A102" s="7" t="s">
        <v>184</v>
      </c>
      <c r="B102" s="7" t="s">
        <v>185</v>
      </c>
      <c r="C102" s="7" t="s">
        <v>98</v>
      </c>
      <c r="D102" s="11" t="s">
        <v>186</v>
      </c>
      <c r="E102" s="12">
        <f t="shared" si="49"/>
        <v>25824300</v>
      </c>
      <c r="F102" s="12">
        <v>25824300</v>
      </c>
      <c r="G102" s="12">
        <v>25065000</v>
      </c>
      <c r="H102" s="12">
        <v>636100</v>
      </c>
      <c r="I102" s="12">
        <v>0</v>
      </c>
      <c r="J102" s="12">
        <f t="shared" si="34"/>
        <v>1025000</v>
      </c>
      <c r="K102" s="12">
        <v>0</v>
      </c>
      <c r="L102" s="12">
        <f>1024000-200000+1000</f>
        <v>825000</v>
      </c>
      <c r="M102" s="12">
        <f>405800+89300</f>
        <v>495100</v>
      </c>
      <c r="N102" s="12">
        <v>0</v>
      </c>
      <c r="O102" s="12">
        <v>200000</v>
      </c>
      <c r="P102" s="12">
        <f t="shared" si="26"/>
        <v>26849300</v>
      </c>
    </row>
    <row r="103" spans="1:16" ht="93.6">
      <c r="A103" s="7" t="s">
        <v>187</v>
      </c>
      <c r="B103" s="7" t="s">
        <v>118</v>
      </c>
      <c r="C103" s="7" t="s">
        <v>119</v>
      </c>
      <c r="D103" s="11" t="s">
        <v>120</v>
      </c>
      <c r="E103" s="12">
        <f t="shared" si="49"/>
        <v>150000</v>
      </c>
      <c r="F103" s="12">
        <v>150000</v>
      </c>
      <c r="G103" s="12">
        <v>0</v>
      </c>
      <c r="H103" s="12">
        <v>0</v>
      </c>
      <c r="I103" s="12">
        <v>0</v>
      </c>
      <c r="J103" s="12">
        <f t="shared" si="34"/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f t="shared" si="26"/>
        <v>150000</v>
      </c>
    </row>
    <row r="104" spans="1:16">
      <c r="A104" s="7" t="s">
        <v>188</v>
      </c>
      <c r="B104" s="7" t="s">
        <v>189</v>
      </c>
      <c r="C104" s="7" t="s">
        <v>190</v>
      </c>
      <c r="D104" s="11" t="s">
        <v>191</v>
      </c>
      <c r="E104" s="12">
        <f t="shared" si="49"/>
        <v>9580300</v>
      </c>
      <c r="F104" s="12">
        <f>9730300-150000</f>
        <v>9580300</v>
      </c>
      <c r="G104" s="12">
        <f>8119400-150000</f>
        <v>7969400</v>
      </c>
      <c r="H104" s="12">
        <v>1029700</v>
      </c>
      <c r="I104" s="12">
        <v>0</v>
      </c>
      <c r="J104" s="12">
        <f t="shared" si="34"/>
        <v>80000</v>
      </c>
      <c r="K104" s="12">
        <v>0</v>
      </c>
      <c r="L104" s="12">
        <f>80000</f>
        <v>80000</v>
      </c>
      <c r="M104" s="12">
        <v>0</v>
      </c>
      <c r="N104" s="12">
        <v>0</v>
      </c>
      <c r="O104" s="12">
        <v>0</v>
      </c>
      <c r="P104" s="12">
        <f t="shared" si="26"/>
        <v>9660300</v>
      </c>
    </row>
    <row r="105" spans="1:16" ht="31.2">
      <c r="A105" s="7" t="s">
        <v>192</v>
      </c>
      <c r="B105" s="7" t="s">
        <v>193</v>
      </c>
      <c r="C105" s="7" t="s">
        <v>190</v>
      </c>
      <c r="D105" s="11" t="s">
        <v>194</v>
      </c>
      <c r="E105" s="12">
        <f t="shared" si="49"/>
        <v>3962600</v>
      </c>
      <c r="F105" s="12">
        <f>3612600+200000-50000+200000</f>
        <v>3962600</v>
      </c>
      <c r="G105" s="12">
        <f>2754000-50000</f>
        <v>2704000</v>
      </c>
      <c r="H105" s="12">
        <v>436000</v>
      </c>
      <c r="I105" s="12">
        <v>0</v>
      </c>
      <c r="J105" s="12">
        <f t="shared" si="34"/>
        <v>40000</v>
      </c>
      <c r="K105" s="12">
        <v>0</v>
      </c>
      <c r="L105" s="12">
        <v>40000</v>
      </c>
      <c r="M105" s="12">
        <v>0</v>
      </c>
      <c r="N105" s="12">
        <v>0</v>
      </c>
      <c r="O105" s="12">
        <v>0</v>
      </c>
      <c r="P105" s="12">
        <f t="shared" si="26"/>
        <v>4002600</v>
      </c>
    </row>
    <row r="106" spans="1:16" ht="46.8">
      <c r="A106" s="7" t="s">
        <v>195</v>
      </c>
      <c r="B106" s="7" t="s">
        <v>196</v>
      </c>
      <c r="C106" s="7" t="s">
        <v>197</v>
      </c>
      <c r="D106" s="11" t="s">
        <v>198</v>
      </c>
      <c r="E106" s="12">
        <f t="shared" si="49"/>
        <v>12911200</v>
      </c>
      <c r="F106" s="12">
        <v>12911200</v>
      </c>
      <c r="G106" s="12">
        <v>11348400</v>
      </c>
      <c r="H106" s="12">
        <v>1030900</v>
      </c>
      <c r="I106" s="12">
        <v>0</v>
      </c>
      <c r="J106" s="12">
        <f t="shared" si="34"/>
        <v>160000</v>
      </c>
      <c r="K106" s="12">
        <v>0</v>
      </c>
      <c r="L106" s="12">
        <v>160000</v>
      </c>
      <c r="M106" s="12">
        <f>30000</f>
        <v>30000</v>
      </c>
      <c r="N106" s="12">
        <v>0</v>
      </c>
      <c r="O106" s="12">
        <v>0</v>
      </c>
      <c r="P106" s="12">
        <f t="shared" si="26"/>
        <v>13071200</v>
      </c>
    </row>
    <row r="107" spans="1:16" ht="31.2">
      <c r="A107" s="7" t="s">
        <v>199</v>
      </c>
      <c r="B107" s="7" t="s">
        <v>200</v>
      </c>
      <c r="C107" s="7" t="s">
        <v>201</v>
      </c>
      <c r="D107" s="11" t="s">
        <v>202</v>
      </c>
      <c r="E107" s="12">
        <f t="shared" si="49"/>
        <v>2591800</v>
      </c>
      <c r="F107" s="12">
        <v>2591800</v>
      </c>
      <c r="G107" s="12">
        <v>2438400</v>
      </c>
      <c r="H107" s="12">
        <v>63300</v>
      </c>
      <c r="I107" s="12">
        <v>0</v>
      </c>
      <c r="J107" s="12">
        <f t="shared" si="34"/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f t="shared" ref="P107:P156" si="50">E107 + J107</f>
        <v>2591800</v>
      </c>
    </row>
    <row r="108" spans="1:16" ht="31.2">
      <c r="A108" s="7" t="s">
        <v>203</v>
      </c>
      <c r="B108" s="7" t="s">
        <v>204</v>
      </c>
      <c r="C108" s="7" t="s">
        <v>201</v>
      </c>
      <c r="D108" s="11" t="s">
        <v>205</v>
      </c>
      <c r="E108" s="12">
        <f t="shared" si="49"/>
        <v>600000</v>
      </c>
      <c r="F108" s="12">
        <v>600000</v>
      </c>
      <c r="G108" s="12">
        <v>0</v>
      </c>
      <c r="H108" s="12">
        <v>0</v>
      </c>
      <c r="I108" s="12">
        <v>0</v>
      </c>
      <c r="J108" s="12">
        <f t="shared" si="34"/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f t="shared" si="50"/>
        <v>600000</v>
      </c>
    </row>
    <row r="109" spans="1:16" ht="46.8">
      <c r="A109" s="8" t="s">
        <v>206</v>
      </c>
      <c r="B109" s="8" t="s">
        <v>18</v>
      </c>
      <c r="C109" s="8" t="s">
        <v>18</v>
      </c>
      <c r="D109" s="9" t="s">
        <v>207</v>
      </c>
      <c r="E109" s="10">
        <f t="shared" ref="E109:E120" si="51">F109+I109</f>
        <v>7281144</v>
      </c>
      <c r="F109" s="10">
        <f>F110</f>
        <v>7281144</v>
      </c>
      <c r="G109" s="10">
        <f t="shared" ref="G109:I109" si="52">G110</f>
        <v>2566100</v>
      </c>
      <c r="H109" s="10">
        <f t="shared" si="52"/>
        <v>58000</v>
      </c>
      <c r="I109" s="10">
        <f t="shared" si="52"/>
        <v>0</v>
      </c>
      <c r="J109" s="10">
        <f t="shared" si="34"/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f t="shared" si="50"/>
        <v>7281144</v>
      </c>
    </row>
    <row r="110" spans="1:16" ht="46.8">
      <c r="A110" s="8" t="s">
        <v>208</v>
      </c>
      <c r="B110" s="8" t="s">
        <v>18</v>
      </c>
      <c r="C110" s="8" t="s">
        <v>18</v>
      </c>
      <c r="D110" s="9" t="s">
        <v>207</v>
      </c>
      <c r="E110" s="10">
        <f t="shared" si="51"/>
        <v>7281144</v>
      </c>
      <c r="F110" s="10">
        <f>SUM(F111:F117)</f>
        <v>7281144</v>
      </c>
      <c r="G110" s="10">
        <f t="shared" ref="G110:K110" si="53">SUM(G111:G117)</f>
        <v>2566100</v>
      </c>
      <c r="H110" s="10">
        <f t="shared" si="53"/>
        <v>58000</v>
      </c>
      <c r="I110" s="10">
        <f t="shared" si="53"/>
        <v>0</v>
      </c>
      <c r="J110" s="10">
        <f t="shared" si="34"/>
        <v>0</v>
      </c>
      <c r="K110" s="10">
        <f t="shared" si="53"/>
        <v>0</v>
      </c>
      <c r="L110" s="10">
        <f t="shared" ref="L110" si="54">SUM(L111:L117)</f>
        <v>0</v>
      </c>
      <c r="M110" s="10">
        <f t="shared" ref="M110" si="55">SUM(M111:M117)</f>
        <v>0</v>
      </c>
      <c r="N110" s="10">
        <f t="shared" ref="N110" si="56">SUM(N111:N117)</f>
        <v>0</v>
      </c>
      <c r="O110" s="10">
        <f t="shared" ref="O110" si="57">SUM(O111:O117)</f>
        <v>0</v>
      </c>
      <c r="P110" s="10">
        <f t="shared" si="50"/>
        <v>7281144</v>
      </c>
    </row>
    <row r="111" spans="1:16" ht="46.8">
      <c r="A111" s="7" t="s">
        <v>209</v>
      </c>
      <c r="B111" s="7" t="s">
        <v>75</v>
      </c>
      <c r="C111" s="7" t="s">
        <v>23</v>
      </c>
      <c r="D111" s="11" t="s">
        <v>76</v>
      </c>
      <c r="E111" s="12">
        <f t="shared" si="51"/>
        <v>2042100</v>
      </c>
      <c r="F111" s="12">
        <v>2042100</v>
      </c>
      <c r="G111" s="12">
        <v>1932200</v>
      </c>
      <c r="H111" s="12">
        <v>0</v>
      </c>
      <c r="I111" s="12">
        <v>0</v>
      </c>
      <c r="J111" s="12">
        <f t="shared" si="34"/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f t="shared" si="50"/>
        <v>2042100</v>
      </c>
    </row>
    <row r="112" spans="1:16" ht="31.2">
      <c r="A112" s="7" t="s">
        <v>210</v>
      </c>
      <c r="B112" s="7" t="s">
        <v>30</v>
      </c>
      <c r="C112" s="7" t="s">
        <v>31</v>
      </c>
      <c r="D112" s="11" t="s">
        <v>32</v>
      </c>
      <c r="E112" s="12">
        <f t="shared" si="51"/>
        <v>99000</v>
      </c>
      <c r="F112" s="12">
        <f>99000</f>
        <v>99000</v>
      </c>
      <c r="G112" s="12">
        <v>0</v>
      </c>
      <c r="H112" s="12">
        <v>0</v>
      </c>
      <c r="I112" s="12">
        <v>0</v>
      </c>
      <c r="J112" s="12">
        <f t="shared" si="34"/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f t="shared" si="50"/>
        <v>99000</v>
      </c>
    </row>
    <row r="113" spans="1:18" ht="31.2">
      <c r="A113" s="7" t="s">
        <v>211</v>
      </c>
      <c r="B113" s="7" t="s">
        <v>212</v>
      </c>
      <c r="C113" s="7" t="s">
        <v>119</v>
      </c>
      <c r="D113" s="11" t="s">
        <v>213</v>
      </c>
      <c r="E113" s="12">
        <f t="shared" si="51"/>
        <v>1979400</v>
      </c>
      <c r="F113" s="12">
        <f>1880400+99000</f>
        <v>1979400</v>
      </c>
      <c r="G113" s="12">
        <v>633900</v>
      </c>
      <c r="H113" s="12">
        <v>58000</v>
      </c>
      <c r="I113" s="12">
        <v>0</v>
      </c>
      <c r="J113" s="12">
        <f t="shared" si="34"/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f t="shared" si="50"/>
        <v>1979400</v>
      </c>
    </row>
    <row r="114" spans="1:18" ht="46.8">
      <c r="A114" s="7" t="s">
        <v>214</v>
      </c>
      <c r="B114" s="7" t="s">
        <v>215</v>
      </c>
      <c r="C114" s="7" t="s">
        <v>124</v>
      </c>
      <c r="D114" s="11" t="s">
        <v>216</v>
      </c>
      <c r="E114" s="12">
        <f t="shared" si="51"/>
        <v>950000</v>
      </c>
      <c r="F114" s="12">
        <v>950000</v>
      </c>
      <c r="G114" s="12">
        <v>0</v>
      </c>
      <c r="H114" s="12">
        <v>0</v>
      </c>
      <c r="I114" s="12">
        <v>0</v>
      </c>
      <c r="J114" s="12">
        <f t="shared" si="34"/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f t="shared" si="50"/>
        <v>950000</v>
      </c>
    </row>
    <row r="115" spans="1:18" ht="46.8">
      <c r="A115" s="7" t="s">
        <v>217</v>
      </c>
      <c r="B115" s="7" t="s">
        <v>218</v>
      </c>
      <c r="C115" s="7" t="s">
        <v>124</v>
      </c>
      <c r="D115" s="11" t="s">
        <v>219</v>
      </c>
      <c r="E115" s="12">
        <f t="shared" si="51"/>
        <v>320000</v>
      </c>
      <c r="F115" s="12">
        <v>320000</v>
      </c>
      <c r="G115" s="12">
        <v>0</v>
      </c>
      <c r="H115" s="12">
        <v>0</v>
      </c>
      <c r="I115" s="12">
        <v>0</v>
      </c>
      <c r="J115" s="12">
        <f t="shared" si="34"/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f t="shared" si="50"/>
        <v>320000</v>
      </c>
    </row>
    <row r="116" spans="1:18" s="39" customFormat="1" ht="46.8">
      <c r="A116" s="34" t="s">
        <v>375</v>
      </c>
      <c r="B116" s="34" t="s">
        <v>376</v>
      </c>
      <c r="C116" s="34" t="s">
        <v>124</v>
      </c>
      <c r="D116" s="35" t="s">
        <v>377</v>
      </c>
      <c r="E116" s="44">
        <f>F116+I116</f>
        <v>103944</v>
      </c>
      <c r="F116" s="44">
        <v>103944</v>
      </c>
      <c r="G116" s="44"/>
      <c r="H116" s="44"/>
      <c r="I116" s="44"/>
      <c r="J116" s="44"/>
      <c r="K116" s="44"/>
      <c r="L116" s="44"/>
      <c r="M116" s="44"/>
      <c r="N116" s="44"/>
      <c r="O116" s="44"/>
      <c r="P116" s="44">
        <f t="shared" ref="P116" si="58">E116+J116</f>
        <v>103944</v>
      </c>
      <c r="Q116" s="38"/>
      <c r="R116" s="38"/>
    </row>
    <row r="117" spans="1:18" ht="78">
      <c r="A117" s="7" t="s">
        <v>220</v>
      </c>
      <c r="B117" s="7" t="s">
        <v>221</v>
      </c>
      <c r="C117" s="7" t="s">
        <v>124</v>
      </c>
      <c r="D117" s="11" t="s">
        <v>222</v>
      </c>
      <c r="E117" s="12">
        <f t="shared" si="51"/>
        <v>1786700</v>
      </c>
      <c r="F117" s="12">
        <v>1786700</v>
      </c>
      <c r="G117" s="12">
        <v>0</v>
      </c>
      <c r="H117" s="12">
        <v>0</v>
      </c>
      <c r="I117" s="12">
        <v>0</v>
      </c>
      <c r="J117" s="12">
        <f t="shared" si="34"/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f t="shared" si="50"/>
        <v>1786700</v>
      </c>
    </row>
    <row r="118" spans="1:18" ht="62.4">
      <c r="A118" s="8" t="s">
        <v>223</v>
      </c>
      <c r="B118" s="8" t="s">
        <v>18</v>
      </c>
      <c r="C118" s="8" t="s">
        <v>18</v>
      </c>
      <c r="D118" s="9" t="s">
        <v>224</v>
      </c>
      <c r="E118" s="10">
        <f t="shared" si="51"/>
        <v>144441210</v>
      </c>
      <c r="F118" s="10">
        <f>F119</f>
        <v>52274841</v>
      </c>
      <c r="G118" s="10">
        <f t="shared" ref="G118:I118" si="59">G119</f>
        <v>3502400</v>
      </c>
      <c r="H118" s="10">
        <f t="shared" si="59"/>
        <v>14400</v>
      </c>
      <c r="I118" s="10">
        <f t="shared" si="59"/>
        <v>92166369</v>
      </c>
      <c r="J118" s="10">
        <f t="shared" si="34"/>
        <v>8408215.4400000013</v>
      </c>
      <c r="K118" s="10">
        <f>K119</f>
        <v>7344268</v>
      </c>
      <c r="L118" s="10">
        <f t="shared" ref="L118:O118" si="60">L119</f>
        <v>100000</v>
      </c>
      <c r="M118" s="10">
        <f t="shared" si="60"/>
        <v>0</v>
      </c>
      <c r="N118" s="10">
        <f t="shared" si="60"/>
        <v>0</v>
      </c>
      <c r="O118" s="10">
        <f t="shared" si="60"/>
        <v>8308215.4400000004</v>
      </c>
      <c r="P118" s="10">
        <f t="shared" si="50"/>
        <v>152849425.44</v>
      </c>
    </row>
    <row r="119" spans="1:18" ht="62.4">
      <c r="A119" s="8" t="s">
        <v>225</v>
      </c>
      <c r="B119" s="8" t="s">
        <v>18</v>
      </c>
      <c r="C119" s="8" t="s">
        <v>18</v>
      </c>
      <c r="D119" s="9" t="s">
        <v>224</v>
      </c>
      <c r="E119" s="10">
        <f t="shared" si="51"/>
        <v>144441210</v>
      </c>
      <c r="F119" s="10">
        <f>SUM(F120:F136)</f>
        <v>52274841</v>
      </c>
      <c r="G119" s="10">
        <f t="shared" ref="G119:K119" si="61">SUM(G120:G136)</f>
        <v>3502400</v>
      </c>
      <c r="H119" s="10">
        <f t="shared" si="61"/>
        <v>14400</v>
      </c>
      <c r="I119" s="10">
        <f t="shared" si="61"/>
        <v>92166369</v>
      </c>
      <c r="J119" s="10">
        <f>L119+O119</f>
        <v>8408215.4400000013</v>
      </c>
      <c r="K119" s="10">
        <f t="shared" si="61"/>
        <v>7344268</v>
      </c>
      <c r="L119" s="10">
        <f t="shared" ref="L119" si="62">SUM(L120:L136)</f>
        <v>100000</v>
      </c>
      <c r="M119" s="10">
        <f t="shared" ref="M119" si="63">SUM(M120:M136)</f>
        <v>0</v>
      </c>
      <c r="N119" s="10">
        <f t="shared" ref="N119" si="64">SUM(N120:N136)</f>
        <v>0</v>
      </c>
      <c r="O119" s="10">
        <f t="shared" ref="O119" si="65">SUM(O120:O136)</f>
        <v>8308215.4400000004</v>
      </c>
      <c r="P119" s="10">
        <f>E119 + J119</f>
        <v>152849425.44</v>
      </c>
    </row>
    <row r="120" spans="1:18" ht="46.8">
      <c r="A120" s="7" t="s">
        <v>226</v>
      </c>
      <c r="B120" s="7" t="s">
        <v>75</v>
      </c>
      <c r="C120" s="7" t="s">
        <v>23</v>
      </c>
      <c r="D120" s="11" t="s">
        <v>76</v>
      </c>
      <c r="E120" s="12">
        <f t="shared" si="51"/>
        <v>4294900</v>
      </c>
      <c r="F120" s="12">
        <f>3829700+465200</f>
        <v>4294900</v>
      </c>
      <c r="G120" s="12">
        <v>3502400</v>
      </c>
      <c r="H120" s="12">
        <v>14400</v>
      </c>
      <c r="I120" s="12">
        <v>0</v>
      </c>
      <c r="J120" s="12">
        <f t="shared" si="34"/>
        <v>36000</v>
      </c>
      <c r="K120" s="12">
        <v>36000</v>
      </c>
      <c r="L120" s="12">
        <v>0</v>
      </c>
      <c r="M120" s="12">
        <v>0</v>
      </c>
      <c r="N120" s="12">
        <v>0</v>
      </c>
      <c r="O120" s="12">
        <v>36000</v>
      </c>
      <c r="P120" s="12">
        <f t="shared" si="50"/>
        <v>4330900</v>
      </c>
    </row>
    <row r="121" spans="1:18" ht="46.8">
      <c r="A121" s="7" t="s">
        <v>227</v>
      </c>
      <c r="B121" s="7" t="s">
        <v>26</v>
      </c>
      <c r="C121" s="7" t="s">
        <v>27</v>
      </c>
      <c r="D121" s="11" t="s">
        <v>28</v>
      </c>
      <c r="E121" s="12">
        <f t="shared" ref="E121:E136" si="66">F121+I121</f>
        <v>25000</v>
      </c>
      <c r="F121" s="12">
        <v>25000</v>
      </c>
      <c r="G121" s="12">
        <v>0</v>
      </c>
      <c r="H121" s="12">
        <v>0</v>
      </c>
      <c r="I121" s="12">
        <v>0</v>
      </c>
      <c r="J121" s="12">
        <f t="shared" si="34"/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f t="shared" si="50"/>
        <v>25000</v>
      </c>
    </row>
    <row r="122" spans="1:18" ht="31.2">
      <c r="A122" s="7" t="s">
        <v>228</v>
      </c>
      <c r="B122" s="7" t="s">
        <v>30</v>
      </c>
      <c r="C122" s="7" t="s">
        <v>31</v>
      </c>
      <c r="D122" s="11" t="s">
        <v>32</v>
      </c>
      <c r="E122" s="12">
        <f t="shared" si="66"/>
        <v>99000</v>
      </c>
      <c r="F122" s="12">
        <f>99000</f>
        <v>99000</v>
      </c>
      <c r="G122" s="12">
        <v>0</v>
      </c>
      <c r="H122" s="12">
        <v>0</v>
      </c>
      <c r="I122" s="12">
        <v>0</v>
      </c>
      <c r="J122" s="12">
        <f t="shared" si="34"/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f t="shared" si="50"/>
        <v>99000</v>
      </c>
    </row>
    <row r="123" spans="1:18" ht="31.2">
      <c r="A123" s="7" t="s">
        <v>229</v>
      </c>
      <c r="B123" s="7" t="s">
        <v>230</v>
      </c>
      <c r="C123" s="7" t="s">
        <v>231</v>
      </c>
      <c r="D123" s="11" t="s">
        <v>232</v>
      </c>
      <c r="E123" s="12">
        <f t="shared" si="66"/>
        <v>30000</v>
      </c>
      <c r="F123" s="12">
        <v>30000</v>
      </c>
      <c r="G123" s="12">
        <v>0</v>
      </c>
      <c r="H123" s="12">
        <v>0</v>
      </c>
      <c r="I123" s="12">
        <v>0</v>
      </c>
      <c r="J123" s="12">
        <f t="shared" si="34"/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f t="shared" si="50"/>
        <v>30000</v>
      </c>
    </row>
    <row r="124" spans="1:18" ht="31.2">
      <c r="A124" s="32">
        <v>1216011</v>
      </c>
      <c r="B124" s="32">
        <v>6011</v>
      </c>
      <c r="C124" s="15" t="s">
        <v>292</v>
      </c>
      <c r="D124" s="11" t="s">
        <v>291</v>
      </c>
      <c r="E124" s="12">
        <f t="shared" si="66"/>
        <v>319069</v>
      </c>
      <c r="F124" s="12"/>
      <c r="G124" s="12"/>
      <c r="H124" s="12"/>
      <c r="I124" s="12">
        <v>319069</v>
      </c>
      <c r="J124" s="12">
        <f t="shared" si="34"/>
        <v>4029487</v>
      </c>
      <c r="K124" s="12">
        <v>4029487</v>
      </c>
      <c r="L124" s="12"/>
      <c r="M124" s="12"/>
      <c r="N124" s="12"/>
      <c r="O124" s="12">
        <v>4029487</v>
      </c>
      <c r="P124" s="12">
        <f t="shared" si="50"/>
        <v>4348556</v>
      </c>
    </row>
    <row r="125" spans="1:18" ht="31.2">
      <c r="A125" s="47">
        <v>1216013</v>
      </c>
      <c r="B125" s="47">
        <v>6013</v>
      </c>
      <c r="C125" s="15" t="s">
        <v>55</v>
      </c>
      <c r="D125" s="11" t="s">
        <v>335</v>
      </c>
      <c r="E125" s="12">
        <f t="shared" si="66"/>
        <v>0</v>
      </c>
      <c r="F125" s="12"/>
      <c r="G125" s="12"/>
      <c r="H125" s="12"/>
      <c r="I125" s="12"/>
      <c r="J125" s="12">
        <f t="shared" si="34"/>
        <v>1244281</v>
      </c>
      <c r="K125" s="12">
        <v>1244281</v>
      </c>
      <c r="L125" s="12"/>
      <c r="M125" s="12"/>
      <c r="N125" s="12"/>
      <c r="O125" s="12">
        <v>1244281</v>
      </c>
      <c r="P125" s="12">
        <f t="shared" si="50"/>
        <v>1244281</v>
      </c>
    </row>
    <row r="126" spans="1:18" ht="31.2">
      <c r="A126" s="7" t="s">
        <v>233</v>
      </c>
      <c r="B126" s="7" t="s">
        <v>234</v>
      </c>
      <c r="C126" s="7" t="s">
        <v>55</v>
      </c>
      <c r="D126" s="11" t="s">
        <v>235</v>
      </c>
      <c r="E126" s="12">
        <f t="shared" si="66"/>
        <v>300000</v>
      </c>
      <c r="F126" s="12">
        <v>0</v>
      </c>
      <c r="G126" s="12">
        <v>0</v>
      </c>
      <c r="H126" s="12">
        <v>0</v>
      </c>
      <c r="I126" s="12">
        <v>300000</v>
      </c>
      <c r="J126" s="12">
        <f t="shared" si="34"/>
        <v>495000</v>
      </c>
      <c r="K126" s="12">
        <v>495000</v>
      </c>
      <c r="L126" s="12">
        <v>0</v>
      </c>
      <c r="M126" s="12">
        <v>0</v>
      </c>
      <c r="N126" s="12">
        <v>0</v>
      </c>
      <c r="O126" s="12">
        <v>495000</v>
      </c>
      <c r="P126" s="12">
        <f t="shared" si="50"/>
        <v>795000</v>
      </c>
    </row>
    <row r="127" spans="1:18" ht="46.8">
      <c r="A127" s="7" t="s">
        <v>236</v>
      </c>
      <c r="B127" s="7" t="s">
        <v>237</v>
      </c>
      <c r="C127" s="7" t="s">
        <v>55</v>
      </c>
      <c r="D127" s="11" t="s">
        <v>238</v>
      </c>
      <c r="E127" s="12">
        <f t="shared" si="66"/>
        <v>1493000</v>
      </c>
      <c r="F127" s="12">
        <v>0</v>
      </c>
      <c r="G127" s="12">
        <v>0</v>
      </c>
      <c r="H127" s="12">
        <v>0</v>
      </c>
      <c r="I127" s="12">
        <v>1493000</v>
      </c>
      <c r="J127" s="12">
        <f t="shared" si="34"/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f t="shared" si="50"/>
        <v>1493000</v>
      </c>
    </row>
    <row r="128" spans="1:18" ht="31.2">
      <c r="A128" s="7" t="s">
        <v>239</v>
      </c>
      <c r="B128" s="7" t="s">
        <v>54</v>
      </c>
      <c r="C128" s="7" t="s">
        <v>55</v>
      </c>
      <c r="D128" s="11" t="s">
        <v>56</v>
      </c>
      <c r="E128" s="12">
        <f>F128+I128</f>
        <v>73985000</v>
      </c>
      <c r="F128" s="12">
        <f>19865000+465200+345000-50000-465200-55000</f>
        <v>20105000</v>
      </c>
      <c r="G128" s="12">
        <v>0</v>
      </c>
      <c r="H128" s="12">
        <v>0</v>
      </c>
      <c r="I128" s="12">
        <f>54195000-345000+30000</f>
        <v>53880000</v>
      </c>
      <c r="J128" s="12">
        <f t="shared" si="34"/>
        <v>1389500</v>
      </c>
      <c r="K128" s="12">
        <f>875500-36000+550000</f>
        <v>1389500</v>
      </c>
      <c r="L128" s="12">
        <v>0</v>
      </c>
      <c r="M128" s="12">
        <v>0</v>
      </c>
      <c r="N128" s="12">
        <v>0</v>
      </c>
      <c r="O128" s="12">
        <f>875500-36000+550000</f>
        <v>1389500</v>
      </c>
      <c r="P128" s="12">
        <f t="shared" si="50"/>
        <v>75374500</v>
      </c>
    </row>
    <row r="129" spans="1:16">
      <c r="A129" s="47">
        <v>1217130</v>
      </c>
      <c r="B129" s="47">
        <v>7130</v>
      </c>
      <c r="C129" s="15" t="s">
        <v>264</v>
      </c>
      <c r="D129" s="11" t="s">
        <v>265</v>
      </c>
      <c r="E129" s="12">
        <f>F129+I129</f>
        <v>55000</v>
      </c>
      <c r="F129" s="12"/>
      <c r="G129" s="12"/>
      <c r="H129" s="12"/>
      <c r="I129" s="12">
        <v>55000</v>
      </c>
      <c r="J129" s="12">
        <f t="shared" si="34"/>
        <v>0</v>
      </c>
      <c r="K129" s="12"/>
      <c r="L129" s="12"/>
      <c r="M129" s="12"/>
      <c r="N129" s="12"/>
      <c r="O129" s="12"/>
      <c r="P129" s="12">
        <f t="shared" si="50"/>
        <v>55000</v>
      </c>
    </row>
    <row r="130" spans="1:16" ht="46.8">
      <c r="A130" s="7" t="s">
        <v>240</v>
      </c>
      <c r="B130" s="7" t="s">
        <v>241</v>
      </c>
      <c r="C130" s="7" t="s">
        <v>242</v>
      </c>
      <c r="D130" s="11" t="s">
        <v>243</v>
      </c>
      <c r="E130" s="12">
        <f t="shared" si="66"/>
        <v>25700000</v>
      </c>
      <c r="F130" s="12">
        <v>25700000</v>
      </c>
      <c r="G130" s="12">
        <v>0</v>
      </c>
      <c r="H130" s="12">
        <v>0</v>
      </c>
      <c r="I130" s="12">
        <v>0</v>
      </c>
      <c r="J130" s="12">
        <f t="shared" si="34"/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f t="shared" si="50"/>
        <v>25700000</v>
      </c>
    </row>
    <row r="131" spans="1:16" ht="140.4">
      <c r="A131" s="32">
        <v>1217691</v>
      </c>
      <c r="B131" s="32">
        <v>7691</v>
      </c>
      <c r="C131" s="15" t="s">
        <v>59</v>
      </c>
      <c r="D131" s="11" t="s">
        <v>333</v>
      </c>
      <c r="E131" s="12">
        <f t="shared" si="66"/>
        <v>0</v>
      </c>
      <c r="F131" s="12"/>
      <c r="G131" s="12"/>
      <c r="H131" s="12"/>
      <c r="I131" s="12"/>
      <c r="J131" s="12">
        <f t="shared" si="34"/>
        <v>393146</v>
      </c>
      <c r="K131" s="12"/>
      <c r="L131" s="12"/>
      <c r="M131" s="12"/>
      <c r="N131" s="12"/>
      <c r="O131" s="12">
        <v>393146</v>
      </c>
      <c r="P131" s="12">
        <f t="shared" si="50"/>
        <v>393146</v>
      </c>
    </row>
    <row r="132" spans="1:16" ht="31.2">
      <c r="A132" s="7" t="s">
        <v>244</v>
      </c>
      <c r="B132" s="7" t="s">
        <v>245</v>
      </c>
      <c r="C132" s="7" t="s">
        <v>59</v>
      </c>
      <c r="D132" s="11" t="s">
        <v>246</v>
      </c>
      <c r="E132" s="12">
        <f t="shared" si="66"/>
        <v>36119300</v>
      </c>
      <c r="F132" s="12">
        <v>0</v>
      </c>
      <c r="G132" s="12">
        <v>0</v>
      </c>
      <c r="H132" s="12">
        <v>0</v>
      </c>
      <c r="I132" s="12">
        <f>31215000+3554300+1350000</f>
        <v>36119300</v>
      </c>
      <c r="J132" s="12">
        <f t="shared" si="34"/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f t="shared" si="50"/>
        <v>36119300</v>
      </c>
    </row>
    <row r="133" spans="1:16" ht="62.4">
      <c r="A133" s="36">
        <v>1217700</v>
      </c>
      <c r="B133" s="36">
        <v>7700</v>
      </c>
      <c r="C133" s="15" t="s">
        <v>31</v>
      </c>
      <c r="D133" s="11" t="s">
        <v>363</v>
      </c>
      <c r="E133" s="12">
        <f t="shared" si="66"/>
        <v>0</v>
      </c>
      <c r="F133" s="12"/>
      <c r="G133" s="12"/>
      <c r="H133" s="12"/>
      <c r="I133" s="12"/>
      <c r="J133" s="12">
        <f t="shared" si="34"/>
        <v>420801.44</v>
      </c>
      <c r="K133" s="12"/>
      <c r="L133" s="12"/>
      <c r="M133" s="12"/>
      <c r="N133" s="12"/>
      <c r="O133" s="12">
        <v>420801.44</v>
      </c>
      <c r="P133" s="12">
        <f t="shared" si="50"/>
        <v>420801.44</v>
      </c>
    </row>
    <row r="134" spans="1:16" ht="46.8">
      <c r="A134" s="7" t="s">
        <v>247</v>
      </c>
      <c r="B134" s="7" t="s">
        <v>248</v>
      </c>
      <c r="C134" s="7" t="s">
        <v>249</v>
      </c>
      <c r="D134" s="11" t="s">
        <v>250</v>
      </c>
      <c r="E134" s="12">
        <f t="shared" si="66"/>
        <v>2008241</v>
      </c>
      <c r="F134" s="12">
        <f>835000+552900+58341+62000+500000</f>
        <v>2008241</v>
      </c>
      <c r="G134" s="12">
        <v>0</v>
      </c>
      <c r="H134" s="12">
        <v>0</v>
      </c>
      <c r="I134" s="12">
        <v>0</v>
      </c>
      <c r="J134" s="12">
        <f t="shared" si="34"/>
        <v>150000</v>
      </c>
      <c r="K134" s="12">
        <v>150000</v>
      </c>
      <c r="L134" s="12">
        <v>0</v>
      </c>
      <c r="M134" s="12">
        <v>0</v>
      </c>
      <c r="N134" s="12">
        <v>0</v>
      </c>
      <c r="O134" s="12">
        <v>150000</v>
      </c>
      <c r="P134" s="12">
        <f t="shared" si="50"/>
        <v>2158241</v>
      </c>
    </row>
    <row r="135" spans="1:16" ht="31.2">
      <c r="A135" s="15" t="s">
        <v>325</v>
      </c>
      <c r="B135" s="30">
        <v>8240</v>
      </c>
      <c r="C135" s="15" t="s">
        <v>63</v>
      </c>
      <c r="D135" s="11" t="s">
        <v>273</v>
      </c>
      <c r="E135" s="12">
        <f t="shared" si="66"/>
        <v>12700</v>
      </c>
      <c r="F135" s="12">
        <v>12700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>
        <f t="shared" si="50"/>
        <v>12700</v>
      </c>
    </row>
    <row r="136" spans="1:16" ht="31.2">
      <c r="A136" s="15" t="s">
        <v>296</v>
      </c>
      <c r="B136" s="7">
        <v>8340</v>
      </c>
      <c r="C136" s="7" t="s">
        <v>287</v>
      </c>
      <c r="D136" s="11" t="s">
        <v>288</v>
      </c>
      <c r="E136" s="12">
        <f t="shared" si="66"/>
        <v>0</v>
      </c>
      <c r="F136" s="12"/>
      <c r="G136" s="12"/>
      <c r="H136" s="12"/>
      <c r="I136" s="12"/>
      <c r="J136" s="12">
        <f t="shared" si="34"/>
        <v>250000</v>
      </c>
      <c r="K136" s="12"/>
      <c r="L136" s="12">
        <v>100000</v>
      </c>
      <c r="M136" s="12"/>
      <c r="N136" s="12"/>
      <c r="O136" s="12">
        <v>150000</v>
      </c>
      <c r="P136" s="12">
        <f t="shared" si="50"/>
        <v>250000</v>
      </c>
    </row>
    <row r="137" spans="1:16" ht="62.4">
      <c r="A137" s="8" t="s">
        <v>251</v>
      </c>
      <c r="B137" s="8" t="s">
        <v>18</v>
      </c>
      <c r="C137" s="8" t="s">
        <v>18</v>
      </c>
      <c r="D137" s="9" t="s">
        <v>252</v>
      </c>
      <c r="E137" s="10">
        <f t="shared" ref="E137:E153" si="67">F137+I137</f>
        <v>4485000</v>
      </c>
      <c r="F137" s="10">
        <f>F138</f>
        <v>4485000</v>
      </c>
      <c r="G137" s="10">
        <f t="shared" ref="G137:I137" si="68">G138</f>
        <v>4270900</v>
      </c>
      <c r="H137" s="10">
        <f t="shared" si="68"/>
        <v>0</v>
      </c>
      <c r="I137" s="10">
        <f t="shared" si="68"/>
        <v>0</v>
      </c>
      <c r="J137" s="10">
        <f t="shared" si="34"/>
        <v>108687885</v>
      </c>
      <c r="K137" s="10">
        <f>K138</f>
        <v>108687885</v>
      </c>
      <c r="L137" s="10">
        <f t="shared" ref="L137:O137" si="69">L138</f>
        <v>0</v>
      </c>
      <c r="M137" s="10">
        <f t="shared" si="69"/>
        <v>0</v>
      </c>
      <c r="N137" s="10">
        <f t="shared" si="69"/>
        <v>0</v>
      </c>
      <c r="O137" s="10">
        <f t="shared" si="69"/>
        <v>108687885</v>
      </c>
      <c r="P137" s="10">
        <f t="shared" si="50"/>
        <v>113172885</v>
      </c>
    </row>
    <row r="138" spans="1:16" ht="62.4">
      <c r="A138" s="8" t="s">
        <v>253</v>
      </c>
      <c r="B138" s="8" t="s">
        <v>18</v>
      </c>
      <c r="C138" s="8" t="s">
        <v>18</v>
      </c>
      <c r="D138" s="9" t="s">
        <v>252</v>
      </c>
      <c r="E138" s="10">
        <f t="shared" si="67"/>
        <v>4485000</v>
      </c>
      <c r="F138" s="10">
        <f>SUM(F139:F150)</f>
        <v>4485000</v>
      </c>
      <c r="G138" s="10">
        <f t="shared" ref="G138:K138" si="70">SUM(G139:G150)</f>
        <v>4270900</v>
      </c>
      <c r="H138" s="10">
        <f t="shared" si="70"/>
        <v>0</v>
      </c>
      <c r="I138" s="10">
        <f t="shared" si="70"/>
        <v>0</v>
      </c>
      <c r="J138" s="10">
        <f t="shared" si="34"/>
        <v>108687885</v>
      </c>
      <c r="K138" s="10">
        <f t="shared" si="70"/>
        <v>108687885</v>
      </c>
      <c r="L138" s="10">
        <f t="shared" ref="L138" si="71">SUM(L139:L150)</f>
        <v>0</v>
      </c>
      <c r="M138" s="10">
        <f t="shared" ref="M138" si="72">SUM(M139:M150)</f>
        <v>0</v>
      </c>
      <c r="N138" s="10">
        <f t="shared" ref="N138" si="73">SUM(N139:N150)</f>
        <v>0</v>
      </c>
      <c r="O138" s="10">
        <f t="shared" ref="O138" si="74">SUM(O139:O150)</f>
        <v>108687885</v>
      </c>
      <c r="P138" s="10">
        <f t="shared" si="50"/>
        <v>113172885</v>
      </c>
    </row>
    <row r="139" spans="1:16" ht="46.8">
      <c r="A139" s="7" t="s">
        <v>254</v>
      </c>
      <c r="B139" s="7" t="s">
        <v>75</v>
      </c>
      <c r="C139" s="7" t="s">
        <v>23</v>
      </c>
      <c r="D139" s="11" t="s">
        <v>76</v>
      </c>
      <c r="E139" s="12">
        <f t="shared" si="67"/>
        <v>4386000</v>
      </c>
      <c r="F139" s="12">
        <v>4386000</v>
      </c>
      <c r="G139" s="12">
        <v>4270900</v>
      </c>
      <c r="H139" s="12">
        <v>0</v>
      </c>
      <c r="I139" s="12">
        <v>0</v>
      </c>
      <c r="J139" s="12">
        <f t="shared" si="34"/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f t="shared" si="50"/>
        <v>4386000</v>
      </c>
    </row>
    <row r="140" spans="1:16" ht="31.2">
      <c r="A140" s="7" t="s">
        <v>255</v>
      </c>
      <c r="B140" s="7" t="s">
        <v>30</v>
      </c>
      <c r="C140" s="7" t="s">
        <v>31</v>
      </c>
      <c r="D140" s="11" t="s">
        <v>32</v>
      </c>
      <c r="E140" s="12">
        <f t="shared" si="67"/>
        <v>99000</v>
      </c>
      <c r="F140" s="12">
        <f>99000</f>
        <v>99000</v>
      </c>
      <c r="G140" s="12">
        <v>0</v>
      </c>
      <c r="H140" s="12">
        <v>0</v>
      </c>
      <c r="I140" s="12">
        <v>0</v>
      </c>
      <c r="J140" s="12">
        <f t="shared" si="34"/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f t="shared" si="50"/>
        <v>99000</v>
      </c>
    </row>
    <row r="141" spans="1:16" ht="31.2">
      <c r="A141" s="32">
        <v>1512010</v>
      </c>
      <c r="B141" s="15" t="s">
        <v>34</v>
      </c>
      <c r="C141" s="15" t="s">
        <v>35</v>
      </c>
      <c r="D141" s="11" t="s">
        <v>36</v>
      </c>
      <c r="E141" s="12">
        <f t="shared" si="67"/>
        <v>0</v>
      </c>
      <c r="F141" s="12"/>
      <c r="G141" s="12"/>
      <c r="H141" s="12"/>
      <c r="I141" s="12"/>
      <c r="J141" s="12">
        <f t="shared" si="34"/>
        <v>1175627</v>
      </c>
      <c r="K141" s="12">
        <f>1205627-30000</f>
        <v>1175627</v>
      </c>
      <c r="L141" s="12"/>
      <c r="M141" s="12"/>
      <c r="N141" s="12"/>
      <c r="O141" s="12">
        <f>1205627-30000</f>
        <v>1175627</v>
      </c>
      <c r="P141" s="12">
        <f t="shared" si="50"/>
        <v>1175627</v>
      </c>
    </row>
    <row r="142" spans="1:16" ht="31.2">
      <c r="A142" s="32">
        <v>1516013</v>
      </c>
      <c r="B142" s="15" t="s">
        <v>334</v>
      </c>
      <c r="C142" s="15" t="s">
        <v>55</v>
      </c>
      <c r="D142" s="11" t="s">
        <v>335</v>
      </c>
      <c r="E142" s="12">
        <f t="shared" si="67"/>
        <v>0</v>
      </c>
      <c r="F142" s="12"/>
      <c r="G142" s="12"/>
      <c r="H142" s="12"/>
      <c r="I142" s="12"/>
      <c r="J142" s="12">
        <f t="shared" si="34"/>
        <v>382750</v>
      </c>
      <c r="K142" s="12">
        <v>382750</v>
      </c>
      <c r="L142" s="12"/>
      <c r="M142" s="12"/>
      <c r="N142" s="12"/>
      <c r="O142" s="12">
        <v>382750</v>
      </c>
      <c r="P142" s="12">
        <f t="shared" si="50"/>
        <v>382750</v>
      </c>
    </row>
    <row r="143" spans="1:16" ht="31.2">
      <c r="A143" s="32">
        <v>1516015</v>
      </c>
      <c r="B143" s="15" t="s">
        <v>234</v>
      </c>
      <c r="C143" s="15" t="s">
        <v>55</v>
      </c>
      <c r="D143" s="11" t="s">
        <v>235</v>
      </c>
      <c r="E143" s="12">
        <f t="shared" si="67"/>
        <v>0</v>
      </c>
      <c r="F143" s="12"/>
      <c r="G143" s="12"/>
      <c r="H143" s="12"/>
      <c r="I143" s="12"/>
      <c r="J143" s="12">
        <f t="shared" si="34"/>
        <v>23415217</v>
      </c>
      <c r="K143" s="12">
        <v>23415217</v>
      </c>
      <c r="L143" s="12"/>
      <c r="M143" s="12"/>
      <c r="N143" s="12"/>
      <c r="O143" s="12">
        <v>23415217</v>
      </c>
      <c r="P143" s="12">
        <f t="shared" si="50"/>
        <v>23415217</v>
      </c>
    </row>
    <row r="144" spans="1:16" ht="78">
      <c r="A144" s="32">
        <v>1516050</v>
      </c>
      <c r="B144" s="15" t="s">
        <v>336</v>
      </c>
      <c r="C144" s="15" t="s">
        <v>55</v>
      </c>
      <c r="D144" s="11" t="s">
        <v>337</v>
      </c>
      <c r="E144" s="12">
        <f t="shared" si="67"/>
        <v>0</v>
      </c>
      <c r="F144" s="12"/>
      <c r="G144" s="12"/>
      <c r="H144" s="12"/>
      <c r="I144" s="12"/>
      <c r="J144" s="12">
        <f t="shared" si="34"/>
        <v>1194873</v>
      </c>
      <c r="K144" s="12">
        <f>2439154-1244281</f>
        <v>1194873</v>
      </c>
      <c r="L144" s="12"/>
      <c r="M144" s="12"/>
      <c r="N144" s="12"/>
      <c r="O144" s="12">
        <f>2439154-1244281</f>
        <v>1194873</v>
      </c>
      <c r="P144" s="12">
        <f t="shared" si="50"/>
        <v>1194873</v>
      </c>
    </row>
    <row r="145" spans="1:16" ht="31.2">
      <c r="A145" s="32">
        <v>1517310</v>
      </c>
      <c r="B145" s="15" t="s">
        <v>338</v>
      </c>
      <c r="C145" s="15" t="s">
        <v>268</v>
      </c>
      <c r="D145" s="11" t="s">
        <v>339</v>
      </c>
      <c r="E145" s="12">
        <f t="shared" si="67"/>
        <v>0</v>
      </c>
      <c r="F145" s="12"/>
      <c r="G145" s="12"/>
      <c r="H145" s="12"/>
      <c r="I145" s="12"/>
      <c r="J145" s="12">
        <f t="shared" si="34"/>
        <v>19000000</v>
      </c>
      <c r="K145" s="12">
        <v>19000000</v>
      </c>
      <c r="L145" s="12"/>
      <c r="M145" s="12"/>
      <c r="N145" s="12"/>
      <c r="O145" s="12">
        <v>19000000</v>
      </c>
      <c r="P145" s="12">
        <f t="shared" si="50"/>
        <v>19000000</v>
      </c>
    </row>
    <row r="146" spans="1:16">
      <c r="A146" s="32">
        <v>1517321</v>
      </c>
      <c r="B146" s="15" t="s">
        <v>340</v>
      </c>
      <c r="C146" s="15" t="s">
        <v>268</v>
      </c>
      <c r="D146" s="11" t="s">
        <v>341</v>
      </c>
      <c r="E146" s="12">
        <f t="shared" si="67"/>
        <v>0</v>
      </c>
      <c r="F146" s="12"/>
      <c r="G146" s="12"/>
      <c r="H146" s="12"/>
      <c r="I146" s="12"/>
      <c r="J146" s="12">
        <f t="shared" si="34"/>
        <v>202660</v>
      </c>
      <c r="K146" s="12">
        <v>202660</v>
      </c>
      <c r="L146" s="12"/>
      <c r="M146" s="12"/>
      <c r="N146" s="12"/>
      <c r="O146" s="12">
        <v>202660</v>
      </c>
      <c r="P146" s="12">
        <f t="shared" si="50"/>
        <v>202660</v>
      </c>
    </row>
    <row r="147" spans="1:16" ht="31.2">
      <c r="A147" s="33">
        <v>1517368</v>
      </c>
      <c r="B147" s="15" t="s">
        <v>355</v>
      </c>
      <c r="C147" s="15" t="s">
        <v>59</v>
      </c>
      <c r="D147" s="11" t="s">
        <v>356</v>
      </c>
      <c r="E147" s="12">
        <f t="shared" si="67"/>
        <v>0</v>
      </c>
      <c r="F147" s="12"/>
      <c r="G147" s="12"/>
      <c r="H147" s="12"/>
      <c r="I147" s="12"/>
      <c r="J147" s="12">
        <f t="shared" si="34"/>
        <v>26491442</v>
      </c>
      <c r="K147" s="12">
        <v>26491442</v>
      </c>
      <c r="L147" s="12"/>
      <c r="M147" s="12"/>
      <c r="N147" s="12"/>
      <c r="O147" s="12">
        <v>26491442</v>
      </c>
      <c r="P147" s="12">
        <f t="shared" si="50"/>
        <v>26491442</v>
      </c>
    </row>
    <row r="148" spans="1:16" ht="31.2">
      <c r="A148" s="32">
        <v>1517370</v>
      </c>
      <c r="B148" s="15" t="s">
        <v>342</v>
      </c>
      <c r="C148" s="15" t="s">
        <v>59</v>
      </c>
      <c r="D148" s="11" t="s">
        <v>343</v>
      </c>
      <c r="E148" s="12">
        <f t="shared" si="67"/>
        <v>0</v>
      </c>
      <c r="F148" s="12"/>
      <c r="G148" s="12"/>
      <c r="H148" s="12"/>
      <c r="I148" s="12"/>
      <c r="J148" s="12">
        <f t="shared" si="34"/>
        <v>7820447</v>
      </c>
      <c r="K148" s="12">
        <v>7820447</v>
      </c>
      <c r="L148" s="12"/>
      <c r="M148" s="12"/>
      <c r="N148" s="12"/>
      <c r="O148" s="12">
        <v>7820447</v>
      </c>
      <c r="P148" s="12">
        <f t="shared" si="50"/>
        <v>7820447</v>
      </c>
    </row>
    <row r="149" spans="1:16">
      <c r="A149" s="32">
        <v>1517640</v>
      </c>
      <c r="B149" s="15" t="s">
        <v>344</v>
      </c>
      <c r="C149" s="15" t="s">
        <v>331</v>
      </c>
      <c r="D149" s="11" t="s">
        <v>330</v>
      </c>
      <c r="E149" s="12">
        <f t="shared" si="67"/>
        <v>0</v>
      </c>
      <c r="F149" s="12"/>
      <c r="G149" s="12"/>
      <c r="H149" s="12"/>
      <c r="I149" s="12"/>
      <c r="J149" s="12">
        <f t="shared" si="34"/>
        <v>7720091</v>
      </c>
      <c r="K149" s="12">
        <v>7720091</v>
      </c>
      <c r="L149" s="12"/>
      <c r="M149" s="12"/>
      <c r="N149" s="12"/>
      <c r="O149" s="12">
        <v>7720091</v>
      </c>
      <c r="P149" s="12">
        <f t="shared" si="50"/>
        <v>7720091</v>
      </c>
    </row>
    <row r="150" spans="1:16" ht="46.8">
      <c r="A150" s="32">
        <v>1518110</v>
      </c>
      <c r="B150" s="15" t="s">
        <v>248</v>
      </c>
      <c r="C150" s="15" t="s">
        <v>249</v>
      </c>
      <c r="D150" s="11" t="s">
        <v>250</v>
      </c>
      <c r="E150" s="12">
        <f t="shared" si="67"/>
        <v>0</v>
      </c>
      <c r="F150" s="12"/>
      <c r="G150" s="12"/>
      <c r="H150" s="12"/>
      <c r="I150" s="12"/>
      <c r="J150" s="12">
        <f t="shared" si="34"/>
        <v>21284778</v>
      </c>
      <c r="K150" s="12">
        <f>22333778-1000000-49000</f>
        <v>21284778</v>
      </c>
      <c r="L150" s="12"/>
      <c r="M150" s="12"/>
      <c r="N150" s="12"/>
      <c r="O150" s="12">
        <f>22333778-1000000-49000</f>
        <v>21284778</v>
      </c>
      <c r="P150" s="12">
        <f t="shared" si="50"/>
        <v>21284778</v>
      </c>
    </row>
    <row r="151" spans="1:16" ht="62.4">
      <c r="A151" s="8" t="s">
        <v>256</v>
      </c>
      <c r="B151" s="8" t="s">
        <v>18</v>
      </c>
      <c r="C151" s="8" t="s">
        <v>18</v>
      </c>
      <c r="D151" s="9" t="s">
        <v>257</v>
      </c>
      <c r="E151" s="10">
        <f t="shared" si="67"/>
        <v>24436100</v>
      </c>
      <c r="F151" s="10">
        <f>F152</f>
        <v>4467800</v>
      </c>
      <c r="G151" s="10">
        <f t="shared" ref="G151:I151" si="75">G152</f>
        <v>3675600</v>
      </c>
      <c r="H151" s="10">
        <f t="shared" si="75"/>
        <v>0</v>
      </c>
      <c r="I151" s="10">
        <f t="shared" si="75"/>
        <v>19968300</v>
      </c>
      <c r="J151" s="10">
        <f t="shared" si="34"/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f t="shared" si="50"/>
        <v>24436100</v>
      </c>
    </row>
    <row r="152" spans="1:16" ht="62.4">
      <c r="A152" s="8" t="s">
        <v>258</v>
      </c>
      <c r="B152" s="8" t="s">
        <v>18</v>
      </c>
      <c r="C152" s="8" t="s">
        <v>18</v>
      </c>
      <c r="D152" s="9" t="s">
        <v>257</v>
      </c>
      <c r="E152" s="10">
        <f t="shared" si="67"/>
        <v>24436100</v>
      </c>
      <c r="F152" s="10">
        <f>SUM(F153:F159)</f>
        <v>4467800</v>
      </c>
      <c r="G152" s="10">
        <f t="shared" ref="G152:I152" si="76">SUM(G153:G159)</f>
        <v>3675600</v>
      </c>
      <c r="H152" s="10">
        <f t="shared" si="76"/>
        <v>0</v>
      </c>
      <c r="I152" s="10">
        <f t="shared" si="76"/>
        <v>19968300</v>
      </c>
      <c r="J152" s="10">
        <f t="shared" si="34"/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f t="shared" si="50"/>
        <v>24436100</v>
      </c>
    </row>
    <row r="153" spans="1:16" ht="46.8">
      <c r="A153" s="7" t="s">
        <v>259</v>
      </c>
      <c r="B153" s="7" t="s">
        <v>75</v>
      </c>
      <c r="C153" s="7" t="s">
        <v>23</v>
      </c>
      <c r="D153" s="11" t="s">
        <v>76</v>
      </c>
      <c r="E153" s="12">
        <f t="shared" si="67"/>
        <v>3762800</v>
      </c>
      <c r="F153" s="12">
        <v>3762800</v>
      </c>
      <c r="G153" s="12">
        <v>3675600</v>
      </c>
      <c r="H153" s="12">
        <v>0</v>
      </c>
      <c r="I153" s="12">
        <v>0</v>
      </c>
      <c r="J153" s="12">
        <f t="shared" si="34"/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f t="shared" si="50"/>
        <v>3762800</v>
      </c>
    </row>
    <row r="154" spans="1:16" ht="31.2">
      <c r="A154" s="7" t="s">
        <v>260</v>
      </c>
      <c r="B154" s="7" t="s">
        <v>30</v>
      </c>
      <c r="C154" s="7" t="s">
        <v>31</v>
      </c>
      <c r="D154" s="11" t="s">
        <v>32</v>
      </c>
      <c r="E154" s="12">
        <f t="shared" ref="E154:E159" si="77">F154+I154</f>
        <v>159000</v>
      </c>
      <c r="F154" s="12">
        <f>159000</f>
        <v>159000</v>
      </c>
      <c r="G154" s="12">
        <v>0</v>
      </c>
      <c r="H154" s="12">
        <v>0</v>
      </c>
      <c r="I154" s="12">
        <v>0</v>
      </c>
      <c r="J154" s="12">
        <f t="shared" si="34"/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f t="shared" si="50"/>
        <v>159000</v>
      </c>
    </row>
    <row r="155" spans="1:16" ht="46.8">
      <c r="A155" s="7" t="s">
        <v>261</v>
      </c>
      <c r="B155" s="7" t="s">
        <v>237</v>
      </c>
      <c r="C155" s="7" t="s">
        <v>55</v>
      </c>
      <c r="D155" s="11" t="s">
        <v>238</v>
      </c>
      <c r="E155" s="12">
        <f t="shared" si="77"/>
        <v>250000</v>
      </c>
      <c r="F155" s="12">
        <f>146000+104000</f>
        <v>250000</v>
      </c>
      <c r="G155" s="12">
        <v>0</v>
      </c>
      <c r="H155" s="12">
        <v>0</v>
      </c>
      <c r="I155" s="12">
        <v>0</v>
      </c>
      <c r="J155" s="12">
        <f t="shared" si="34"/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f t="shared" si="50"/>
        <v>250000</v>
      </c>
    </row>
    <row r="156" spans="1:16">
      <c r="A156" s="7" t="s">
        <v>262</v>
      </c>
      <c r="B156" s="7" t="s">
        <v>263</v>
      </c>
      <c r="C156" s="7" t="s">
        <v>264</v>
      </c>
      <c r="D156" s="11" t="s">
        <v>265</v>
      </c>
      <c r="E156" s="12">
        <f t="shared" si="77"/>
        <v>146000</v>
      </c>
      <c r="F156" s="12">
        <f>200000-104000+50000</f>
        <v>146000</v>
      </c>
      <c r="G156" s="12">
        <v>0</v>
      </c>
      <c r="H156" s="12">
        <v>0</v>
      </c>
      <c r="I156" s="12">
        <v>0</v>
      </c>
      <c r="J156" s="12">
        <f t="shared" si="34"/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f t="shared" si="50"/>
        <v>146000</v>
      </c>
    </row>
    <row r="157" spans="1:16" ht="46.8">
      <c r="A157" s="7" t="s">
        <v>266</v>
      </c>
      <c r="B157" s="7" t="s">
        <v>267</v>
      </c>
      <c r="C157" s="7" t="s">
        <v>268</v>
      </c>
      <c r="D157" s="11" t="s">
        <v>269</v>
      </c>
      <c r="E157" s="12">
        <f t="shared" si="77"/>
        <v>1500000</v>
      </c>
      <c r="F157" s="12">
        <v>0</v>
      </c>
      <c r="G157" s="12">
        <v>0</v>
      </c>
      <c r="H157" s="12">
        <v>0</v>
      </c>
      <c r="I157" s="12">
        <v>1500000</v>
      </c>
      <c r="J157" s="12">
        <f t="shared" si="34"/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f t="shared" ref="P157:P179" si="78">E157 + J157</f>
        <v>1500000</v>
      </c>
    </row>
    <row r="158" spans="1:16" ht="31.2">
      <c r="A158" s="7" t="s">
        <v>270</v>
      </c>
      <c r="B158" s="7" t="s">
        <v>245</v>
      </c>
      <c r="C158" s="7" t="s">
        <v>59</v>
      </c>
      <c r="D158" s="11" t="s">
        <v>246</v>
      </c>
      <c r="E158" s="12">
        <f t="shared" si="77"/>
        <v>18468300</v>
      </c>
      <c r="F158" s="12">
        <v>0</v>
      </c>
      <c r="G158" s="12">
        <v>0</v>
      </c>
      <c r="H158" s="12">
        <v>0</v>
      </c>
      <c r="I158" s="12">
        <f>18281300+187000</f>
        <v>18468300</v>
      </c>
      <c r="J158" s="12">
        <f t="shared" si="34"/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f t="shared" si="78"/>
        <v>18468300</v>
      </c>
    </row>
    <row r="159" spans="1:16" ht="31.2">
      <c r="A159" s="7" t="s">
        <v>271</v>
      </c>
      <c r="B159" s="7" t="s">
        <v>272</v>
      </c>
      <c r="C159" s="7" t="s">
        <v>63</v>
      </c>
      <c r="D159" s="11" t="s">
        <v>273</v>
      </c>
      <c r="E159" s="12">
        <f t="shared" si="77"/>
        <v>150000</v>
      </c>
      <c r="F159" s="12">
        <v>150000</v>
      </c>
      <c r="G159" s="12">
        <v>0</v>
      </c>
      <c r="H159" s="12">
        <v>0</v>
      </c>
      <c r="I159" s="12">
        <v>0</v>
      </c>
      <c r="J159" s="12">
        <f t="shared" si="34"/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f t="shared" si="78"/>
        <v>150000</v>
      </c>
    </row>
    <row r="160" spans="1:16" ht="46.8">
      <c r="A160" s="8" t="s">
        <v>274</v>
      </c>
      <c r="B160" s="8" t="s">
        <v>18</v>
      </c>
      <c r="C160" s="8" t="s">
        <v>18</v>
      </c>
      <c r="D160" s="9" t="s">
        <v>275</v>
      </c>
      <c r="E160" s="10">
        <f>E161</f>
        <v>23371062</v>
      </c>
      <c r="F160" s="10">
        <f>F161</f>
        <v>19696434</v>
      </c>
      <c r="G160" s="10">
        <f t="shared" ref="G160:I160" si="79">G161</f>
        <v>5671600</v>
      </c>
      <c r="H160" s="10">
        <f t="shared" si="79"/>
        <v>0</v>
      </c>
      <c r="I160" s="10">
        <f t="shared" si="79"/>
        <v>0</v>
      </c>
      <c r="J160" s="10">
        <f t="shared" si="34"/>
        <v>31400363</v>
      </c>
      <c r="K160" s="10">
        <f>K161</f>
        <v>31400363</v>
      </c>
      <c r="L160" s="10">
        <v>0</v>
      </c>
      <c r="M160" s="10">
        <v>0</v>
      </c>
      <c r="N160" s="10">
        <v>0</v>
      </c>
      <c r="O160" s="10">
        <f>O161</f>
        <v>31400363</v>
      </c>
      <c r="P160" s="10">
        <f t="shared" si="78"/>
        <v>54771425</v>
      </c>
    </row>
    <row r="161" spans="1:16" ht="46.8">
      <c r="A161" s="8" t="s">
        <v>276</v>
      </c>
      <c r="B161" s="8" t="s">
        <v>18</v>
      </c>
      <c r="C161" s="8" t="s">
        <v>18</v>
      </c>
      <c r="D161" s="9" t="s">
        <v>275</v>
      </c>
      <c r="E161" s="10">
        <f>SUM(E162:E165)+E172</f>
        <v>23371062</v>
      </c>
      <c r="F161" s="10">
        <f>F162+F163+F164+F165+F172</f>
        <v>19696434</v>
      </c>
      <c r="G161" s="10">
        <f t="shared" ref="G161:K161" si="80">G162+G163+G164+G165+G172</f>
        <v>5671600</v>
      </c>
      <c r="H161" s="10">
        <f t="shared" si="80"/>
        <v>0</v>
      </c>
      <c r="I161" s="10">
        <f t="shared" si="80"/>
        <v>0</v>
      </c>
      <c r="J161" s="10">
        <f t="shared" ref="J161:J178" si="81">L161+O161</f>
        <v>31400363</v>
      </c>
      <c r="K161" s="10">
        <f t="shared" si="80"/>
        <v>31400363</v>
      </c>
      <c r="L161" s="10">
        <f t="shared" ref="L161" si="82">L162+L163+L164+L165+L172</f>
        <v>0</v>
      </c>
      <c r="M161" s="10">
        <f t="shared" ref="M161" si="83">M162+M163+M164+M165+M172</f>
        <v>0</v>
      </c>
      <c r="N161" s="10">
        <f t="shared" ref="N161" si="84">N162+N163+N164+N165+N172</f>
        <v>0</v>
      </c>
      <c r="O161" s="10">
        <f t="shared" ref="O161" si="85">O162+O163+O164+O165+O172</f>
        <v>31400363</v>
      </c>
      <c r="P161" s="10">
        <f t="shared" si="78"/>
        <v>54771425</v>
      </c>
    </row>
    <row r="162" spans="1:16" ht="46.8">
      <c r="A162" s="7" t="s">
        <v>277</v>
      </c>
      <c r="B162" s="7" t="s">
        <v>75</v>
      </c>
      <c r="C162" s="7" t="s">
        <v>23</v>
      </c>
      <c r="D162" s="11" t="s">
        <v>76</v>
      </c>
      <c r="E162" s="12">
        <f>F162+I162</f>
        <v>5938700</v>
      </c>
      <c r="F162" s="12">
        <v>5938700</v>
      </c>
      <c r="G162" s="12">
        <v>5671600</v>
      </c>
      <c r="H162" s="12">
        <v>0</v>
      </c>
      <c r="I162" s="12">
        <v>0</v>
      </c>
      <c r="J162" s="12">
        <f t="shared" si="81"/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f t="shared" si="78"/>
        <v>5938700</v>
      </c>
    </row>
    <row r="163" spans="1:16" ht="31.2">
      <c r="A163" s="7" t="s">
        <v>278</v>
      </c>
      <c r="B163" s="7" t="s">
        <v>30</v>
      </c>
      <c r="C163" s="7" t="s">
        <v>31</v>
      </c>
      <c r="D163" s="11" t="s">
        <v>32</v>
      </c>
      <c r="E163" s="12">
        <f>F163+I163</f>
        <v>52900</v>
      </c>
      <c r="F163" s="12">
        <v>52900</v>
      </c>
      <c r="G163" s="12">
        <v>0</v>
      </c>
      <c r="H163" s="12">
        <v>0</v>
      </c>
      <c r="I163" s="12">
        <v>0</v>
      </c>
      <c r="J163" s="12">
        <f t="shared" si="81"/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f t="shared" si="78"/>
        <v>52900</v>
      </c>
    </row>
    <row r="164" spans="1:16">
      <c r="A164" s="7" t="s">
        <v>279</v>
      </c>
      <c r="B164" s="7" t="s">
        <v>280</v>
      </c>
      <c r="C164" s="7" t="s">
        <v>31</v>
      </c>
      <c r="D164" s="11" t="s">
        <v>281</v>
      </c>
      <c r="E164" s="12">
        <f>8000000-1577623-590000-157749-2000000</f>
        <v>3674628</v>
      </c>
      <c r="F164" s="12">
        <v>0</v>
      </c>
      <c r="G164" s="12">
        <v>0</v>
      </c>
      <c r="H164" s="12">
        <v>0</v>
      </c>
      <c r="I164" s="12">
        <v>0</v>
      </c>
      <c r="J164" s="12">
        <f t="shared" si="81"/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f t="shared" si="78"/>
        <v>3674628</v>
      </c>
    </row>
    <row r="165" spans="1:16">
      <c r="A165" s="7" t="s">
        <v>282</v>
      </c>
      <c r="B165" s="7" t="s">
        <v>283</v>
      </c>
      <c r="C165" s="7" t="s">
        <v>30</v>
      </c>
      <c r="D165" s="11" t="s">
        <v>284</v>
      </c>
      <c r="E165" s="12">
        <f>F165+I165</f>
        <v>4407500</v>
      </c>
      <c r="F165" s="12">
        <f>F167+F168+F169+F170+F171</f>
        <v>4407500</v>
      </c>
      <c r="G165" s="12">
        <f t="shared" ref="G165:O165" si="86">G167+G168+G169+G170+G171</f>
        <v>0</v>
      </c>
      <c r="H165" s="12">
        <f t="shared" si="86"/>
        <v>0</v>
      </c>
      <c r="I165" s="12">
        <f t="shared" si="86"/>
        <v>0</v>
      </c>
      <c r="J165" s="12">
        <f t="shared" si="81"/>
        <v>1800000</v>
      </c>
      <c r="K165" s="12">
        <f t="shared" si="86"/>
        <v>1800000</v>
      </c>
      <c r="L165" s="12">
        <f t="shared" si="86"/>
        <v>0</v>
      </c>
      <c r="M165" s="12">
        <f t="shared" si="86"/>
        <v>0</v>
      </c>
      <c r="N165" s="12">
        <f t="shared" si="86"/>
        <v>0</v>
      </c>
      <c r="O165" s="12">
        <f t="shared" si="86"/>
        <v>1800000</v>
      </c>
      <c r="P165" s="12">
        <f t="shared" si="78"/>
        <v>6207500</v>
      </c>
    </row>
    <row r="166" spans="1:16" s="6" customFormat="1">
      <c r="A166" s="13"/>
      <c r="B166" s="13"/>
      <c r="C166" s="13"/>
      <c r="D166" s="1" t="s">
        <v>349</v>
      </c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</row>
    <row r="167" spans="1:16" s="6" customFormat="1" ht="124.8">
      <c r="A167" s="13"/>
      <c r="B167" s="13"/>
      <c r="C167" s="13"/>
      <c r="D167" s="1" t="s">
        <v>348</v>
      </c>
      <c r="E167" s="14">
        <f t="shared" ref="E167:E172" si="87">F167+I167</f>
        <v>1570500</v>
      </c>
      <c r="F167" s="14">
        <f>1261500+309000</f>
        <v>1570500</v>
      </c>
      <c r="G167" s="14"/>
      <c r="H167" s="14"/>
      <c r="I167" s="14"/>
      <c r="J167" s="14">
        <f>L167+O167</f>
        <v>0</v>
      </c>
      <c r="K167" s="14"/>
      <c r="L167" s="14"/>
      <c r="M167" s="14"/>
      <c r="N167" s="14"/>
      <c r="O167" s="14"/>
      <c r="P167" s="14">
        <f>E167+J167</f>
        <v>1570500</v>
      </c>
    </row>
    <row r="168" spans="1:16" s="6" customFormat="1" ht="62.4">
      <c r="A168" s="13"/>
      <c r="B168" s="13"/>
      <c r="C168" s="13"/>
      <c r="D168" s="1" t="s">
        <v>350</v>
      </c>
      <c r="E168" s="14">
        <f t="shared" si="87"/>
        <v>300000</v>
      </c>
      <c r="F168" s="14">
        <v>300000</v>
      </c>
      <c r="G168" s="14"/>
      <c r="H168" s="14"/>
      <c r="I168" s="14"/>
      <c r="J168" s="14">
        <f>L168+O168</f>
        <v>0</v>
      </c>
      <c r="K168" s="14"/>
      <c r="L168" s="14"/>
      <c r="M168" s="14"/>
      <c r="N168" s="14"/>
      <c r="O168" s="14"/>
      <c r="P168" s="14">
        <f t="shared" si="78"/>
        <v>300000</v>
      </c>
    </row>
    <row r="169" spans="1:16" s="6" customFormat="1" ht="78">
      <c r="A169" s="13"/>
      <c r="B169" s="13"/>
      <c r="C169" s="13"/>
      <c r="D169" s="1" t="s">
        <v>351</v>
      </c>
      <c r="E169" s="14">
        <f t="shared" si="87"/>
        <v>2237000</v>
      </c>
      <c r="F169" s="14">
        <v>2237000</v>
      </c>
      <c r="G169" s="14"/>
      <c r="H169" s="14"/>
      <c r="I169" s="14"/>
      <c r="J169" s="14">
        <f>L169+O169</f>
        <v>0</v>
      </c>
      <c r="K169" s="14"/>
      <c r="L169" s="14"/>
      <c r="M169" s="14"/>
      <c r="N169" s="14"/>
      <c r="O169" s="14"/>
      <c r="P169" s="14">
        <f>E169+J169</f>
        <v>2237000</v>
      </c>
    </row>
    <row r="170" spans="1:16" s="6" customFormat="1" ht="78">
      <c r="A170" s="13"/>
      <c r="B170" s="13"/>
      <c r="C170" s="13"/>
      <c r="D170" s="1" t="s">
        <v>364</v>
      </c>
      <c r="E170" s="14">
        <f t="shared" si="87"/>
        <v>300000</v>
      </c>
      <c r="F170" s="14">
        <v>300000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>
        <f>E170+J170</f>
        <v>300000</v>
      </c>
    </row>
    <row r="171" spans="1:16" s="6" customFormat="1" ht="78">
      <c r="A171" s="13"/>
      <c r="B171" s="13"/>
      <c r="C171" s="13"/>
      <c r="D171" s="1" t="s">
        <v>345</v>
      </c>
      <c r="E171" s="14">
        <f t="shared" si="87"/>
        <v>0</v>
      </c>
      <c r="F171" s="14"/>
      <c r="G171" s="14"/>
      <c r="H171" s="14"/>
      <c r="I171" s="14"/>
      <c r="J171" s="14">
        <f>L171+O171</f>
        <v>1800000</v>
      </c>
      <c r="K171" s="14">
        <v>1800000</v>
      </c>
      <c r="L171" s="14"/>
      <c r="M171" s="14"/>
      <c r="N171" s="14"/>
      <c r="O171" s="14">
        <v>1800000</v>
      </c>
      <c r="P171" s="14">
        <f>E171+J171</f>
        <v>1800000</v>
      </c>
    </row>
    <row r="172" spans="1:16" s="23" customFormat="1" ht="62.4">
      <c r="A172" s="30">
        <v>3719800</v>
      </c>
      <c r="B172" s="30">
        <v>9800</v>
      </c>
      <c r="C172" s="30"/>
      <c r="D172" s="11" t="s">
        <v>326</v>
      </c>
      <c r="E172" s="12">
        <f t="shared" si="87"/>
        <v>9297334</v>
      </c>
      <c r="F172" s="12">
        <f>F174+F175+F176+F177+F178</f>
        <v>9297334</v>
      </c>
      <c r="G172" s="12">
        <f t="shared" ref="G172:O172" si="88">G174+G175+G176+G177+G178</f>
        <v>0</v>
      </c>
      <c r="H172" s="12">
        <f t="shared" si="88"/>
        <v>0</v>
      </c>
      <c r="I172" s="12">
        <f t="shared" si="88"/>
        <v>0</v>
      </c>
      <c r="J172" s="12">
        <f t="shared" si="81"/>
        <v>29600363</v>
      </c>
      <c r="K172" s="12">
        <f>K174+K175+K176+K177+K178</f>
        <v>29600363</v>
      </c>
      <c r="L172" s="12">
        <f t="shared" si="88"/>
        <v>0</v>
      </c>
      <c r="M172" s="12">
        <f t="shared" si="88"/>
        <v>0</v>
      </c>
      <c r="N172" s="12">
        <f t="shared" si="88"/>
        <v>0</v>
      </c>
      <c r="O172" s="12">
        <f t="shared" si="88"/>
        <v>29600363</v>
      </c>
      <c r="P172" s="12">
        <f t="shared" si="78"/>
        <v>38897697</v>
      </c>
    </row>
    <row r="173" spans="1:16" s="31" customFormat="1">
      <c r="A173" s="13"/>
      <c r="B173" s="13"/>
      <c r="C173" s="13"/>
      <c r="D173" s="1" t="s">
        <v>349</v>
      </c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</row>
    <row r="174" spans="1:16" s="31" customFormat="1" ht="156">
      <c r="A174" s="13"/>
      <c r="B174" s="13"/>
      <c r="C174" s="13"/>
      <c r="D174" s="1" t="s">
        <v>366</v>
      </c>
      <c r="E174" s="14">
        <f t="shared" ref="E174:E178" si="89">F174+I174</f>
        <v>6320934</v>
      </c>
      <c r="F174" s="14">
        <f>190000+1000000+1290000+545334+1000000+2000000+295600</f>
        <v>6320934</v>
      </c>
      <c r="G174" s="14"/>
      <c r="H174" s="14"/>
      <c r="I174" s="14"/>
      <c r="J174" s="14">
        <f t="shared" si="81"/>
        <v>18900363</v>
      </c>
      <c r="K174" s="14">
        <f>1300000+6800000+840000+1062000+4750000+1943963+2204400</f>
        <v>18900363</v>
      </c>
      <c r="L174" s="14"/>
      <c r="M174" s="14"/>
      <c r="N174" s="14"/>
      <c r="O174" s="14">
        <f>1300000+6800000+840000+1062000+4750000+1943963+2204400</f>
        <v>18900363</v>
      </c>
      <c r="P174" s="14">
        <f t="shared" si="78"/>
        <v>25221297</v>
      </c>
    </row>
    <row r="175" spans="1:16" s="31" customFormat="1" ht="78">
      <c r="A175" s="13"/>
      <c r="B175" s="13"/>
      <c r="C175" s="13"/>
      <c r="D175" s="1" t="s">
        <v>345</v>
      </c>
      <c r="E175" s="14">
        <f t="shared" si="89"/>
        <v>0</v>
      </c>
      <c r="F175" s="14"/>
      <c r="G175" s="14"/>
      <c r="H175" s="14"/>
      <c r="I175" s="14"/>
      <c r="J175" s="14">
        <f t="shared" si="81"/>
        <v>8200000</v>
      </c>
      <c r="K175" s="14">
        <f>5000000+3200000</f>
        <v>8200000</v>
      </c>
      <c r="L175" s="14"/>
      <c r="M175" s="14"/>
      <c r="N175" s="14"/>
      <c r="O175" s="14">
        <f>5000000+3200000</f>
        <v>8200000</v>
      </c>
      <c r="P175" s="14">
        <f t="shared" si="78"/>
        <v>8200000</v>
      </c>
    </row>
    <row r="176" spans="1:16" s="31" customFormat="1" ht="62.4">
      <c r="A176" s="13"/>
      <c r="B176" s="13"/>
      <c r="C176" s="13"/>
      <c r="D176" s="1" t="s">
        <v>346</v>
      </c>
      <c r="E176" s="14">
        <f t="shared" si="89"/>
        <v>976400</v>
      </c>
      <c r="F176" s="14">
        <f>950000+26400</f>
        <v>976400</v>
      </c>
      <c r="G176" s="14"/>
      <c r="H176" s="14"/>
      <c r="I176" s="14"/>
      <c r="J176" s="14">
        <f t="shared" si="81"/>
        <v>1550000</v>
      </c>
      <c r="K176" s="14">
        <v>1550000</v>
      </c>
      <c r="L176" s="14"/>
      <c r="M176" s="14"/>
      <c r="N176" s="14"/>
      <c r="O176" s="14">
        <v>1550000</v>
      </c>
      <c r="P176" s="14">
        <f t="shared" si="78"/>
        <v>2526400</v>
      </c>
    </row>
    <row r="177" spans="1:16" s="31" customFormat="1" ht="78">
      <c r="A177" s="13"/>
      <c r="B177" s="13"/>
      <c r="C177" s="13"/>
      <c r="D177" s="1" t="s">
        <v>347</v>
      </c>
      <c r="E177" s="14">
        <f t="shared" si="89"/>
        <v>2000000</v>
      </c>
      <c r="F177" s="14">
        <v>2000000</v>
      </c>
      <c r="G177" s="14"/>
      <c r="H177" s="14"/>
      <c r="I177" s="14"/>
      <c r="J177" s="14">
        <f t="shared" si="81"/>
        <v>0</v>
      </c>
      <c r="K177" s="14"/>
      <c r="L177" s="14"/>
      <c r="M177" s="14"/>
      <c r="N177" s="14"/>
      <c r="O177" s="14"/>
      <c r="P177" s="14">
        <f t="shared" si="78"/>
        <v>2000000</v>
      </c>
    </row>
    <row r="178" spans="1:16" s="31" customFormat="1" ht="62.4">
      <c r="A178" s="13"/>
      <c r="B178" s="13"/>
      <c r="C178" s="13"/>
      <c r="D178" s="1" t="s">
        <v>365</v>
      </c>
      <c r="E178" s="14">
        <f t="shared" si="89"/>
        <v>0</v>
      </c>
      <c r="F178" s="14"/>
      <c r="G178" s="14"/>
      <c r="H178" s="14"/>
      <c r="I178" s="14"/>
      <c r="J178" s="14">
        <f t="shared" si="81"/>
        <v>950000</v>
      </c>
      <c r="K178" s="14">
        <v>950000</v>
      </c>
      <c r="L178" s="14"/>
      <c r="M178" s="14"/>
      <c r="N178" s="14"/>
      <c r="O178" s="14">
        <v>950000</v>
      </c>
      <c r="P178" s="14">
        <f t="shared" si="78"/>
        <v>950000</v>
      </c>
    </row>
    <row r="179" spans="1:16">
      <c r="A179" s="8" t="s">
        <v>286</v>
      </c>
      <c r="B179" s="8" t="s">
        <v>286</v>
      </c>
      <c r="C179" s="8" t="s">
        <v>286</v>
      </c>
      <c r="D179" s="16" t="s">
        <v>285</v>
      </c>
      <c r="E179" s="10">
        <f>F179+I179+E164</f>
        <v>961926254.99000001</v>
      </c>
      <c r="F179" s="10">
        <f>F20+F50+F76+F93+F98+F109+F118+F137+F151+F160</f>
        <v>846050957.99000001</v>
      </c>
      <c r="G179" s="10">
        <f>G20+G50+G76+G93+G98+G109+G118+G137+G151+G160</f>
        <v>558841574.99000001</v>
      </c>
      <c r="H179" s="10">
        <f>H20+H50+H76+H93+H98+H109+H118+H137+H151+H160</f>
        <v>44535101</v>
      </c>
      <c r="I179" s="10">
        <f>I20+I50+I76+I93+I98+I109+I118+I137+I151+I160</f>
        <v>112200669</v>
      </c>
      <c r="J179" s="10">
        <f>L179+O179</f>
        <v>185757906.44</v>
      </c>
      <c r="K179" s="10">
        <f>K20+K50+K76+K93+K98+K109+K118+K137+K151+K160</f>
        <v>165061043</v>
      </c>
      <c r="L179" s="10">
        <f>L20+L50+L76+L93+L98+L109+L118+L137+L151+L160</f>
        <v>17943600</v>
      </c>
      <c r="M179" s="10">
        <f>M20+M50+M76+M93+M98+M109+M118+M137+M151+M160</f>
        <v>525100</v>
      </c>
      <c r="N179" s="10">
        <f>N20+N50+N76+N93+N98+N109+N118+N137+N151+N160</f>
        <v>0</v>
      </c>
      <c r="O179" s="10">
        <f>O20+O50+O76+O93+O98+O109+O118+O137+O151+O160</f>
        <v>167814306.44</v>
      </c>
      <c r="P179" s="10">
        <f t="shared" si="78"/>
        <v>1147684161.4300001</v>
      </c>
    </row>
    <row r="181" spans="1:16" s="21" customFormat="1" ht="18">
      <c r="A181" s="17"/>
      <c r="B181" s="17"/>
      <c r="C181" s="18" t="s">
        <v>303</v>
      </c>
      <c r="D181" s="19" t="s">
        <v>304</v>
      </c>
      <c r="E181" s="20">
        <f t="shared" ref="E181:O181" si="90">E22+E27+E28+E52+E53+E78+E79+E95+E96+E100+E101+E111+E112+E120+E121+E122+E139+E140+E153+E154+E162+E163</f>
        <v>121830703</v>
      </c>
      <c r="F181" s="20">
        <f t="shared" si="90"/>
        <v>121830703</v>
      </c>
      <c r="G181" s="20">
        <f t="shared" si="90"/>
        <v>104737000</v>
      </c>
      <c r="H181" s="20">
        <f t="shared" si="90"/>
        <v>6071760</v>
      </c>
      <c r="I181" s="20">
        <f t="shared" si="90"/>
        <v>0</v>
      </c>
      <c r="J181" s="20">
        <f t="shared" si="90"/>
        <v>174600</v>
      </c>
      <c r="K181" s="20">
        <f t="shared" si="90"/>
        <v>36000</v>
      </c>
      <c r="L181" s="20">
        <f t="shared" si="90"/>
        <v>138600</v>
      </c>
      <c r="M181" s="20">
        <f t="shared" si="90"/>
        <v>0</v>
      </c>
      <c r="N181" s="20">
        <f t="shared" si="90"/>
        <v>0</v>
      </c>
      <c r="O181" s="20">
        <f t="shared" si="90"/>
        <v>36000</v>
      </c>
      <c r="P181" s="20">
        <f>E181+J181</f>
        <v>122005303</v>
      </c>
    </row>
    <row r="182" spans="1:16" s="21" customFormat="1" ht="18">
      <c r="A182" s="17"/>
      <c r="B182" s="17"/>
      <c r="C182" s="18" t="s">
        <v>305</v>
      </c>
      <c r="D182" s="19" t="s">
        <v>306</v>
      </c>
      <c r="E182" s="20">
        <f t="shared" ref="E182:O182" si="91">E54+E55+E56+E57+E58+E59+E60+E61+E62+E63+E64+E65+E66+E70+E71+E102</f>
        <v>446287688.99000001</v>
      </c>
      <c r="F182" s="20">
        <f t="shared" si="91"/>
        <v>446221688.99000001</v>
      </c>
      <c r="G182" s="20">
        <f t="shared" si="91"/>
        <v>374299674.99000001</v>
      </c>
      <c r="H182" s="20">
        <f t="shared" si="91"/>
        <v>34155361</v>
      </c>
      <c r="I182" s="20">
        <f t="shared" si="91"/>
        <v>66000</v>
      </c>
      <c r="J182" s="20">
        <f t="shared" si="91"/>
        <v>25878363</v>
      </c>
      <c r="K182" s="20">
        <f t="shared" si="91"/>
        <v>6820447</v>
      </c>
      <c r="L182" s="20">
        <f t="shared" si="91"/>
        <v>17325000</v>
      </c>
      <c r="M182" s="20">
        <f t="shared" si="91"/>
        <v>495100</v>
      </c>
      <c r="N182" s="20">
        <f t="shared" si="91"/>
        <v>0</v>
      </c>
      <c r="O182" s="20">
        <f t="shared" si="91"/>
        <v>8553363</v>
      </c>
      <c r="P182" s="20">
        <f t="shared" ref="P182:P190" si="92">E182+J182</f>
        <v>472166051.99000001</v>
      </c>
    </row>
    <row r="183" spans="1:16" s="21" customFormat="1" ht="18">
      <c r="A183" s="17"/>
      <c r="B183" s="17"/>
      <c r="C183" s="18" t="s">
        <v>307</v>
      </c>
      <c r="D183" s="19" t="s">
        <v>308</v>
      </c>
      <c r="E183" s="20">
        <f t="shared" ref="E183:O183" si="93">E29+E30+E31+E32+E141</f>
        <v>39301104</v>
      </c>
      <c r="F183" s="20">
        <f t="shared" si="93"/>
        <v>39301104</v>
      </c>
      <c r="G183" s="20">
        <f t="shared" si="93"/>
        <v>0</v>
      </c>
      <c r="H183" s="20">
        <f t="shared" si="93"/>
        <v>0</v>
      </c>
      <c r="I183" s="20">
        <f t="shared" si="93"/>
        <v>0</v>
      </c>
      <c r="J183" s="20">
        <f t="shared" si="93"/>
        <v>5040032</v>
      </c>
      <c r="K183" s="20">
        <f t="shared" si="93"/>
        <v>5040032</v>
      </c>
      <c r="L183" s="20">
        <f t="shared" si="93"/>
        <v>0</v>
      </c>
      <c r="M183" s="20">
        <f t="shared" si="93"/>
        <v>0</v>
      </c>
      <c r="N183" s="20">
        <f t="shared" si="93"/>
        <v>0</v>
      </c>
      <c r="O183" s="20">
        <f t="shared" si="93"/>
        <v>5040032</v>
      </c>
      <c r="P183" s="20">
        <f t="shared" si="92"/>
        <v>44341136</v>
      </c>
    </row>
    <row r="184" spans="1:16" s="21" customFormat="1" ht="31.8">
      <c r="A184" s="17"/>
      <c r="B184" s="17"/>
      <c r="C184" s="18" t="s">
        <v>309</v>
      </c>
      <c r="D184" s="19" t="s">
        <v>310</v>
      </c>
      <c r="E184" s="20">
        <f t="shared" ref="E184:O184" si="94">E33+E72+E73+E80+E81+E82+E83+E84+E85+E86+E87+E88+E89+E90+E91+E92+E97+E103+E113+E123</f>
        <v>97654265</v>
      </c>
      <c r="F184" s="20">
        <f t="shared" si="94"/>
        <v>97654265</v>
      </c>
      <c r="G184" s="20">
        <f t="shared" si="94"/>
        <v>26271600</v>
      </c>
      <c r="H184" s="20">
        <f t="shared" si="94"/>
        <v>650600</v>
      </c>
      <c r="I184" s="20">
        <f t="shared" si="94"/>
        <v>0</v>
      </c>
      <c r="J184" s="20">
        <f t="shared" si="94"/>
        <v>56400</v>
      </c>
      <c r="K184" s="20">
        <f t="shared" si="94"/>
        <v>0</v>
      </c>
      <c r="L184" s="20">
        <f t="shared" si="94"/>
        <v>0</v>
      </c>
      <c r="M184" s="20">
        <f t="shared" si="94"/>
        <v>0</v>
      </c>
      <c r="N184" s="20">
        <f t="shared" si="94"/>
        <v>0</v>
      </c>
      <c r="O184" s="20">
        <f t="shared" si="94"/>
        <v>56400</v>
      </c>
      <c r="P184" s="20">
        <f t="shared" si="92"/>
        <v>97710665</v>
      </c>
    </row>
    <row r="185" spans="1:16" s="21" customFormat="1" ht="18">
      <c r="A185" s="17"/>
      <c r="B185" s="17"/>
      <c r="C185" s="18" t="s">
        <v>311</v>
      </c>
      <c r="D185" s="19" t="s">
        <v>312</v>
      </c>
      <c r="E185" s="20">
        <f t="shared" ref="E185:O185" si="95">E104+E105+E106+E107+E108</f>
        <v>29645900</v>
      </c>
      <c r="F185" s="20">
        <f t="shared" si="95"/>
        <v>29645900</v>
      </c>
      <c r="G185" s="20">
        <f t="shared" si="95"/>
        <v>24460200</v>
      </c>
      <c r="H185" s="20">
        <f t="shared" si="95"/>
        <v>2559900</v>
      </c>
      <c r="I185" s="20">
        <f t="shared" si="95"/>
        <v>0</v>
      </c>
      <c r="J185" s="20">
        <f t="shared" si="95"/>
        <v>280000</v>
      </c>
      <c r="K185" s="20">
        <f t="shared" si="95"/>
        <v>0</v>
      </c>
      <c r="L185" s="20">
        <f t="shared" si="95"/>
        <v>280000</v>
      </c>
      <c r="M185" s="20">
        <f t="shared" si="95"/>
        <v>30000</v>
      </c>
      <c r="N185" s="20">
        <f t="shared" si="95"/>
        <v>0</v>
      </c>
      <c r="O185" s="20">
        <f t="shared" si="95"/>
        <v>0</v>
      </c>
      <c r="P185" s="20">
        <f t="shared" si="92"/>
        <v>29925900</v>
      </c>
    </row>
    <row r="186" spans="1:16" s="21" customFormat="1" ht="18">
      <c r="A186" s="17"/>
      <c r="B186" s="17"/>
      <c r="C186" s="18" t="s">
        <v>313</v>
      </c>
      <c r="D186" s="19" t="s">
        <v>314</v>
      </c>
      <c r="E186" s="20">
        <f t="shared" ref="E186:O186" si="96">E74+E114+E115+E116+E117</f>
        <v>15084391</v>
      </c>
      <c r="F186" s="20">
        <f t="shared" si="96"/>
        <v>15084391</v>
      </c>
      <c r="G186" s="20">
        <f t="shared" si="96"/>
        <v>10100000</v>
      </c>
      <c r="H186" s="20">
        <f t="shared" si="96"/>
        <v>770480</v>
      </c>
      <c r="I186" s="20">
        <f t="shared" si="96"/>
        <v>0</v>
      </c>
      <c r="J186" s="20">
        <f t="shared" si="96"/>
        <v>0</v>
      </c>
      <c r="K186" s="20">
        <f t="shared" si="96"/>
        <v>0</v>
      </c>
      <c r="L186" s="20">
        <f t="shared" si="96"/>
        <v>0</v>
      </c>
      <c r="M186" s="20">
        <f t="shared" si="96"/>
        <v>0</v>
      </c>
      <c r="N186" s="20">
        <f t="shared" si="96"/>
        <v>0</v>
      </c>
      <c r="O186" s="20">
        <f t="shared" si="96"/>
        <v>0</v>
      </c>
      <c r="P186" s="20">
        <f t="shared" si="92"/>
        <v>15084391</v>
      </c>
    </row>
    <row r="187" spans="1:16" s="21" customFormat="1" ht="18">
      <c r="A187" s="17"/>
      <c r="B187" s="17"/>
      <c r="C187" s="18" t="s">
        <v>315</v>
      </c>
      <c r="D187" s="19" t="s">
        <v>316</v>
      </c>
      <c r="E187" s="20">
        <f>E34+E35+E124+E125+E126+E127+E128+E142+E143+E144+E155</f>
        <v>85510269</v>
      </c>
      <c r="F187" s="20">
        <f t="shared" ref="F187:O187" si="97">F34+F35+F124+F125+F126+F127+F128+F142+F143+F144+F155</f>
        <v>29518200</v>
      </c>
      <c r="G187" s="20">
        <f t="shared" si="97"/>
        <v>0</v>
      </c>
      <c r="H187" s="20">
        <f t="shared" si="97"/>
        <v>0</v>
      </c>
      <c r="I187" s="20">
        <f t="shared" si="97"/>
        <v>55992069</v>
      </c>
      <c r="J187" s="20">
        <f t="shared" si="97"/>
        <v>32151108</v>
      </c>
      <c r="K187" s="20">
        <f t="shared" si="97"/>
        <v>32151108</v>
      </c>
      <c r="L187" s="20">
        <f t="shared" si="97"/>
        <v>0</v>
      </c>
      <c r="M187" s="20">
        <f t="shared" si="97"/>
        <v>0</v>
      </c>
      <c r="N187" s="20">
        <f t="shared" si="97"/>
        <v>0</v>
      </c>
      <c r="O187" s="20">
        <f t="shared" si="97"/>
        <v>32151108</v>
      </c>
      <c r="P187" s="20">
        <f t="shared" si="92"/>
        <v>117661377</v>
      </c>
    </row>
    <row r="188" spans="1:16" s="21" customFormat="1" ht="18">
      <c r="A188" s="17"/>
      <c r="B188" s="17"/>
      <c r="C188" s="18" t="s">
        <v>317</v>
      </c>
      <c r="D188" s="19" t="s">
        <v>318</v>
      </c>
      <c r="E188" s="20">
        <f>E39+E40+E41+E42+E129+E130+E131+E132+E133+E145+E146+E147+E148+E149+E156+E157+E158</f>
        <v>82101600</v>
      </c>
      <c r="F188" s="20">
        <f t="shared" ref="F188:O188" si="98">F39+F40+F41+F42+F129+F130+F131+F132+F133+F145+F146+F147+F148+F149+F156+F157+F158</f>
        <v>25959000</v>
      </c>
      <c r="G188" s="20">
        <f t="shared" si="98"/>
        <v>0</v>
      </c>
      <c r="H188" s="20">
        <f t="shared" si="98"/>
        <v>0</v>
      </c>
      <c r="I188" s="20">
        <f t="shared" si="98"/>
        <v>56142600</v>
      </c>
      <c r="J188" s="20">
        <f t="shared" si="98"/>
        <v>63988587.439999998</v>
      </c>
      <c r="K188" s="20">
        <f t="shared" si="98"/>
        <v>63174640</v>
      </c>
      <c r="L188" s="20">
        <f t="shared" si="98"/>
        <v>0</v>
      </c>
      <c r="M188" s="20">
        <f t="shared" si="98"/>
        <v>0</v>
      </c>
      <c r="N188" s="20">
        <f t="shared" si="98"/>
        <v>0</v>
      </c>
      <c r="O188" s="20">
        <f t="shared" si="98"/>
        <v>63988587.439999998</v>
      </c>
      <c r="P188" s="20">
        <f>E188+J188</f>
        <v>146090187.44</v>
      </c>
    </row>
    <row r="189" spans="1:16" s="22" customFormat="1" ht="18">
      <c r="A189" s="17"/>
      <c r="B189" s="17"/>
      <c r="C189" s="18" t="s">
        <v>319</v>
      </c>
      <c r="D189" s="19" t="s">
        <v>327</v>
      </c>
      <c r="E189" s="20">
        <f>E43+E44+E45+E46+E47+E48+E49+E75+E135+E136+E134+E150+E159+E164</f>
        <v>30805500</v>
      </c>
      <c r="F189" s="20">
        <f t="shared" ref="F189:O189" si="99">F43+F44+F45+F46+F47+F48+F49+F75+F135+F136+F134+F150+F159+F164</f>
        <v>27130872</v>
      </c>
      <c r="G189" s="20">
        <f t="shared" si="99"/>
        <v>18973100</v>
      </c>
      <c r="H189" s="20">
        <f t="shared" si="99"/>
        <v>327000</v>
      </c>
      <c r="I189" s="20">
        <f t="shared" si="99"/>
        <v>0</v>
      </c>
      <c r="J189" s="20">
        <f t="shared" si="99"/>
        <v>26788453</v>
      </c>
      <c r="K189" s="20">
        <f t="shared" si="99"/>
        <v>26438453</v>
      </c>
      <c r="L189" s="20">
        <f t="shared" si="99"/>
        <v>200000</v>
      </c>
      <c r="M189" s="20">
        <f t="shared" si="99"/>
        <v>0</v>
      </c>
      <c r="N189" s="20">
        <f t="shared" si="99"/>
        <v>0</v>
      </c>
      <c r="O189" s="20">
        <f t="shared" si="99"/>
        <v>26588453</v>
      </c>
      <c r="P189" s="20">
        <f t="shared" si="92"/>
        <v>57593953</v>
      </c>
    </row>
    <row r="190" spans="1:16" s="23" customFormat="1" ht="18">
      <c r="A190" s="17"/>
      <c r="B190" s="17"/>
      <c r="C190" s="18" t="s">
        <v>320</v>
      </c>
      <c r="D190" s="19" t="s">
        <v>321</v>
      </c>
      <c r="E190" s="20">
        <f>E165+E172</f>
        <v>13704834</v>
      </c>
      <c r="F190" s="20">
        <f t="shared" ref="F190:O190" si="100">F165+F172</f>
        <v>13704834</v>
      </c>
      <c r="G190" s="20">
        <f t="shared" si="100"/>
        <v>0</v>
      </c>
      <c r="H190" s="20">
        <f t="shared" si="100"/>
        <v>0</v>
      </c>
      <c r="I190" s="20">
        <f t="shared" si="100"/>
        <v>0</v>
      </c>
      <c r="J190" s="20">
        <f t="shared" si="100"/>
        <v>31400363</v>
      </c>
      <c r="K190" s="20">
        <f t="shared" si="100"/>
        <v>31400363</v>
      </c>
      <c r="L190" s="20">
        <f t="shared" si="100"/>
        <v>0</v>
      </c>
      <c r="M190" s="20">
        <f t="shared" si="100"/>
        <v>0</v>
      </c>
      <c r="N190" s="20">
        <f t="shared" si="100"/>
        <v>0</v>
      </c>
      <c r="O190" s="20">
        <f t="shared" si="100"/>
        <v>31400363</v>
      </c>
      <c r="P190" s="20">
        <f t="shared" si="92"/>
        <v>45105197</v>
      </c>
    </row>
    <row r="191" spans="1:16" s="23" customFormat="1">
      <c r="A191" s="24"/>
      <c r="B191" s="24"/>
      <c r="C191" s="24"/>
      <c r="D191" s="24" t="s">
        <v>16</v>
      </c>
      <c r="E191" s="25">
        <f>SUM(E181:E190)</f>
        <v>961926254.99000001</v>
      </c>
      <c r="F191" s="25">
        <f t="shared" ref="F191:O191" si="101">SUM(F181:F190)</f>
        <v>846050957.99000001</v>
      </c>
      <c r="G191" s="25">
        <f t="shared" si="101"/>
        <v>558841574.99000001</v>
      </c>
      <c r="H191" s="25">
        <f t="shared" si="101"/>
        <v>44535101</v>
      </c>
      <c r="I191" s="25">
        <f t="shared" si="101"/>
        <v>112200669</v>
      </c>
      <c r="J191" s="25">
        <f t="shared" si="101"/>
        <v>185757906.44</v>
      </c>
      <c r="K191" s="25">
        <f t="shared" si="101"/>
        <v>165061043</v>
      </c>
      <c r="L191" s="25">
        <f t="shared" si="101"/>
        <v>17943600</v>
      </c>
      <c r="M191" s="25">
        <f t="shared" si="101"/>
        <v>525100</v>
      </c>
      <c r="N191" s="25">
        <f t="shared" si="101"/>
        <v>0</v>
      </c>
      <c r="O191" s="25">
        <f t="shared" si="101"/>
        <v>167814306.44</v>
      </c>
      <c r="P191" s="25">
        <f>E191+J191</f>
        <v>1147684161.4300001</v>
      </c>
    </row>
    <row r="192" spans="1:16" s="23" customFormat="1" ht="11.4" customHeight="1"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</row>
    <row r="193" spans="4:16" s="23" customFormat="1">
      <c r="D193" s="23" t="s">
        <v>297</v>
      </c>
      <c r="E193" s="26"/>
      <c r="F193" s="26"/>
      <c r="G193" s="26"/>
      <c r="H193" s="26"/>
      <c r="I193" s="26" t="s">
        <v>298</v>
      </c>
      <c r="J193" s="26"/>
      <c r="K193" s="26"/>
      <c r="L193" s="26"/>
      <c r="M193" s="26"/>
      <c r="N193" s="26"/>
      <c r="O193" s="26"/>
      <c r="P193" s="26"/>
    </row>
    <row r="194" spans="4:16">
      <c r="E194" s="5"/>
    </row>
    <row r="195" spans="4:16">
      <c r="D195" s="4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4:16">
      <c r="D196" s="4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</row>
    <row r="197" spans="4:16" s="27" customFormat="1">
      <c r="D197" s="29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</row>
    <row r="198" spans="4:16" s="27" customFormat="1">
      <c r="D198" s="29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</row>
    <row r="200" spans="4:16" s="5" customFormat="1"/>
    <row r="201" spans="4:16" s="5" customFormat="1"/>
  </sheetData>
  <mergeCells count="22">
    <mergeCell ref="J16:J18"/>
    <mergeCell ref="K16:K18"/>
    <mergeCell ref="L16:L18"/>
    <mergeCell ref="M16:N16"/>
    <mergeCell ref="M17:M18"/>
    <mergeCell ref="N17:N18"/>
    <mergeCell ref="A11:P11"/>
    <mergeCell ref="A12:P12"/>
    <mergeCell ref="A15:A18"/>
    <mergeCell ref="B15:B18"/>
    <mergeCell ref="C15:C18"/>
    <mergeCell ref="D15:D18"/>
    <mergeCell ref="E15:I15"/>
    <mergeCell ref="E16:E18"/>
    <mergeCell ref="F16:F18"/>
    <mergeCell ref="G16:H16"/>
    <mergeCell ref="O16:O18"/>
    <mergeCell ref="P15:P18"/>
    <mergeCell ref="G17:G18"/>
    <mergeCell ref="H17:H18"/>
    <mergeCell ref="I16:I18"/>
    <mergeCell ref="J15:O15"/>
  </mergeCells>
  <pageMargins left="0.19685039370078741" right="0.19685039370078741" top="0.59055118110236227" bottom="0.39370078740157483" header="0" footer="0"/>
  <pageSetup paperSize="9" scale="55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220FU11</cp:lastModifiedBy>
  <cp:lastPrinted>2024-05-24T08:20:21Z</cp:lastPrinted>
  <dcterms:created xsi:type="dcterms:W3CDTF">2023-12-16T13:37:11Z</dcterms:created>
  <dcterms:modified xsi:type="dcterms:W3CDTF">2024-05-27T12:13:55Z</dcterms:modified>
</cp:coreProperties>
</file>