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ЦяКнига"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120" yWindow="156" windowWidth="15240" windowHeight="7608"/>
  </bookViews>
  <sheets>
    <sheet name="1кв2024" sheetId="4" r:id="rId1"/>
  </sheets>
  <definedNames>
    <definedName name="Z_22648713_93C4_4BCC_9593_E6D578C36006_.wvu.PrintArea" localSheetId="0" hidden="1">'1кв2024'!$A$1:$P$119</definedName>
    <definedName name="Z_22648713_93C4_4BCC_9593_E6D578C36006_.wvu.PrintTitles" localSheetId="0" hidden="1">'1кв2024'!$10:$15</definedName>
    <definedName name="Z_22648713_93C4_4BCC_9593_E6D578C36006_.wvu.Rows" localSheetId="0" hidden="1">'1кв2024'!$27:$27,'1кв2024'!#REF!</definedName>
    <definedName name="_xlnm.Print_Titles" localSheetId="0">'1кв2024'!$10:$15</definedName>
    <definedName name="_xlnm.Print_Area" localSheetId="0">'1кв2024'!$A$1:$P$173</definedName>
  </definedNames>
  <calcPr calcId="152511"/>
  <customWorkbookViews>
    <customWorkbookView name="Администратор - Личное представление" guid="{22648713-93C4-4BCC-9593-E6D578C36006}" mergeInterval="0" personalView="1" maximized="1" xWindow="1" yWindow="1" windowWidth="1276" windowHeight="767" activeSheetId="4" showComments="commIndAndComment"/>
  </customWorkbookViews>
</workbook>
</file>

<file path=xl/calcChain.xml><?xml version="1.0" encoding="utf-8"?>
<calcChain xmlns="http://schemas.openxmlformats.org/spreadsheetml/2006/main">
  <c r="O52" i="4" l="1"/>
  <c r="M137" i="4"/>
  <c r="P157" i="4"/>
  <c r="O157" i="4"/>
  <c r="E166" i="4" l="1"/>
  <c r="F54" i="4" l="1"/>
  <c r="I168" i="4" l="1"/>
  <c r="I166" i="4"/>
  <c r="J168" i="4"/>
  <c r="K168" i="4"/>
  <c r="L168" i="4"/>
  <c r="L166" i="4"/>
  <c r="K166" i="4"/>
  <c r="J166" i="4"/>
  <c r="H166" i="4"/>
  <c r="H168" i="4"/>
  <c r="G168" i="4"/>
  <c r="G166" i="4"/>
  <c r="F168" i="4"/>
  <c r="F166" i="4"/>
  <c r="F44" i="4"/>
  <c r="L44" i="4"/>
  <c r="K44" i="4"/>
  <c r="J44" i="4"/>
  <c r="I44" i="4"/>
  <c r="H44" i="4"/>
  <c r="G44" i="4"/>
  <c r="M62" i="4"/>
  <c r="J81" i="4"/>
  <c r="L81" i="4"/>
  <c r="L80" i="4" s="1"/>
  <c r="K81" i="4"/>
  <c r="K80" i="4" s="1"/>
  <c r="H81" i="4"/>
  <c r="G81" i="4"/>
  <c r="F81" i="4"/>
  <c r="O128" i="4"/>
  <c r="O129" i="4"/>
  <c r="O130" i="4"/>
  <c r="P128" i="4"/>
  <c r="P129" i="4"/>
  <c r="P130" i="4"/>
  <c r="K54" i="4" l="1"/>
  <c r="K52" i="4"/>
  <c r="K49" i="4"/>
  <c r="K48" i="4"/>
  <c r="K47" i="4"/>
  <c r="K89" i="4"/>
  <c r="K71" i="4" l="1"/>
  <c r="G71" i="4"/>
  <c r="G163" i="4" s="1"/>
  <c r="G48" i="4"/>
  <c r="G47" i="4"/>
  <c r="L169" i="4"/>
  <c r="L167" i="4"/>
  <c r="L163" i="4"/>
  <c r="L162" i="4"/>
  <c r="L161" i="4"/>
  <c r="K169" i="4"/>
  <c r="K167" i="4"/>
  <c r="K163" i="4"/>
  <c r="K161" i="4"/>
  <c r="G169" i="4"/>
  <c r="G164" i="4"/>
  <c r="H169" i="4"/>
  <c r="H163" i="4"/>
  <c r="H162" i="4"/>
  <c r="I36" i="4"/>
  <c r="E36" i="4"/>
  <c r="G161" i="4" l="1"/>
  <c r="M36" i="4"/>
  <c r="L144" i="4" l="1"/>
  <c r="K144" i="4"/>
  <c r="H144" i="4"/>
  <c r="G144" i="4"/>
  <c r="H97" i="4"/>
  <c r="G97" i="4"/>
  <c r="L64" i="4"/>
  <c r="K64" i="4"/>
  <c r="H64" i="4"/>
  <c r="G64" i="4"/>
  <c r="H155" i="4" l="1"/>
  <c r="G155" i="4"/>
  <c r="L133" i="4"/>
  <c r="H133" i="4"/>
  <c r="K133" i="4"/>
  <c r="G133" i="4"/>
  <c r="H131" i="4"/>
  <c r="G131" i="4"/>
  <c r="H127" i="4"/>
  <c r="G127" i="4"/>
  <c r="O127" i="4" s="1"/>
  <c r="K125" i="4"/>
  <c r="G125" i="4"/>
  <c r="K124" i="4"/>
  <c r="G119" i="4"/>
  <c r="G113" i="4"/>
  <c r="L111" i="4"/>
  <c r="I58" i="4"/>
  <c r="E58" i="4"/>
  <c r="P131" i="4" l="1"/>
  <c r="H167" i="4"/>
  <c r="O131" i="4"/>
  <c r="G167" i="4"/>
  <c r="P127" i="4"/>
  <c r="K41" i="4"/>
  <c r="H41" i="4"/>
  <c r="K25" i="4"/>
  <c r="K162" i="4" s="1"/>
  <c r="G25" i="4"/>
  <c r="G162" i="4" s="1"/>
  <c r="J169" i="4"/>
  <c r="J165" i="4"/>
  <c r="F169" i="4"/>
  <c r="F165" i="4"/>
  <c r="J31" i="4"/>
  <c r="F31" i="4"/>
  <c r="H161" i="4" l="1"/>
  <c r="J144" i="4"/>
  <c r="F144" i="4"/>
  <c r="F155" i="4"/>
  <c r="J141" i="4"/>
  <c r="F141" i="4"/>
  <c r="J117" i="4"/>
  <c r="F117" i="4"/>
  <c r="J116" i="4"/>
  <c r="F116" i="4"/>
  <c r="J113" i="4"/>
  <c r="F113" i="4"/>
  <c r="N111" i="4"/>
  <c r="J100" i="4"/>
  <c r="J97" i="4" s="1"/>
  <c r="F100" i="4"/>
  <c r="F97" i="4" s="1"/>
  <c r="J79" i="4"/>
  <c r="F79" i="4"/>
  <c r="F78" i="4"/>
  <c r="J50" i="4"/>
  <c r="F50" i="4"/>
  <c r="E30" i="4"/>
  <c r="F167" i="4" l="1"/>
  <c r="J167" i="4"/>
  <c r="J161" i="4"/>
  <c r="F161" i="4"/>
  <c r="F64" i="4"/>
  <c r="F163" i="4"/>
  <c r="J64" i="4"/>
  <c r="J163" i="4"/>
  <c r="N30" i="4"/>
  <c r="I30" i="4"/>
  <c r="J28" i="4"/>
  <c r="F28" i="4"/>
  <c r="M30" i="4" l="1"/>
  <c r="P41" i="4" l="1"/>
  <c r="O41" i="4"/>
  <c r="O115" i="4" l="1"/>
  <c r="L31" i="4" l="1"/>
  <c r="L164" i="4"/>
  <c r="K31" i="4" l="1"/>
  <c r="G31" i="4"/>
  <c r="I130" i="4"/>
  <c r="E130" i="4"/>
  <c r="H80" i="4"/>
  <c r="J164" i="4"/>
  <c r="P156" i="4"/>
  <c r="P155" i="4"/>
  <c r="M130" i="4" l="1"/>
  <c r="N78" i="4"/>
  <c r="P153" i="4"/>
  <c r="P162" i="4"/>
  <c r="N83" i="4" l="1"/>
  <c r="E83" i="4"/>
  <c r="N79" i="4" l="1"/>
  <c r="I83" i="4"/>
  <c r="M83" i="4" s="1"/>
  <c r="N41" i="4" l="1"/>
  <c r="I41" i="4"/>
  <c r="E41" i="4"/>
  <c r="N35" i="4"/>
  <c r="I35" i="4"/>
  <c r="E35" i="4"/>
  <c r="M35" i="4" l="1"/>
  <c r="M41" i="4"/>
  <c r="J162" i="4" l="1"/>
  <c r="N158" i="4" l="1"/>
  <c r="N157" i="4"/>
  <c r="O156" i="4"/>
  <c r="O155" i="4"/>
  <c r="N155" i="4"/>
  <c r="N152" i="4"/>
  <c r="N151" i="4"/>
  <c r="N150" i="4"/>
  <c r="N148" i="4"/>
  <c r="N147" i="4"/>
  <c r="N146" i="4"/>
  <c r="N145" i="4"/>
  <c r="N142" i="4"/>
  <c r="N140" i="4"/>
  <c r="N139" i="4"/>
  <c r="N138" i="4"/>
  <c r="N137" i="4"/>
  <c r="N136" i="4"/>
  <c r="P133" i="4"/>
  <c r="P132" i="4"/>
  <c r="P124" i="4"/>
  <c r="N123" i="4"/>
  <c r="N122" i="4"/>
  <c r="N118" i="4"/>
  <c r="N114" i="4"/>
  <c r="N112" i="4"/>
  <c r="P111" i="4"/>
  <c r="N110" i="4"/>
  <c r="N109" i="4"/>
  <c r="N108" i="4"/>
  <c r="N107" i="4"/>
  <c r="N106" i="4"/>
  <c r="N103" i="4"/>
  <c r="N102" i="4"/>
  <c r="N101" i="4"/>
  <c r="N99" i="4"/>
  <c r="N98" i="4"/>
  <c r="N95" i="4"/>
  <c r="N94" i="4"/>
  <c r="N93" i="4"/>
  <c r="N92" i="4"/>
  <c r="N91" i="4"/>
  <c r="N90" i="4"/>
  <c r="O89" i="4"/>
  <c r="N89" i="4"/>
  <c r="N88" i="4"/>
  <c r="N87" i="4"/>
  <c r="N84" i="4"/>
  <c r="N82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1" i="4"/>
  <c r="N60" i="4"/>
  <c r="N59" i="4"/>
  <c r="N57" i="4"/>
  <c r="N56" i="4"/>
  <c r="N55" i="4"/>
  <c r="N54" i="4"/>
  <c r="N53" i="4"/>
  <c r="N52" i="4"/>
  <c r="N51" i="4"/>
  <c r="N50" i="4"/>
  <c r="N49" i="4"/>
  <c r="P48" i="4"/>
  <c r="N48" i="4"/>
  <c r="P47" i="4"/>
  <c r="N47" i="4"/>
  <c r="N46" i="4"/>
  <c r="N45" i="4"/>
  <c r="N40" i="4"/>
  <c r="N39" i="4"/>
  <c r="N38" i="4"/>
  <c r="N37" i="4"/>
  <c r="N34" i="4"/>
  <c r="N33" i="4"/>
  <c r="N32" i="4"/>
  <c r="N29" i="4"/>
  <c r="N26" i="4"/>
  <c r="P25" i="4"/>
  <c r="O25" i="4"/>
  <c r="N25" i="4"/>
  <c r="N24" i="4"/>
  <c r="N23" i="4"/>
  <c r="N22" i="4"/>
  <c r="N21" i="4"/>
  <c r="N20" i="4"/>
  <c r="N19" i="4"/>
  <c r="O92" i="4"/>
  <c r="O71" i="4"/>
  <c r="O19" i="4" l="1"/>
  <c r="O48" i="4"/>
  <c r="O93" i="4"/>
  <c r="O91" i="4"/>
  <c r="O47" i="4"/>
  <c r="H164" i="4"/>
  <c r="P161" i="4"/>
  <c r="K164" i="4"/>
  <c r="O164" i="4" l="1"/>
  <c r="O153" i="4" l="1"/>
  <c r="P125" i="4"/>
  <c r="O124" i="4"/>
  <c r="O111" i="4"/>
  <c r="O163" i="4" l="1"/>
  <c r="G80" i="4"/>
  <c r="P113" i="4"/>
  <c r="I81" i="4"/>
  <c r="O113" i="4"/>
  <c r="O125" i="4"/>
  <c r="O132" i="4"/>
  <c r="P168" i="4"/>
  <c r="P110" i="4"/>
  <c r="O133" i="4"/>
  <c r="O110" i="4"/>
  <c r="O162" i="4"/>
  <c r="O161" i="4"/>
  <c r="N31" i="4"/>
  <c r="E81" i="4" l="1"/>
  <c r="P167" i="4"/>
  <c r="E149" i="4"/>
  <c r="O167" i="4" l="1"/>
  <c r="N141" i="4"/>
  <c r="N117" i="4"/>
  <c r="N113" i="4"/>
  <c r="I84" i="4"/>
  <c r="I82" i="4"/>
  <c r="E84" i="4"/>
  <c r="E82" i="4"/>
  <c r="F80" i="4"/>
  <c r="I78" i="4" l="1"/>
  <c r="I79" i="4"/>
  <c r="M84" i="4"/>
  <c r="N100" i="4"/>
  <c r="M82" i="4"/>
  <c r="N81" i="4"/>
  <c r="E80" i="4"/>
  <c r="J80" i="4"/>
  <c r="M81" i="4" l="1"/>
  <c r="I80" i="4"/>
  <c r="M80" i="4" s="1"/>
  <c r="N80" i="4"/>
  <c r="N168" i="4" l="1"/>
  <c r="N27" i="4" l="1"/>
  <c r="N28" i="4"/>
  <c r="I59" i="4" l="1"/>
  <c r="K121" i="4" l="1"/>
  <c r="G121" i="4"/>
  <c r="L63" i="4"/>
  <c r="O126" i="4" l="1"/>
  <c r="O166" i="4"/>
  <c r="P126" i="4"/>
  <c r="P166" i="4"/>
  <c r="O119" i="4"/>
  <c r="O168" i="4"/>
  <c r="L121" i="4"/>
  <c r="H121" i="4"/>
  <c r="F86" i="4"/>
  <c r="N153" i="4"/>
  <c r="I152" i="4"/>
  <c r="E152" i="4"/>
  <c r="I140" i="4"/>
  <c r="E140" i="4"/>
  <c r="E124" i="4"/>
  <c r="I124" i="4"/>
  <c r="M124" i="4" l="1"/>
  <c r="M140" i="4"/>
  <c r="M152" i="4"/>
  <c r="G105" i="4"/>
  <c r="H105" i="4"/>
  <c r="F105" i="4"/>
  <c r="G86" i="4"/>
  <c r="H86" i="4"/>
  <c r="J86" i="4"/>
  <c r="L86" i="4"/>
  <c r="I90" i="4"/>
  <c r="E90" i="4"/>
  <c r="M90" i="4" l="1"/>
  <c r="N167" i="4"/>
  <c r="N116" i="4"/>
  <c r="N165" i="4"/>
  <c r="J105" i="4"/>
  <c r="N163" i="4" l="1"/>
  <c r="I64" i="4"/>
  <c r="I37" i="4"/>
  <c r="K86" i="4" l="1"/>
  <c r="L105" i="4" l="1"/>
  <c r="K105" i="4"/>
  <c r="E168" i="4"/>
  <c r="I158" i="4" l="1"/>
  <c r="I157" i="4"/>
  <c r="I139" i="4"/>
  <c r="F164" i="4" l="1"/>
  <c r="N164" i="4" s="1"/>
  <c r="E158" i="4" l="1"/>
  <c r="M158" i="4" s="1"/>
  <c r="E157" i="4"/>
  <c r="M157" i="4" s="1"/>
  <c r="P169" i="4"/>
  <c r="I151" i="4"/>
  <c r="E151" i="4"/>
  <c r="E139" i="4"/>
  <c r="M139" i="4" s="1"/>
  <c r="M151" i="4" l="1"/>
  <c r="E169" i="4"/>
  <c r="O169" i="4" l="1"/>
  <c r="N169" i="4"/>
  <c r="J63" i="4"/>
  <c r="E59" i="4"/>
  <c r="M59" i="4" s="1"/>
  <c r="K63" i="4" l="1"/>
  <c r="O64" i="4"/>
  <c r="I19" i="4"/>
  <c r="I20" i="4"/>
  <c r="I21" i="4"/>
  <c r="I22" i="4"/>
  <c r="I142" i="4" l="1"/>
  <c r="N144" i="4" l="1"/>
  <c r="I118" i="4"/>
  <c r="E118" i="4"/>
  <c r="M118" i="4" l="1"/>
  <c r="N64" i="4"/>
  <c r="H96" i="4" l="1"/>
  <c r="G96" i="4"/>
  <c r="E165" i="4"/>
  <c r="J143" i="4"/>
  <c r="H143" i="4"/>
  <c r="G143" i="4"/>
  <c r="F143" i="4"/>
  <c r="N143" i="4" l="1"/>
  <c r="E167" i="4"/>
  <c r="P144" i="4"/>
  <c r="O144" i="4"/>
  <c r="E164" i="4"/>
  <c r="H135" i="4"/>
  <c r="G135" i="4"/>
  <c r="F135" i="4"/>
  <c r="F134" i="4" s="1"/>
  <c r="J121" i="4"/>
  <c r="J120" i="4" s="1"/>
  <c r="H120" i="4"/>
  <c r="G120" i="4"/>
  <c r="F121" i="4"/>
  <c r="J96" i="4" l="1"/>
  <c r="N121" i="4"/>
  <c r="J135" i="4"/>
  <c r="E163" i="4"/>
  <c r="I23" i="4"/>
  <c r="F162" i="4"/>
  <c r="N162" i="4" s="1"/>
  <c r="J134" i="4" l="1"/>
  <c r="N134" i="4" s="1"/>
  <c r="N135" i="4"/>
  <c r="E162" i="4"/>
  <c r="G134" i="4"/>
  <c r="H134" i="4"/>
  <c r="F120" i="4"/>
  <c r="N120" i="4" s="1"/>
  <c r="E105" i="4"/>
  <c r="H104" i="4"/>
  <c r="F104" i="4"/>
  <c r="G63" i="4"/>
  <c r="O63" i="4" s="1"/>
  <c r="H63" i="4"/>
  <c r="F63" i="4"/>
  <c r="G18" i="4"/>
  <c r="H18" i="4"/>
  <c r="F18" i="4"/>
  <c r="F17" i="4" s="1"/>
  <c r="E19" i="4"/>
  <c r="M19" i="4" s="1"/>
  <c r="E20" i="4"/>
  <c r="M20" i="4" s="1"/>
  <c r="E21" i="4"/>
  <c r="M21" i="4" s="1"/>
  <c r="E22" i="4"/>
  <c r="M22" i="4" s="1"/>
  <c r="E23" i="4"/>
  <c r="M23" i="4" s="1"/>
  <c r="E24" i="4"/>
  <c r="E25" i="4"/>
  <c r="E26" i="4"/>
  <c r="E27" i="4"/>
  <c r="E28" i="4"/>
  <c r="E29" i="4"/>
  <c r="E32" i="4"/>
  <c r="E33" i="4"/>
  <c r="E34" i="4"/>
  <c r="E37" i="4"/>
  <c r="M37" i="4" s="1"/>
  <c r="E38" i="4"/>
  <c r="E39" i="4"/>
  <c r="E40" i="4"/>
  <c r="E42" i="4"/>
  <c r="E45" i="4"/>
  <c r="E46" i="4"/>
  <c r="E47" i="4"/>
  <c r="E48" i="4"/>
  <c r="E49" i="4"/>
  <c r="E50" i="4"/>
  <c r="E51" i="4"/>
  <c r="E52" i="4"/>
  <c r="E53" i="4"/>
  <c r="E54" i="4"/>
  <c r="E44" i="4" s="1"/>
  <c r="E55" i="4"/>
  <c r="E56" i="4"/>
  <c r="E57" i="4"/>
  <c r="E60" i="4"/>
  <c r="E61" i="4"/>
  <c r="E62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M78" i="4" s="1"/>
  <c r="E79" i="4"/>
  <c r="M79" i="4" s="1"/>
  <c r="E87" i="4"/>
  <c r="E88" i="4"/>
  <c r="E89" i="4"/>
  <c r="E91" i="4"/>
  <c r="E92" i="4"/>
  <c r="E93" i="4"/>
  <c r="E94" i="4"/>
  <c r="E95" i="4"/>
  <c r="E98" i="4"/>
  <c r="E99" i="4"/>
  <c r="E100" i="4"/>
  <c r="E101" i="4"/>
  <c r="E102" i="4"/>
  <c r="E103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9" i="4"/>
  <c r="E122" i="4"/>
  <c r="E123" i="4"/>
  <c r="E125" i="4"/>
  <c r="E126" i="4"/>
  <c r="E127" i="4"/>
  <c r="E128" i="4"/>
  <c r="E129" i="4"/>
  <c r="E131" i="4"/>
  <c r="E132" i="4"/>
  <c r="E133" i="4"/>
  <c r="E136" i="4"/>
  <c r="E137" i="4"/>
  <c r="E138" i="4"/>
  <c r="E141" i="4"/>
  <c r="E142" i="4"/>
  <c r="M142" i="4" s="1"/>
  <c r="E145" i="4"/>
  <c r="E146" i="4"/>
  <c r="E147" i="4"/>
  <c r="E148" i="4"/>
  <c r="E150" i="4"/>
  <c r="E153" i="4"/>
  <c r="E155" i="4"/>
  <c r="E156" i="4"/>
  <c r="H160" i="4" l="1"/>
  <c r="H170" i="4" s="1"/>
  <c r="H17" i="4"/>
  <c r="G17" i="4"/>
  <c r="E17" i="4" s="1"/>
  <c r="G160" i="4"/>
  <c r="G170" i="4" s="1"/>
  <c r="F160" i="4"/>
  <c r="N161" i="4"/>
  <c r="G85" i="4"/>
  <c r="O86" i="4"/>
  <c r="F96" i="4"/>
  <c r="N97" i="4"/>
  <c r="F85" i="4"/>
  <c r="N86" i="4"/>
  <c r="H85" i="4"/>
  <c r="N63" i="4"/>
  <c r="E97" i="4"/>
  <c r="H16" i="4"/>
  <c r="E31" i="4"/>
  <c r="E144" i="4"/>
  <c r="E135" i="4"/>
  <c r="E64" i="4"/>
  <c r="E143" i="4"/>
  <c r="E134" i="4"/>
  <c r="E121" i="4"/>
  <c r="E120" i="4"/>
  <c r="G104" i="4"/>
  <c r="E104" i="4" s="1"/>
  <c r="E86" i="4"/>
  <c r="E63" i="4"/>
  <c r="H43" i="4"/>
  <c r="E18" i="4"/>
  <c r="F16" i="4" l="1"/>
  <c r="H159" i="4"/>
  <c r="E85" i="4"/>
  <c r="F43" i="4"/>
  <c r="N44" i="4"/>
  <c r="E96" i="4"/>
  <c r="N96" i="4"/>
  <c r="G43" i="4"/>
  <c r="E161" i="4"/>
  <c r="E160" i="4"/>
  <c r="F170" i="4"/>
  <c r="G16" i="4"/>
  <c r="F159" i="4" l="1"/>
  <c r="F173" i="4" s="1"/>
  <c r="E16" i="4"/>
  <c r="G159" i="4"/>
  <c r="E43" i="4"/>
  <c r="E170" i="4"/>
  <c r="I145" i="4"/>
  <c r="M145" i="4" s="1"/>
  <c r="E159" i="4" l="1"/>
  <c r="E173" i="4" s="1"/>
  <c r="G173" i="4"/>
  <c r="I136" i="4" l="1"/>
  <c r="M136" i="4" s="1"/>
  <c r="K143" i="4" l="1"/>
  <c r="O143" i="4" s="1"/>
  <c r="L143" i="4"/>
  <c r="P143" i="4" s="1"/>
  <c r="J18" i="4" l="1"/>
  <c r="J17" i="4" s="1"/>
  <c r="J160" i="4" l="1"/>
  <c r="N18" i="4"/>
  <c r="I57" i="4"/>
  <c r="M57" i="4" s="1"/>
  <c r="N160" i="4" l="1"/>
  <c r="N105" i="4"/>
  <c r="J104" i="4" l="1"/>
  <c r="N104" i="4" s="1"/>
  <c r="I129" i="4"/>
  <c r="M129" i="4" s="1"/>
  <c r="K18" i="4" l="1"/>
  <c r="L18" i="4"/>
  <c r="I24" i="4"/>
  <c r="M24" i="4" s="1"/>
  <c r="I25" i="4"/>
  <c r="I26" i="4"/>
  <c r="M26" i="4" s="1"/>
  <c r="I27" i="4"/>
  <c r="M27" i="4" s="1"/>
  <c r="I28" i="4"/>
  <c r="M28" i="4" s="1"/>
  <c r="I29" i="4"/>
  <c r="I32" i="4"/>
  <c r="M32" i="4" s="1"/>
  <c r="I33" i="4"/>
  <c r="M33" i="4" s="1"/>
  <c r="I34" i="4"/>
  <c r="M34" i="4" s="1"/>
  <c r="I38" i="4"/>
  <c r="M38" i="4" s="1"/>
  <c r="I39" i="4"/>
  <c r="M39" i="4" s="1"/>
  <c r="I40" i="4"/>
  <c r="M40" i="4" s="1"/>
  <c r="I42" i="4"/>
  <c r="M42" i="4" s="1"/>
  <c r="I45" i="4"/>
  <c r="I46" i="4"/>
  <c r="M46" i="4" s="1"/>
  <c r="I47" i="4"/>
  <c r="I48" i="4"/>
  <c r="M48" i="4" s="1"/>
  <c r="I49" i="4"/>
  <c r="M49" i="4" s="1"/>
  <c r="I50" i="4"/>
  <c r="M50" i="4" s="1"/>
  <c r="I51" i="4"/>
  <c r="M51" i="4" s="1"/>
  <c r="I52" i="4"/>
  <c r="M52" i="4" s="1"/>
  <c r="I53" i="4"/>
  <c r="M53" i="4" s="1"/>
  <c r="I54" i="4"/>
  <c r="M54" i="4" s="1"/>
  <c r="I55" i="4"/>
  <c r="M55" i="4" s="1"/>
  <c r="I56" i="4"/>
  <c r="M56" i="4" s="1"/>
  <c r="I60" i="4"/>
  <c r="M60" i="4" s="1"/>
  <c r="I61" i="4"/>
  <c r="I65" i="4"/>
  <c r="M65" i="4" s="1"/>
  <c r="I66" i="4"/>
  <c r="M66" i="4" s="1"/>
  <c r="I67" i="4"/>
  <c r="M67" i="4" s="1"/>
  <c r="I68" i="4"/>
  <c r="M68" i="4" s="1"/>
  <c r="I69" i="4"/>
  <c r="M69" i="4" s="1"/>
  <c r="I70" i="4"/>
  <c r="M70" i="4" s="1"/>
  <c r="I71" i="4"/>
  <c r="I72" i="4"/>
  <c r="M72" i="4" s="1"/>
  <c r="I73" i="4"/>
  <c r="M73" i="4" s="1"/>
  <c r="I74" i="4"/>
  <c r="M74" i="4" s="1"/>
  <c r="I75" i="4"/>
  <c r="M75" i="4" s="1"/>
  <c r="I76" i="4"/>
  <c r="M76" i="4" s="1"/>
  <c r="I77" i="4"/>
  <c r="M77" i="4" s="1"/>
  <c r="I87" i="4"/>
  <c r="M87" i="4" s="1"/>
  <c r="I88" i="4"/>
  <c r="M88" i="4" s="1"/>
  <c r="I89" i="4"/>
  <c r="I91" i="4"/>
  <c r="I92" i="4"/>
  <c r="M92" i="4" s="1"/>
  <c r="I93" i="4"/>
  <c r="M93" i="4" s="1"/>
  <c r="I94" i="4"/>
  <c r="M94" i="4" s="1"/>
  <c r="I95" i="4"/>
  <c r="M95" i="4" s="1"/>
  <c r="I98" i="4"/>
  <c r="I99" i="4"/>
  <c r="M99" i="4" s="1"/>
  <c r="I100" i="4"/>
  <c r="I101" i="4"/>
  <c r="M101" i="4" s="1"/>
  <c r="I102" i="4"/>
  <c r="M102" i="4" s="1"/>
  <c r="I106" i="4"/>
  <c r="M106" i="4" s="1"/>
  <c r="I107" i="4"/>
  <c r="M107" i="4" s="1"/>
  <c r="I108" i="4"/>
  <c r="M108" i="4" s="1"/>
  <c r="I109" i="4"/>
  <c r="M109" i="4" s="1"/>
  <c r="I110" i="4"/>
  <c r="M110" i="4" s="1"/>
  <c r="I111" i="4"/>
  <c r="M111" i="4" s="1"/>
  <c r="I112" i="4"/>
  <c r="M112" i="4" s="1"/>
  <c r="I113" i="4"/>
  <c r="M113" i="4" s="1"/>
  <c r="I114" i="4"/>
  <c r="M114" i="4" s="1"/>
  <c r="I115" i="4"/>
  <c r="M115" i="4" s="1"/>
  <c r="I125" i="4"/>
  <c r="M125" i="4" s="1"/>
  <c r="I131" i="4"/>
  <c r="M131" i="4" s="1"/>
  <c r="I133" i="4"/>
  <c r="M133" i="4" s="1"/>
  <c r="I143" i="4"/>
  <c r="M143" i="4" s="1"/>
  <c r="I144" i="4"/>
  <c r="M144" i="4" s="1"/>
  <c r="I146" i="4"/>
  <c r="M146" i="4" s="1"/>
  <c r="I147" i="4"/>
  <c r="M147" i="4" s="1"/>
  <c r="I148" i="4"/>
  <c r="I155" i="4"/>
  <c r="M155" i="4" s="1"/>
  <c r="M61" i="4" l="1"/>
  <c r="M25" i="4"/>
  <c r="I162" i="4"/>
  <c r="M162" i="4" s="1"/>
  <c r="M98" i="4"/>
  <c r="L160" i="4"/>
  <c r="L17" i="4"/>
  <c r="P17" i="4" s="1"/>
  <c r="M148" i="4"/>
  <c r="M71" i="4"/>
  <c r="I163" i="4"/>
  <c r="M163" i="4" s="1"/>
  <c r="M47" i="4"/>
  <c r="K160" i="4"/>
  <c r="K17" i="4"/>
  <c r="I17" i="4" s="1"/>
  <c r="M91" i="4"/>
  <c r="I164" i="4"/>
  <c r="M164" i="4" s="1"/>
  <c r="M89" i="4"/>
  <c r="I161" i="4"/>
  <c r="M45" i="4"/>
  <c r="M100" i="4"/>
  <c r="M29" i="4"/>
  <c r="I86" i="4"/>
  <c r="M86" i="4" s="1"/>
  <c r="N166" i="4"/>
  <c r="P44" i="4"/>
  <c r="O18" i="4"/>
  <c r="N17" i="4"/>
  <c r="L85" i="4"/>
  <c r="K85" i="4"/>
  <c r="O85" i="4" s="1"/>
  <c r="K135" i="4"/>
  <c r="L135" i="4"/>
  <c r="J85" i="4"/>
  <c r="N85" i="4" s="1"/>
  <c r="I150" i="4"/>
  <c r="M150" i="4" s="1"/>
  <c r="I31" i="4"/>
  <c r="I141" i="4"/>
  <c r="M141" i="4" s="1"/>
  <c r="I137" i="4"/>
  <c r="I62" i="4"/>
  <c r="I18" i="4"/>
  <c r="M31" i="4" l="1"/>
  <c r="O17" i="4"/>
  <c r="M17" i="4"/>
  <c r="M44" i="4"/>
  <c r="M161" i="4"/>
  <c r="O160" i="4"/>
  <c r="K170" i="4"/>
  <c r="L170" i="4"/>
  <c r="J170" i="4"/>
  <c r="N170" i="4" s="1"/>
  <c r="M18" i="4"/>
  <c r="I63" i="4"/>
  <c r="M63" i="4" s="1"/>
  <c r="M64" i="4"/>
  <c r="K43" i="4"/>
  <c r="O43" i="4" s="1"/>
  <c r="O44" i="4"/>
  <c r="L43" i="4"/>
  <c r="P43" i="4" s="1"/>
  <c r="L134" i="4"/>
  <c r="K134" i="4"/>
  <c r="I85" i="4"/>
  <c r="M85" i="4" s="1"/>
  <c r="J16" i="4"/>
  <c r="K16" i="4"/>
  <c r="L16" i="4"/>
  <c r="I138" i="4"/>
  <c r="M138" i="4" s="1"/>
  <c r="J43" i="4"/>
  <c r="N43" i="4" s="1"/>
  <c r="J159" i="4" l="1"/>
  <c r="O16" i="4"/>
  <c r="P16" i="4"/>
  <c r="I135" i="4"/>
  <c r="M135" i="4" s="1"/>
  <c r="N16" i="4"/>
  <c r="I134" i="4"/>
  <c r="M134" i="4" s="1"/>
  <c r="I16" i="4"/>
  <c r="I43" i="4"/>
  <c r="M43" i="4" s="1"/>
  <c r="M16" i="4" l="1"/>
  <c r="J173" i="4"/>
  <c r="N159" i="4"/>
  <c r="N173" i="4" s="1"/>
  <c r="I128" i="4"/>
  <c r="M128" i="4" l="1"/>
  <c r="P121" i="4"/>
  <c r="O121" i="4"/>
  <c r="I123" i="4"/>
  <c r="M123" i="4" s="1"/>
  <c r="I122" i="4"/>
  <c r="M122" i="4" l="1"/>
  <c r="I160" i="4"/>
  <c r="K120" i="4"/>
  <c r="O120" i="4" s="1"/>
  <c r="L120" i="4"/>
  <c r="P120" i="4" s="1"/>
  <c r="I127" i="4"/>
  <c r="M127" i="4" s="1"/>
  <c r="M160" i="4" l="1"/>
  <c r="I119" i="4" l="1"/>
  <c r="M119" i="4" s="1"/>
  <c r="P105" i="4" l="1"/>
  <c r="I117" i="4"/>
  <c r="M117" i="4" l="1"/>
  <c r="K104" i="4"/>
  <c r="O104" i="4" s="1"/>
  <c r="O105" i="4"/>
  <c r="L104" i="4"/>
  <c r="I116" i="4"/>
  <c r="M116" i="4" l="1"/>
  <c r="P104" i="4"/>
  <c r="I105" i="4"/>
  <c r="M105" i="4" s="1"/>
  <c r="L97" i="4"/>
  <c r="I104" i="4"/>
  <c r="M104" i="4" s="1"/>
  <c r="L96" i="4" l="1"/>
  <c r="L159" i="4" s="1"/>
  <c r="P159" i="4" s="1"/>
  <c r="K97" i="4"/>
  <c r="I103" i="4"/>
  <c r="I126" i="4"/>
  <c r="M103" i="4" l="1"/>
  <c r="I165" i="4"/>
  <c r="I170" i="4" s="1"/>
  <c r="I97" i="4"/>
  <c r="M126" i="4"/>
  <c r="K96" i="4"/>
  <c r="M97" i="4"/>
  <c r="M166" i="4"/>
  <c r="M165" i="4" l="1"/>
  <c r="M168" i="4"/>
  <c r="K159" i="4"/>
  <c r="I96" i="4"/>
  <c r="M96" i="4" l="1"/>
  <c r="O159" i="4"/>
  <c r="P170" i="4"/>
  <c r="I132" i="4"/>
  <c r="I167" i="4" s="1"/>
  <c r="M132" i="4" l="1"/>
  <c r="I121" i="4"/>
  <c r="M121" i="4" s="1"/>
  <c r="P173" i="4"/>
  <c r="I156" i="4"/>
  <c r="M156" i="4" s="1"/>
  <c r="M167" i="4" l="1"/>
  <c r="M170" i="4"/>
  <c r="O170" i="4"/>
  <c r="O173" i="4" s="1"/>
  <c r="I153" i="4"/>
  <c r="I120" i="4"/>
  <c r="M153" i="4" l="1"/>
  <c r="I169" i="4"/>
  <c r="M169" i="4" s="1"/>
  <c r="M120" i="4"/>
  <c r="I159" i="4"/>
  <c r="M159" i="4" s="1"/>
  <c r="M173" i="4" s="1"/>
</calcChain>
</file>

<file path=xl/sharedStrings.xml><?xml version="1.0" encoding="utf-8"?>
<sst xmlns="http://schemas.openxmlformats.org/spreadsheetml/2006/main" count="547" uniqueCount="348">
  <si>
    <t>бюджет розвитку</t>
  </si>
  <si>
    <t>РАЗОМ</t>
  </si>
  <si>
    <t>0111</t>
  </si>
  <si>
    <t>1090</t>
  </si>
  <si>
    <t>0320</t>
  </si>
  <si>
    <t>0133</t>
  </si>
  <si>
    <t>0470</t>
  </si>
  <si>
    <t>Заходи з енергозбереження</t>
  </si>
  <si>
    <t>0620</t>
  </si>
  <si>
    <t>0180</t>
  </si>
  <si>
    <t>1010</t>
  </si>
  <si>
    <t>0910</t>
  </si>
  <si>
    <t>1020</t>
  </si>
  <si>
    <t>0921</t>
  </si>
  <si>
    <t>1030</t>
  </si>
  <si>
    <t>0922</t>
  </si>
  <si>
    <t>0960</t>
  </si>
  <si>
    <t>0950</t>
  </si>
  <si>
    <t>0990</t>
  </si>
  <si>
    <t>1040</t>
  </si>
  <si>
    <t>0810</t>
  </si>
  <si>
    <t>Утримання та навчально-тренувальна робота комунальних дитячо-юнацьких спортивних шкіл</t>
  </si>
  <si>
    <t>0490</t>
  </si>
  <si>
    <t>1100000</t>
  </si>
  <si>
    <t>1110000</t>
  </si>
  <si>
    <t>5011</t>
  </si>
  <si>
    <t>1115011</t>
  </si>
  <si>
    <t>1500000</t>
  </si>
  <si>
    <t>1510000</t>
  </si>
  <si>
    <t>1060</t>
  </si>
  <si>
    <t>2010</t>
  </si>
  <si>
    <t>0731</t>
  </si>
  <si>
    <t>0722</t>
  </si>
  <si>
    <t>3031</t>
  </si>
  <si>
    <t>1070</t>
  </si>
  <si>
    <t>3112</t>
  </si>
  <si>
    <t>4060</t>
  </si>
  <si>
    <t>0824</t>
  </si>
  <si>
    <t>0828</t>
  </si>
  <si>
    <t>0829</t>
  </si>
  <si>
    <t>6030</t>
  </si>
  <si>
    <t>0456</t>
  </si>
  <si>
    <t>0540</t>
  </si>
  <si>
    <t>Проведення навчально-тренувальних зборів і змагань з олімпійських видів спорту</t>
  </si>
  <si>
    <t>Заходи державної політики з питань дітей та їх соціального захисту</t>
  </si>
  <si>
    <t>1115012</t>
  </si>
  <si>
    <t>5012</t>
  </si>
  <si>
    <t>Проведення навчально-тренувальних зборів і змагань з неолімпійських видів спорту</t>
  </si>
  <si>
    <t>5031</t>
  </si>
  <si>
    <t>Інші заходи та заклади молодіжної політики</t>
  </si>
  <si>
    <t>1115061</t>
  </si>
  <si>
    <t>5061</t>
  </si>
  <si>
    <t>0150</t>
  </si>
  <si>
    <t>2100</t>
  </si>
  <si>
    <t>0600000</t>
  </si>
  <si>
    <t>0610000</t>
  </si>
  <si>
    <t>0160</t>
  </si>
  <si>
    <t>0610160</t>
  </si>
  <si>
    <t>0611010</t>
  </si>
  <si>
    <t>Надання дошкільної освіти</t>
  </si>
  <si>
    <t>0611070</t>
  </si>
  <si>
    <t>0200000</t>
  </si>
  <si>
    <t>0210000</t>
  </si>
  <si>
    <t>0210150</t>
  </si>
  <si>
    <t>0212010</t>
  </si>
  <si>
    <t>0212100</t>
  </si>
  <si>
    <t>0216030</t>
  </si>
  <si>
    <t>0615031</t>
  </si>
  <si>
    <t>0800000</t>
  </si>
  <si>
    <t>0810000</t>
  </si>
  <si>
    <t>0810160</t>
  </si>
  <si>
    <t>3121</t>
  </si>
  <si>
    <t>0813121</t>
  </si>
  <si>
    <t>1000000</t>
  </si>
  <si>
    <t>1010000</t>
  </si>
  <si>
    <t>1010160</t>
  </si>
  <si>
    <t>4030</t>
  </si>
  <si>
    <t>1014030</t>
  </si>
  <si>
    <t>Забезпечення діяльності бібліотек</t>
  </si>
  <si>
    <t>4040</t>
  </si>
  <si>
    <t>1014040</t>
  </si>
  <si>
    <t>1014060</t>
  </si>
  <si>
    <t>1110160</t>
  </si>
  <si>
    <t>3123</t>
  </si>
  <si>
    <t>3133</t>
  </si>
  <si>
    <t>1113133</t>
  </si>
  <si>
    <t>1200000</t>
  </si>
  <si>
    <t>1210000</t>
  </si>
  <si>
    <t>1210160</t>
  </si>
  <si>
    <t>1216030</t>
  </si>
  <si>
    <t>1510160</t>
  </si>
  <si>
    <t>3100000</t>
  </si>
  <si>
    <t>3110000</t>
  </si>
  <si>
    <t>3110160</t>
  </si>
  <si>
    <t>3700000</t>
  </si>
  <si>
    <t>3710000</t>
  </si>
  <si>
    <t>3710160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</si>
  <si>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</si>
  <si>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</si>
  <si>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Експлуатація та технічне обслуговування житлового фонду</t>
  </si>
  <si>
    <t>Забезпечення діяльності водопровідно-каналізаційного господарства</t>
  </si>
  <si>
    <t>3110180</t>
  </si>
  <si>
    <t>Інша діяльність у сфері державного управління</t>
  </si>
  <si>
    <t>3710180</t>
  </si>
  <si>
    <t>Надання інших пільг окремим категоріям громадян відповідно до законодавства</t>
  </si>
  <si>
    <t>0813031</t>
  </si>
  <si>
    <t>0813032</t>
  </si>
  <si>
    <t>3032</t>
  </si>
  <si>
    <t>0210170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</si>
  <si>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</si>
  <si>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</si>
  <si>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</si>
  <si>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7680</t>
  </si>
  <si>
    <t>0217680</t>
  </si>
  <si>
    <t>Членські внески до асоціацій органів місцевого самоврядування</t>
  </si>
  <si>
    <t>0210180</t>
  </si>
  <si>
    <t>3104</t>
  </si>
  <si>
    <t>0813104</t>
  </si>
  <si>
    <t>1050</t>
  </si>
  <si>
    <t>Організація та проведення громадських робіт</t>
  </si>
  <si>
    <t>6015</t>
  </si>
  <si>
    <t>1216015</t>
  </si>
  <si>
    <t>Забезпечення надійної та безперебійної експлуатації ліфтів</t>
  </si>
  <si>
    <t>1217461</t>
  </si>
  <si>
    <t>Реалізація інших заходів щодо соціально-економічного розвитку територій</t>
  </si>
  <si>
    <t>0443</t>
  </si>
  <si>
    <t>8340</t>
  </si>
  <si>
    <t>0218340</t>
  </si>
  <si>
    <t>0763</t>
  </si>
  <si>
    <t>1218340</t>
  </si>
  <si>
    <t>1014082</t>
  </si>
  <si>
    <t>4082</t>
  </si>
  <si>
    <t>4081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</si>
  <si>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</si>
  <si>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</si>
  <si>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Природоохоронні заходи за рахунок цільових фондів</t>
  </si>
  <si>
    <t>7693</t>
  </si>
  <si>
    <t>Заходи із запобігання та ліквідації надзвичайних ситуацій та наслідків стихійного лиха</t>
  </si>
  <si>
    <t>3210</t>
  </si>
  <si>
    <t>1213210</t>
  </si>
  <si>
    <t>0813160</t>
  </si>
  <si>
    <t>3160</t>
  </si>
  <si>
    <t>0813180</t>
  </si>
  <si>
    <t>3180</t>
  </si>
  <si>
    <t>0813192</t>
  </si>
  <si>
    <t>3192</t>
  </si>
  <si>
    <t>3242</t>
  </si>
  <si>
    <t>Інші заходи у сфері соціального захисту і соціального забезпечення</t>
  </si>
  <si>
    <t>0213242</t>
  </si>
  <si>
    <t>0613242</t>
  </si>
  <si>
    <t>0813242</t>
  </si>
  <si>
    <t>1014081</t>
  </si>
  <si>
    <t>Забезпечення діяльності інших закладів у сфері освіти</t>
  </si>
  <si>
    <t>1216017</t>
  </si>
  <si>
    <t>6017</t>
  </si>
  <si>
    <t>Багатопрофільна стаціонарна медична допомога населенню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</si>
  <si>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</si>
  <si>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в т.ч. за програмами:</t>
  </si>
  <si>
    <t>Інші субвенції з місцевого бюджету</t>
  </si>
  <si>
    <t>0810180</t>
  </si>
  <si>
    <t>0380</t>
  </si>
  <si>
    <t>Код Програмної класифікації видатків та кредитування місцевих бюджетів</t>
  </si>
  <si>
    <t>Код 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</si>
  <si>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</si>
  <si>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  головного розпорядника коштів місцевого бюджету/ відповідального виконавця, найменування бюджетної програми/ підпрограми згідно з Типовою програмною класифікацією видатків та кредитування місцевих бюджетів</t>
  </si>
  <si>
    <t>3050</t>
  </si>
  <si>
    <t>Пільгове медичне обслуговування осіб, які постраждали внаслідок Чорнобильської катастрофи</t>
  </si>
  <si>
    <t>0813050</t>
  </si>
  <si>
    <t>0813090</t>
  </si>
  <si>
    <t>3090</t>
  </si>
  <si>
    <t>Видатки на поховання учасників бойових дій та осіб з інвалідністю внаслідок війни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</si>
  <si>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</si>
  <si>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</si>
  <si>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</si>
  <si>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3117693</t>
  </si>
  <si>
    <t>ЗВІТ</t>
  </si>
  <si>
    <t>в  тому  числі</t>
  </si>
  <si>
    <t>в  тому   числі</t>
  </si>
  <si>
    <t>загальний фонд</t>
  </si>
  <si>
    <t>спеціальний фонд</t>
  </si>
  <si>
    <t>загальний  фонд</t>
  </si>
  <si>
    <t xml:space="preserve">з них </t>
  </si>
  <si>
    <t>0218210</t>
  </si>
  <si>
    <t>8210</t>
  </si>
  <si>
    <t>Муніципальні формування з охорони громадського порядку</t>
  </si>
  <si>
    <t>3116017</t>
  </si>
  <si>
    <t>2152</t>
  </si>
  <si>
    <t>1210170</t>
  </si>
  <si>
    <t>0611021</t>
  </si>
  <si>
    <t>1021</t>
  </si>
  <si>
    <t>0611022</t>
  </si>
  <si>
    <t>1022</t>
  </si>
  <si>
    <t>0611031</t>
  </si>
  <si>
    <t>1031</t>
  </si>
  <si>
    <t>0611032</t>
  </si>
  <si>
    <t>1032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</si>
  <si>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</si>
  <si>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</si>
  <si>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</si>
  <si>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Підвищення кваліфікації, перепідготовка кадрів закладами післядипломної освіти</t>
  </si>
  <si>
    <t>0611141</t>
  </si>
  <si>
    <t>1141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</si>
  <si>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</si>
  <si>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</si>
  <si>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</si>
  <si>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</si>
  <si>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</si>
  <si>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</si>
  <si>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1011080</t>
  </si>
  <si>
    <t>1080</t>
  </si>
  <si>
    <t>3718710</t>
  </si>
  <si>
    <t>8710</t>
  </si>
  <si>
    <t>Олександрівська селищна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</si>
  <si>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</si>
  <si>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</si>
  <si>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(код бюджету)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</si>
  <si>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</si>
  <si>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</si>
  <si>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</si>
  <si>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</si>
  <si>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</si>
  <si>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</si>
  <si>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</si>
  <si>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</si>
  <si>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</si>
  <si>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</si>
  <si>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</si>
  <si>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</si>
  <si>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</si>
  <si>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</si>
  <si>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Субвенція з місцевого бюджету державному бюджету на виконання програм соціально-економічного розвитку регіонів</t>
  </si>
  <si>
    <t/>
  </si>
  <si>
    <t>Виконавчий комiтет Чорноморської мiської ради Одеського району Одеської областi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</si>
  <si>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</si>
  <si>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Стоматологічна допомога населенню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</si>
  <si>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</si>
  <si>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</si>
  <si>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</si>
  <si>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0212152</t>
  </si>
  <si>
    <t>Інші програми та заходи у сфері охорони здоров`я</t>
  </si>
  <si>
    <t>Організація благоустрою населених пунктів</t>
  </si>
  <si>
    <t>0218220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</si>
  <si>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</si>
  <si>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</si>
  <si>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</si>
  <si>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</si>
  <si>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</si>
  <si>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</si>
  <si>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</si>
  <si>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</si>
  <si>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Управлiння соцiальної полiтики Чорноморської мiської ради Одеського району Одеської областi</t>
  </si>
  <si>
    <t>Надання пільг окремим категоріям громадян з оплати послуг зв`язку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</si>
  <si>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</si>
  <si>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Утримання та забезпечення діяльності центрів соціальних служб</t>
  </si>
  <si>
    <t>0813123</t>
  </si>
  <si>
    <t>Заходи державної політики з питань сім`ї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</si>
  <si>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</si>
  <si>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</si>
  <si>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</si>
  <si>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Вiддiл культури Чорноморської мiської ради Одеського району Одеської областi</t>
  </si>
  <si>
    <t>1010180</t>
  </si>
  <si>
    <t>Надання спеціалізованої освіти мистецькими школами</t>
  </si>
  <si>
    <t>Забезпечення діяльності музеїв i виставок</t>
  </si>
  <si>
    <t>Забезпечення діяльності палаців i будинків культури, клубів, центрів дозвілля та iнших клубних закладів</t>
  </si>
  <si>
    <t>Вiддiл молодi та спорту Чорноморської мiської ради Одеського району Одеської областi</t>
  </si>
  <si>
    <t>1110180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</si>
  <si>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</si>
  <si>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Вiддiл комунального господарства та благоустрою Чорноморської мiської ради Одеського району Одеської областi</t>
  </si>
  <si>
    <t>1210180</t>
  </si>
  <si>
    <t>Інша діяльність, пов`язана з експлуатацією об`єктів житлово-комунального господарства</t>
  </si>
  <si>
    <t>Інші заходи, пов`язані з економічною діяльністю</t>
  </si>
  <si>
    <t>Управлiння капiтального будiвництва Чорноморської мiської ради Одеського району Одеської областi</t>
  </si>
  <si>
    <t>1510180</t>
  </si>
  <si>
    <t>Управлiння комунальної власностi та земельних вiдносин Чорноморської мiської ради Одеського району Одеської областi</t>
  </si>
  <si>
    <t>Фiнансове управлiння Чорноморської мiської ради Одеського району Одеської областi</t>
  </si>
  <si>
    <t>Резервний фонд місцевого бюджету</t>
  </si>
  <si>
    <t>X</t>
  </si>
  <si>
    <t>УСЬОГО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</si>
  <si>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</si>
  <si>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0813230</t>
  </si>
  <si>
    <t>3118240</t>
  </si>
  <si>
    <t>1518110</t>
  </si>
  <si>
    <t xml:space="preserve"> в тому  числі</t>
  </si>
  <si>
    <t>Виконання (%)</t>
  </si>
  <si>
    <t>0618110</t>
  </si>
  <si>
    <t>0610</t>
  </si>
  <si>
    <t xml:space="preserve">Начальник фінансового управління </t>
  </si>
  <si>
    <t>Ольга ЯКОВЕНКО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</si>
  <si>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</si>
  <si>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</si>
  <si>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</si>
  <si>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</si>
  <si>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</si>
  <si>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</si>
  <si>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3117130</t>
  </si>
  <si>
    <t>7130</t>
  </si>
  <si>
    <t>0421</t>
  </si>
  <si>
    <t>Здійснення заходів із землеустрою</t>
  </si>
  <si>
    <t>7000</t>
  </si>
  <si>
    <t>Економічна діяльність</t>
  </si>
  <si>
    <t>Інша діяльність</t>
  </si>
  <si>
    <t>8000</t>
  </si>
  <si>
    <t>9000</t>
  </si>
  <si>
    <t>Міжбюджетні трансферти</t>
  </si>
  <si>
    <t>Управління освiти Чорноморської мiської ради Одеського району Одеської областi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</si>
  <si>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</si>
  <si>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</si>
  <si>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</si>
  <si>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</si>
  <si>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Додаток 3</t>
  </si>
  <si>
    <t xml:space="preserve">до рішення Чорноморської міської ради </t>
  </si>
  <si>
    <t>Розроблення схем планування та забудови територій (містобудівної документації)</t>
  </si>
  <si>
    <t>більше 100%</t>
  </si>
  <si>
    <t>0900000</t>
  </si>
  <si>
    <t>Служба у справах дітей Чорноморської мiської ради Одеського району Одеської областi</t>
  </si>
  <si>
    <t>0910000</t>
  </si>
  <si>
    <t>0910160</t>
  </si>
  <si>
    <t>0913112</t>
  </si>
  <si>
    <t>Затверджено розписом на звітний рік з урахуванням змін, грн</t>
  </si>
  <si>
    <t>0217350</t>
  </si>
  <si>
    <t>7350</t>
  </si>
  <si>
    <t>0218240</t>
  </si>
  <si>
    <t>0910180</t>
  </si>
  <si>
    <t>Міська цільова програма зміцнення законності, безпеки та порядку на території Чорноморської міської територіальної громади "Безпечне місто Чорноморськ" на 2023-2024 роки</t>
  </si>
  <si>
    <t>1517368</t>
  </si>
  <si>
    <t>7368</t>
  </si>
  <si>
    <t>Виконання інвестиційних проектів за рахунок субвенцій з інших бюджетів</t>
  </si>
  <si>
    <t>від                           2024  №           - VIII</t>
  </si>
  <si>
    <t>в т.ч.:</t>
  </si>
  <si>
    <t>0216011</t>
  </si>
  <si>
    <t>Міська цільова програма підтримки здобуття професійної (професійно-технічної), фахової передвищої освіти на умовах регіонального замовлення у відповідних закладах освіти, що розташовані та діють на території Чорноморської міської  територіальної громади, на 2024 рік</t>
  </si>
  <si>
    <t>Міська цільова програма фінансової підтримки діяльності  Одеської районної ради Одеської області на 2024 рік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</si>
  <si>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</si>
  <si>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Міська цільова програма протидії злочинності на території Чорноморської міської територіальної громади на 2024 рік</t>
  </si>
  <si>
    <t>Міська цільова програма підтримки Територіального управління Державного бюро розслідувань, розташованого у місті Миколаєві, на 2024 рік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</si>
  <si>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</si>
  <si>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</si>
  <si>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</si>
  <si>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6050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</si>
  <si>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</si>
  <si>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0217640</t>
  </si>
  <si>
    <t>про виконання видатків бюджету  Чорноморської міської територіальної громади  за  1 квартал 2024 року</t>
  </si>
  <si>
    <t>Будівництво об'єктів житлово-комунального господарства</t>
  </si>
  <si>
    <t>Будівництво освітніх установ та закладів</t>
  </si>
  <si>
    <t>Разом</t>
  </si>
  <si>
    <t>усього</t>
  </si>
  <si>
    <t>Виконано за звітний період, грн</t>
  </si>
  <si>
    <t>Міська цільова програма підтримки Сил територіальної оборони Збройних Сил України, військових частин Збройних Сил України, Національної гвардії України, інших військових формувань та посилення  заходів громадської безпеки в умовах воєнного стану на території Чорноморської міської  ради Одеського району Одеської області 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</si>
</sst>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"/>
    <numFmt numFmtId="166" formatCode="#,##0.00;\-#,##0.00;#,&quot;-&quot;"/>
    <numFmt numFmtId="167" formatCode="#,##0;\-#,##0;#,&quot;-&quot;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u/>
      <sz val="12"/>
      <name val="Times New Roman"/>
      <family val="1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i/>
      <sz val="14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</cellStyleXfs>
  <cellXfs count="143">
    <xf numFmtId="0" fontId="0" fillId="0" borderId="0" xfId="0"/>
    <xf numFmtId="0" fontId="6" fillId="2" borderId="0" xfId="0" applyFont="1" applyFill="1"/>
    <xf numFmtId="0" fontId="5" fillId="2" borderId="0" xfId="0" applyFont="1" applyFill="1"/>
    <xf numFmtId="49" fontId="3" fillId="2" borderId="0" xfId="0" applyNumberFormat="1" applyFont="1" applyFill="1"/>
    <xf numFmtId="0" fontId="9" fillId="2" borderId="0" xfId="0" applyFont="1" applyFill="1"/>
    <xf numFmtId="164" fontId="9" fillId="0" borderId="0" xfId="0" applyNumberFormat="1" applyFont="1" applyFill="1" applyAlignment="1">
      <alignment horizontal="left"/>
    </xf>
    <xf numFmtId="2" fontId="3" fillId="0" borderId="0" xfId="0" applyNumberFormat="1" applyFon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0" xfId="0" applyFont="1" applyFill="1"/>
    <xf numFmtId="49" fontId="3" fillId="0" borderId="0" xfId="0" applyNumberFormat="1" applyFont="1" applyFill="1"/>
    <xf numFmtId="0" fontId="9" fillId="0" borderId="0" xfId="0" applyFont="1" applyFill="1" applyAlignment="1">
      <alignment horizontal="left"/>
    </xf>
    <xf numFmtId="0" fontId="3" fillId="0" borderId="0" xfId="2" applyFont="1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/>
    <xf numFmtId="0" fontId="18" fillId="0" borderId="1" xfId="0" applyFont="1" applyFill="1" applyBorder="1" applyAlignment="1">
      <alignment vertical="center" wrapText="1"/>
    </xf>
    <xf numFmtId="0" fontId="18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 wrapText="1"/>
    </xf>
    <xf numFmtId="0" fontId="19" fillId="0" borderId="1" xfId="0" quotePrefix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20" fillId="0" borderId="1" xfId="0" quotePrefix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49" fontId="19" fillId="0" borderId="1" xfId="0" applyNumberFormat="1" applyFont="1" applyFill="1" applyBorder="1" applyAlignment="1">
      <alignment vertical="center" wrapText="1"/>
    </xf>
    <xf numFmtId="0" fontId="19" fillId="0" borderId="2" xfId="0" quotePrefix="1" applyFont="1" applyFill="1" applyBorder="1" applyAlignment="1">
      <alignment vertical="center" wrapText="1"/>
    </xf>
    <xf numFmtId="1" fontId="19" fillId="0" borderId="1" xfId="0" applyNumberFormat="1" applyFont="1" applyFill="1" applyBorder="1" applyAlignment="1">
      <alignment horizontal="left" vertical="center" wrapText="1"/>
    </xf>
    <xf numFmtId="2" fontId="19" fillId="0" borderId="1" xfId="0" quotePrefix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4" fontId="6" fillId="0" borderId="0" xfId="0" applyNumberFormat="1" applyFont="1" applyFill="1"/>
    <xf numFmtId="0" fontId="25" fillId="0" borderId="1" xfId="0" applyFont="1" applyFill="1" applyBorder="1" applyAlignment="1">
      <alignment wrapText="1"/>
    </xf>
    <xf numFmtId="0" fontId="15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64" fontId="5" fillId="2" borderId="0" xfId="0" applyNumberFormat="1" applyFont="1" applyFill="1" applyAlignment="1">
      <alignment vertical="center"/>
    </xf>
    <xf numFmtId="1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4" fontId="7" fillId="2" borderId="0" xfId="0" applyNumberFormat="1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4" borderId="0" xfId="0" applyFont="1" applyFill="1"/>
    <xf numFmtId="49" fontId="18" fillId="0" borderId="1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29" fillId="2" borderId="0" xfId="0" applyFont="1" applyFill="1" applyAlignment="1">
      <alignment vertical="center"/>
    </xf>
    <xf numFmtId="49" fontId="19" fillId="0" borderId="1" xfId="0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164" fontId="19" fillId="0" borderId="1" xfId="2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0" fontId="30" fillId="2" borderId="0" xfId="0" applyFont="1" applyFill="1"/>
    <xf numFmtId="3" fontId="7" fillId="0" borderId="1" xfId="2" applyNumberFormat="1" applyFont="1" applyFill="1" applyBorder="1" applyAlignment="1">
      <alignment horizontal="right" vertical="center" wrapText="1"/>
    </xf>
    <xf numFmtId="3" fontId="21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 wrapText="1"/>
    </xf>
    <xf numFmtId="3" fontId="22" fillId="0" borderId="1" xfId="0" applyNumberFormat="1" applyFont="1" applyFill="1" applyBorder="1" applyAlignment="1">
      <alignment horizontal="right" vertical="center"/>
    </xf>
    <xf numFmtId="3" fontId="5" fillId="0" borderId="1" xfId="2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 applyAlignment="1">
      <alignment horizontal="right" vertical="center"/>
    </xf>
    <xf numFmtId="3" fontId="7" fillId="0" borderId="1" xfId="2" applyNumberFormat="1" applyFont="1" applyFill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right" vertical="center"/>
    </xf>
    <xf numFmtId="3" fontId="20" fillId="0" borderId="1" xfId="2" applyNumberFormat="1" applyFont="1" applyFill="1" applyBorder="1" applyAlignment="1">
      <alignment horizontal="right" vertical="center" wrapText="1"/>
    </xf>
    <xf numFmtId="3" fontId="20" fillId="0" borderId="1" xfId="0" applyNumberFormat="1" applyFont="1" applyFill="1" applyBorder="1" applyAlignment="1">
      <alignment horizontal="right" vertical="center"/>
    </xf>
    <xf numFmtId="3" fontId="19" fillId="0" borderId="1" xfId="2" applyNumberFormat="1" applyFont="1" applyFill="1" applyBorder="1" applyAlignment="1">
      <alignment horizontal="right" vertical="center" wrapText="1"/>
    </xf>
    <xf numFmtId="3" fontId="19" fillId="0" borderId="1" xfId="0" applyNumberFormat="1" applyFont="1" applyFill="1" applyBorder="1" applyAlignment="1">
      <alignment horizontal="right" vertical="center"/>
    </xf>
    <xf numFmtId="3" fontId="18" fillId="0" borderId="1" xfId="2" applyNumberFormat="1" applyFont="1" applyFill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center"/>
    </xf>
    <xf numFmtId="0" fontId="19" fillId="2" borderId="1" xfId="0" quotePrefix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0" fillId="2" borderId="1" xfId="0" quotePrefix="1" applyFont="1" applyFill="1" applyBorder="1" applyAlignment="1">
      <alignment vertical="center" wrapText="1"/>
    </xf>
    <xf numFmtId="3" fontId="19" fillId="0" borderId="1" xfId="0" applyNumberFormat="1" applyFont="1" applyFill="1" applyBorder="1" applyAlignment="1">
      <alignment vertical="center"/>
    </xf>
    <xf numFmtId="3" fontId="5" fillId="0" borderId="0" xfId="4" applyNumberFormat="1" applyFont="1" applyFill="1" applyAlignment="1">
      <alignment vertical="center"/>
    </xf>
    <xf numFmtId="166" fontId="20" fillId="0" borderId="1" xfId="0" applyNumberFormat="1" applyFont="1" applyFill="1" applyBorder="1" applyAlignment="1">
      <alignment vertical="center"/>
    </xf>
    <xf numFmtId="2" fontId="14" fillId="0" borderId="0" xfId="0" applyNumberFormat="1" applyFont="1" applyFill="1"/>
    <xf numFmtId="0" fontId="14" fillId="0" borderId="0" xfId="0" applyFont="1" applyFill="1"/>
    <xf numFmtId="2" fontId="6" fillId="0" borderId="0" xfId="0" applyNumberFormat="1" applyFont="1" applyFill="1"/>
    <xf numFmtId="0" fontId="31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left" vertical="center"/>
    </xf>
    <xf numFmtId="167" fontId="20" fillId="0" borderId="1" xfId="0" applyNumberFormat="1" applyFont="1" applyFill="1" applyBorder="1" applyAlignment="1">
      <alignment vertical="center"/>
    </xf>
    <xf numFmtId="167" fontId="20" fillId="0" borderId="1" xfId="0" applyNumberFormat="1" applyFont="1" applyFill="1" applyBorder="1" applyAlignment="1">
      <alignment horizontal="right" vertical="center"/>
    </xf>
    <xf numFmtId="167" fontId="20" fillId="2" borderId="1" xfId="0" applyNumberFormat="1" applyFont="1" applyFill="1" applyBorder="1" applyAlignment="1">
      <alignment vertical="center"/>
    </xf>
    <xf numFmtId="0" fontId="19" fillId="2" borderId="1" xfId="0" quotePrefix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3" fillId="2" borderId="0" xfId="0" applyNumberFormat="1" applyFont="1" applyFill="1"/>
    <xf numFmtId="2" fontId="6" fillId="2" borderId="0" xfId="0" applyNumberFormat="1" applyFont="1" applyFill="1"/>
    <xf numFmtId="165" fontId="5" fillId="0" borderId="1" xfId="2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center" wrapText="1"/>
    </xf>
    <xf numFmtId="0" fontId="3" fillId="0" borderId="0" xfId="2" applyFont="1" applyFill="1" applyAlignment="1">
      <alignment wrapText="1"/>
    </xf>
    <xf numFmtId="165" fontId="7" fillId="0" borderId="1" xfId="2" applyNumberFormat="1" applyFont="1" applyFill="1" applyBorder="1" applyAlignment="1">
      <alignment horizontal="right" vertical="center" wrapText="1"/>
    </xf>
    <xf numFmtId="165" fontId="19" fillId="0" borderId="1" xfId="2" applyNumberFormat="1" applyFont="1" applyFill="1" applyBorder="1" applyAlignment="1">
      <alignment horizontal="right" vertical="center" wrapText="1"/>
    </xf>
    <xf numFmtId="165" fontId="18" fillId="0" borderId="1" xfId="2" applyNumberFormat="1" applyFont="1" applyFill="1" applyBorder="1" applyAlignment="1">
      <alignment horizontal="right" vertical="center" wrapText="1"/>
    </xf>
    <xf numFmtId="165" fontId="25" fillId="0" borderId="1" xfId="2" applyNumberFormat="1" applyFont="1" applyFill="1" applyBorder="1" applyAlignment="1">
      <alignment horizontal="right" wrapText="1"/>
    </xf>
    <xf numFmtId="0" fontId="5" fillId="0" borderId="0" xfId="0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2" fontId="6" fillId="2" borderId="0" xfId="0" applyNumberFormat="1" applyFont="1" applyFill="1" applyAlignment="1">
      <alignment wrapText="1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165" fontId="20" fillId="0" borderId="1" xfId="2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right" wrapText="1"/>
    </xf>
    <xf numFmtId="49" fontId="12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165" fontId="8" fillId="0" borderId="1" xfId="2" applyNumberFormat="1" applyFont="1" applyFill="1" applyBorder="1" applyAlignment="1">
      <alignment horizontal="right" vertical="center" wrapText="1"/>
    </xf>
  </cellXfs>
  <cellStyles count="5">
    <cellStyle name="Гарний" xfId="4" builtinId="26"/>
    <cellStyle name="Звичайний" xfId="0" builtinId="0"/>
    <cellStyle name="Обычный 2" xfId="3"/>
    <cellStyle name="Обычный 3" xfId="1"/>
    <cellStyle name="Обычный_дод 3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1"/>
  <dimension ref="A1:R178"/>
  <sheetViews>
    <sheetView showZeros="0" tabSelected="1" view="pageBreakPreview" zoomScale="60" zoomScaleNormal="50" workbookViewId="0">
      <pane xSplit="4" ySplit="15" topLeftCell="E151" activePane="bottomRight" state="frozen"/>
      <selection pane="topRight" activeCell="E1" sqref="E1"/>
      <selection pane="bottomLeft" activeCell="A13" sqref="A13"/>
      <selection pane="bottomRight" activeCell="E151" sqref="E151"/>
    </sheetView>
  </sheetViews>
  <sheetFormatPr defaultColWidth="9.109375" defaultRowHeight="15.6" x14ac:dyDescent="0.3"/>
  <cols>
    <col min="1" max="1" width="18" style="3" customWidth="1"/>
    <col min="2" max="2" width="15.109375" style="3" customWidth="1"/>
    <col min="3" max="3" width="18.44140625" style="3" customWidth="1"/>
    <col min="4" max="4" width="54.109375" style="1" customWidth="1"/>
    <col min="5" max="5" width="19.21875" style="9" customWidth="1"/>
    <col min="6" max="6" width="18.77734375" style="9" customWidth="1"/>
    <col min="7" max="7" width="18.109375" style="9" customWidth="1"/>
    <col min="8" max="8" width="18" style="9" customWidth="1"/>
    <col min="9" max="9" width="18.88671875" style="9" customWidth="1"/>
    <col min="10" max="10" width="18.44140625" style="9" customWidth="1"/>
    <col min="11" max="11" width="17.33203125" style="9" customWidth="1"/>
    <col min="12" max="12" width="16.6640625" style="50" customWidth="1"/>
    <col min="13" max="13" width="10.77734375" style="117" customWidth="1"/>
    <col min="14" max="14" width="12.6640625" style="117" customWidth="1"/>
    <col min="15" max="15" width="9.44140625" style="117" customWidth="1"/>
    <col min="16" max="16" width="11.109375" style="117" customWidth="1"/>
    <col min="17" max="17" width="12" style="1" bestFit="1" customWidth="1"/>
    <col min="18" max="16384" width="9.109375" style="1"/>
  </cols>
  <sheetData>
    <row r="1" spans="1:16" x14ac:dyDescent="0.3">
      <c r="A1" s="5"/>
      <c r="B1" s="6"/>
      <c r="C1" s="6"/>
      <c r="D1" s="7"/>
      <c r="E1" s="8"/>
      <c r="F1" s="8"/>
      <c r="G1" s="8"/>
      <c r="H1" s="8"/>
      <c r="I1" s="8"/>
      <c r="J1" s="8"/>
      <c r="K1" s="8"/>
      <c r="L1" s="8"/>
      <c r="M1" s="120" t="s">
        <v>309</v>
      </c>
      <c r="N1" s="120"/>
      <c r="O1" s="120"/>
      <c r="P1" s="105"/>
    </row>
    <row r="2" spans="1:16" ht="15.6" customHeight="1" x14ac:dyDescent="0.3">
      <c r="A2" s="5"/>
      <c r="B2" s="6"/>
      <c r="C2" s="6"/>
      <c r="D2" s="7"/>
      <c r="E2" s="8"/>
      <c r="F2" s="8"/>
      <c r="G2" s="8"/>
      <c r="H2" s="8"/>
      <c r="I2" s="8"/>
      <c r="J2" s="8"/>
      <c r="K2" s="8"/>
      <c r="L2" s="8"/>
      <c r="M2" s="120" t="s">
        <v>310</v>
      </c>
      <c r="N2" s="120"/>
      <c r="O2" s="120"/>
      <c r="P2" s="120"/>
    </row>
    <row r="3" spans="1:16" ht="15.6" customHeight="1" x14ac:dyDescent="0.3">
      <c r="A3" s="5"/>
      <c r="B3" s="6"/>
      <c r="C3" s="10"/>
      <c r="D3" s="7"/>
      <c r="E3" s="8"/>
      <c r="F3" s="8"/>
      <c r="G3" s="8"/>
      <c r="H3" s="8"/>
      <c r="I3" s="8"/>
      <c r="J3" s="8"/>
      <c r="K3" s="80"/>
      <c r="L3" s="8"/>
      <c r="M3" s="120" t="s">
        <v>327</v>
      </c>
      <c r="N3" s="120"/>
      <c r="O3" s="120"/>
      <c r="P3" s="120"/>
    </row>
    <row r="4" spans="1:16" x14ac:dyDescent="0.3">
      <c r="A4" s="11"/>
      <c r="B4" s="10"/>
      <c r="C4" s="10"/>
      <c r="D4" s="7"/>
      <c r="E4" s="8"/>
      <c r="F4" s="8"/>
      <c r="G4" s="8"/>
      <c r="H4" s="8"/>
      <c r="I4" s="8"/>
      <c r="J4" s="8"/>
      <c r="K4" s="80"/>
      <c r="L4" s="8"/>
      <c r="M4" s="138"/>
      <c r="N4" s="138"/>
      <c r="O4" s="138"/>
      <c r="P4" s="106"/>
    </row>
    <row r="5" spans="1:16" s="4" customFormat="1" x14ac:dyDescent="0.3">
      <c r="A5" s="141" t="s">
        <v>175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</row>
    <row r="6" spans="1:16" s="4" customFormat="1" x14ac:dyDescent="0.3">
      <c r="A6" s="121" t="s">
        <v>341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</row>
    <row r="7" spans="1:16" s="4" customFormat="1" x14ac:dyDescent="0.3">
      <c r="A7" s="15">
        <v>1558900000</v>
      </c>
      <c r="B7" s="52"/>
      <c r="C7" s="52"/>
      <c r="D7" s="52"/>
      <c r="E7" s="81"/>
      <c r="F7" s="81"/>
      <c r="G7" s="81"/>
      <c r="H7" s="100"/>
      <c r="I7" s="81"/>
      <c r="J7" s="81"/>
      <c r="K7" s="81"/>
      <c r="L7" s="52"/>
      <c r="M7" s="107"/>
      <c r="N7" s="107"/>
      <c r="O7" s="107"/>
      <c r="P7" s="107"/>
    </row>
    <row r="8" spans="1:16" s="4" customFormat="1" x14ac:dyDescent="0.3">
      <c r="A8" s="52" t="s">
        <v>215</v>
      </c>
      <c r="B8" s="52"/>
      <c r="C8" s="52"/>
      <c r="D8" s="52"/>
      <c r="E8" s="81"/>
      <c r="F8" s="81"/>
      <c r="G8" s="81"/>
      <c r="H8" s="100"/>
      <c r="I8" s="81"/>
      <c r="J8" s="81"/>
      <c r="K8" s="81"/>
      <c r="L8" s="52"/>
      <c r="M8" s="107"/>
      <c r="N8" s="107"/>
      <c r="O8" s="107"/>
      <c r="P8" s="107"/>
    </row>
    <row r="9" spans="1:16" x14ac:dyDescent="0.3">
      <c r="A9" s="10"/>
      <c r="B9" s="10"/>
      <c r="C9" s="10"/>
      <c r="D9" s="12"/>
      <c r="E9" s="12"/>
      <c r="F9" s="12"/>
      <c r="G9" s="12"/>
      <c r="H9" s="12"/>
      <c r="I9" s="12"/>
      <c r="J9" s="12"/>
      <c r="K9" s="12"/>
      <c r="L9" s="12"/>
      <c r="M9" s="108"/>
      <c r="N9" s="108"/>
      <c r="O9" s="108"/>
      <c r="P9" s="108"/>
    </row>
    <row r="10" spans="1:16" ht="15.6" customHeight="1" x14ac:dyDescent="0.3">
      <c r="A10" s="125" t="s">
        <v>161</v>
      </c>
      <c r="B10" s="139" t="s">
        <v>162</v>
      </c>
      <c r="C10" s="125" t="s">
        <v>163</v>
      </c>
      <c r="D10" s="140" t="s">
        <v>164</v>
      </c>
      <c r="E10" s="126" t="s">
        <v>318</v>
      </c>
      <c r="F10" s="127"/>
      <c r="G10" s="127"/>
      <c r="H10" s="128"/>
      <c r="I10" s="126" t="s">
        <v>346</v>
      </c>
      <c r="J10" s="127"/>
      <c r="K10" s="127"/>
      <c r="L10" s="128"/>
      <c r="M10" s="126" t="s">
        <v>283</v>
      </c>
      <c r="N10" s="127"/>
      <c r="O10" s="127"/>
      <c r="P10" s="128"/>
    </row>
    <row r="11" spans="1:16" ht="15.6" customHeight="1" x14ac:dyDescent="0.3">
      <c r="A11" s="125"/>
      <c r="B11" s="139"/>
      <c r="C11" s="125"/>
      <c r="D11" s="140"/>
      <c r="E11" s="129" t="s">
        <v>344</v>
      </c>
      <c r="F11" s="135" t="s">
        <v>176</v>
      </c>
      <c r="G11" s="136"/>
      <c r="H11" s="137"/>
      <c r="I11" s="129" t="s">
        <v>344</v>
      </c>
      <c r="J11" s="135" t="s">
        <v>282</v>
      </c>
      <c r="K11" s="136"/>
      <c r="L11" s="137"/>
      <c r="M11" s="129" t="s">
        <v>344</v>
      </c>
      <c r="N11" s="132" t="s">
        <v>177</v>
      </c>
      <c r="O11" s="133"/>
      <c r="P11" s="134"/>
    </row>
    <row r="12" spans="1:16" x14ac:dyDescent="0.3">
      <c r="A12" s="125"/>
      <c r="B12" s="139"/>
      <c r="C12" s="125"/>
      <c r="D12" s="140"/>
      <c r="E12" s="130"/>
      <c r="F12" s="123" t="s">
        <v>178</v>
      </c>
      <c r="G12" s="123" t="s">
        <v>179</v>
      </c>
      <c r="H12" s="123"/>
      <c r="I12" s="130"/>
      <c r="J12" s="123" t="s">
        <v>180</v>
      </c>
      <c r="K12" s="123" t="s">
        <v>179</v>
      </c>
      <c r="L12" s="123"/>
      <c r="M12" s="130"/>
      <c r="N12" s="123" t="s">
        <v>178</v>
      </c>
      <c r="O12" s="123" t="s">
        <v>179</v>
      </c>
      <c r="P12" s="123"/>
    </row>
    <row r="13" spans="1:16" x14ac:dyDescent="0.3">
      <c r="A13" s="125"/>
      <c r="B13" s="139"/>
      <c r="C13" s="125"/>
      <c r="D13" s="140"/>
      <c r="E13" s="130"/>
      <c r="F13" s="124"/>
      <c r="G13" s="122" t="s">
        <v>345</v>
      </c>
      <c r="H13" s="99" t="s">
        <v>181</v>
      </c>
      <c r="I13" s="130"/>
      <c r="J13" s="124"/>
      <c r="K13" s="122" t="s">
        <v>345</v>
      </c>
      <c r="L13" s="53" t="s">
        <v>181</v>
      </c>
      <c r="M13" s="130"/>
      <c r="N13" s="124"/>
      <c r="O13" s="122" t="s">
        <v>345</v>
      </c>
      <c r="P13" s="101" t="s">
        <v>181</v>
      </c>
    </row>
    <row r="14" spans="1:16" ht="40.200000000000003" customHeight="1" x14ac:dyDescent="0.3">
      <c r="A14" s="125"/>
      <c r="B14" s="139"/>
      <c r="C14" s="125"/>
      <c r="D14" s="140"/>
      <c r="E14" s="131"/>
      <c r="F14" s="124"/>
      <c r="G14" s="122"/>
      <c r="H14" s="99" t="s">
        <v>0</v>
      </c>
      <c r="I14" s="131"/>
      <c r="J14" s="124"/>
      <c r="K14" s="122"/>
      <c r="L14" s="53" t="s">
        <v>0</v>
      </c>
      <c r="M14" s="131"/>
      <c r="N14" s="124"/>
      <c r="O14" s="122"/>
      <c r="P14" s="101" t="s">
        <v>0</v>
      </c>
    </row>
    <row r="15" spans="1:16" x14ac:dyDescent="0.3">
      <c r="A15" s="13">
        <v>1</v>
      </c>
      <c r="B15" s="13">
        <v>2</v>
      </c>
      <c r="C15" s="13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  <c r="K15" s="14">
        <v>11</v>
      </c>
      <c r="L15" s="14">
        <v>12</v>
      </c>
      <c r="M15" s="14">
        <v>13</v>
      </c>
      <c r="N15" s="14">
        <v>14</v>
      </c>
      <c r="O15" s="14">
        <v>15</v>
      </c>
      <c r="P15" s="14">
        <v>16</v>
      </c>
    </row>
    <row r="16" spans="1:16" s="37" customFormat="1" ht="52.2" x14ac:dyDescent="0.3">
      <c r="A16" s="18" t="s">
        <v>61</v>
      </c>
      <c r="B16" s="18" t="s">
        <v>231</v>
      </c>
      <c r="C16" s="18" t="s">
        <v>231</v>
      </c>
      <c r="D16" s="19" t="s">
        <v>232</v>
      </c>
      <c r="E16" s="62">
        <f>F16+G16</f>
        <v>158911502</v>
      </c>
      <c r="F16" s="63">
        <f>F17</f>
        <v>153581997</v>
      </c>
      <c r="G16" s="63">
        <f t="shared" ref="G16:H16" si="0">G17</f>
        <v>5329505</v>
      </c>
      <c r="H16" s="63">
        <f t="shared" si="0"/>
        <v>5090905</v>
      </c>
      <c r="I16" s="62">
        <f>J16+K16</f>
        <v>34999677.210000001</v>
      </c>
      <c r="J16" s="62">
        <f>J17</f>
        <v>31982679.400000002</v>
      </c>
      <c r="K16" s="62">
        <f t="shared" ref="K16:L16" si="1">K17</f>
        <v>3016997.81</v>
      </c>
      <c r="L16" s="62">
        <f t="shared" si="1"/>
        <v>3011137.25</v>
      </c>
      <c r="M16" s="109">
        <f>I16/E16*100</f>
        <v>22.024634321309229</v>
      </c>
      <c r="N16" s="109">
        <f t="shared" ref="N16:P16" si="2">J16/F16*100</f>
        <v>20.82449767859185</v>
      </c>
      <c r="O16" s="109">
        <f t="shared" si="2"/>
        <v>56.609343832119499</v>
      </c>
      <c r="P16" s="109">
        <f t="shared" si="2"/>
        <v>59.14738636843547</v>
      </c>
    </row>
    <row r="17" spans="1:16" s="38" customFormat="1" ht="52.2" x14ac:dyDescent="0.3">
      <c r="A17" s="18" t="s">
        <v>62</v>
      </c>
      <c r="B17" s="18" t="s">
        <v>231</v>
      </c>
      <c r="C17" s="18" t="s">
        <v>231</v>
      </c>
      <c r="D17" s="19" t="s">
        <v>232</v>
      </c>
      <c r="E17" s="63">
        <f>F17+G17</f>
        <v>158911502</v>
      </c>
      <c r="F17" s="63">
        <f>F18+F23+F24+F25+F26+F27+F28+F29+F31+F37+F38+F39+F40+F42+F41+F35+F30</f>
        <v>153581997</v>
      </c>
      <c r="G17" s="63">
        <f>G18+G23+G24+G25+G26+G27+G28+G29+G31+G37+G38+G39+G40+G42+G41+G35+G36</f>
        <v>5329505</v>
      </c>
      <c r="H17" s="63">
        <f>H18+H23+H24+H25+H26+H27+H28+H29+H31+H37+H38+H39+H40+H42+H41+H35+H36</f>
        <v>5090905</v>
      </c>
      <c r="I17" s="63">
        <f>J17+K17</f>
        <v>34999677.210000001</v>
      </c>
      <c r="J17" s="63">
        <f>J18+J23+J24+J25+J26+J27+J28+J29+J31+J37+J38+J39+J40+J42+J41+J35+J30</f>
        <v>31982679.400000002</v>
      </c>
      <c r="K17" s="63">
        <f>K18+K23+K24+K25+K26+K27+K28+K29+K31+K37+K38+K39+K40+K42+K41+K35</f>
        <v>3016997.81</v>
      </c>
      <c r="L17" s="63">
        <f>L18+L23+L24+L25+L26+L27+L28+L29+L31+L37+L38+L39+L40+L42+L41+L35</f>
        <v>3011137.25</v>
      </c>
      <c r="M17" s="109">
        <f t="shared" ref="M17:M64" si="3">I17/E17*100</f>
        <v>22.024634321309229</v>
      </c>
      <c r="N17" s="109">
        <f t="shared" ref="N17:N64" si="4">J17/F17*100</f>
        <v>20.82449767859185</v>
      </c>
      <c r="O17" s="109">
        <f t="shared" ref="O17:O44" si="5">K17/G17*100</f>
        <v>56.609343832119499</v>
      </c>
      <c r="P17" s="109">
        <f t="shared" ref="P17:P44" si="6">L17/H17*100</f>
        <v>59.14738636843547</v>
      </c>
    </row>
    <row r="18" spans="1:16" s="39" customFormat="1" ht="90" x14ac:dyDescent="0.3">
      <c r="A18" s="20" t="s">
        <v>63</v>
      </c>
      <c r="B18" s="20" t="s">
        <v>52</v>
      </c>
      <c r="C18" s="20" t="s">
        <v>2</v>
      </c>
      <c r="D18" s="21" t="s">
        <v>233</v>
      </c>
      <c r="E18" s="64">
        <f t="shared" ref="E18:E68" si="7">F18+G18</f>
        <v>74371000</v>
      </c>
      <c r="F18" s="65">
        <f>F19+F20+F21+F22</f>
        <v>74232400</v>
      </c>
      <c r="G18" s="65">
        <f t="shared" ref="G18:H18" si="8">G19+G20+G21+G22</f>
        <v>138600</v>
      </c>
      <c r="H18" s="65">
        <f t="shared" si="8"/>
        <v>0</v>
      </c>
      <c r="I18" s="64">
        <f t="shared" ref="I18:I67" si="9">J18+K18</f>
        <v>16493693.650000002</v>
      </c>
      <c r="J18" s="66">
        <f>J19+J20+J21+J22</f>
        <v>16487833.090000002</v>
      </c>
      <c r="K18" s="66">
        <f t="shared" ref="K18:L18" si="10">K19+K20+K21+K22</f>
        <v>5860.5599999999995</v>
      </c>
      <c r="L18" s="66">
        <f t="shared" si="10"/>
        <v>0</v>
      </c>
      <c r="M18" s="104">
        <f t="shared" si="3"/>
        <v>22.17758756773474</v>
      </c>
      <c r="N18" s="104">
        <f t="shared" si="4"/>
        <v>22.211100664938762</v>
      </c>
      <c r="O18" s="104">
        <f t="shared" si="5"/>
        <v>4.2283982683982684</v>
      </c>
      <c r="P18" s="104"/>
    </row>
    <row r="19" spans="1:16" s="40" customFormat="1" ht="36" x14ac:dyDescent="0.3">
      <c r="A19" s="22"/>
      <c r="B19" s="22"/>
      <c r="C19" s="22"/>
      <c r="D19" s="23" t="s">
        <v>232</v>
      </c>
      <c r="E19" s="67">
        <f t="shared" si="7"/>
        <v>66491298</v>
      </c>
      <c r="F19" s="86">
        <v>66352700</v>
      </c>
      <c r="G19" s="68">
        <v>138598</v>
      </c>
      <c r="H19" s="68"/>
      <c r="I19" s="67">
        <f t="shared" si="9"/>
        <v>14900700.18</v>
      </c>
      <c r="J19" s="67">
        <v>14895352.140000001</v>
      </c>
      <c r="K19" s="69">
        <v>5348.04</v>
      </c>
      <c r="L19" s="69"/>
      <c r="M19" s="142">
        <f t="shared" ref="M19:M42" si="11">I19/E19*100</f>
        <v>22.410000448479739</v>
      </c>
      <c r="N19" s="142">
        <f t="shared" ref="N19:N40" si="12">J19/F19*100</f>
        <v>22.448750600955201</v>
      </c>
      <c r="O19" s="142">
        <f t="shared" ref="O19:O41" si="13">K19/G19*100</f>
        <v>3.8586703992842608</v>
      </c>
      <c r="P19" s="142"/>
    </row>
    <row r="20" spans="1:16" s="40" customFormat="1" ht="54" x14ac:dyDescent="0.3">
      <c r="A20" s="22"/>
      <c r="B20" s="22"/>
      <c r="C20" s="22"/>
      <c r="D20" s="23" t="s">
        <v>212</v>
      </c>
      <c r="E20" s="67">
        <f t="shared" si="7"/>
        <v>3206601</v>
      </c>
      <c r="F20" s="86">
        <v>3206600</v>
      </c>
      <c r="G20" s="68">
        <v>1</v>
      </c>
      <c r="H20" s="68"/>
      <c r="I20" s="67">
        <f t="shared" si="9"/>
        <v>653223.9</v>
      </c>
      <c r="J20" s="67">
        <v>652711.38</v>
      </c>
      <c r="K20" s="69">
        <v>512.52</v>
      </c>
      <c r="L20" s="69"/>
      <c r="M20" s="142">
        <f t="shared" si="11"/>
        <v>20.371224857723178</v>
      </c>
      <c r="N20" s="142">
        <f t="shared" si="12"/>
        <v>20.355247926152312</v>
      </c>
      <c r="O20" s="142" t="s">
        <v>312</v>
      </c>
      <c r="P20" s="142"/>
    </row>
    <row r="21" spans="1:16" s="40" customFormat="1" ht="54" x14ac:dyDescent="0.3">
      <c r="A21" s="22"/>
      <c r="B21" s="22"/>
      <c r="C21" s="22"/>
      <c r="D21" s="23" t="s">
        <v>214</v>
      </c>
      <c r="E21" s="67">
        <f t="shared" si="7"/>
        <v>2157300</v>
      </c>
      <c r="F21" s="86">
        <v>2157300</v>
      </c>
      <c r="G21" s="68"/>
      <c r="H21" s="68"/>
      <c r="I21" s="67">
        <f t="shared" si="9"/>
        <v>459052.05</v>
      </c>
      <c r="J21" s="67">
        <v>459052.05</v>
      </c>
      <c r="K21" s="69"/>
      <c r="L21" s="69"/>
      <c r="M21" s="142">
        <f t="shared" si="11"/>
        <v>21.279008482825752</v>
      </c>
      <c r="N21" s="142">
        <f t="shared" si="12"/>
        <v>21.279008482825752</v>
      </c>
      <c r="O21" s="142"/>
      <c r="P21" s="142"/>
    </row>
    <row r="22" spans="1:16" s="40" customFormat="1" ht="54" x14ac:dyDescent="0.3">
      <c r="A22" s="22"/>
      <c r="B22" s="22"/>
      <c r="C22" s="22"/>
      <c r="D22" s="23" t="s">
        <v>213</v>
      </c>
      <c r="E22" s="67">
        <f t="shared" si="7"/>
        <v>2515801</v>
      </c>
      <c r="F22" s="86">
        <v>2515800</v>
      </c>
      <c r="G22" s="68">
        <v>1</v>
      </c>
      <c r="H22" s="68"/>
      <c r="I22" s="67">
        <f t="shared" si="9"/>
        <v>480717.52</v>
      </c>
      <c r="J22" s="67">
        <v>480717.52</v>
      </c>
      <c r="K22" s="69"/>
      <c r="L22" s="69"/>
      <c r="M22" s="142">
        <f t="shared" si="11"/>
        <v>19.107931032700918</v>
      </c>
      <c r="N22" s="142">
        <f t="shared" si="12"/>
        <v>19.107938627871849</v>
      </c>
      <c r="O22" s="142"/>
      <c r="P22" s="142"/>
    </row>
    <row r="23" spans="1:16" s="40" customFormat="1" ht="54" x14ac:dyDescent="0.3">
      <c r="A23" s="20" t="s">
        <v>108</v>
      </c>
      <c r="B23" s="20" t="s">
        <v>109</v>
      </c>
      <c r="C23" s="20" t="s">
        <v>110</v>
      </c>
      <c r="D23" s="21" t="s">
        <v>111</v>
      </c>
      <c r="E23" s="64">
        <f t="shared" si="7"/>
        <v>50000</v>
      </c>
      <c r="F23" s="65">
        <v>50000</v>
      </c>
      <c r="G23" s="65"/>
      <c r="H23" s="65"/>
      <c r="I23" s="64">
        <f t="shared" si="9"/>
        <v>4400</v>
      </c>
      <c r="J23" s="87">
        <v>4400</v>
      </c>
      <c r="K23" s="66"/>
      <c r="L23" s="66"/>
      <c r="M23" s="104">
        <f t="shared" si="11"/>
        <v>8.7999999999999989</v>
      </c>
      <c r="N23" s="104">
        <f t="shared" si="12"/>
        <v>8.7999999999999989</v>
      </c>
      <c r="O23" s="104"/>
      <c r="P23" s="104"/>
    </row>
    <row r="24" spans="1:16" s="41" customFormat="1" ht="36" x14ac:dyDescent="0.3">
      <c r="A24" s="20" t="s">
        <v>115</v>
      </c>
      <c r="B24" s="20" t="s">
        <v>9</v>
      </c>
      <c r="C24" s="20" t="s">
        <v>5</v>
      </c>
      <c r="D24" s="21" t="s">
        <v>102</v>
      </c>
      <c r="E24" s="64">
        <f t="shared" si="7"/>
        <v>3232000</v>
      </c>
      <c r="F24" s="65">
        <v>3232000</v>
      </c>
      <c r="G24" s="65"/>
      <c r="H24" s="65"/>
      <c r="I24" s="64">
        <f t="shared" si="9"/>
        <v>351177.79</v>
      </c>
      <c r="J24" s="66">
        <v>351177.79</v>
      </c>
      <c r="K24" s="66"/>
      <c r="L24" s="66"/>
      <c r="M24" s="104">
        <f t="shared" si="11"/>
        <v>10.865649443069305</v>
      </c>
      <c r="N24" s="104">
        <f t="shared" si="12"/>
        <v>10.865649443069305</v>
      </c>
      <c r="O24" s="104"/>
      <c r="P24" s="104"/>
    </row>
    <row r="25" spans="1:16" s="42" customFormat="1" ht="36" x14ac:dyDescent="0.3">
      <c r="A25" s="20" t="s">
        <v>64</v>
      </c>
      <c r="B25" s="20" t="s">
        <v>30</v>
      </c>
      <c r="C25" s="20" t="s">
        <v>31</v>
      </c>
      <c r="D25" s="21" t="s">
        <v>155</v>
      </c>
      <c r="E25" s="64">
        <f t="shared" si="7"/>
        <v>21384489</v>
      </c>
      <c r="F25" s="65">
        <v>19250084</v>
      </c>
      <c r="G25" s="65">
        <f>H25</f>
        <v>2134405</v>
      </c>
      <c r="H25" s="65">
        <v>2134405</v>
      </c>
      <c r="I25" s="64">
        <f t="shared" si="9"/>
        <v>7344258.8200000003</v>
      </c>
      <c r="J25" s="66">
        <v>5609621.5700000003</v>
      </c>
      <c r="K25" s="66">
        <f>L25</f>
        <v>1734637.25</v>
      </c>
      <c r="L25" s="66">
        <v>1734637.25</v>
      </c>
      <c r="M25" s="104">
        <f t="shared" si="11"/>
        <v>34.343859327197393</v>
      </c>
      <c r="N25" s="104">
        <f t="shared" si="12"/>
        <v>29.140764113029327</v>
      </c>
      <c r="O25" s="104">
        <f t="shared" si="13"/>
        <v>81.270295468760608</v>
      </c>
      <c r="P25" s="104">
        <f t="shared" ref="P25:P41" si="14">L25/H25*100</f>
        <v>81.270295468760608</v>
      </c>
    </row>
    <row r="26" spans="1:16" s="41" customFormat="1" ht="27.75" customHeight="1" x14ac:dyDescent="0.3">
      <c r="A26" s="20" t="s">
        <v>65</v>
      </c>
      <c r="B26" s="20" t="s">
        <v>53</v>
      </c>
      <c r="C26" s="20" t="s">
        <v>32</v>
      </c>
      <c r="D26" s="21" t="s">
        <v>234</v>
      </c>
      <c r="E26" s="64">
        <f t="shared" si="7"/>
        <v>8941500</v>
      </c>
      <c r="F26" s="65">
        <v>8941500</v>
      </c>
      <c r="G26" s="65"/>
      <c r="H26" s="65"/>
      <c r="I26" s="64">
        <f t="shared" si="9"/>
        <v>1482199.9</v>
      </c>
      <c r="J26" s="66">
        <v>1482199.9</v>
      </c>
      <c r="K26" s="66"/>
      <c r="L26" s="66"/>
      <c r="M26" s="104">
        <f t="shared" si="11"/>
        <v>16.576635911200579</v>
      </c>
      <c r="N26" s="104">
        <f t="shared" si="12"/>
        <v>16.576635911200579</v>
      </c>
      <c r="O26" s="104"/>
      <c r="P26" s="104"/>
    </row>
    <row r="27" spans="1:16" s="41" customFormat="1" ht="81.75" customHeight="1" x14ac:dyDescent="0.3">
      <c r="A27" s="20" t="s">
        <v>235</v>
      </c>
      <c r="B27" s="24">
        <v>2111</v>
      </c>
      <c r="C27" s="20" t="s">
        <v>236</v>
      </c>
      <c r="D27" s="21" t="s">
        <v>237</v>
      </c>
      <c r="E27" s="64">
        <f t="shared" si="7"/>
        <v>8225200</v>
      </c>
      <c r="F27" s="65">
        <v>8225200</v>
      </c>
      <c r="G27" s="65"/>
      <c r="H27" s="65"/>
      <c r="I27" s="64">
        <f t="shared" si="9"/>
        <v>2002929.82</v>
      </c>
      <c r="J27" s="66">
        <v>2002929.82</v>
      </c>
      <c r="K27" s="66"/>
      <c r="L27" s="66"/>
      <c r="M27" s="104">
        <f t="shared" si="11"/>
        <v>24.351138209405242</v>
      </c>
      <c r="N27" s="104">
        <f t="shared" si="12"/>
        <v>24.351138209405242</v>
      </c>
      <c r="O27" s="104"/>
      <c r="P27" s="104"/>
    </row>
    <row r="28" spans="1:16" s="41" customFormat="1" ht="36" x14ac:dyDescent="0.3">
      <c r="A28" s="20" t="s">
        <v>238</v>
      </c>
      <c r="B28" s="20" t="s">
        <v>186</v>
      </c>
      <c r="C28" s="20" t="s">
        <v>128</v>
      </c>
      <c r="D28" s="21" t="s">
        <v>239</v>
      </c>
      <c r="E28" s="64">
        <f t="shared" si="7"/>
        <v>1629600</v>
      </c>
      <c r="F28" s="65">
        <f>229600+1400000</f>
        <v>1629600</v>
      </c>
      <c r="G28" s="65"/>
      <c r="H28" s="65"/>
      <c r="I28" s="64">
        <f t="shared" si="9"/>
        <v>293638.48</v>
      </c>
      <c r="J28" s="66">
        <f>51538.29+242100.19</f>
        <v>293638.48</v>
      </c>
      <c r="K28" s="66"/>
      <c r="L28" s="66"/>
      <c r="M28" s="104">
        <f t="shared" si="11"/>
        <v>18.019052528227785</v>
      </c>
      <c r="N28" s="104">
        <f t="shared" si="12"/>
        <v>18.019052528227785</v>
      </c>
      <c r="O28" s="104"/>
      <c r="P28" s="104"/>
    </row>
    <row r="29" spans="1:16" s="40" customFormat="1" ht="36" x14ac:dyDescent="0.3">
      <c r="A29" s="20" t="s">
        <v>148</v>
      </c>
      <c r="B29" s="20" t="s">
        <v>146</v>
      </c>
      <c r="C29" s="20" t="s">
        <v>3</v>
      </c>
      <c r="D29" s="21" t="s">
        <v>147</v>
      </c>
      <c r="E29" s="64">
        <f t="shared" si="7"/>
        <v>4900000</v>
      </c>
      <c r="F29" s="65">
        <v>4900000</v>
      </c>
      <c r="G29" s="65"/>
      <c r="H29" s="65"/>
      <c r="I29" s="64">
        <f t="shared" si="9"/>
        <v>824500</v>
      </c>
      <c r="J29" s="66">
        <v>824500</v>
      </c>
      <c r="K29" s="66"/>
      <c r="L29" s="66"/>
      <c r="M29" s="104">
        <f t="shared" si="11"/>
        <v>16.826530612244898</v>
      </c>
      <c r="N29" s="104">
        <f t="shared" si="12"/>
        <v>16.826530612244898</v>
      </c>
      <c r="O29" s="104"/>
      <c r="P29" s="104"/>
    </row>
    <row r="30" spans="1:16" s="40" customFormat="1" ht="36" x14ac:dyDescent="0.3">
      <c r="A30" s="83" t="s">
        <v>329</v>
      </c>
      <c r="B30" s="84">
        <v>6011</v>
      </c>
      <c r="C30" s="83" t="s">
        <v>285</v>
      </c>
      <c r="D30" s="82" t="s">
        <v>99</v>
      </c>
      <c r="E30" s="64">
        <f t="shared" si="7"/>
        <v>1187813</v>
      </c>
      <c r="F30" s="65">
        <v>1187813</v>
      </c>
      <c r="G30" s="65"/>
      <c r="H30" s="65"/>
      <c r="I30" s="64">
        <f t="shared" ref="I30" si="15">J30+K30</f>
        <v>0</v>
      </c>
      <c r="J30" s="66">
        <v>0</v>
      </c>
      <c r="K30" s="66"/>
      <c r="L30" s="66"/>
      <c r="M30" s="104">
        <f t="shared" ref="M30" si="16">I30/E30*100</f>
        <v>0</v>
      </c>
      <c r="N30" s="104">
        <f t="shared" ref="N30" si="17">J30/F30*100</f>
        <v>0</v>
      </c>
      <c r="O30" s="104"/>
      <c r="P30" s="104"/>
    </row>
    <row r="31" spans="1:16" s="40" customFormat="1" ht="18" x14ac:dyDescent="0.3">
      <c r="A31" s="20" t="s">
        <v>66</v>
      </c>
      <c r="B31" s="20" t="s">
        <v>40</v>
      </c>
      <c r="C31" s="20" t="s">
        <v>8</v>
      </c>
      <c r="D31" s="21" t="s">
        <v>240</v>
      </c>
      <c r="E31" s="64">
        <f t="shared" si="7"/>
        <v>9412400</v>
      </c>
      <c r="F31" s="65">
        <f>F32+F33+F34</f>
        <v>9412400</v>
      </c>
      <c r="G31" s="65">
        <f>G33+G34</f>
        <v>0</v>
      </c>
      <c r="H31" s="65"/>
      <c r="I31" s="64">
        <f t="shared" si="9"/>
        <v>203865.07</v>
      </c>
      <c r="J31" s="65">
        <f>J32+J33+J34</f>
        <v>203865.07</v>
      </c>
      <c r="K31" s="65">
        <f>K33+K34</f>
        <v>0</v>
      </c>
      <c r="L31" s="65">
        <f>L33+L34</f>
        <v>0</v>
      </c>
      <c r="M31" s="104">
        <f t="shared" si="11"/>
        <v>2.1659201691385834</v>
      </c>
      <c r="N31" s="104">
        <f t="shared" si="12"/>
        <v>2.1659201691385834</v>
      </c>
      <c r="O31" s="104"/>
      <c r="P31" s="104"/>
    </row>
    <row r="32" spans="1:16" s="40" customFormat="1" ht="54" x14ac:dyDescent="0.3">
      <c r="A32" s="22"/>
      <c r="B32" s="22"/>
      <c r="C32" s="22"/>
      <c r="D32" s="23" t="s">
        <v>212</v>
      </c>
      <c r="E32" s="67">
        <f t="shared" si="7"/>
        <v>4176500</v>
      </c>
      <c r="F32" s="68">
        <v>4176500</v>
      </c>
      <c r="G32" s="68"/>
      <c r="H32" s="68"/>
      <c r="I32" s="67">
        <f t="shared" si="9"/>
        <v>119612.4</v>
      </c>
      <c r="J32" s="67">
        <v>119612.4</v>
      </c>
      <c r="K32" s="69"/>
      <c r="L32" s="69"/>
      <c r="M32" s="142">
        <f t="shared" si="11"/>
        <v>2.8639387046570093</v>
      </c>
      <c r="N32" s="142">
        <f t="shared" si="12"/>
        <v>2.8639387046570093</v>
      </c>
      <c r="O32" s="104"/>
      <c r="P32" s="104"/>
    </row>
    <row r="33" spans="1:18" s="40" customFormat="1" ht="54" x14ac:dyDescent="0.3">
      <c r="A33" s="22"/>
      <c r="B33" s="22"/>
      <c r="C33" s="22"/>
      <c r="D33" s="23" t="s">
        <v>214</v>
      </c>
      <c r="E33" s="67">
        <f t="shared" si="7"/>
        <v>2210900</v>
      </c>
      <c r="F33" s="68">
        <v>2210900</v>
      </c>
      <c r="G33" s="68"/>
      <c r="H33" s="68"/>
      <c r="I33" s="67">
        <f t="shared" si="9"/>
        <v>84252.67</v>
      </c>
      <c r="J33" s="67">
        <v>84252.67</v>
      </c>
      <c r="K33" s="69"/>
      <c r="L33" s="69"/>
      <c r="M33" s="142">
        <f t="shared" si="11"/>
        <v>3.8107861052060246</v>
      </c>
      <c r="N33" s="142">
        <f t="shared" si="12"/>
        <v>3.8107861052060246</v>
      </c>
      <c r="O33" s="104"/>
      <c r="P33" s="104"/>
    </row>
    <row r="34" spans="1:18" s="40" customFormat="1" ht="54" x14ac:dyDescent="0.3">
      <c r="A34" s="22"/>
      <c r="B34" s="22"/>
      <c r="C34" s="22"/>
      <c r="D34" s="23" t="s">
        <v>213</v>
      </c>
      <c r="E34" s="67">
        <f t="shared" si="7"/>
        <v>3025000</v>
      </c>
      <c r="F34" s="68">
        <v>3025000</v>
      </c>
      <c r="G34" s="68"/>
      <c r="H34" s="68"/>
      <c r="I34" s="67">
        <f t="shared" si="9"/>
        <v>0</v>
      </c>
      <c r="J34" s="67"/>
      <c r="K34" s="69"/>
      <c r="L34" s="69"/>
      <c r="M34" s="104">
        <f t="shared" si="11"/>
        <v>0</v>
      </c>
      <c r="N34" s="104">
        <f t="shared" si="12"/>
        <v>0</v>
      </c>
      <c r="O34" s="104"/>
      <c r="P34" s="104"/>
    </row>
    <row r="35" spans="1:18" s="40" customFormat="1" ht="36" x14ac:dyDescent="0.3">
      <c r="A35" s="26" t="s">
        <v>319</v>
      </c>
      <c r="B35" s="26" t="s">
        <v>320</v>
      </c>
      <c r="C35" s="26" t="s">
        <v>125</v>
      </c>
      <c r="D35" s="21" t="s">
        <v>311</v>
      </c>
      <c r="E35" s="64">
        <f t="shared" ref="E35" si="18">F35+G35</f>
        <v>260000</v>
      </c>
      <c r="F35" s="65">
        <v>260000</v>
      </c>
      <c r="G35" s="65"/>
      <c r="H35" s="65"/>
      <c r="I35" s="67">
        <f t="shared" ref="I35" si="19">J35+K35</f>
        <v>0</v>
      </c>
      <c r="J35" s="67">
        <v>0</v>
      </c>
      <c r="K35" s="69"/>
      <c r="L35" s="69"/>
      <c r="M35" s="104">
        <f t="shared" ref="M35" si="20">I35/E35*100</f>
        <v>0</v>
      </c>
      <c r="N35" s="104">
        <f t="shared" ref="N35" si="21">J35/F35*100</f>
        <v>0</v>
      </c>
      <c r="O35" s="104"/>
      <c r="P35" s="104"/>
    </row>
    <row r="36" spans="1:18" s="40" customFormat="1" ht="18" x14ac:dyDescent="0.3">
      <c r="A36" s="25" t="s">
        <v>340</v>
      </c>
      <c r="B36" s="84">
        <v>7640</v>
      </c>
      <c r="C36" s="83" t="s">
        <v>6</v>
      </c>
      <c r="D36" s="97" t="s">
        <v>7</v>
      </c>
      <c r="E36" s="64">
        <f t="shared" ref="E36" si="22">F36+G36</f>
        <v>1680000</v>
      </c>
      <c r="F36" s="65"/>
      <c r="G36" s="65">
        <v>1680000</v>
      </c>
      <c r="H36" s="65">
        <v>1680000</v>
      </c>
      <c r="I36" s="67">
        <f t="shared" ref="I36" si="23">J36+K36</f>
        <v>0</v>
      </c>
      <c r="J36" s="67">
        <v>0</v>
      </c>
      <c r="K36" s="69"/>
      <c r="L36" s="69"/>
      <c r="M36" s="104">
        <f t="shared" ref="M36" si="24">I36/E36*100</f>
        <v>0</v>
      </c>
      <c r="N36" s="104"/>
      <c r="O36" s="104"/>
      <c r="P36" s="104"/>
    </row>
    <row r="37" spans="1:18" s="41" customFormat="1" ht="36" x14ac:dyDescent="0.3">
      <c r="A37" s="20" t="s">
        <v>113</v>
      </c>
      <c r="B37" s="20" t="s">
        <v>112</v>
      </c>
      <c r="C37" s="20" t="s">
        <v>22</v>
      </c>
      <c r="D37" s="21" t="s">
        <v>114</v>
      </c>
      <c r="E37" s="64">
        <f t="shared" si="7"/>
        <v>110000</v>
      </c>
      <c r="F37" s="65">
        <v>110000</v>
      </c>
      <c r="G37" s="65"/>
      <c r="H37" s="65"/>
      <c r="I37" s="64">
        <f t="shared" si="9"/>
        <v>76895</v>
      </c>
      <c r="J37" s="66">
        <v>76895</v>
      </c>
      <c r="K37" s="66"/>
      <c r="L37" s="66"/>
      <c r="M37" s="104">
        <f t="shared" si="11"/>
        <v>69.904545454545456</v>
      </c>
      <c r="N37" s="104">
        <f t="shared" si="12"/>
        <v>69.904545454545456</v>
      </c>
      <c r="O37" s="104"/>
      <c r="P37" s="104"/>
    </row>
    <row r="38" spans="1:18" s="41" customFormat="1" ht="36" x14ac:dyDescent="0.3">
      <c r="A38" s="20" t="s">
        <v>182</v>
      </c>
      <c r="B38" s="20" t="s">
        <v>183</v>
      </c>
      <c r="C38" s="20" t="s">
        <v>160</v>
      </c>
      <c r="D38" s="21" t="s">
        <v>184</v>
      </c>
      <c r="E38" s="64">
        <f t="shared" si="7"/>
        <v>19446000</v>
      </c>
      <c r="F38" s="65">
        <v>19446000</v>
      </c>
      <c r="G38" s="65"/>
      <c r="H38" s="65"/>
      <c r="I38" s="64">
        <f t="shared" si="9"/>
        <v>4645618.68</v>
      </c>
      <c r="J38" s="70">
        <v>4645618.68</v>
      </c>
      <c r="K38" s="70"/>
      <c r="L38" s="70"/>
      <c r="M38" s="104">
        <f t="shared" si="11"/>
        <v>23.889842024066645</v>
      </c>
      <c r="N38" s="104">
        <f t="shared" si="12"/>
        <v>23.889842024066645</v>
      </c>
      <c r="O38" s="104"/>
      <c r="P38" s="104"/>
      <c r="Q38" s="43"/>
    </row>
    <row r="39" spans="1:18" s="41" customFormat="1" ht="36" x14ac:dyDescent="0.3">
      <c r="A39" s="20" t="s">
        <v>241</v>
      </c>
      <c r="B39" s="24">
        <v>8220</v>
      </c>
      <c r="C39" s="20" t="s">
        <v>160</v>
      </c>
      <c r="D39" s="21" t="s">
        <v>242</v>
      </c>
      <c r="E39" s="64">
        <f t="shared" si="7"/>
        <v>670000</v>
      </c>
      <c r="F39" s="65">
        <v>670000</v>
      </c>
      <c r="G39" s="65"/>
      <c r="H39" s="65"/>
      <c r="I39" s="64">
        <f t="shared" si="9"/>
        <v>0</v>
      </c>
      <c r="J39" s="66"/>
      <c r="K39" s="70"/>
      <c r="L39" s="70"/>
      <c r="M39" s="104">
        <f t="shared" si="11"/>
        <v>0</v>
      </c>
      <c r="N39" s="104">
        <f t="shared" si="12"/>
        <v>0</v>
      </c>
      <c r="O39" s="104"/>
      <c r="P39" s="104"/>
      <c r="Q39" s="43"/>
    </row>
    <row r="40" spans="1:18" s="41" customFormat="1" ht="18" x14ac:dyDescent="0.3">
      <c r="A40" s="20" t="s">
        <v>243</v>
      </c>
      <c r="B40" s="20" t="s">
        <v>244</v>
      </c>
      <c r="C40" s="20" t="s">
        <v>160</v>
      </c>
      <c r="D40" s="21" t="s">
        <v>245</v>
      </c>
      <c r="E40" s="64">
        <f t="shared" si="7"/>
        <v>1975000</v>
      </c>
      <c r="F40" s="65">
        <v>1975000</v>
      </c>
      <c r="G40" s="65"/>
      <c r="H40" s="65"/>
      <c r="I40" s="64">
        <f t="shared" si="9"/>
        <v>0</v>
      </c>
      <c r="J40" s="66"/>
      <c r="K40" s="70"/>
      <c r="L40" s="70"/>
      <c r="M40" s="104">
        <f t="shared" si="11"/>
        <v>0</v>
      </c>
      <c r="N40" s="104">
        <f t="shared" si="12"/>
        <v>0</v>
      </c>
      <c r="O40" s="104"/>
      <c r="P40" s="104"/>
      <c r="Q40" s="43"/>
    </row>
    <row r="41" spans="1:18" s="41" customFormat="1" ht="18" x14ac:dyDescent="0.3">
      <c r="A41" s="26" t="s">
        <v>321</v>
      </c>
      <c r="B41" s="26" t="s">
        <v>246</v>
      </c>
      <c r="C41" s="26" t="s">
        <v>160</v>
      </c>
      <c r="D41" s="21" t="s">
        <v>247</v>
      </c>
      <c r="E41" s="64">
        <f t="shared" ref="E41" si="25">F41+G41</f>
        <v>1336500</v>
      </c>
      <c r="F41" s="65">
        <v>60000</v>
      </c>
      <c r="G41" s="65">
        <v>1276500</v>
      </c>
      <c r="H41" s="65">
        <f>G41</f>
        <v>1276500</v>
      </c>
      <c r="I41" s="64">
        <f t="shared" ref="I41" si="26">J41+K41</f>
        <v>1276500</v>
      </c>
      <c r="J41" s="66">
        <v>0</v>
      </c>
      <c r="K41" s="70">
        <f>L41</f>
        <v>1276500</v>
      </c>
      <c r="L41" s="70">
        <v>1276500</v>
      </c>
      <c r="M41" s="104">
        <f t="shared" ref="M41" si="27">I41/E41*100</f>
        <v>95.51066217732884</v>
      </c>
      <c r="N41" s="104">
        <f t="shared" ref="N41" si="28">J41/F41*100</f>
        <v>0</v>
      </c>
      <c r="O41" s="104">
        <f t="shared" si="13"/>
        <v>100</v>
      </c>
      <c r="P41" s="104">
        <f t="shared" si="14"/>
        <v>100</v>
      </c>
      <c r="Q41" s="43"/>
    </row>
    <row r="42" spans="1:18" s="41" customFormat="1" ht="36" x14ac:dyDescent="0.3">
      <c r="A42" s="20" t="s">
        <v>127</v>
      </c>
      <c r="B42" s="20" t="s">
        <v>126</v>
      </c>
      <c r="C42" s="20" t="s">
        <v>42</v>
      </c>
      <c r="D42" s="21" t="s">
        <v>135</v>
      </c>
      <c r="E42" s="64">
        <f t="shared" si="7"/>
        <v>100000</v>
      </c>
      <c r="F42" s="65"/>
      <c r="G42" s="65">
        <v>100000</v>
      </c>
      <c r="H42" s="65"/>
      <c r="I42" s="64">
        <f t="shared" si="9"/>
        <v>0</v>
      </c>
      <c r="J42" s="66"/>
      <c r="K42" s="70">
        <v>0</v>
      </c>
      <c r="L42" s="70"/>
      <c r="M42" s="104">
        <f t="shared" si="11"/>
        <v>0</v>
      </c>
      <c r="N42" s="104"/>
      <c r="O42" s="104"/>
      <c r="P42" s="104"/>
      <c r="R42" s="44"/>
    </row>
    <row r="43" spans="1:18" s="45" customFormat="1" ht="34.799999999999997" x14ac:dyDescent="0.3">
      <c r="A43" s="18" t="s">
        <v>54</v>
      </c>
      <c r="B43" s="18" t="s">
        <v>231</v>
      </c>
      <c r="C43" s="18" t="s">
        <v>231</v>
      </c>
      <c r="D43" s="19" t="s">
        <v>304</v>
      </c>
      <c r="E43" s="62">
        <f t="shared" si="7"/>
        <v>472735356</v>
      </c>
      <c r="F43" s="63">
        <f>F44</f>
        <v>445826240</v>
      </c>
      <c r="G43" s="63">
        <f t="shared" ref="G43:H43" si="29">G44</f>
        <v>26909116</v>
      </c>
      <c r="H43" s="63">
        <f t="shared" si="29"/>
        <v>8876200</v>
      </c>
      <c r="I43" s="62">
        <f t="shared" si="9"/>
        <v>94938380.180000007</v>
      </c>
      <c r="J43" s="71">
        <f>J44</f>
        <v>86916945.800000012</v>
      </c>
      <c r="K43" s="71">
        <f t="shared" ref="K43:L43" si="30">K44</f>
        <v>8021434.3800000008</v>
      </c>
      <c r="L43" s="71">
        <f t="shared" si="30"/>
        <v>0</v>
      </c>
      <c r="M43" s="109">
        <f t="shared" si="3"/>
        <v>20.082775484218278</v>
      </c>
      <c r="N43" s="109">
        <f t="shared" si="4"/>
        <v>19.495699894200936</v>
      </c>
      <c r="O43" s="109">
        <f t="shared" si="5"/>
        <v>29.809356725059271</v>
      </c>
      <c r="P43" s="109">
        <f t="shared" si="6"/>
        <v>0</v>
      </c>
      <c r="R43" s="46"/>
    </row>
    <row r="44" spans="1:18" s="45" customFormat="1" ht="34.799999999999997" x14ac:dyDescent="0.3">
      <c r="A44" s="18" t="s">
        <v>55</v>
      </c>
      <c r="B44" s="18" t="s">
        <v>231</v>
      </c>
      <c r="C44" s="18" t="s">
        <v>231</v>
      </c>
      <c r="D44" s="19" t="s">
        <v>304</v>
      </c>
      <c r="E44" s="63">
        <f>E45+E46+E47+E48+E49+E50+E51+E52+E53+E54+E55+E56+E57+E59+E60+E61+E62</f>
        <v>471202440</v>
      </c>
      <c r="F44" s="63">
        <f>F45+F46+F47+F48+F49+F50+F51+F52+F53+F54+F55+F56+F57+F59+F60+F61+F62</f>
        <v>445826240</v>
      </c>
      <c r="G44" s="63">
        <f>G45+G46+G47+G48+G49+G50+G51+G52+G53+G54+G55+G56+G57+G59+G60+G61+G62+G58</f>
        <v>26909116</v>
      </c>
      <c r="H44" s="63">
        <f>H45+H46+H47+H48+H49+H50+H51+H52+H53+H54+H55+H56+H57+H59+H60+H61+H62+H58</f>
        <v>8876200</v>
      </c>
      <c r="I44" s="63">
        <f>I45+I46+I47+I48+I49+I50+I51+I52+I53+I54+I55+I56+I57+I59+I60+I61+I62</f>
        <v>94938380.180000007</v>
      </c>
      <c r="J44" s="63">
        <f>J45+J46+J47+J48+J49+J50+J51+J52+J53+J54+J55+J56+J57+J59+J60+J61+J62</f>
        <v>86916945.800000012</v>
      </c>
      <c r="K44" s="63">
        <f>K45+K46+K47+K48+K49+K50+K51+K52+K53+K54+K55+K56+K57+K59+K60+K61+K62</f>
        <v>8021434.3800000008</v>
      </c>
      <c r="L44" s="63">
        <f>L45+L46+L47+L48+L49+L50+L51+L52+L53+L54+L55+L56+L57+L59+L60+L61+L62</f>
        <v>0</v>
      </c>
      <c r="M44" s="109">
        <f t="shared" si="3"/>
        <v>20.148108778893423</v>
      </c>
      <c r="N44" s="109">
        <f t="shared" si="4"/>
        <v>19.495699894200936</v>
      </c>
      <c r="O44" s="109">
        <f t="shared" si="5"/>
        <v>29.809356725059271</v>
      </c>
      <c r="P44" s="109">
        <f t="shared" si="6"/>
        <v>0</v>
      </c>
    </row>
    <row r="45" spans="1:18" s="41" customFormat="1" ht="54" x14ac:dyDescent="0.3">
      <c r="A45" s="20" t="s">
        <v>57</v>
      </c>
      <c r="B45" s="20" t="s">
        <v>56</v>
      </c>
      <c r="C45" s="20" t="s">
        <v>2</v>
      </c>
      <c r="D45" s="21" t="s">
        <v>248</v>
      </c>
      <c r="E45" s="64">
        <f t="shared" si="7"/>
        <v>5123700</v>
      </c>
      <c r="F45" s="65">
        <v>5123700</v>
      </c>
      <c r="G45" s="65"/>
      <c r="H45" s="65"/>
      <c r="I45" s="64">
        <f t="shared" si="9"/>
        <v>932301.26</v>
      </c>
      <c r="J45" s="66">
        <v>932301.26</v>
      </c>
      <c r="K45" s="70"/>
      <c r="L45" s="70"/>
      <c r="M45" s="104">
        <f t="shared" ref="M45:M62" si="31">I45/E45*100</f>
        <v>18.195859632687316</v>
      </c>
      <c r="N45" s="104">
        <f t="shared" ref="N45:O61" si="32">J45/F45*100</f>
        <v>18.195859632687316</v>
      </c>
      <c r="O45" s="104"/>
      <c r="P45" s="104"/>
    </row>
    <row r="46" spans="1:18" s="41" customFormat="1" ht="36" x14ac:dyDescent="0.3">
      <c r="A46" s="20" t="s">
        <v>249</v>
      </c>
      <c r="B46" s="20" t="s">
        <v>9</v>
      </c>
      <c r="C46" s="20" t="s">
        <v>5</v>
      </c>
      <c r="D46" s="21" t="s">
        <v>102</v>
      </c>
      <c r="E46" s="64">
        <f t="shared" si="7"/>
        <v>99000</v>
      </c>
      <c r="F46" s="65">
        <v>99000</v>
      </c>
      <c r="G46" s="65"/>
      <c r="H46" s="65"/>
      <c r="I46" s="64">
        <f t="shared" si="9"/>
        <v>14970</v>
      </c>
      <c r="J46" s="66">
        <v>14970</v>
      </c>
      <c r="K46" s="70"/>
      <c r="L46" s="70"/>
      <c r="M46" s="104">
        <f t="shared" si="31"/>
        <v>15.121212121212121</v>
      </c>
      <c r="N46" s="104">
        <f t="shared" si="32"/>
        <v>15.121212121212121</v>
      </c>
      <c r="O46" s="104"/>
      <c r="P46" s="104"/>
    </row>
    <row r="47" spans="1:18" s="41" customFormat="1" ht="18" x14ac:dyDescent="0.3">
      <c r="A47" s="20" t="s">
        <v>58</v>
      </c>
      <c r="B47" s="20" t="s">
        <v>10</v>
      </c>
      <c r="C47" s="20" t="s">
        <v>11</v>
      </c>
      <c r="D47" s="21" t="s">
        <v>59</v>
      </c>
      <c r="E47" s="64">
        <f t="shared" si="7"/>
        <v>122976090</v>
      </c>
      <c r="F47" s="65">
        <v>103254660</v>
      </c>
      <c r="G47" s="65">
        <f>H47+16100000</f>
        <v>19721430</v>
      </c>
      <c r="H47" s="65">
        <v>3621430</v>
      </c>
      <c r="I47" s="64">
        <f t="shared" si="9"/>
        <v>18164649.600000001</v>
      </c>
      <c r="J47" s="66">
        <v>17798780.82</v>
      </c>
      <c r="K47" s="70">
        <f>360230.56+5638.22</f>
        <v>365868.77999999997</v>
      </c>
      <c r="L47" s="70"/>
      <c r="M47" s="104">
        <f t="shared" si="31"/>
        <v>14.770879119672777</v>
      </c>
      <c r="N47" s="104">
        <f t="shared" si="32"/>
        <v>17.237750644861936</v>
      </c>
      <c r="O47" s="104">
        <f t="shared" ref="O47:O48" si="33">K47/G47*100</f>
        <v>1.8551838279475676</v>
      </c>
      <c r="P47" s="104">
        <f t="shared" ref="P47:P48" si="34">L47/H47*100</f>
        <v>0</v>
      </c>
    </row>
    <row r="48" spans="1:18" s="41" customFormat="1" ht="54" x14ac:dyDescent="0.3">
      <c r="A48" s="20" t="s">
        <v>188</v>
      </c>
      <c r="B48" s="20" t="s">
        <v>189</v>
      </c>
      <c r="C48" s="20" t="s">
        <v>13</v>
      </c>
      <c r="D48" s="21" t="s">
        <v>305</v>
      </c>
      <c r="E48" s="64">
        <f t="shared" si="7"/>
        <v>95901370</v>
      </c>
      <c r="F48" s="65">
        <v>93449600</v>
      </c>
      <c r="G48" s="65">
        <f>2254770+197000</f>
        <v>2451770</v>
      </c>
      <c r="H48" s="65">
        <v>2254770</v>
      </c>
      <c r="I48" s="64">
        <f t="shared" si="9"/>
        <v>19066167.02</v>
      </c>
      <c r="J48" s="66">
        <v>17754275.620000001</v>
      </c>
      <c r="K48" s="70">
        <f>6590.1+1305301.3</f>
        <v>1311891.4000000001</v>
      </c>
      <c r="L48" s="70"/>
      <c r="M48" s="104">
        <f t="shared" si="31"/>
        <v>19.881016319162072</v>
      </c>
      <c r="N48" s="104">
        <f t="shared" si="32"/>
        <v>18.998771123685923</v>
      </c>
      <c r="O48" s="104">
        <f t="shared" si="33"/>
        <v>53.507931004947451</v>
      </c>
      <c r="P48" s="104">
        <f t="shared" si="34"/>
        <v>0</v>
      </c>
    </row>
    <row r="49" spans="1:16" s="41" customFormat="1" ht="90" x14ac:dyDescent="0.3">
      <c r="A49" s="20" t="s">
        <v>190</v>
      </c>
      <c r="B49" s="20" t="s">
        <v>191</v>
      </c>
      <c r="C49" s="20" t="s">
        <v>15</v>
      </c>
      <c r="D49" s="21" t="s">
        <v>306</v>
      </c>
      <c r="E49" s="64">
        <f t="shared" si="7"/>
        <v>15064200</v>
      </c>
      <c r="F49" s="65">
        <v>15064200</v>
      </c>
      <c r="G49" s="70"/>
      <c r="H49" s="70"/>
      <c r="I49" s="64">
        <f t="shared" si="9"/>
        <v>2391969.9000000004</v>
      </c>
      <c r="J49" s="70">
        <v>2356704.4700000002</v>
      </c>
      <c r="K49" s="70">
        <f>35265.43</f>
        <v>35265.43</v>
      </c>
      <c r="L49" s="70"/>
      <c r="M49" s="104">
        <f t="shared" si="31"/>
        <v>15.878505994344208</v>
      </c>
      <c r="N49" s="104">
        <f t="shared" si="32"/>
        <v>15.644405079592676</v>
      </c>
      <c r="O49" s="104"/>
      <c r="P49" s="104"/>
    </row>
    <row r="50" spans="1:16" s="41" customFormat="1" ht="54" x14ac:dyDescent="0.3">
      <c r="A50" s="20" t="s">
        <v>192</v>
      </c>
      <c r="B50" s="20" t="s">
        <v>193</v>
      </c>
      <c r="C50" s="20" t="s">
        <v>13</v>
      </c>
      <c r="D50" s="21" t="s">
        <v>307</v>
      </c>
      <c r="E50" s="64">
        <f t="shared" si="7"/>
        <v>146822800</v>
      </c>
      <c r="F50" s="65">
        <f>146592900+229900</f>
        <v>146822800</v>
      </c>
      <c r="G50" s="65"/>
      <c r="H50" s="65"/>
      <c r="I50" s="64">
        <f t="shared" si="9"/>
        <v>32505350.530000001</v>
      </c>
      <c r="J50" s="66">
        <f>32505350.53</f>
        <v>32505350.530000001</v>
      </c>
      <c r="K50" s="70"/>
      <c r="L50" s="70"/>
      <c r="M50" s="104">
        <f t="shared" si="31"/>
        <v>22.139170844037849</v>
      </c>
      <c r="N50" s="104">
        <f t="shared" si="32"/>
        <v>22.139170844037849</v>
      </c>
      <c r="O50" s="104"/>
      <c r="P50" s="104"/>
    </row>
    <row r="51" spans="1:16" s="41" customFormat="1" ht="96.6" customHeight="1" x14ac:dyDescent="0.3">
      <c r="A51" s="20" t="s">
        <v>194</v>
      </c>
      <c r="B51" s="20" t="s">
        <v>195</v>
      </c>
      <c r="C51" s="20" t="s">
        <v>15</v>
      </c>
      <c r="D51" s="21" t="s">
        <v>308</v>
      </c>
      <c r="E51" s="64">
        <f t="shared" si="7"/>
        <v>12600000</v>
      </c>
      <c r="F51" s="65">
        <v>12600000</v>
      </c>
      <c r="G51" s="65"/>
      <c r="H51" s="65"/>
      <c r="I51" s="64">
        <f t="shared" si="9"/>
        <v>2816748.73</v>
      </c>
      <c r="J51" s="66">
        <v>2816748.73</v>
      </c>
      <c r="K51" s="70"/>
      <c r="L51" s="70"/>
      <c r="M51" s="104">
        <f t="shared" si="31"/>
        <v>22.355148650793652</v>
      </c>
      <c r="N51" s="104">
        <f t="shared" si="32"/>
        <v>22.355148650793652</v>
      </c>
      <c r="O51" s="104"/>
      <c r="P51" s="104"/>
    </row>
    <row r="52" spans="1:16" s="41" customFormat="1" ht="66" customHeight="1" x14ac:dyDescent="0.3">
      <c r="A52" s="20" t="s">
        <v>60</v>
      </c>
      <c r="B52" s="20" t="s">
        <v>34</v>
      </c>
      <c r="C52" s="20" t="s">
        <v>16</v>
      </c>
      <c r="D52" s="21" t="s">
        <v>196</v>
      </c>
      <c r="E52" s="64">
        <f t="shared" si="7"/>
        <v>22907540</v>
      </c>
      <c r="F52" s="65">
        <v>22707540</v>
      </c>
      <c r="G52" s="65">
        <v>200000</v>
      </c>
      <c r="H52" s="65"/>
      <c r="I52" s="64">
        <f t="shared" si="9"/>
        <v>4770555.3100000005</v>
      </c>
      <c r="J52" s="66">
        <v>4762436.74</v>
      </c>
      <c r="K52" s="66">
        <f>598.57+7520</f>
        <v>8118.57</v>
      </c>
      <c r="L52" s="66"/>
      <c r="M52" s="104">
        <f t="shared" si="31"/>
        <v>20.82526238085801</v>
      </c>
      <c r="N52" s="104">
        <f t="shared" si="32"/>
        <v>20.972931193779687</v>
      </c>
      <c r="O52" s="104">
        <f t="shared" si="32"/>
        <v>4.059285</v>
      </c>
      <c r="P52" s="104"/>
    </row>
    <row r="53" spans="1:16" s="41" customFormat="1" ht="36" x14ac:dyDescent="0.3">
      <c r="A53" s="20" t="s">
        <v>197</v>
      </c>
      <c r="B53" s="20" t="s">
        <v>198</v>
      </c>
      <c r="C53" s="20" t="s">
        <v>17</v>
      </c>
      <c r="D53" s="21" t="s">
        <v>199</v>
      </c>
      <c r="E53" s="64">
        <f t="shared" si="7"/>
        <v>30000</v>
      </c>
      <c r="F53" s="65">
        <v>30000</v>
      </c>
      <c r="G53" s="65"/>
      <c r="H53" s="65"/>
      <c r="I53" s="64">
        <f t="shared" si="9"/>
        <v>5500</v>
      </c>
      <c r="J53" s="66">
        <v>5500</v>
      </c>
      <c r="K53" s="66"/>
      <c r="L53" s="66"/>
      <c r="M53" s="104">
        <f t="shared" si="31"/>
        <v>18.333333333333332</v>
      </c>
      <c r="N53" s="104">
        <f t="shared" si="32"/>
        <v>18.333333333333332</v>
      </c>
      <c r="O53" s="104"/>
      <c r="P53" s="104"/>
    </row>
    <row r="54" spans="1:16" s="41" customFormat="1" ht="36" x14ac:dyDescent="0.3">
      <c r="A54" s="20" t="s">
        <v>200</v>
      </c>
      <c r="B54" s="20" t="s">
        <v>201</v>
      </c>
      <c r="C54" s="20" t="s">
        <v>18</v>
      </c>
      <c r="D54" s="21" t="s">
        <v>152</v>
      </c>
      <c r="E54" s="64">
        <f t="shared" si="7"/>
        <v>20477900</v>
      </c>
      <c r="F54" s="65">
        <f>20474900</f>
        <v>20474900</v>
      </c>
      <c r="G54" s="65">
        <v>3000</v>
      </c>
      <c r="H54" s="65"/>
      <c r="I54" s="64">
        <f t="shared" si="9"/>
        <v>10061644.68</v>
      </c>
      <c r="J54" s="66">
        <v>3761354.48</v>
      </c>
      <c r="K54" s="70">
        <f>6300290.2</f>
        <v>6300290.2000000002</v>
      </c>
      <c r="L54" s="70"/>
      <c r="M54" s="104">
        <f t="shared" si="31"/>
        <v>49.134162585030687</v>
      </c>
      <c r="N54" s="104">
        <f t="shared" si="32"/>
        <v>18.370563372714884</v>
      </c>
      <c r="O54" s="104" t="s">
        <v>312</v>
      </c>
      <c r="P54" s="104"/>
    </row>
    <row r="55" spans="1:16" s="41" customFormat="1" ht="54" x14ac:dyDescent="0.3">
      <c r="A55" s="20" t="s">
        <v>202</v>
      </c>
      <c r="B55" s="20" t="s">
        <v>203</v>
      </c>
      <c r="C55" s="20" t="s">
        <v>18</v>
      </c>
      <c r="D55" s="21" t="s">
        <v>204</v>
      </c>
      <c r="E55" s="64">
        <f t="shared" si="7"/>
        <v>526800</v>
      </c>
      <c r="F55" s="65">
        <v>526800</v>
      </c>
      <c r="G55" s="65"/>
      <c r="H55" s="65"/>
      <c r="I55" s="64">
        <f t="shared" si="9"/>
        <v>81482.3</v>
      </c>
      <c r="J55" s="66">
        <v>81482.3</v>
      </c>
      <c r="K55" s="66"/>
      <c r="L55" s="71"/>
      <c r="M55" s="104">
        <f t="shared" si="31"/>
        <v>15.467406985573273</v>
      </c>
      <c r="N55" s="104">
        <f t="shared" si="32"/>
        <v>15.467406985573273</v>
      </c>
      <c r="O55" s="104"/>
      <c r="P55" s="104"/>
    </row>
    <row r="56" spans="1:16" s="41" customFormat="1" ht="54" x14ac:dyDescent="0.3">
      <c r="A56" s="20" t="s">
        <v>205</v>
      </c>
      <c r="B56" s="20" t="s">
        <v>206</v>
      </c>
      <c r="C56" s="20" t="s">
        <v>18</v>
      </c>
      <c r="D56" s="21" t="s">
        <v>207</v>
      </c>
      <c r="E56" s="64">
        <f t="shared" si="7"/>
        <v>2775740</v>
      </c>
      <c r="F56" s="65">
        <v>2775740</v>
      </c>
      <c r="G56" s="65"/>
      <c r="H56" s="65"/>
      <c r="I56" s="64">
        <f t="shared" si="9"/>
        <v>544507.34</v>
      </c>
      <c r="J56" s="66">
        <v>544507.34</v>
      </c>
      <c r="K56" s="71"/>
      <c r="L56" s="71"/>
      <c r="M56" s="104">
        <f t="shared" si="31"/>
        <v>19.616655018121293</v>
      </c>
      <c r="N56" s="104">
        <f t="shared" si="32"/>
        <v>19.616655018121293</v>
      </c>
      <c r="O56" s="104"/>
      <c r="P56" s="104"/>
    </row>
    <row r="57" spans="1:16" s="41" customFormat="1" ht="36" x14ac:dyDescent="0.3">
      <c r="A57" s="25" t="s">
        <v>288</v>
      </c>
      <c r="B57" s="25" t="s">
        <v>289</v>
      </c>
      <c r="C57" s="26" t="s">
        <v>18</v>
      </c>
      <c r="D57" s="21" t="s">
        <v>290</v>
      </c>
      <c r="E57" s="64">
        <f t="shared" si="7"/>
        <v>4471900</v>
      </c>
      <c r="F57" s="65">
        <v>4471900</v>
      </c>
      <c r="G57" s="65"/>
      <c r="H57" s="65"/>
      <c r="I57" s="64">
        <f t="shared" si="9"/>
        <v>825758.55</v>
      </c>
      <c r="J57" s="66">
        <v>825758.55</v>
      </c>
      <c r="K57" s="66"/>
      <c r="L57" s="66"/>
      <c r="M57" s="104">
        <f t="shared" si="31"/>
        <v>18.465496768711287</v>
      </c>
      <c r="N57" s="104">
        <f t="shared" si="32"/>
        <v>18.465496768711287</v>
      </c>
      <c r="O57" s="104"/>
      <c r="P57" s="104"/>
    </row>
    <row r="58" spans="1:16" s="41" customFormat="1" ht="126" x14ac:dyDescent="0.3">
      <c r="A58" s="98" t="s">
        <v>335</v>
      </c>
      <c r="B58" s="93" t="s">
        <v>336</v>
      </c>
      <c r="C58" s="93" t="s">
        <v>18</v>
      </c>
      <c r="D58" s="92" t="s">
        <v>337</v>
      </c>
      <c r="E58" s="64">
        <f t="shared" si="7"/>
        <v>1532916</v>
      </c>
      <c r="F58" s="65"/>
      <c r="G58" s="65">
        <v>1532916</v>
      </c>
      <c r="H58" s="65"/>
      <c r="I58" s="64">
        <f t="shared" si="9"/>
        <v>0</v>
      </c>
      <c r="J58" s="66"/>
      <c r="K58" s="66"/>
      <c r="L58" s="66"/>
      <c r="M58" s="104"/>
      <c r="N58" s="104"/>
      <c r="O58" s="104"/>
      <c r="P58" s="104"/>
    </row>
    <row r="59" spans="1:16" s="40" customFormat="1" ht="90" x14ac:dyDescent="0.3">
      <c r="A59" s="20" t="s">
        <v>291</v>
      </c>
      <c r="B59" s="20" t="s">
        <v>292</v>
      </c>
      <c r="C59" s="20" t="s">
        <v>19</v>
      </c>
      <c r="D59" s="21" t="s">
        <v>293</v>
      </c>
      <c r="E59" s="67">
        <f t="shared" si="7"/>
        <v>3348600</v>
      </c>
      <c r="F59" s="68">
        <v>3348600</v>
      </c>
      <c r="G59" s="68"/>
      <c r="H59" s="68"/>
      <c r="I59" s="67">
        <f t="shared" si="9"/>
        <v>0</v>
      </c>
      <c r="J59" s="69">
        <v>0</v>
      </c>
      <c r="K59" s="69"/>
      <c r="L59" s="69"/>
      <c r="M59" s="104">
        <f t="shared" si="31"/>
        <v>0</v>
      </c>
      <c r="N59" s="104">
        <f t="shared" si="32"/>
        <v>0</v>
      </c>
      <c r="O59" s="104"/>
      <c r="P59" s="104"/>
    </row>
    <row r="60" spans="1:16" s="42" customFormat="1" ht="36" x14ac:dyDescent="0.3">
      <c r="A60" s="20" t="s">
        <v>149</v>
      </c>
      <c r="B60" s="20" t="s">
        <v>146</v>
      </c>
      <c r="C60" s="20" t="s">
        <v>3</v>
      </c>
      <c r="D60" s="21" t="s">
        <v>147</v>
      </c>
      <c r="E60" s="64">
        <f t="shared" si="7"/>
        <v>3100000</v>
      </c>
      <c r="F60" s="65">
        <v>3100000</v>
      </c>
      <c r="G60" s="65"/>
      <c r="H60" s="65"/>
      <c r="I60" s="64">
        <f t="shared" si="9"/>
        <v>540538.12</v>
      </c>
      <c r="J60" s="66">
        <v>540538.12</v>
      </c>
      <c r="K60" s="66"/>
      <c r="L60" s="66"/>
      <c r="M60" s="104">
        <f t="shared" si="31"/>
        <v>17.436713548387097</v>
      </c>
      <c r="N60" s="104">
        <f t="shared" si="32"/>
        <v>17.436713548387097</v>
      </c>
      <c r="O60" s="104"/>
      <c r="P60" s="104"/>
    </row>
    <row r="61" spans="1:16" s="42" customFormat="1" ht="54" x14ac:dyDescent="0.3">
      <c r="A61" s="20" t="s">
        <v>67</v>
      </c>
      <c r="B61" s="20" t="s">
        <v>48</v>
      </c>
      <c r="C61" s="20" t="s">
        <v>20</v>
      </c>
      <c r="D61" s="21" t="s">
        <v>21</v>
      </c>
      <c r="E61" s="64">
        <f t="shared" si="7"/>
        <v>11976800</v>
      </c>
      <c r="F61" s="65">
        <v>11976800</v>
      </c>
      <c r="G61" s="65"/>
      <c r="H61" s="65"/>
      <c r="I61" s="64">
        <f t="shared" si="9"/>
        <v>2216236.84</v>
      </c>
      <c r="J61" s="66">
        <v>2216236.84</v>
      </c>
      <c r="K61" s="66"/>
      <c r="L61" s="66"/>
      <c r="M61" s="104">
        <f t="shared" si="31"/>
        <v>18.504415536704293</v>
      </c>
      <c r="N61" s="104">
        <f t="shared" si="32"/>
        <v>18.504415536704293</v>
      </c>
      <c r="O61" s="104"/>
      <c r="P61" s="104"/>
    </row>
    <row r="62" spans="1:16" s="38" customFormat="1" ht="54" x14ac:dyDescent="0.3">
      <c r="A62" s="25" t="s">
        <v>284</v>
      </c>
      <c r="B62" s="24">
        <v>8110</v>
      </c>
      <c r="C62" s="25" t="s">
        <v>4</v>
      </c>
      <c r="D62" s="21" t="s">
        <v>137</v>
      </c>
      <c r="E62" s="64">
        <f t="shared" si="7"/>
        <v>3000000</v>
      </c>
      <c r="F62" s="65"/>
      <c r="G62" s="65">
        <v>3000000</v>
      </c>
      <c r="H62" s="65">
        <v>3000000</v>
      </c>
      <c r="I62" s="64">
        <f t="shared" si="9"/>
        <v>0</v>
      </c>
      <c r="J62" s="66"/>
      <c r="K62" s="66"/>
      <c r="L62" s="66"/>
      <c r="M62" s="104">
        <f t="shared" si="31"/>
        <v>0</v>
      </c>
      <c r="N62" s="104"/>
      <c r="O62" s="104"/>
      <c r="P62" s="104"/>
    </row>
    <row r="63" spans="1:16" s="45" customFormat="1" ht="52.2" x14ac:dyDescent="0.3">
      <c r="A63" s="18" t="s">
        <v>68</v>
      </c>
      <c r="B63" s="18" t="s">
        <v>231</v>
      </c>
      <c r="C63" s="18" t="s">
        <v>231</v>
      </c>
      <c r="D63" s="19" t="s">
        <v>250</v>
      </c>
      <c r="E63" s="62">
        <f t="shared" si="7"/>
        <v>99478265</v>
      </c>
      <c r="F63" s="63">
        <f>F64</f>
        <v>99421865</v>
      </c>
      <c r="G63" s="63">
        <f t="shared" ref="G63:L63" si="35">G64</f>
        <v>56400</v>
      </c>
      <c r="H63" s="63">
        <f t="shared" si="35"/>
        <v>0</v>
      </c>
      <c r="I63" s="63">
        <f t="shared" si="35"/>
        <v>16289124.74</v>
      </c>
      <c r="J63" s="63">
        <f t="shared" si="35"/>
        <v>16171011.060000001</v>
      </c>
      <c r="K63" s="63">
        <f t="shared" si="35"/>
        <v>118113.68</v>
      </c>
      <c r="L63" s="63">
        <f t="shared" si="35"/>
        <v>0</v>
      </c>
      <c r="M63" s="109">
        <f t="shared" si="3"/>
        <v>16.37455653252497</v>
      </c>
      <c r="N63" s="109">
        <f t="shared" si="4"/>
        <v>16.265044977782303</v>
      </c>
      <c r="O63" s="109">
        <f t="shared" ref="O63:O71" si="36">K63/G63*100</f>
        <v>209.42141843971629</v>
      </c>
      <c r="P63" s="109"/>
    </row>
    <row r="64" spans="1:16" s="39" customFormat="1" ht="52.2" x14ac:dyDescent="0.3">
      <c r="A64" s="18" t="s">
        <v>69</v>
      </c>
      <c r="B64" s="18" t="s">
        <v>231</v>
      </c>
      <c r="C64" s="18" t="s">
        <v>231</v>
      </c>
      <c r="D64" s="19" t="s">
        <v>250</v>
      </c>
      <c r="E64" s="62">
        <f t="shared" si="7"/>
        <v>99478265</v>
      </c>
      <c r="F64" s="63">
        <f>F65+F66+F67+F68+F69+F70+F71+F72+F73+F74+F75+F76+F77+F78+F79</f>
        <v>99421865</v>
      </c>
      <c r="G64" s="63">
        <f>G65+G66+G67+G68+G69+G70+G71+G72+G73+G74+G75+G76+G77+G78+G79</f>
        <v>56400</v>
      </c>
      <c r="H64" s="63">
        <f>H65+H66+H67+H68+H69+H70+H71+H72+H73+H74+H75+H76+H77+H78+H79</f>
        <v>0</v>
      </c>
      <c r="I64" s="63">
        <f>J64+K64</f>
        <v>16289124.74</v>
      </c>
      <c r="J64" s="63">
        <f>J65+J66+J67+J68+J69+J70+J71+J72+J73+J74+J75+J76+J77+J78+J79</f>
        <v>16171011.060000001</v>
      </c>
      <c r="K64" s="63">
        <f>K65+K66+K67+K68+K69+K70+K71+K72+K73+K74+K75+K76+K77+K78+K79</f>
        <v>118113.68</v>
      </c>
      <c r="L64" s="63">
        <f>L65+L66+L67+L68+L69+L70+L71+L72+L73+L74+L75+L76+L77+L78+L79</f>
        <v>0</v>
      </c>
      <c r="M64" s="109">
        <f t="shared" si="3"/>
        <v>16.37455653252497</v>
      </c>
      <c r="N64" s="109">
        <f t="shared" si="4"/>
        <v>16.265044977782303</v>
      </c>
      <c r="O64" s="109">
        <f t="shared" si="36"/>
        <v>209.42141843971629</v>
      </c>
      <c r="P64" s="109"/>
    </row>
    <row r="65" spans="1:16" s="42" customFormat="1" ht="54" x14ac:dyDescent="0.3">
      <c r="A65" s="20" t="s">
        <v>70</v>
      </c>
      <c r="B65" s="20" t="s">
        <v>56</v>
      </c>
      <c r="C65" s="20" t="s">
        <v>2</v>
      </c>
      <c r="D65" s="21" t="s">
        <v>248</v>
      </c>
      <c r="E65" s="64">
        <f t="shared" si="7"/>
        <v>15522300</v>
      </c>
      <c r="F65" s="65">
        <v>15522300</v>
      </c>
      <c r="G65" s="65"/>
      <c r="H65" s="65"/>
      <c r="I65" s="64">
        <f t="shared" si="9"/>
        <v>3236845.4</v>
      </c>
      <c r="J65" s="66">
        <v>3236845.4</v>
      </c>
      <c r="K65" s="66"/>
      <c r="L65" s="66"/>
      <c r="M65" s="104">
        <f t="shared" ref="M65:M79" si="37">I65/E65*100</f>
        <v>20.852872319179504</v>
      </c>
      <c r="N65" s="104">
        <f t="shared" ref="N65:N77" si="38">J65/F65*100</f>
        <v>20.852872319179504</v>
      </c>
      <c r="O65" s="104"/>
      <c r="P65" s="104"/>
    </row>
    <row r="66" spans="1:16" s="39" customFormat="1" ht="36" x14ac:dyDescent="0.3">
      <c r="A66" s="20" t="s">
        <v>159</v>
      </c>
      <c r="B66" s="20" t="s">
        <v>9</v>
      </c>
      <c r="C66" s="20" t="s">
        <v>5</v>
      </c>
      <c r="D66" s="21" t="s">
        <v>102</v>
      </c>
      <c r="E66" s="64">
        <f t="shared" si="7"/>
        <v>149000</v>
      </c>
      <c r="F66" s="65">
        <v>149000</v>
      </c>
      <c r="G66" s="65"/>
      <c r="H66" s="65"/>
      <c r="I66" s="64">
        <f t="shared" si="9"/>
        <v>14970</v>
      </c>
      <c r="J66" s="66">
        <v>14970</v>
      </c>
      <c r="K66" s="66"/>
      <c r="L66" s="66"/>
      <c r="M66" s="104">
        <f t="shared" si="37"/>
        <v>10.046979865771812</v>
      </c>
      <c r="N66" s="104">
        <f t="shared" si="38"/>
        <v>10.046979865771812</v>
      </c>
      <c r="O66" s="104"/>
      <c r="P66" s="104"/>
    </row>
    <row r="67" spans="1:16" s="39" customFormat="1" ht="36" x14ac:dyDescent="0.3">
      <c r="A67" s="20" t="s">
        <v>105</v>
      </c>
      <c r="B67" s="20" t="s">
        <v>33</v>
      </c>
      <c r="C67" s="20" t="s">
        <v>14</v>
      </c>
      <c r="D67" s="21" t="s">
        <v>104</v>
      </c>
      <c r="E67" s="64">
        <f t="shared" si="7"/>
        <v>2311000</v>
      </c>
      <c r="F67" s="65">
        <v>2311000</v>
      </c>
      <c r="G67" s="65"/>
      <c r="H67" s="65"/>
      <c r="I67" s="64">
        <f t="shared" si="9"/>
        <v>50000</v>
      </c>
      <c r="J67" s="66">
        <v>50000</v>
      </c>
      <c r="K67" s="66"/>
      <c r="L67" s="66"/>
      <c r="M67" s="104">
        <f t="shared" si="37"/>
        <v>2.1635655560363478</v>
      </c>
      <c r="N67" s="104">
        <f t="shared" si="38"/>
        <v>2.1635655560363478</v>
      </c>
      <c r="O67" s="104"/>
      <c r="P67" s="104"/>
    </row>
    <row r="68" spans="1:16" s="39" customFormat="1" ht="36" x14ac:dyDescent="0.3">
      <c r="A68" s="20" t="s">
        <v>106</v>
      </c>
      <c r="B68" s="20" t="s">
        <v>107</v>
      </c>
      <c r="C68" s="20" t="s">
        <v>34</v>
      </c>
      <c r="D68" s="21" t="s">
        <v>251</v>
      </c>
      <c r="E68" s="64">
        <f t="shared" si="7"/>
        <v>11500</v>
      </c>
      <c r="F68" s="65">
        <v>11500</v>
      </c>
      <c r="G68" s="65"/>
      <c r="H68" s="65"/>
      <c r="I68" s="64">
        <f t="shared" ref="I68:I131" si="39">J68+K68</f>
        <v>844.9</v>
      </c>
      <c r="J68" s="66">
        <v>844.9</v>
      </c>
      <c r="K68" s="66"/>
      <c r="L68" s="66"/>
      <c r="M68" s="104">
        <f t="shared" si="37"/>
        <v>7.3469565217391297</v>
      </c>
      <c r="N68" s="104">
        <f t="shared" si="38"/>
        <v>7.3469565217391297</v>
      </c>
      <c r="O68" s="104"/>
      <c r="P68" s="104"/>
    </row>
    <row r="69" spans="1:16" s="39" customFormat="1" ht="54" x14ac:dyDescent="0.3">
      <c r="A69" s="20" t="s">
        <v>167</v>
      </c>
      <c r="B69" s="20" t="s">
        <v>165</v>
      </c>
      <c r="C69" s="20" t="s">
        <v>34</v>
      </c>
      <c r="D69" s="21" t="s">
        <v>166</v>
      </c>
      <c r="E69" s="64">
        <f t="shared" ref="E69:E129" si="40">F69+G69</f>
        <v>306529</v>
      </c>
      <c r="F69" s="65">
        <v>306529</v>
      </c>
      <c r="G69" s="65"/>
      <c r="H69" s="65"/>
      <c r="I69" s="64">
        <f t="shared" si="39"/>
        <v>54908.959999999999</v>
      </c>
      <c r="J69" s="66">
        <v>54908.959999999999</v>
      </c>
      <c r="K69" s="66"/>
      <c r="L69" s="66"/>
      <c r="M69" s="104">
        <f t="shared" si="37"/>
        <v>17.913137093064606</v>
      </c>
      <c r="N69" s="104">
        <f t="shared" si="38"/>
        <v>17.913137093064606</v>
      </c>
      <c r="O69" s="104"/>
      <c r="P69" s="104"/>
    </row>
    <row r="70" spans="1:16" s="39" customFormat="1" ht="36" x14ac:dyDescent="0.3">
      <c r="A70" s="20" t="s">
        <v>168</v>
      </c>
      <c r="B70" s="20" t="s">
        <v>169</v>
      </c>
      <c r="C70" s="20" t="s">
        <v>14</v>
      </c>
      <c r="D70" s="21" t="s">
        <v>170</v>
      </c>
      <c r="E70" s="64">
        <f t="shared" si="40"/>
        <v>182216</v>
      </c>
      <c r="F70" s="65">
        <v>182216</v>
      </c>
      <c r="G70" s="65"/>
      <c r="H70" s="65"/>
      <c r="I70" s="64">
        <f t="shared" si="39"/>
        <v>11774</v>
      </c>
      <c r="J70" s="66">
        <v>11774</v>
      </c>
      <c r="K70" s="66"/>
      <c r="L70" s="66"/>
      <c r="M70" s="104">
        <f t="shared" si="37"/>
        <v>6.4615621021205607</v>
      </c>
      <c r="N70" s="104">
        <f t="shared" si="38"/>
        <v>6.4615621021205607</v>
      </c>
      <c r="O70" s="104"/>
      <c r="P70" s="104"/>
    </row>
    <row r="71" spans="1:16" s="42" customFormat="1" ht="72" x14ac:dyDescent="0.3">
      <c r="A71" s="20" t="s">
        <v>117</v>
      </c>
      <c r="B71" s="20" t="s">
        <v>116</v>
      </c>
      <c r="C71" s="20" t="s">
        <v>12</v>
      </c>
      <c r="D71" s="21" t="s">
        <v>252</v>
      </c>
      <c r="E71" s="64">
        <f t="shared" si="40"/>
        <v>19693900</v>
      </c>
      <c r="F71" s="65">
        <v>19637500</v>
      </c>
      <c r="G71" s="65">
        <f>56400</f>
        <v>56400</v>
      </c>
      <c r="H71" s="65"/>
      <c r="I71" s="64">
        <f t="shared" si="39"/>
        <v>3659331.63</v>
      </c>
      <c r="J71" s="66">
        <v>3636331.63</v>
      </c>
      <c r="K71" s="66">
        <f>23000</f>
        <v>23000</v>
      </c>
      <c r="L71" s="66">
        <v>0</v>
      </c>
      <c r="M71" s="104">
        <f t="shared" si="37"/>
        <v>18.581040982233077</v>
      </c>
      <c r="N71" s="104">
        <f t="shared" si="38"/>
        <v>18.517283921069382</v>
      </c>
      <c r="O71" s="104">
        <f t="shared" si="36"/>
        <v>40.780141843971627</v>
      </c>
      <c r="P71" s="104"/>
    </row>
    <row r="72" spans="1:16" s="39" customFormat="1" ht="36" x14ac:dyDescent="0.3">
      <c r="A72" s="20" t="s">
        <v>72</v>
      </c>
      <c r="B72" s="20" t="s">
        <v>71</v>
      </c>
      <c r="C72" s="20" t="s">
        <v>19</v>
      </c>
      <c r="D72" s="21" t="s">
        <v>253</v>
      </c>
      <c r="E72" s="64">
        <f t="shared" si="40"/>
        <v>8328600</v>
      </c>
      <c r="F72" s="65">
        <v>8328600</v>
      </c>
      <c r="G72" s="65"/>
      <c r="H72" s="65"/>
      <c r="I72" s="64">
        <f t="shared" si="39"/>
        <v>1650537.06</v>
      </c>
      <c r="J72" s="66">
        <v>1650537.06</v>
      </c>
      <c r="K72" s="66"/>
      <c r="L72" s="66"/>
      <c r="M72" s="104">
        <f t="shared" si="37"/>
        <v>19.817701174266986</v>
      </c>
      <c r="N72" s="104">
        <f t="shared" si="38"/>
        <v>19.817701174266986</v>
      </c>
      <c r="O72" s="104"/>
      <c r="P72" s="104"/>
    </row>
    <row r="73" spans="1:16" s="39" customFormat="1" ht="18" x14ac:dyDescent="0.3">
      <c r="A73" s="20" t="s">
        <v>254</v>
      </c>
      <c r="B73" s="20" t="s">
        <v>83</v>
      </c>
      <c r="C73" s="20" t="s">
        <v>19</v>
      </c>
      <c r="D73" s="21" t="s">
        <v>255</v>
      </c>
      <c r="E73" s="64">
        <f t="shared" si="40"/>
        <v>700000</v>
      </c>
      <c r="F73" s="65">
        <v>700000</v>
      </c>
      <c r="G73" s="65"/>
      <c r="H73" s="65"/>
      <c r="I73" s="64">
        <f t="shared" si="39"/>
        <v>0</v>
      </c>
      <c r="J73" s="66">
        <v>0</v>
      </c>
      <c r="K73" s="66"/>
      <c r="L73" s="66"/>
      <c r="M73" s="104">
        <f t="shared" si="37"/>
        <v>0</v>
      </c>
      <c r="N73" s="104">
        <f t="shared" si="38"/>
        <v>0</v>
      </c>
      <c r="O73" s="104"/>
      <c r="P73" s="104"/>
    </row>
    <row r="74" spans="1:16" s="39" customFormat="1" ht="108" x14ac:dyDescent="0.3">
      <c r="A74" s="20" t="s">
        <v>140</v>
      </c>
      <c r="B74" s="20" t="s">
        <v>141</v>
      </c>
      <c r="C74" s="20" t="s">
        <v>10</v>
      </c>
      <c r="D74" s="21" t="s">
        <v>256</v>
      </c>
      <c r="E74" s="64">
        <f t="shared" si="40"/>
        <v>3300000</v>
      </c>
      <c r="F74" s="65">
        <v>3300000</v>
      </c>
      <c r="G74" s="65"/>
      <c r="H74" s="65"/>
      <c r="I74" s="64">
        <f t="shared" si="39"/>
        <v>702340.17</v>
      </c>
      <c r="J74" s="66">
        <v>702340.17</v>
      </c>
      <c r="K74" s="70"/>
      <c r="L74" s="70"/>
      <c r="M74" s="104">
        <f t="shared" si="37"/>
        <v>21.283035454545455</v>
      </c>
      <c r="N74" s="104">
        <f t="shared" si="38"/>
        <v>21.283035454545455</v>
      </c>
      <c r="O74" s="104"/>
      <c r="P74" s="104"/>
    </row>
    <row r="75" spans="1:16" s="39" customFormat="1" ht="72" x14ac:dyDescent="0.3">
      <c r="A75" s="20" t="s">
        <v>171</v>
      </c>
      <c r="B75" s="20" t="s">
        <v>172</v>
      </c>
      <c r="C75" s="20" t="s">
        <v>10</v>
      </c>
      <c r="D75" s="21" t="s">
        <v>173</v>
      </c>
      <c r="E75" s="64">
        <f t="shared" si="40"/>
        <v>28720</v>
      </c>
      <c r="F75" s="65">
        <v>28720</v>
      </c>
      <c r="G75" s="65"/>
      <c r="H75" s="65"/>
      <c r="I75" s="64">
        <f t="shared" si="39"/>
        <v>3895.65</v>
      </c>
      <c r="J75" s="66">
        <v>3895.65</v>
      </c>
      <c r="K75" s="70"/>
      <c r="L75" s="70"/>
      <c r="M75" s="104">
        <f t="shared" si="37"/>
        <v>13.564240947075209</v>
      </c>
      <c r="N75" s="104">
        <f t="shared" si="38"/>
        <v>13.564240947075209</v>
      </c>
      <c r="O75" s="104"/>
      <c r="P75" s="104"/>
    </row>
    <row r="76" spans="1:16" s="39" customFormat="1" ht="91.2" customHeight="1" x14ac:dyDescent="0.3">
      <c r="A76" s="20" t="s">
        <v>142</v>
      </c>
      <c r="B76" s="20" t="s">
        <v>143</v>
      </c>
      <c r="C76" s="20" t="s">
        <v>29</v>
      </c>
      <c r="D76" s="21" t="s">
        <v>257</v>
      </c>
      <c r="E76" s="64">
        <f t="shared" si="40"/>
        <v>1500000</v>
      </c>
      <c r="F76" s="65">
        <v>1500000</v>
      </c>
      <c r="G76" s="65"/>
      <c r="H76" s="65"/>
      <c r="I76" s="64">
        <f t="shared" si="39"/>
        <v>373893.13</v>
      </c>
      <c r="J76" s="66">
        <v>373893.13</v>
      </c>
      <c r="K76" s="70"/>
      <c r="L76" s="70"/>
      <c r="M76" s="104">
        <f t="shared" si="37"/>
        <v>24.926208666666668</v>
      </c>
      <c r="N76" s="104">
        <f t="shared" si="38"/>
        <v>24.926208666666668</v>
      </c>
      <c r="O76" s="104"/>
      <c r="P76" s="104"/>
    </row>
    <row r="77" spans="1:16" s="39" customFormat="1" ht="58.8" customHeight="1" x14ac:dyDescent="0.3">
      <c r="A77" s="20" t="s">
        <v>144</v>
      </c>
      <c r="B77" s="20" t="s">
        <v>145</v>
      </c>
      <c r="C77" s="20" t="s">
        <v>14</v>
      </c>
      <c r="D77" s="21" t="s">
        <v>258</v>
      </c>
      <c r="E77" s="64">
        <f t="shared" si="40"/>
        <v>71000</v>
      </c>
      <c r="F77" s="65">
        <v>71000</v>
      </c>
      <c r="G77" s="65"/>
      <c r="H77" s="65"/>
      <c r="I77" s="64">
        <f t="shared" si="39"/>
        <v>11438.48</v>
      </c>
      <c r="J77" s="66">
        <v>11438.48</v>
      </c>
      <c r="K77" s="70"/>
      <c r="L77" s="70"/>
      <c r="M77" s="104">
        <f t="shared" si="37"/>
        <v>16.110535211267603</v>
      </c>
      <c r="N77" s="104">
        <f t="shared" si="38"/>
        <v>16.110535211267603</v>
      </c>
      <c r="O77" s="104"/>
      <c r="P77" s="104"/>
    </row>
    <row r="78" spans="1:16" s="39" customFormat="1" ht="54" x14ac:dyDescent="0.3">
      <c r="A78" s="26" t="s">
        <v>279</v>
      </c>
      <c r="B78" s="24">
        <v>3230</v>
      </c>
      <c r="C78" s="24">
        <v>1070</v>
      </c>
      <c r="D78" s="21" t="s">
        <v>278</v>
      </c>
      <c r="E78" s="64">
        <f t="shared" si="40"/>
        <v>688600</v>
      </c>
      <c r="F78" s="65">
        <f>191000+497600</f>
        <v>688600</v>
      </c>
      <c r="G78" s="65">
        <v>0</v>
      </c>
      <c r="H78" s="65"/>
      <c r="I78" s="64">
        <f t="shared" si="39"/>
        <v>0</v>
      </c>
      <c r="J78" s="66">
        <v>0</v>
      </c>
      <c r="K78" s="70"/>
      <c r="L78" s="70"/>
      <c r="M78" s="104">
        <f t="shared" si="37"/>
        <v>0</v>
      </c>
      <c r="N78" s="104">
        <f t="shared" ref="N78:N79" si="41">J78/F78*100</f>
        <v>0</v>
      </c>
      <c r="O78" s="104"/>
      <c r="P78" s="104"/>
    </row>
    <row r="79" spans="1:16" s="39" customFormat="1" ht="36" x14ac:dyDescent="0.3">
      <c r="A79" s="20" t="s">
        <v>150</v>
      </c>
      <c r="B79" s="20" t="s">
        <v>146</v>
      </c>
      <c r="C79" s="20" t="s">
        <v>3</v>
      </c>
      <c r="D79" s="21" t="s">
        <v>147</v>
      </c>
      <c r="E79" s="64">
        <f t="shared" si="40"/>
        <v>46684900</v>
      </c>
      <c r="F79" s="65">
        <f>44765000+1919900</f>
        <v>46684900</v>
      </c>
      <c r="G79" s="65">
        <v>0</v>
      </c>
      <c r="H79" s="65"/>
      <c r="I79" s="64">
        <f t="shared" si="39"/>
        <v>6518345.3599999994</v>
      </c>
      <c r="J79" s="66">
        <f>6263071.68+160160</f>
        <v>6423231.6799999997</v>
      </c>
      <c r="K79" s="70">
        <v>95113.68</v>
      </c>
      <c r="L79" s="70"/>
      <c r="M79" s="104">
        <f t="shared" si="37"/>
        <v>13.962427594361346</v>
      </c>
      <c r="N79" s="104">
        <f t="shared" si="41"/>
        <v>13.75869216813145</v>
      </c>
      <c r="O79" s="104"/>
      <c r="P79" s="104"/>
    </row>
    <row r="80" spans="1:16" s="39" customFormat="1" ht="52.2" x14ac:dyDescent="0.3">
      <c r="A80" s="51" t="s">
        <v>313</v>
      </c>
      <c r="B80" s="18" t="s">
        <v>231</v>
      </c>
      <c r="C80" s="18" t="s">
        <v>231</v>
      </c>
      <c r="D80" s="19" t="s">
        <v>314</v>
      </c>
      <c r="E80" s="62">
        <f t="shared" ref="E80" si="42">F80+G80</f>
        <v>2530500</v>
      </c>
      <c r="F80" s="63">
        <f>F81</f>
        <v>2530500</v>
      </c>
      <c r="G80" s="63">
        <f>G81</f>
        <v>0</v>
      </c>
      <c r="H80" s="63">
        <f>H81</f>
        <v>0</v>
      </c>
      <c r="I80" s="62">
        <f t="shared" ref="I80" si="43">J80+K80</f>
        <v>477568.06</v>
      </c>
      <c r="J80" s="71">
        <f>J81</f>
        <v>477568.06</v>
      </c>
      <c r="K80" s="63">
        <f>K81</f>
        <v>0</v>
      </c>
      <c r="L80" s="63">
        <f>L81</f>
        <v>0</v>
      </c>
      <c r="M80" s="109">
        <f t="shared" ref="M80:M84" si="44">I80/E80*100</f>
        <v>18.872478166370282</v>
      </c>
      <c r="N80" s="109">
        <f t="shared" ref="N80:N84" si="45">J80/F80*100</f>
        <v>18.872478166370282</v>
      </c>
      <c r="O80" s="109"/>
      <c r="P80" s="109"/>
    </row>
    <row r="81" spans="1:16" s="39" customFormat="1" ht="52.2" x14ac:dyDescent="0.3">
      <c r="A81" s="51" t="s">
        <v>315</v>
      </c>
      <c r="B81" s="18" t="s">
        <v>231</v>
      </c>
      <c r="C81" s="18" t="s">
        <v>231</v>
      </c>
      <c r="D81" s="19" t="s">
        <v>314</v>
      </c>
      <c r="E81" s="63">
        <f>F81+G81</f>
        <v>2530500</v>
      </c>
      <c r="F81" s="63">
        <f>F82+F84+F83</f>
        <v>2530500</v>
      </c>
      <c r="G81" s="63">
        <f>G82+G84+G83</f>
        <v>0</v>
      </c>
      <c r="H81" s="63">
        <f>H82+H84+H83</f>
        <v>0</v>
      </c>
      <c r="I81" s="63">
        <f>J81+K81</f>
        <v>477568.06</v>
      </c>
      <c r="J81" s="63">
        <f>J82+J84+J83</f>
        <v>477568.06</v>
      </c>
      <c r="K81" s="63">
        <f>K82+K84+K83</f>
        <v>0</v>
      </c>
      <c r="L81" s="63">
        <f>L82+L84+L83</f>
        <v>0</v>
      </c>
      <c r="M81" s="109">
        <f t="shared" si="44"/>
        <v>18.872478166370282</v>
      </c>
      <c r="N81" s="109">
        <f t="shared" si="45"/>
        <v>18.872478166370282</v>
      </c>
      <c r="O81" s="109"/>
      <c r="P81" s="109"/>
    </row>
    <row r="82" spans="1:16" s="39" customFormat="1" ht="54" x14ac:dyDescent="0.3">
      <c r="A82" s="26" t="s">
        <v>316</v>
      </c>
      <c r="B82" s="20" t="s">
        <v>56</v>
      </c>
      <c r="C82" s="20" t="s">
        <v>2</v>
      </c>
      <c r="D82" s="21" t="s">
        <v>248</v>
      </c>
      <c r="E82" s="64">
        <f t="shared" si="40"/>
        <v>2226500</v>
      </c>
      <c r="F82" s="65">
        <v>2226500</v>
      </c>
      <c r="G82" s="65"/>
      <c r="H82" s="65"/>
      <c r="I82" s="64">
        <f t="shared" si="39"/>
        <v>475568.06</v>
      </c>
      <c r="J82" s="66">
        <v>475568.06</v>
      </c>
      <c r="K82" s="70"/>
      <c r="L82" s="70"/>
      <c r="M82" s="104">
        <f t="shared" si="44"/>
        <v>21.35944576689872</v>
      </c>
      <c r="N82" s="104">
        <f t="shared" si="45"/>
        <v>21.35944576689872</v>
      </c>
      <c r="O82" s="104"/>
      <c r="P82" s="104"/>
    </row>
    <row r="83" spans="1:16" s="39" customFormat="1" ht="22.2" customHeight="1" x14ac:dyDescent="0.3">
      <c r="A83" s="26" t="s">
        <v>322</v>
      </c>
      <c r="B83" s="26" t="s">
        <v>9</v>
      </c>
      <c r="C83" s="26" t="s">
        <v>5</v>
      </c>
      <c r="D83" s="21" t="s">
        <v>102</v>
      </c>
      <c r="E83" s="64">
        <f t="shared" ref="E83" si="46">F83+G83</f>
        <v>99000</v>
      </c>
      <c r="F83" s="65">
        <v>99000</v>
      </c>
      <c r="G83" s="65"/>
      <c r="H83" s="65"/>
      <c r="I83" s="64">
        <f t="shared" ref="I83" si="47">J83+K83</f>
        <v>0</v>
      </c>
      <c r="J83" s="66">
        <v>0</v>
      </c>
      <c r="K83" s="70"/>
      <c r="L83" s="70"/>
      <c r="M83" s="104">
        <f t="shared" ref="M83" si="48">I83/E83*100</f>
        <v>0</v>
      </c>
      <c r="N83" s="104">
        <f t="shared" ref="N83" si="49">J83/F83*100</f>
        <v>0</v>
      </c>
      <c r="O83" s="104"/>
      <c r="P83" s="104"/>
    </row>
    <row r="84" spans="1:16" s="39" customFormat="1" ht="36" x14ac:dyDescent="0.3">
      <c r="A84" s="26" t="s">
        <v>317</v>
      </c>
      <c r="B84" s="20" t="s">
        <v>35</v>
      </c>
      <c r="C84" s="20" t="s">
        <v>19</v>
      </c>
      <c r="D84" s="21" t="s">
        <v>44</v>
      </c>
      <c r="E84" s="64">
        <f t="shared" si="40"/>
        <v>205000</v>
      </c>
      <c r="F84" s="65">
        <v>205000</v>
      </c>
      <c r="G84" s="65"/>
      <c r="H84" s="65"/>
      <c r="I84" s="64">
        <f t="shared" si="39"/>
        <v>2000</v>
      </c>
      <c r="J84" s="66">
        <v>2000</v>
      </c>
      <c r="K84" s="70"/>
      <c r="L84" s="70"/>
      <c r="M84" s="104">
        <f t="shared" si="44"/>
        <v>0.97560975609756095</v>
      </c>
      <c r="N84" s="104">
        <f t="shared" si="45"/>
        <v>0.97560975609756095</v>
      </c>
      <c r="O84" s="104"/>
      <c r="P84" s="104"/>
    </row>
    <row r="85" spans="1:16" s="38" customFormat="1" ht="34.799999999999997" x14ac:dyDescent="0.3">
      <c r="A85" s="18" t="s">
        <v>73</v>
      </c>
      <c r="B85" s="18" t="s">
        <v>231</v>
      </c>
      <c r="C85" s="18" t="s">
        <v>231</v>
      </c>
      <c r="D85" s="19" t="s">
        <v>259</v>
      </c>
      <c r="E85" s="62">
        <f t="shared" si="40"/>
        <v>57736300</v>
      </c>
      <c r="F85" s="63">
        <f>F86</f>
        <v>56431300</v>
      </c>
      <c r="G85" s="63">
        <f t="shared" ref="G85:H85" si="50">G86</f>
        <v>1305000</v>
      </c>
      <c r="H85" s="63">
        <f t="shared" si="50"/>
        <v>0</v>
      </c>
      <c r="I85" s="62">
        <f t="shared" si="39"/>
        <v>12016264.300000003</v>
      </c>
      <c r="J85" s="71">
        <f>J86</f>
        <v>11703398.500000002</v>
      </c>
      <c r="K85" s="71">
        <f t="shared" ref="K85:L85" si="51">K86</f>
        <v>312865.8</v>
      </c>
      <c r="L85" s="71">
        <f t="shared" si="51"/>
        <v>0</v>
      </c>
      <c r="M85" s="109">
        <f t="shared" ref="M85:M131" si="52">I85/E85*100</f>
        <v>20.812321364548826</v>
      </c>
      <c r="N85" s="109">
        <f t="shared" ref="N85:N123" si="53">J85/F85*100</f>
        <v>20.739197041358256</v>
      </c>
      <c r="O85" s="109">
        <f t="shared" ref="O85:O133" si="54">K85/G85*100</f>
        <v>23.9743908045977</v>
      </c>
      <c r="P85" s="109"/>
    </row>
    <row r="86" spans="1:16" s="38" customFormat="1" ht="34.799999999999997" x14ac:dyDescent="0.3">
      <c r="A86" s="18" t="s">
        <v>74</v>
      </c>
      <c r="B86" s="18" t="s">
        <v>231</v>
      </c>
      <c r="C86" s="18" t="s">
        <v>231</v>
      </c>
      <c r="D86" s="19" t="s">
        <v>259</v>
      </c>
      <c r="E86" s="62">
        <f t="shared" si="40"/>
        <v>57736300</v>
      </c>
      <c r="F86" s="63">
        <f>F87+F88+F89+F91+F92+F93+F94+F95+F90</f>
        <v>56431300</v>
      </c>
      <c r="G86" s="63">
        <f t="shared" ref="G86:L86" si="55">G87+G88+G89+G91+G92+G93+G94+G95+G90</f>
        <v>1305000</v>
      </c>
      <c r="H86" s="63">
        <f t="shared" si="55"/>
        <v>0</v>
      </c>
      <c r="I86" s="63">
        <f t="shared" si="55"/>
        <v>12016264.300000001</v>
      </c>
      <c r="J86" s="63">
        <f t="shared" si="55"/>
        <v>11703398.500000002</v>
      </c>
      <c r="K86" s="63">
        <f t="shared" si="55"/>
        <v>312865.8</v>
      </c>
      <c r="L86" s="63">
        <f t="shared" si="55"/>
        <v>0</v>
      </c>
      <c r="M86" s="109">
        <f t="shared" si="52"/>
        <v>20.812321364548822</v>
      </c>
      <c r="N86" s="109">
        <f t="shared" si="53"/>
        <v>20.739197041358256</v>
      </c>
      <c r="O86" s="109">
        <f t="shared" si="54"/>
        <v>23.9743908045977</v>
      </c>
      <c r="P86" s="109"/>
    </row>
    <row r="87" spans="1:16" s="39" customFormat="1" ht="54" x14ac:dyDescent="0.3">
      <c r="A87" s="20" t="s">
        <v>75</v>
      </c>
      <c r="B87" s="20" t="s">
        <v>56</v>
      </c>
      <c r="C87" s="20" t="s">
        <v>2</v>
      </c>
      <c r="D87" s="21" t="s">
        <v>248</v>
      </c>
      <c r="E87" s="64">
        <f t="shared" si="40"/>
        <v>912100</v>
      </c>
      <c r="F87" s="65">
        <v>912100</v>
      </c>
      <c r="G87" s="65"/>
      <c r="H87" s="65"/>
      <c r="I87" s="64">
        <f t="shared" si="39"/>
        <v>195342.7</v>
      </c>
      <c r="J87" s="66">
        <v>195342.7</v>
      </c>
      <c r="K87" s="66"/>
      <c r="L87" s="66"/>
      <c r="M87" s="104">
        <f t="shared" si="52"/>
        <v>21.416807367613202</v>
      </c>
      <c r="N87" s="104">
        <f t="shared" si="53"/>
        <v>21.416807367613202</v>
      </c>
      <c r="O87" s="104"/>
      <c r="P87" s="104"/>
    </row>
    <row r="88" spans="1:16" s="39" customFormat="1" ht="23.4" customHeight="1" x14ac:dyDescent="0.3">
      <c r="A88" s="20" t="s">
        <v>260</v>
      </c>
      <c r="B88" s="20" t="s">
        <v>9</v>
      </c>
      <c r="C88" s="20" t="s">
        <v>5</v>
      </c>
      <c r="D88" s="21" t="s">
        <v>102</v>
      </c>
      <c r="E88" s="64">
        <f t="shared" si="40"/>
        <v>99000</v>
      </c>
      <c r="F88" s="65">
        <v>99000</v>
      </c>
      <c r="G88" s="65"/>
      <c r="H88" s="65"/>
      <c r="I88" s="64">
        <f t="shared" si="39"/>
        <v>29940</v>
      </c>
      <c r="J88" s="70">
        <v>29940</v>
      </c>
      <c r="K88" s="66"/>
      <c r="L88" s="66"/>
      <c r="M88" s="104">
        <f t="shared" si="52"/>
        <v>30.242424242424242</v>
      </c>
      <c r="N88" s="104">
        <f t="shared" si="53"/>
        <v>30.242424242424242</v>
      </c>
      <c r="O88" s="104"/>
      <c r="P88" s="104"/>
    </row>
    <row r="89" spans="1:16" s="39" customFormat="1" ht="36" x14ac:dyDescent="0.3">
      <c r="A89" s="20" t="s">
        <v>208</v>
      </c>
      <c r="B89" s="20" t="s">
        <v>209</v>
      </c>
      <c r="C89" s="20" t="s">
        <v>16</v>
      </c>
      <c r="D89" s="21" t="s">
        <v>261</v>
      </c>
      <c r="E89" s="64">
        <f t="shared" si="40"/>
        <v>26849300</v>
      </c>
      <c r="F89" s="65">
        <v>25824300</v>
      </c>
      <c r="G89" s="65">
        <v>1025000</v>
      </c>
      <c r="H89" s="65"/>
      <c r="I89" s="64">
        <f t="shared" si="39"/>
        <v>5828146.54</v>
      </c>
      <c r="J89" s="70">
        <v>5539414.7400000002</v>
      </c>
      <c r="K89" s="66">
        <f>106721.8+182010</f>
        <v>288731.8</v>
      </c>
      <c r="L89" s="66"/>
      <c r="M89" s="104">
        <f t="shared" si="52"/>
        <v>21.706884499782117</v>
      </c>
      <c r="N89" s="104">
        <f t="shared" si="53"/>
        <v>21.450396487029657</v>
      </c>
      <c r="O89" s="104">
        <f t="shared" si="54"/>
        <v>28.168956097560976</v>
      </c>
      <c r="P89" s="104"/>
    </row>
    <row r="90" spans="1:16" s="39" customFormat="1" ht="90" x14ac:dyDescent="0.3">
      <c r="A90" s="24">
        <v>1013140</v>
      </c>
      <c r="B90" s="24">
        <v>3140</v>
      </c>
      <c r="C90" s="24">
        <v>1040</v>
      </c>
      <c r="D90" s="21" t="s">
        <v>293</v>
      </c>
      <c r="E90" s="64">
        <f t="shared" si="40"/>
        <v>150000</v>
      </c>
      <c r="F90" s="65">
        <v>150000</v>
      </c>
      <c r="G90" s="65"/>
      <c r="H90" s="65"/>
      <c r="I90" s="64">
        <f t="shared" si="39"/>
        <v>0</v>
      </c>
      <c r="J90" s="70">
        <v>0</v>
      </c>
      <c r="K90" s="66"/>
      <c r="L90" s="66"/>
      <c r="M90" s="104">
        <f t="shared" si="52"/>
        <v>0</v>
      </c>
      <c r="N90" s="104">
        <f t="shared" si="53"/>
        <v>0</v>
      </c>
      <c r="O90" s="104"/>
      <c r="P90" s="104"/>
    </row>
    <row r="91" spans="1:16" s="39" customFormat="1" ht="18" x14ac:dyDescent="0.3">
      <c r="A91" s="20" t="s">
        <v>77</v>
      </c>
      <c r="B91" s="20" t="s">
        <v>76</v>
      </c>
      <c r="C91" s="20" t="s">
        <v>37</v>
      </c>
      <c r="D91" s="21" t="s">
        <v>78</v>
      </c>
      <c r="E91" s="64">
        <f t="shared" si="40"/>
        <v>9810300</v>
      </c>
      <c r="F91" s="65">
        <v>9730300</v>
      </c>
      <c r="G91" s="65">
        <v>80000</v>
      </c>
      <c r="H91" s="65"/>
      <c r="I91" s="64">
        <f t="shared" si="39"/>
        <v>1902445.91</v>
      </c>
      <c r="J91" s="66">
        <v>1893193.91</v>
      </c>
      <c r="K91" s="66">
        <v>9252</v>
      </c>
      <c r="L91" s="66"/>
      <c r="M91" s="104">
        <f t="shared" si="52"/>
        <v>19.392331631040843</v>
      </c>
      <c r="N91" s="104">
        <f t="shared" si="53"/>
        <v>19.456685919241952</v>
      </c>
      <c r="O91" s="104">
        <f t="shared" si="54"/>
        <v>11.565</v>
      </c>
      <c r="P91" s="104"/>
    </row>
    <row r="92" spans="1:16" s="39" customFormat="1" ht="18" x14ac:dyDescent="0.3">
      <c r="A92" s="20" t="s">
        <v>80</v>
      </c>
      <c r="B92" s="20" t="s">
        <v>79</v>
      </c>
      <c r="C92" s="20" t="s">
        <v>37</v>
      </c>
      <c r="D92" s="21" t="s">
        <v>262</v>
      </c>
      <c r="E92" s="64">
        <f t="shared" si="40"/>
        <v>3652600</v>
      </c>
      <c r="F92" s="65">
        <v>3612600</v>
      </c>
      <c r="G92" s="65">
        <v>40000</v>
      </c>
      <c r="H92" s="65"/>
      <c r="I92" s="64">
        <f t="shared" si="39"/>
        <v>851469.1</v>
      </c>
      <c r="J92" s="66">
        <v>846347.1</v>
      </c>
      <c r="K92" s="66">
        <v>5122</v>
      </c>
      <c r="L92" s="66"/>
      <c r="M92" s="104">
        <f t="shared" si="52"/>
        <v>23.311315227509173</v>
      </c>
      <c r="N92" s="104">
        <f t="shared" si="53"/>
        <v>23.427644909483476</v>
      </c>
      <c r="O92" s="104">
        <f t="shared" si="54"/>
        <v>12.805</v>
      </c>
      <c r="P92" s="104"/>
    </row>
    <row r="93" spans="1:16" s="39" customFormat="1" ht="54" x14ac:dyDescent="0.3">
      <c r="A93" s="20" t="s">
        <v>81</v>
      </c>
      <c r="B93" s="20" t="s">
        <v>36</v>
      </c>
      <c r="C93" s="20" t="s">
        <v>38</v>
      </c>
      <c r="D93" s="21" t="s">
        <v>263</v>
      </c>
      <c r="E93" s="64">
        <f t="shared" si="40"/>
        <v>13071200</v>
      </c>
      <c r="F93" s="65">
        <v>12911200</v>
      </c>
      <c r="G93" s="65">
        <v>160000</v>
      </c>
      <c r="H93" s="65"/>
      <c r="I93" s="64">
        <f t="shared" si="39"/>
        <v>2635534.4700000002</v>
      </c>
      <c r="J93" s="66">
        <v>2625774.4700000002</v>
      </c>
      <c r="K93" s="66">
        <v>9760</v>
      </c>
      <c r="L93" s="66"/>
      <c r="M93" s="104">
        <f t="shared" si="52"/>
        <v>20.162911362384481</v>
      </c>
      <c r="N93" s="104">
        <f t="shared" si="53"/>
        <v>20.337183762934508</v>
      </c>
      <c r="O93" s="104">
        <f t="shared" si="54"/>
        <v>6.1</v>
      </c>
      <c r="P93" s="104"/>
    </row>
    <row r="94" spans="1:16" s="39" customFormat="1" ht="36" x14ac:dyDescent="0.3">
      <c r="A94" s="20" t="s">
        <v>151</v>
      </c>
      <c r="B94" s="20" t="s">
        <v>132</v>
      </c>
      <c r="C94" s="20" t="s">
        <v>39</v>
      </c>
      <c r="D94" s="21" t="s">
        <v>133</v>
      </c>
      <c r="E94" s="64">
        <f t="shared" si="40"/>
        <v>2591800</v>
      </c>
      <c r="F94" s="65">
        <v>2591800</v>
      </c>
      <c r="G94" s="65"/>
      <c r="H94" s="65"/>
      <c r="I94" s="64">
        <f t="shared" si="39"/>
        <v>533815.57999999996</v>
      </c>
      <c r="J94" s="66">
        <v>533815.57999999996</v>
      </c>
      <c r="K94" s="66"/>
      <c r="L94" s="66"/>
      <c r="M94" s="104">
        <f t="shared" si="52"/>
        <v>20.596326105409364</v>
      </c>
      <c r="N94" s="104">
        <f t="shared" si="53"/>
        <v>20.596326105409364</v>
      </c>
      <c r="O94" s="104"/>
      <c r="P94" s="104"/>
    </row>
    <row r="95" spans="1:16" s="39" customFormat="1" ht="18" x14ac:dyDescent="0.3">
      <c r="A95" s="20" t="s">
        <v>130</v>
      </c>
      <c r="B95" s="20" t="s">
        <v>131</v>
      </c>
      <c r="C95" s="20" t="s">
        <v>39</v>
      </c>
      <c r="D95" s="21" t="s">
        <v>134</v>
      </c>
      <c r="E95" s="64">
        <f t="shared" si="40"/>
        <v>600000</v>
      </c>
      <c r="F95" s="65">
        <v>600000</v>
      </c>
      <c r="G95" s="65"/>
      <c r="H95" s="65"/>
      <c r="I95" s="64">
        <f t="shared" si="39"/>
        <v>39570</v>
      </c>
      <c r="J95" s="66">
        <v>39570</v>
      </c>
      <c r="K95" s="66"/>
      <c r="L95" s="66"/>
      <c r="M95" s="104">
        <f t="shared" si="52"/>
        <v>6.5949999999999998</v>
      </c>
      <c r="N95" s="104">
        <f t="shared" si="53"/>
        <v>6.5949999999999998</v>
      </c>
      <c r="O95" s="104"/>
      <c r="P95" s="104"/>
    </row>
    <row r="96" spans="1:16" s="37" customFormat="1" ht="52.2" x14ac:dyDescent="0.3">
      <c r="A96" s="18" t="s">
        <v>23</v>
      </c>
      <c r="B96" s="18" t="s">
        <v>231</v>
      </c>
      <c r="C96" s="18" t="s">
        <v>231</v>
      </c>
      <c r="D96" s="19" t="s">
        <v>264</v>
      </c>
      <c r="E96" s="62">
        <f t="shared" si="40"/>
        <v>7078200</v>
      </c>
      <c r="F96" s="63">
        <f>F97</f>
        <v>7078200</v>
      </c>
      <c r="G96" s="71">
        <f>G97</f>
        <v>0</v>
      </c>
      <c r="H96" s="71">
        <f>H97</f>
        <v>0</v>
      </c>
      <c r="I96" s="62">
        <f t="shared" si="39"/>
        <v>1117682.2000000002</v>
      </c>
      <c r="J96" s="71">
        <f>J97</f>
        <v>1117682.2000000002</v>
      </c>
      <c r="K96" s="71">
        <f>K97</f>
        <v>0</v>
      </c>
      <c r="L96" s="71">
        <f>L97</f>
        <v>0</v>
      </c>
      <c r="M96" s="109">
        <f t="shared" si="52"/>
        <v>15.790486281823066</v>
      </c>
      <c r="N96" s="109">
        <f t="shared" si="53"/>
        <v>15.790486281823066</v>
      </c>
      <c r="O96" s="109"/>
      <c r="P96" s="109"/>
    </row>
    <row r="97" spans="1:16" s="38" customFormat="1" ht="52.2" x14ac:dyDescent="0.3">
      <c r="A97" s="18" t="s">
        <v>24</v>
      </c>
      <c r="B97" s="18" t="s">
        <v>231</v>
      </c>
      <c r="C97" s="18" t="s">
        <v>231</v>
      </c>
      <c r="D97" s="19" t="s">
        <v>264</v>
      </c>
      <c r="E97" s="62">
        <f t="shared" si="40"/>
        <v>7078200</v>
      </c>
      <c r="F97" s="63">
        <f>F98+F99+F100+F101+F102+F103</f>
        <v>7078200</v>
      </c>
      <c r="G97" s="63">
        <f>G98+G99+G100+G101+G102+G103</f>
        <v>0</v>
      </c>
      <c r="H97" s="63">
        <f>H98+H99+H100+H101+H102+H103</f>
        <v>0</v>
      </c>
      <c r="I97" s="63">
        <f>I98+I99+I100+I101+I102+I103</f>
        <v>1117682.2000000002</v>
      </c>
      <c r="J97" s="63">
        <f>J98+J99+J100+J101+J102+J103</f>
        <v>1117682.2000000002</v>
      </c>
      <c r="K97" s="71">
        <f>SUM(K98:K103)</f>
        <v>0</v>
      </c>
      <c r="L97" s="71">
        <f>SUM(L98:L103)</f>
        <v>0</v>
      </c>
      <c r="M97" s="109">
        <f t="shared" si="52"/>
        <v>15.790486281823066</v>
      </c>
      <c r="N97" s="109">
        <f t="shared" si="53"/>
        <v>15.790486281823066</v>
      </c>
      <c r="O97" s="109"/>
      <c r="P97" s="109"/>
    </row>
    <row r="98" spans="1:16" s="39" customFormat="1" ht="54" x14ac:dyDescent="0.3">
      <c r="A98" s="20" t="s">
        <v>82</v>
      </c>
      <c r="B98" s="20" t="s">
        <v>56</v>
      </c>
      <c r="C98" s="20" t="s">
        <v>2</v>
      </c>
      <c r="D98" s="21" t="s">
        <v>248</v>
      </c>
      <c r="E98" s="64">
        <f t="shared" si="40"/>
        <v>2042100</v>
      </c>
      <c r="F98" s="65">
        <v>2042100</v>
      </c>
      <c r="G98" s="65"/>
      <c r="H98" s="65"/>
      <c r="I98" s="64">
        <f t="shared" si="39"/>
        <v>439048.83</v>
      </c>
      <c r="J98" s="66">
        <v>439048.83</v>
      </c>
      <c r="K98" s="66"/>
      <c r="L98" s="66"/>
      <c r="M98" s="104">
        <f t="shared" si="52"/>
        <v>21.499869252240341</v>
      </c>
      <c r="N98" s="104">
        <f t="shared" si="53"/>
        <v>21.499869252240341</v>
      </c>
      <c r="O98" s="104"/>
      <c r="P98" s="104"/>
    </row>
    <row r="99" spans="1:16" s="39" customFormat="1" ht="20.399999999999999" customHeight="1" x14ac:dyDescent="0.3">
      <c r="A99" s="20" t="s">
        <v>265</v>
      </c>
      <c r="B99" s="20" t="s">
        <v>9</v>
      </c>
      <c r="C99" s="20" t="s">
        <v>5</v>
      </c>
      <c r="D99" s="21" t="s">
        <v>102</v>
      </c>
      <c r="E99" s="64">
        <f t="shared" si="40"/>
        <v>99000</v>
      </c>
      <c r="F99" s="65">
        <v>99000</v>
      </c>
      <c r="G99" s="65"/>
      <c r="H99" s="65"/>
      <c r="I99" s="64">
        <f t="shared" si="39"/>
        <v>29940</v>
      </c>
      <c r="J99" s="66">
        <v>29940</v>
      </c>
      <c r="K99" s="66"/>
      <c r="L99" s="66"/>
      <c r="M99" s="104">
        <f t="shared" si="52"/>
        <v>30.242424242424242</v>
      </c>
      <c r="N99" s="104">
        <f t="shared" si="53"/>
        <v>30.242424242424242</v>
      </c>
      <c r="O99" s="104"/>
      <c r="P99" s="104"/>
    </row>
    <row r="100" spans="1:16" s="39" customFormat="1" ht="18" x14ac:dyDescent="0.3">
      <c r="A100" s="20" t="s">
        <v>85</v>
      </c>
      <c r="B100" s="20" t="s">
        <v>84</v>
      </c>
      <c r="C100" s="20" t="s">
        <v>19</v>
      </c>
      <c r="D100" s="21" t="s">
        <v>49</v>
      </c>
      <c r="E100" s="64">
        <f t="shared" si="40"/>
        <v>1880400</v>
      </c>
      <c r="F100" s="65">
        <f>913000+967400</f>
        <v>1880400</v>
      </c>
      <c r="G100" s="65"/>
      <c r="H100" s="65"/>
      <c r="I100" s="64">
        <f t="shared" si="39"/>
        <v>158557.45000000001</v>
      </c>
      <c r="J100" s="66">
        <f>15120+143437.45</f>
        <v>158557.45000000001</v>
      </c>
      <c r="K100" s="66"/>
      <c r="L100" s="66"/>
      <c r="M100" s="104">
        <f t="shared" si="52"/>
        <v>8.432112848330144</v>
      </c>
      <c r="N100" s="104">
        <f t="shared" si="53"/>
        <v>8.432112848330144</v>
      </c>
      <c r="O100" s="104"/>
      <c r="P100" s="104"/>
    </row>
    <row r="101" spans="1:16" s="39" customFormat="1" ht="36" x14ac:dyDescent="0.3">
      <c r="A101" s="20" t="s">
        <v>26</v>
      </c>
      <c r="B101" s="20" t="s">
        <v>25</v>
      </c>
      <c r="C101" s="20" t="s">
        <v>20</v>
      </c>
      <c r="D101" s="21" t="s">
        <v>43</v>
      </c>
      <c r="E101" s="64">
        <f t="shared" si="40"/>
        <v>950000</v>
      </c>
      <c r="F101" s="65">
        <v>950000</v>
      </c>
      <c r="G101" s="65"/>
      <c r="H101" s="65"/>
      <c r="I101" s="64">
        <f t="shared" si="39"/>
        <v>117877.92</v>
      </c>
      <c r="J101" s="66">
        <v>117877.92</v>
      </c>
      <c r="K101" s="66"/>
      <c r="L101" s="66"/>
      <c r="M101" s="104">
        <f t="shared" si="52"/>
        <v>12.408202105263157</v>
      </c>
      <c r="N101" s="104">
        <f t="shared" si="53"/>
        <v>12.408202105263157</v>
      </c>
      <c r="O101" s="104"/>
      <c r="P101" s="104"/>
    </row>
    <row r="102" spans="1:16" s="39" customFormat="1" ht="36" x14ac:dyDescent="0.3">
      <c r="A102" s="20" t="s">
        <v>45</v>
      </c>
      <c r="B102" s="20" t="s">
        <v>46</v>
      </c>
      <c r="C102" s="20" t="s">
        <v>20</v>
      </c>
      <c r="D102" s="21" t="s">
        <v>47</v>
      </c>
      <c r="E102" s="64">
        <f t="shared" si="40"/>
        <v>320000</v>
      </c>
      <c r="F102" s="65">
        <v>320000</v>
      </c>
      <c r="G102" s="65"/>
      <c r="H102" s="65"/>
      <c r="I102" s="64">
        <f t="shared" si="39"/>
        <v>37384</v>
      </c>
      <c r="J102" s="66">
        <v>37384</v>
      </c>
      <c r="K102" s="66"/>
      <c r="L102" s="66"/>
      <c r="M102" s="104">
        <f t="shared" si="52"/>
        <v>11.682499999999999</v>
      </c>
      <c r="N102" s="104">
        <f t="shared" si="53"/>
        <v>11.682499999999999</v>
      </c>
      <c r="O102" s="104"/>
      <c r="P102" s="104"/>
    </row>
    <row r="103" spans="1:16" s="38" customFormat="1" ht="72" x14ac:dyDescent="0.3">
      <c r="A103" s="20" t="s">
        <v>50</v>
      </c>
      <c r="B103" s="20" t="s">
        <v>51</v>
      </c>
      <c r="C103" s="20" t="s">
        <v>20</v>
      </c>
      <c r="D103" s="21" t="s">
        <v>266</v>
      </c>
      <c r="E103" s="64">
        <f t="shared" si="40"/>
        <v>1786700</v>
      </c>
      <c r="F103" s="65">
        <v>1786700</v>
      </c>
      <c r="G103" s="65"/>
      <c r="H103" s="65"/>
      <c r="I103" s="64">
        <f t="shared" si="39"/>
        <v>334874</v>
      </c>
      <c r="J103" s="66">
        <v>334874</v>
      </c>
      <c r="K103" s="66"/>
      <c r="L103" s="66"/>
      <c r="M103" s="104">
        <f t="shared" si="52"/>
        <v>18.742598085856606</v>
      </c>
      <c r="N103" s="104">
        <f t="shared" si="53"/>
        <v>18.742598085856606</v>
      </c>
      <c r="O103" s="104"/>
      <c r="P103" s="104"/>
    </row>
    <row r="104" spans="1:16" s="38" customFormat="1" ht="52.2" x14ac:dyDescent="0.3">
      <c r="A104" s="18" t="s">
        <v>86</v>
      </c>
      <c r="B104" s="18" t="s">
        <v>231</v>
      </c>
      <c r="C104" s="18" t="s">
        <v>231</v>
      </c>
      <c r="D104" s="19" t="s">
        <v>267</v>
      </c>
      <c r="E104" s="62">
        <f t="shared" si="40"/>
        <v>148592343</v>
      </c>
      <c r="F104" s="63">
        <f>F105</f>
        <v>142549210</v>
      </c>
      <c r="G104" s="63">
        <f t="shared" ref="G104:H104" si="56">G105</f>
        <v>6043133</v>
      </c>
      <c r="H104" s="63">
        <f t="shared" si="56"/>
        <v>5399987</v>
      </c>
      <c r="I104" s="62">
        <f t="shared" si="39"/>
        <v>50711513.850000001</v>
      </c>
      <c r="J104" s="71">
        <f>J105</f>
        <v>50662283.579999998</v>
      </c>
      <c r="K104" s="71">
        <f t="shared" ref="K104:L104" si="57">K105</f>
        <v>49230.27</v>
      </c>
      <c r="L104" s="71">
        <f t="shared" si="57"/>
        <v>44307.24</v>
      </c>
      <c r="M104" s="109">
        <f t="shared" si="52"/>
        <v>34.127945509278362</v>
      </c>
      <c r="N104" s="109">
        <f t="shared" si="53"/>
        <v>35.540206487289545</v>
      </c>
      <c r="O104" s="109">
        <f t="shared" si="54"/>
        <v>0.81464813036549089</v>
      </c>
      <c r="P104" s="109">
        <f t="shared" ref="P104:P133" si="58">L104/H104*100</f>
        <v>0.82050641973767713</v>
      </c>
    </row>
    <row r="105" spans="1:16" s="39" customFormat="1" ht="52.2" x14ac:dyDescent="0.3">
      <c r="A105" s="18" t="s">
        <v>87</v>
      </c>
      <c r="B105" s="18" t="s">
        <v>231</v>
      </c>
      <c r="C105" s="18" t="s">
        <v>231</v>
      </c>
      <c r="D105" s="19" t="s">
        <v>267</v>
      </c>
      <c r="E105" s="62">
        <f t="shared" si="40"/>
        <v>148592343</v>
      </c>
      <c r="F105" s="63">
        <f t="shared" ref="F105:L105" si="59">SUM(F106:F119)</f>
        <v>142549210</v>
      </c>
      <c r="G105" s="63">
        <f t="shared" si="59"/>
        <v>6043133</v>
      </c>
      <c r="H105" s="63">
        <f t="shared" si="59"/>
        <v>5399987</v>
      </c>
      <c r="I105" s="63">
        <f t="shared" si="59"/>
        <v>50711513.850000001</v>
      </c>
      <c r="J105" s="63">
        <f t="shared" si="59"/>
        <v>50662283.579999998</v>
      </c>
      <c r="K105" s="63">
        <f t="shared" si="59"/>
        <v>49230.27</v>
      </c>
      <c r="L105" s="63">
        <f t="shared" si="59"/>
        <v>44307.24</v>
      </c>
      <c r="M105" s="109">
        <f t="shared" si="52"/>
        <v>34.127945509278362</v>
      </c>
      <c r="N105" s="109">
        <f t="shared" si="53"/>
        <v>35.540206487289545</v>
      </c>
      <c r="O105" s="109">
        <f t="shared" si="54"/>
        <v>0.81464813036549089</v>
      </c>
      <c r="P105" s="109">
        <f t="shared" si="58"/>
        <v>0.82050641973767713</v>
      </c>
    </row>
    <row r="106" spans="1:16" s="42" customFormat="1" ht="61.95" customHeight="1" x14ac:dyDescent="0.3">
      <c r="A106" s="20" t="s">
        <v>88</v>
      </c>
      <c r="B106" s="20" t="s">
        <v>56</v>
      </c>
      <c r="C106" s="20" t="s">
        <v>2</v>
      </c>
      <c r="D106" s="21" t="s">
        <v>248</v>
      </c>
      <c r="E106" s="64">
        <f t="shared" si="40"/>
        <v>3829700</v>
      </c>
      <c r="F106" s="65">
        <v>3829700</v>
      </c>
      <c r="G106" s="65"/>
      <c r="H106" s="65"/>
      <c r="I106" s="64">
        <f t="shared" si="39"/>
        <v>837159.76</v>
      </c>
      <c r="J106" s="66">
        <v>837159.76</v>
      </c>
      <c r="K106" s="66"/>
      <c r="L106" s="66"/>
      <c r="M106" s="104">
        <f t="shared" si="52"/>
        <v>21.859669425803588</v>
      </c>
      <c r="N106" s="104">
        <f t="shared" si="53"/>
        <v>21.859669425803588</v>
      </c>
      <c r="O106" s="104"/>
      <c r="P106" s="104"/>
    </row>
    <row r="107" spans="1:16" s="39" customFormat="1" ht="54" x14ac:dyDescent="0.3">
      <c r="A107" s="20" t="s">
        <v>187</v>
      </c>
      <c r="B107" s="20" t="s">
        <v>109</v>
      </c>
      <c r="C107" s="20" t="s">
        <v>110</v>
      </c>
      <c r="D107" s="21" t="s">
        <v>111</v>
      </c>
      <c r="E107" s="64">
        <f t="shared" si="40"/>
        <v>25000</v>
      </c>
      <c r="F107" s="65">
        <v>25000</v>
      </c>
      <c r="G107" s="65"/>
      <c r="H107" s="65"/>
      <c r="I107" s="64">
        <f t="shared" si="39"/>
        <v>2200</v>
      </c>
      <c r="J107" s="66">
        <v>2200</v>
      </c>
      <c r="K107" s="66"/>
      <c r="L107" s="66"/>
      <c r="M107" s="104">
        <f t="shared" si="52"/>
        <v>8.7999999999999989</v>
      </c>
      <c r="N107" s="104">
        <f t="shared" si="53"/>
        <v>8.7999999999999989</v>
      </c>
      <c r="O107" s="104"/>
      <c r="P107" s="104"/>
    </row>
    <row r="108" spans="1:16" s="39" customFormat="1" ht="36" x14ac:dyDescent="0.3">
      <c r="A108" s="20" t="s">
        <v>268</v>
      </c>
      <c r="B108" s="20" t="s">
        <v>9</v>
      </c>
      <c r="C108" s="20" t="s">
        <v>5</v>
      </c>
      <c r="D108" s="21" t="s">
        <v>102</v>
      </c>
      <c r="E108" s="64">
        <f t="shared" si="40"/>
        <v>99000</v>
      </c>
      <c r="F108" s="65">
        <v>99000</v>
      </c>
      <c r="G108" s="65"/>
      <c r="H108" s="65"/>
      <c r="I108" s="64">
        <f t="shared" si="39"/>
        <v>7485</v>
      </c>
      <c r="J108" s="66">
        <v>7485</v>
      </c>
      <c r="K108" s="66"/>
      <c r="L108" s="66"/>
      <c r="M108" s="104">
        <f t="shared" si="52"/>
        <v>7.5606060606060606</v>
      </c>
      <c r="N108" s="104">
        <f t="shared" si="53"/>
        <v>7.5606060606060606</v>
      </c>
      <c r="O108" s="104"/>
      <c r="P108" s="104"/>
    </row>
    <row r="109" spans="1:16" s="39" customFormat="1" ht="18" x14ac:dyDescent="0.3">
      <c r="A109" s="20" t="s">
        <v>139</v>
      </c>
      <c r="B109" s="20" t="s">
        <v>138</v>
      </c>
      <c r="C109" s="20" t="s">
        <v>118</v>
      </c>
      <c r="D109" s="21" t="s">
        <v>119</v>
      </c>
      <c r="E109" s="64">
        <f t="shared" si="40"/>
        <v>30000</v>
      </c>
      <c r="F109" s="65">
        <v>30000</v>
      </c>
      <c r="G109" s="65"/>
      <c r="H109" s="65"/>
      <c r="I109" s="64">
        <f t="shared" si="39"/>
        <v>0</v>
      </c>
      <c r="J109" s="66">
        <v>0</v>
      </c>
      <c r="K109" s="66"/>
      <c r="L109" s="66"/>
      <c r="M109" s="104">
        <f t="shared" si="52"/>
        <v>0</v>
      </c>
      <c r="N109" s="104">
        <f t="shared" si="53"/>
        <v>0</v>
      </c>
      <c r="O109" s="104"/>
      <c r="P109" s="104"/>
    </row>
    <row r="110" spans="1:16" s="39" customFormat="1" ht="36" x14ac:dyDescent="0.3">
      <c r="A110" s="28">
        <v>1216011</v>
      </c>
      <c r="B110" s="28">
        <v>6011</v>
      </c>
      <c r="C110" s="25" t="s">
        <v>285</v>
      </c>
      <c r="D110" s="29" t="s">
        <v>99</v>
      </c>
      <c r="E110" s="64">
        <f t="shared" si="40"/>
        <v>4348556</v>
      </c>
      <c r="F110" s="65">
        <v>319069</v>
      </c>
      <c r="G110" s="65">
        <v>4029487</v>
      </c>
      <c r="H110" s="65">
        <v>4029487</v>
      </c>
      <c r="I110" s="64">
        <f t="shared" si="39"/>
        <v>9246.6</v>
      </c>
      <c r="J110" s="66"/>
      <c r="K110" s="66">
        <v>9246.6</v>
      </c>
      <c r="L110" s="66">
        <v>9246.6</v>
      </c>
      <c r="M110" s="104">
        <f t="shared" si="52"/>
        <v>0.21263610265108693</v>
      </c>
      <c r="N110" s="104">
        <f t="shared" si="53"/>
        <v>0</v>
      </c>
      <c r="O110" s="104">
        <f t="shared" si="54"/>
        <v>0.22947337961383174</v>
      </c>
      <c r="P110" s="104">
        <f t="shared" si="58"/>
        <v>0.22947337961383174</v>
      </c>
    </row>
    <row r="111" spans="1:16" s="39" customFormat="1" ht="36" x14ac:dyDescent="0.3">
      <c r="A111" s="20" t="s">
        <v>121</v>
      </c>
      <c r="B111" s="20" t="s">
        <v>120</v>
      </c>
      <c r="C111" s="20" t="s">
        <v>8</v>
      </c>
      <c r="D111" s="21" t="s">
        <v>122</v>
      </c>
      <c r="E111" s="64">
        <f t="shared" si="40"/>
        <v>795000</v>
      </c>
      <c r="F111" s="65">
        <v>300000</v>
      </c>
      <c r="G111" s="65">
        <v>495000</v>
      </c>
      <c r="H111" s="65">
        <v>495000</v>
      </c>
      <c r="I111" s="64">
        <f t="shared" si="39"/>
        <v>35060.639999999999</v>
      </c>
      <c r="J111" s="66">
        <v>0</v>
      </c>
      <c r="K111" s="66">
        <v>35060.639999999999</v>
      </c>
      <c r="L111" s="66">
        <f>K111</f>
        <v>35060.639999999999</v>
      </c>
      <c r="M111" s="104">
        <f t="shared" si="52"/>
        <v>4.4101433962264149</v>
      </c>
      <c r="N111" s="104">
        <f t="shared" si="53"/>
        <v>0</v>
      </c>
      <c r="O111" s="104">
        <f t="shared" si="54"/>
        <v>7.0829575757575753</v>
      </c>
      <c r="P111" s="104">
        <f t="shared" si="58"/>
        <v>7.0829575757575753</v>
      </c>
    </row>
    <row r="112" spans="1:16" s="39" customFormat="1" ht="36" x14ac:dyDescent="0.3">
      <c r="A112" s="20" t="s">
        <v>153</v>
      </c>
      <c r="B112" s="20" t="s">
        <v>154</v>
      </c>
      <c r="C112" s="20" t="s">
        <v>8</v>
      </c>
      <c r="D112" s="21" t="s">
        <v>269</v>
      </c>
      <c r="E112" s="64">
        <f t="shared" si="40"/>
        <v>1493000</v>
      </c>
      <c r="F112" s="65">
        <v>1493000</v>
      </c>
      <c r="G112" s="65"/>
      <c r="H112" s="65"/>
      <c r="I112" s="64">
        <f t="shared" si="39"/>
        <v>300051.58</v>
      </c>
      <c r="J112" s="66">
        <v>300051.58</v>
      </c>
      <c r="K112" s="66"/>
      <c r="L112" s="66"/>
      <c r="M112" s="104">
        <f t="shared" si="52"/>
        <v>20.097225720026792</v>
      </c>
      <c r="N112" s="104">
        <f t="shared" si="53"/>
        <v>20.097225720026792</v>
      </c>
      <c r="O112" s="104"/>
      <c r="P112" s="104"/>
    </row>
    <row r="113" spans="1:18" s="42" customFormat="1" ht="18" x14ac:dyDescent="0.3">
      <c r="A113" s="20" t="s">
        <v>89</v>
      </c>
      <c r="B113" s="20" t="s">
        <v>40</v>
      </c>
      <c r="C113" s="20" t="s">
        <v>8</v>
      </c>
      <c r="D113" s="21" t="s">
        <v>240</v>
      </c>
      <c r="E113" s="64">
        <f t="shared" si="40"/>
        <v>75400700</v>
      </c>
      <c r="F113" s="65">
        <f>34995000+19050000+20480200</f>
        <v>74525200</v>
      </c>
      <c r="G113" s="65">
        <f>839500+36000</f>
        <v>875500</v>
      </c>
      <c r="H113" s="65">
        <v>875500</v>
      </c>
      <c r="I113" s="64">
        <f t="shared" si="39"/>
        <v>13457388.99</v>
      </c>
      <c r="J113" s="66">
        <f>6110963.75+3285660.66+4060764.58</f>
        <v>13457388.99</v>
      </c>
      <c r="K113" s="66"/>
      <c r="L113" s="66"/>
      <c r="M113" s="104">
        <f t="shared" si="52"/>
        <v>17.84783031192018</v>
      </c>
      <c r="N113" s="104">
        <f t="shared" si="53"/>
        <v>18.057501341828001</v>
      </c>
      <c r="O113" s="104">
        <f t="shared" si="54"/>
        <v>0</v>
      </c>
      <c r="P113" s="104">
        <f t="shared" si="58"/>
        <v>0</v>
      </c>
    </row>
    <row r="114" spans="1:18" s="39" customFormat="1" ht="54" x14ac:dyDescent="0.3">
      <c r="A114" s="20" t="s">
        <v>123</v>
      </c>
      <c r="B114" s="20" t="s">
        <v>97</v>
      </c>
      <c r="C114" s="20" t="s">
        <v>41</v>
      </c>
      <c r="D114" s="21" t="s">
        <v>98</v>
      </c>
      <c r="E114" s="64">
        <f t="shared" si="40"/>
        <v>25700000</v>
      </c>
      <c r="F114" s="65">
        <v>25700000</v>
      </c>
      <c r="G114" s="65"/>
      <c r="H114" s="65"/>
      <c r="I114" s="64">
        <f t="shared" si="39"/>
        <v>7095247.2000000002</v>
      </c>
      <c r="J114" s="66">
        <v>7095247.2000000002</v>
      </c>
      <c r="K114" s="66"/>
      <c r="L114" s="66"/>
      <c r="M114" s="104">
        <f t="shared" si="52"/>
        <v>27.607965758754865</v>
      </c>
      <c r="N114" s="104">
        <f t="shared" si="53"/>
        <v>27.607965758754865</v>
      </c>
      <c r="O114" s="104"/>
      <c r="P114" s="104"/>
    </row>
    <row r="115" spans="1:18" s="39" customFormat="1" ht="162" x14ac:dyDescent="0.3">
      <c r="A115" s="24">
        <v>1217691</v>
      </c>
      <c r="B115" s="24">
        <v>7691</v>
      </c>
      <c r="C115" s="25" t="s">
        <v>22</v>
      </c>
      <c r="D115" s="21" t="s">
        <v>156</v>
      </c>
      <c r="E115" s="64">
        <f t="shared" si="40"/>
        <v>393146</v>
      </c>
      <c r="F115" s="65"/>
      <c r="G115" s="65">
        <v>393146</v>
      </c>
      <c r="H115" s="65"/>
      <c r="I115" s="64">
        <f t="shared" si="39"/>
        <v>4923.03</v>
      </c>
      <c r="J115" s="66"/>
      <c r="K115" s="66">
        <v>4923.03</v>
      </c>
      <c r="L115" s="66"/>
      <c r="M115" s="104">
        <f t="shared" si="52"/>
        <v>1.2522141901481891</v>
      </c>
      <c r="N115" s="104"/>
      <c r="O115" s="104">
        <f t="shared" ref="O115" si="60">K115/G115*100</f>
        <v>1.2522141901481891</v>
      </c>
      <c r="P115" s="104"/>
    </row>
    <row r="116" spans="1:18" s="39" customFormat="1" ht="24" customHeight="1" x14ac:dyDescent="0.3">
      <c r="A116" s="24">
        <v>1217693</v>
      </c>
      <c r="B116" s="20" t="s">
        <v>136</v>
      </c>
      <c r="C116" s="20" t="s">
        <v>22</v>
      </c>
      <c r="D116" s="21" t="s">
        <v>270</v>
      </c>
      <c r="E116" s="64">
        <f t="shared" si="40"/>
        <v>34769300</v>
      </c>
      <c r="F116" s="65">
        <f>3115000+18000000+13654300</f>
        <v>34769300</v>
      </c>
      <c r="G116" s="65"/>
      <c r="H116" s="65"/>
      <c r="I116" s="64">
        <f t="shared" si="39"/>
        <v>28345583.629999999</v>
      </c>
      <c r="J116" s="66">
        <f>591283.63+18000000+9754300</f>
        <v>28345583.629999999</v>
      </c>
      <c r="K116" s="66"/>
      <c r="L116" s="66"/>
      <c r="M116" s="104">
        <f t="shared" si="52"/>
        <v>81.524746342319233</v>
      </c>
      <c r="N116" s="104">
        <f t="shared" si="53"/>
        <v>81.524746342319233</v>
      </c>
      <c r="O116" s="104"/>
      <c r="P116" s="104"/>
    </row>
    <row r="117" spans="1:18" s="38" customFormat="1" ht="40.799999999999997" customHeight="1" x14ac:dyDescent="0.3">
      <c r="A117" s="24">
        <v>1218110</v>
      </c>
      <c r="B117" s="24">
        <v>8110</v>
      </c>
      <c r="C117" s="25" t="s">
        <v>4</v>
      </c>
      <c r="D117" s="21" t="s">
        <v>137</v>
      </c>
      <c r="E117" s="64">
        <f t="shared" si="40"/>
        <v>1446241</v>
      </c>
      <c r="F117" s="65">
        <f>1290741+155500</f>
        <v>1446241</v>
      </c>
      <c r="G117" s="65"/>
      <c r="H117" s="65"/>
      <c r="I117" s="64">
        <f t="shared" si="39"/>
        <v>613161.41999999993</v>
      </c>
      <c r="J117" s="70">
        <f>457661.42+155500</f>
        <v>613161.41999999993</v>
      </c>
      <c r="K117" s="70"/>
      <c r="L117" s="70"/>
      <c r="M117" s="104">
        <f t="shared" si="52"/>
        <v>42.396904803556254</v>
      </c>
      <c r="N117" s="104">
        <f t="shared" si="53"/>
        <v>42.396904803556254</v>
      </c>
      <c r="O117" s="104"/>
      <c r="P117" s="104"/>
    </row>
    <row r="118" spans="1:18" s="38" customFormat="1" ht="18" x14ac:dyDescent="0.3">
      <c r="A118" s="24">
        <v>1218240</v>
      </c>
      <c r="B118" s="24">
        <v>8240</v>
      </c>
      <c r="C118" s="26" t="s">
        <v>160</v>
      </c>
      <c r="D118" s="27" t="s">
        <v>247</v>
      </c>
      <c r="E118" s="64">
        <f t="shared" si="40"/>
        <v>12700</v>
      </c>
      <c r="F118" s="65">
        <v>12700</v>
      </c>
      <c r="G118" s="65"/>
      <c r="H118" s="65"/>
      <c r="I118" s="64">
        <f t="shared" si="39"/>
        <v>4006</v>
      </c>
      <c r="J118" s="70">
        <v>4006</v>
      </c>
      <c r="K118" s="70"/>
      <c r="L118" s="70"/>
      <c r="M118" s="104">
        <f t="shared" si="52"/>
        <v>31.543307086614174</v>
      </c>
      <c r="N118" s="104">
        <f t="shared" si="53"/>
        <v>31.543307086614174</v>
      </c>
      <c r="O118" s="104"/>
      <c r="P118" s="104"/>
    </row>
    <row r="119" spans="1:18" s="45" customFormat="1" ht="36" x14ac:dyDescent="0.3">
      <c r="A119" s="20" t="s">
        <v>129</v>
      </c>
      <c r="B119" s="20" t="s">
        <v>126</v>
      </c>
      <c r="C119" s="20" t="s">
        <v>42</v>
      </c>
      <c r="D119" s="21" t="s">
        <v>135</v>
      </c>
      <c r="E119" s="64">
        <f t="shared" si="40"/>
        <v>250000</v>
      </c>
      <c r="F119" s="65"/>
      <c r="G119" s="65">
        <f>150000+100000</f>
        <v>250000</v>
      </c>
      <c r="H119" s="65"/>
      <c r="I119" s="64">
        <f t="shared" si="39"/>
        <v>0</v>
      </c>
      <c r="J119" s="70"/>
      <c r="K119" s="70"/>
      <c r="L119" s="73"/>
      <c r="M119" s="104">
        <f t="shared" si="52"/>
        <v>0</v>
      </c>
      <c r="N119" s="104"/>
      <c r="O119" s="104">
        <f t="shared" si="54"/>
        <v>0</v>
      </c>
      <c r="P119" s="104"/>
    </row>
    <row r="120" spans="1:18" s="41" customFormat="1" ht="52.2" x14ac:dyDescent="0.3">
      <c r="A120" s="18" t="s">
        <v>27</v>
      </c>
      <c r="B120" s="18" t="s">
        <v>231</v>
      </c>
      <c r="C120" s="18" t="s">
        <v>231</v>
      </c>
      <c r="D120" s="19" t="s">
        <v>271</v>
      </c>
      <c r="E120" s="62">
        <f t="shared" si="40"/>
        <v>115496166</v>
      </c>
      <c r="F120" s="63">
        <f>F121</f>
        <v>4485000</v>
      </c>
      <c r="G120" s="63">
        <f t="shared" ref="G120:L120" si="61">G121</f>
        <v>111011166</v>
      </c>
      <c r="H120" s="63">
        <f t="shared" si="61"/>
        <v>111011166</v>
      </c>
      <c r="I120" s="63">
        <f t="shared" si="61"/>
        <v>12797559.77</v>
      </c>
      <c r="J120" s="63">
        <f>J121</f>
        <v>888682.73</v>
      </c>
      <c r="K120" s="63">
        <f t="shared" si="61"/>
        <v>11908877.039999999</v>
      </c>
      <c r="L120" s="63">
        <f t="shared" si="61"/>
        <v>11908877.039999999</v>
      </c>
      <c r="M120" s="109">
        <f t="shared" si="52"/>
        <v>11.080506144247247</v>
      </c>
      <c r="N120" s="109">
        <f t="shared" si="53"/>
        <v>19.814553623188406</v>
      </c>
      <c r="O120" s="109">
        <f t="shared" si="54"/>
        <v>10.727638911566787</v>
      </c>
      <c r="P120" s="109">
        <f t="shared" si="58"/>
        <v>10.727638911566787</v>
      </c>
      <c r="Q120" s="45"/>
      <c r="R120" s="47"/>
    </row>
    <row r="121" spans="1:18" s="41" customFormat="1" ht="52.2" x14ac:dyDescent="0.3">
      <c r="A121" s="18" t="s">
        <v>28</v>
      </c>
      <c r="B121" s="18" t="s">
        <v>231</v>
      </c>
      <c r="C121" s="18" t="s">
        <v>231</v>
      </c>
      <c r="D121" s="19" t="s">
        <v>271</v>
      </c>
      <c r="E121" s="62">
        <f t="shared" si="40"/>
        <v>115496166</v>
      </c>
      <c r="F121" s="63">
        <f t="shared" ref="F121:L121" si="62">SUM(F122:F133)</f>
        <v>4485000</v>
      </c>
      <c r="G121" s="63">
        <f t="shared" si="62"/>
        <v>111011166</v>
      </c>
      <c r="H121" s="63">
        <f t="shared" si="62"/>
        <v>111011166</v>
      </c>
      <c r="I121" s="63">
        <f t="shared" si="62"/>
        <v>12797559.77</v>
      </c>
      <c r="J121" s="63">
        <f t="shared" si="62"/>
        <v>888682.73</v>
      </c>
      <c r="K121" s="63">
        <f t="shared" si="62"/>
        <v>11908877.039999999</v>
      </c>
      <c r="L121" s="63">
        <f t="shared" si="62"/>
        <v>11908877.039999999</v>
      </c>
      <c r="M121" s="109">
        <f t="shared" si="52"/>
        <v>11.080506144247247</v>
      </c>
      <c r="N121" s="109">
        <f t="shared" si="53"/>
        <v>19.814553623188406</v>
      </c>
      <c r="O121" s="109">
        <f t="shared" si="54"/>
        <v>10.727638911566787</v>
      </c>
      <c r="P121" s="109">
        <f t="shared" si="58"/>
        <v>10.727638911566787</v>
      </c>
      <c r="Q121" s="45"/>
      <c r="R121" s="47"/>
    </row>
    <row r="122" spans="1:18" s="41" customFormat="1" ht="54" x14ac:dyDescent="0.3">
      <c r="A122" s="20" t="s">
        <v>90</v>
      </c>
      <c r="B122" s="20" t="s">
        <v>56</v>
      </c>
      <c r="C122" s="20" t="s">
        <v>2</v>
      </c>
      <c r="D122" s="21" t="s">
        <v>248</v>
      </c>
      <c r="E122" s="64">
        <f t="shared" si="40"/>
        <v>4386000</v>
      </c>
      <c r="F122" s="65">
        <v>4386000</v>
      </c>
      <c r="G122" s="65"/>
      <c r="H122" s="65"/>
      <c r="I122" s="64">
        <f t="shared" si="39"/>
        <v>858742.73</v>
      </c>
      <c r="J122" s="66">
        <v>858742.73</v>
      </c>
      <c r="K122" s="66">
        <v>0</v>
      </c>
      <c r="L122" s="66">
        <v>0</v>
      </c>
      <c r="M122" s="104">
        <f t="shared" si="52"/>
        <v>19.579177610579116</v>
      </c>
      <c r="N122" s="104">
        <f t="shared" si="53"/>
        <v>19.579177610579116</v>
      </c>
      <c r="O122" s="104"/>
      <c r="P122" s="104"/>
      <c r="Q122" s="45"/>
      <c r="R122" s="47"/>
    </row>
    <row r="123" spans="1:18" s="41" customFormat="1" ht="36" x14ac:dyDescent="0.3">
      <c r="A123" s="20" t="s">
        <v>272</v>
      </c>
      <c r="B123" s="20" t="s">
        <v>9</v>
      </c>
      <c r="C123" s="20" t="s">
        <v>5</v>
      </c>
      <c r="D123" s="21" t="s">
        <v>102</v>
      </c>
      <c r="E123" s="64">
        <f t="shared" si="40"/>
        <v>99000</v>
      </c>
      <c r="F123" s="65">
        <v>99000</v>
      </c>
      <c r="G123" s="65"/>
      <c r="H123" s="65"/>
      <c r="I123" s="64">
        <f t="shared" si="39"/>
        <v>29940</v>
      </c>
      <c r="J123" s="66">
        <v>29940</v>
      </c>
      <c r="K123" s="66"/>
      <c r="L123" s="66"/>
      <c r="M123" s="104">
        <f t="shared" si="52"/>
        <v>30.242424242424242</v>
      </c>
      <c r="N123" s="104">
        <f t="shared" si="53"/>
        <v>30.242424242424242</v>
      </c>
      <c r="O123" s="104"/>
      <c r="P123" s="104"/>
      <c r="Q123" s="45"/>
      <c r="R123" s="47"/>
    </row>
    <row r="124" spans="1:18" s="41" customFormat="1" ht="36" x14ac:dyDescent="0.3">
      <c r="A124" s="24">
        <v>1512010</v>
      </c>
      <c r="B124" s="24">
        <v>2010</v>
      </c>
      <c r="C124" s="25" t="s">
        <v>31</v>
      </c>
      <c r="D124" s="21" t="s">
        <v>155</v>
      </c>
      <c r="E124" s="64">
        <f t="shared" si="40"/>
        <v>1205627</v>
      </c>
      <c r="F124" s="63"/>
      <c r="G124" s="65">
        <v>1205627</v>
      </c>
      <c r="H124" s="65">
        <v>1205627</v>
      </c>
      <c r="I124" s="64">
        <f t="shared" si="39"/>
        <v>495522.15</v>
      </c>
      <c r="J124" s="66"/>
      <c r="K124" s="66">
        <f>L124</f>
        <v>495522.15</v>
      </c>
      <c r="L124" s="66">
        <v>495522.15</v>
      </c>
      <c r="M124" s="104">
        <f t="shared" si="52"/>
        <v>41.100784073349388</v>
      </c>
      <c r="N124" s="104"/>
      <c r="O124" s="104">
        <f t="shared" si="54"/>
        <v>41.100784073349388</v>
      </c>
      <c r="P124" s="104">
        <f t="shared" si="58"/>
        <v>41.100784073349388</v>
      </c>
      <c r="Q124" s="45"/>
      <c r="R124" s="47"/>
    </row>
    <row r="125" spans="1:18" s="41" customFormat="1" ht="36" x14ac:dyDescent="0.3">
      <c r="A125" s="24">
        <v>1516013</v>
      </c>
      <c r="B125" s="24">
        <v>6013</v>
      </c>
      <c r="C125" s="26" t="s">
        <v>8</v>
      </c>
      <c r="D125" s="21" t="s">
        <v>100</v>
      </c>
      <c r="E125" s="64">
        <f t="shared" si="40"/>
        <v>382750</v>
      </c>
      <c r="F125" s="65"/>
      <c r="G125" s="65">
        <f>H125</f>
        <v>382750</v>
      </c>
      <c r="H125" s="65">
        <v>382750</v>
      </c>
      <c r="I125" s="64">
        <f t="shared" si="39"/>
        <v>382749.55</v>
      </c>
      <c r="J125" s="66"/>
      <c r="K125" s="66">
        <f>L125</f>
        <v>382749.55</v>
      </c>
      <c r="L125" s="66">
        <v>382749.55</v>
      </c>
      <c r="M125" s="104">
        <f t="shared" si="52"/>
        <v>99.999882429784449</v>
      </c>
      <c r="N125" s="104"/>
      <c r="O125" s="104">
        <f t="shared" si="54"/>
        <v>99.999882429784449</v>
      </c>
      <c r="P125" s="104">
        <f t="shared" si="58"/>
        <v>99.999882429784449</v>
      </c>
      <c r="Q125" s="45"/>
      <c r="R125" s="47"/>
    </row>
    <row r="126" spans="1:18" s="41" customFormat="1" ht="36" x14ac:dyDescent="0.3">
      <c r="A126" s="24">
        <v>1516015</v>
      </c>
      <c r="B126" s="20" t="s">
        <v>120</v>
      </c>
      <c r="C126" s="20" t="s">
        <v>8</v>
      </c>
      <c r="D126" s="21" t="s">
        <v>122</v>
      </c>
      <c r="E126" s="64">
        <f t="shared" si="40"/>
        <v>23415217</v>
      </c>
      <c r="F126" s="65"/>
      <c r="G126" s="65">
        <v>23415217</v>
      </c>
      <c r="H126" s="65">
        <v>23415217</v>
      </c>
      <c r="I126" s="64">
        <f t="shared" si="39"/>
        <v>3666824.02</v>
      </c>
      <c r="J126" s="66"/>
      <c r="K126" s="66">
        <v>3666824.02</v>
      </c>
      <c r="L126" s="66">
        <v>3666824.02</v>
      </c>
      <c r="M126" s="104">
        <f t="shared" si="52"/>
        <v>15.660004432160504</v>
      </c>
      <c r="N126" s="104"/>
      <c r="O126" s="104">
        <f t="shared" si="54"/>
        <v>15.660004432160504</v>
      </c>
      <c r="P126" s="104">
        <f t="shared" si="58"/>
        <v>15.660004432160504</v>
      </c>
      <c r="Q126" s="45"/>
      <c r="R126" s="47"/>
    </row>
    <row r="127" spans="1:18" s="41" customFormat="1" ht="72" x14ac:dyDescent="0.3">
      <c r="A127" s="84">
        <v>1516050</v>
      </c>
      <c r="B127" s="83" t="s">
        <v>338</v>
      </c>
      <c r="C127" s="83" t="s">
        <v>8</v>
      </c>
      <c r="D127" s="82" t="s">
        <v>339</v>
      </c>
      <c r="E127" s="64">
        <f t="shared" si="40"/>
        <v>2439154</v>
      </c>
      <c r="F127" s="65"/>
      <c r="G127" s="65">
        <f>1194873+1244281</f>
        <v>2439154</v>
      </c>
      <c r="H127" s="65">
        <f>1194873+1244281</f>
        <v>2439154</v>
      </c>
      <c r="I127" s="64">
        <f t="shared" si="39"/>
        <v>0</v>
      </c>
      <c r="J127" s="66"/>
      <c r="K127" s="66"/>
      <c r="L127" s="66"/>
      <c r="M127" s="104">
        <f t="shared" si="52"/>
        <v>0</v>
      </c>
      <c r="N127" s="104"/>
      <c r="O127" s="104">
        <f t="shared" si="54"/>
        <v>0</v>
      </c>
      <c r="P127" s="104">
        <f t="shared" si="58"/>
        <v>0</v>
      </c>
      <c r="Q127" s="45"/>
      <c r="R127" s="47"/>
    </row>
    <row r="128" spans="1:18" s="41" customFormat="1" ht="36" x14ac:dyDescent="0.3">
      <c r="A128" s="24">
        <v>1517310</v>
      </c>
      <c r="B128" s="24">
        <v>7310</v>
      </c>
      <c r="C128" s="26" t="s">
        <v>125</v>
      </c>
      <c r="D128" s="21" t="s">
        <v>342</v>
      </c>
      <c r="E128" s="64">
        <f t="shared" si="40"/>
        <v>19000000</v>
      </c>
      <c r="F128" s="65"/>
      <c r="G128" s="65">
        <v>19000000</v>
      </c>
      <c r="H128" s="65">
        <v>19000000</v>
      </c>
      <c r="I128" s="64">
        <f t="shared" si="39"/>
        <v>0</v>
      </c>
      <c r="J128" s="66"/>
      <c r="K128" s="66"/>
      <c r="L128" s="66"/>
      <c r="M128" s="104">
        <f t="shared" si="52"/>
        <v>0</v>
      </c>
      <c r="N128" s="104"/>
      <c r="O128" s="104">
        <f t="shared" si="54"/>
        <v>0</v>
      </c>
      <c r="P128" s="104">
        <f t="shared" si="58"/>
        <v>0</v>
      </c>
      <c r="Q128" s="45"/>
      <c r="R128" s="47"/>
    </row>
    <row r="129" spans="1:18" s="41" customFormat="1" ht="18" x14ac:dyDescent="0.3">
      <c r="A129" s="24">
        <v>1517321</v>
      </c>
      <c r="B129" s="24">
        <v>7321</v>
      </c>
      <c r="C129" s="26" t="s">
        <v>125</v>
      </c>
      <c r="D129" s="21" t="s">
        <v>343</v>
      </c>
      <c r="E129" s="64">
        <f t="shared" si="40"/>
        <v>202660</v>
      </c>
      <c r="F129" s="65"/>
      <c r="G129" s="65">
        <v>202660</v>
      </c>
      <c r="H129" s="65">
        <v>202660</v>
      </c>
      <c r="I129" s="64">
        <f t="shared" si="39"/>
        <v>0</v>
      </c>
      <c r="J129" s="66"/>
      <c r="K129" s="66"/>
      <c r="L129" s="66"/>
      <c r="M129" s="104">
        <f t="shared" si="52"/>
        <v>0</v>
      </c>
      <c r="N129" s="104"/>
      <c r="O129" s="104">
        <f t="shared" si="54"/>
        <v>0</v>
      </c>
      <c r="P129" s="104">
        <f t="shared" si="58"/>
        <v>0</v>
      </c>
      <c r="Q129" s="45"/>
      <c r="R129" s="47"/>
    </row>
    <row r="130" spans="1:18" s="41" customFormat="1" ht="36" x14ac:dyDescent="0.3">
      <c r="A130" s="26" t="s">
        <v>324</v>
      </c>
      <c r="B130" s="26" t="s">
        <v>325</v>
      </c>
      <c r="C130" s="26" t="s">
        <v>22</v>
      </c>
      <c r="D130" s="21" t="s">
        <v>326</v>
      </c>
      <c r="E130" s="64">
        <f t="shared" ref="E130" si="63">F130+G130</f>
        <v>26491442</v>
      </c>
      <c r="F130" s="65"/>
      <c r="G130" s="65">
        <v>26491442</v>
      </c>
      <c r="H130" s="65">
        <v>26491442</v>
      </c>
      <c r="I130" s="64">
        <f t="shared" ref="I130" si="64">J130+K130</f>
        <v>0</v>
      </c>
      <c r="J130" s="66"/>
      <c r="K130" s="66"/>
      <c r="L130" s="66"/>
      <c r="M130" s="104">
        <f t="shared" si="52"/>
        <v>0</v>
      </c>
      <c r="N130" s="104"/>
      <c r="O130" s="104">
        <f t="shared" si="54"/>
        <v>0</v>
      </c>
      <c r="P130" s="104">
        <f t="shared" si="58"/>
        <v>0</v>
      </c>
      <c r="Q130" s="45"/>
      <c r="R130" s="47"/>
    </row>
    <row r="131" spans="1:18" s="41" customFormat="1" ht="36" x14ac:dyDescent="0.3">
      <c r="A131" s="24">
        <v>1517370</v>
      </c>
      <c r="B131" s="24">
        <v>7370</v>
      </c>
      <c r="C131" s="26" t="s">
        <v>22</v>
      </c>
      <c r="D131" s="21" t="s">
        <v>124</v>
      </c>
      <c r="E131" s="64">
        <f t="shared" ref="E131:E158" si="65">F131+G131</f>
        <v>7820447</v>
      </c>
      <c r="F131" s="65"/>
      <c r="G131" s="65">
        <f>155676+7664771</f>
        <v>7820447</v>
      </c>
      <c r="H131" s="65">
        <f>155676+7664771</f>
        <v>7820447</v>
      </c>
      <c r="I131" s="64">
        <f t="shared" si="39"/>
        <v>0</v>
      </c>
      <c r="J131" s="66">
        <v>0</v>
      </c>
      <c r="K131" s="66"/>
      <c r="L131" s="66"/>
      <c r="M131" s="104">
        <f t="shared" si="52"/>
        <v>0</v>
      </c>
      <c r="N131" s="104"/>
      <c r="O131" s="104">
        <f t="shared" si="54"/>
        <v>0</v>
      </c>
      <c r="P131" s="104">
        <f t="shared" si="58"/>
        <v>0</v>
      </c>
      <c r="Q131" s="45"/>
      <c r="R131" s="47"/>
    </row>
    <row r="132" spans="1:18" s="45" customFormat="1" ht="18" x14ac:dyDescent="0.3">
      <c r="A132" s="24">
        <v>1517640</v>
      </c>
      <c r="B132" s="24">
        <v>7640</v>
      </c>
      <c r="C132" s="26" t="s">
        <v>6</v>
      </c>
      <c r="D132" s="21" t="s">
        <v>7</v>
      </c>
      <c r="E132" s="64">
        <f t="shared" si="65"/>
        <v>7720091</v>
      </c>
      <c r="F132" s="65"/>
      <c r="G132" s="65">
        <v>7720091</v>
      </c>
      <c r="H132" s="65">
        <v>7720091</v>
      </c>
      <c r="I132" s="64">
        <f t="shared" ref="I132:I158" si="66">J132+K132</f>
        <v>2061516.82</v>
      </c>
      <c r="J132" s="70"/>
      <c r="K132" s="70">
        <v>2061516.82</v>
      </c>
      <c r="L132" s="70">
        <v>2061516.82</v>
      </c>
      <c r="M132" s="104">
        <f t="shared" ref="M132:M133" si="67">I132/E132*100</f>
        <v>26.703270984759119</v>
      </c>
      <c r="N132" s="104"/>
      <c r="O132" s="104">
        <f t="shared" si="54"/>
        <v>26.703270984759119</v>
      </c>
      <c r="P132" s="104">
        <f t="shared" si="58"/>
        <v>26.703270984759119</v>
      </c>
      <c r="R132" s="47"/>
    </row>
    <row r="133" spans="1:18" s="41" customFormat="1" ht="54" x14ac:dyDescent="0.3">
      <c r="A133" s="25" t="s">
        <v>281</v>
      </c>
      <c r="B133" s="24">
        <v>8110</v>
      </c>
      <c r="C133" s="26" t="s">
        <v>4</v>
      </c>
      <c r="D133" s="21" t="s">
        <v>137</v>
      </c>
      <c r="E133" s="64">
        <f t="shared" si="65"/>
        <v>22333778</v>
      </c>
      <c r="F133" s="65"/>
      <c r="G133" s="65">
        <f>7105844+15227934</f>
        <v>22333778</v>
      </c>
      <c r="H133" s="65">
        <f>7105844+15227934</f>
        <v>22333778</v>
      </c>
      <c r="I133" s="64">
        <f t="shared" si="66"/>
        <v>5302264.5</v>
      </c>
      <c r="J133" s="70"/>
      <c r="K133" s="70">
        <f>488054+4814210.5</f>
        <v>5302264.5</v>
      </c>
      <c r="L133" s="70">
        <f>488054+4814210.5</f>
        <v>5302264.5</v>
      </c>
      <c r="M133" s="104">
        <f t="shared" si="67"/>
        <v>23.741010141678672</v>
      </c>
      <c r="N133" s="104"/>
      <c r="O133" s="104">
        <f t="shared" si="54"/>
        <v>23.741010141678672</v>
      </c>
      <c r="P133" s="104">
        <f t="shared" si="58"/>
        <v>23.741010141678672</v>
      </c>
      <c r="Q133" s="45"/>
      <c r="R133" s="47"/>
    </row>
    <row r="134" spans="1:18" s="39" customFormat="1" ht="76.95" customHeight="1" x14ac:dyDescent="0.3">
      <c r="A134" s="18" t="s">
        <v>91</v>
      </c>
      <c r="B134" s="18" t="s">
        <v>231</v>
      </c>
      <c r="C134" s="18" t="s">
        <v>231</v>
      </c>
      <c r="D134" s="19" t="s">
        <v>273</v>
      </c>
      <c r="E134" s="62">
        <f t="shared" si="65"/>
        <v>24199100</v>
      </c>
      <c r="F134" s="63">
        <f>F135</f>
        <v>24199100</v>
      </c>
      <c r="G134" s="63">
        <f t="shared" ref="G134:H134" si="68">G135</f>
        <v>0</v>
      </c>
      <c r="H134" s="63">
        <f t="shared" si="68"/>
        <v>0</v>
      </c>
      <c r="I134" s="62">
        <f t="shared" si="66"/>
        <v>4417983.4899999993</v>
      </c>
      <c r="J134" s="73">
        <f>J135</f>
        <v>4417983.4899999993</v>
      </c>
      <c r="K134" s="73">
        <f>K135</f>
        <v>0</v>
      </c>
      <c r="L134" s="73">
        <f>L135</f>
        <v>0</v>
      </c>
      <c r="M134" s="109">
        <f t="shared" ref="M134:M170" si="69">I134/E134*100</f>
        <v>18.256809096206052</v>
      </c>
      <c r="N134" s="109">
        <f t="shared" ref="N134:N170" si="70">J134/F134*100</f>
        <v>18.256809096206052</v>
      </c>
      <c r="O134" s="109"/>
      <c r="P134" s="109"/>
    </row>
    <row r="135" spans="1:18" s="39" customFormat="1" ht="76.95" customHeight="1" x14ac:dyDescent="0.3">
      <c r="A135" s="18" t="s">
        <v>92</v>
      </c>
      <c r="B135" s="18" t="s">
        <v>231</v>
      </c>
      <c r="C135" s="18" t="s">
        <v>231</v>
      </c>
      <c r="D135" s="19" t="s">
        <v>273</v>
      </c>
      <c r="E135" s="62">
        <f t="shared" si="65"/>
        <v>24199100</v>
      </c>
      <c r="F135" s="63">
        <f t="shared" ref="F135:L135" si="71">SUM(F136:F142)</f>
        <v>24199100</v>
      </c>
      <c r="G135" s="63">
        <f t="shared" si="71"/>
        <v>0</v>
      </c>
      <c r="H135" s="63">
        <f t="shared" si="71"/>
        <v>0</v>
      </c>
      <c r="I135" s="63">
        <f t="shared" si="71"/>
        <v>4417983.4899999993</v>
      </c>
      <c r="J135" s="63">
        <f t="shared" si="71"/>
        <v>4417983.4899999993</v>
      </c>
      <c r="K135" s="63">
        <f t="shared" si="71"/>
        <v>0</v>
      </c>
      <c r="L135" s="63">
        <f t="shared" si="71"/>
        <v>0</v>
      </c>
      <c r="M135" s="109">
        <f t="shared" si="69"/>
        <v>18.256809096206052</v>
      </c>
      <c r="N135" s="109">
        <f t="shared" si="70"/>
        <v>18.256809096206052</v>
      </c>
      <c r="O135" s="109"/>
      <c r="P135" s="109"/>
    </row>
    <row r="136" spans="1:18" s="39" customFormat="1" ht="66" customHeight="1" x14ac:dyDescent="0.3">
      <c r="A136" s="20" t="s">
        <v>93</v>
      </c>
      <c r="B136" s="20" t="s">
        <v>56</v>
      </c>
      <c r="C136" s="20" t="s">
        <v>2</v>
      </c>
      <c r="D136" s="21" t="s">
        <v>248</v>
      </c>
      <c r="E136" s="64">
        <f t="shared" si="65"/>
        <v>3762800</v>
      </c>
      <c r="F136" s="65">
        <v>3762800</v>
      </c>
      <c r="G136" s="65"/>
      <c r="H136" s="65"/>
      <c r="I136" s="64">
        <f t="shared" si="66"/>
        <v>745548.09</v>
      </c>
      <c r="J136" s="70">
        <v>745548.09</v>
      </c>
      <c r="K136" s="70"/>
      <c r="L136" s="70"/>
      <c r="M136" s="104">
        <f t="shared" si="69"/>
        <v>19.813651801849687</v>
      </c>
      <c r="N136" s="104">
        <f t="shared" si="70"/>
        <v>19.813651801849687</v>
      </c>
      <c r="O136" s="104"/>
      <c r="P136" s="104"/>
    </row>
    <row r="137" spans="1:18" s="38" customFormat="1" ht="36" x14ac:dyDescent="0.3">
      <c r="A137" s="20" t="s">
        <v>101</v>
      </c>
      <c r="B137" s="20" t="s">
        <v>9</v>
      </c>
      <c r="C137" s="20" t="s">
        <v>5</v>
      </c>
      <c r="D137" s="21" t="s">
        <v>102</v>
      </c>
      <c r="E137" s="64">
        <f t="shared" si="65"/>
        <v>159000</v>
      </c>
      <c r="F137" s="65">
        <v>159000</v>
      </c>
      <c r="G137" s="65"/>
      <c r="H137" s="65"/>
      <c r="I137" s="64">
        <f t="shared" si="66"/>
        <v>0</v>
      </c>
      <c r="J137" s="70">
        <v>0</v>
      </c>
      <c r="K137" s="70"/>
      <c r="L137" s="70"/>
      <c r="M137" s="104">
        <f t="shared" si="69"/>
        <v>0</v>
      </c>
      <c r="N137" s="104">
        <f t="shared" si="70"/>
        <v>0</v>
      </c>
      <c r="O137" s="104"/>
      <c r="P137" s="104"/>
    </row>
    <row r="138" spans="1:18" s="38" customFormat="1" ht="36" x14ac:dyDescent="0.3">
      <c r="A138" s="20" t="s">
        <v>185</v>
      </c>
      <c r="B138" s="20" t="s">
        <v>154</v>
      </c>
      <c r="C138" s="20" t="s">
        <v>8</v>
      </c>
      <c r="D138" s="21" t="s">
        <v>269</v>
      </c>
      <c r="E138" s="64">
        <f t="shared" si="65"/>
        <v>146000</v>
      </c>
      <c r="F138" s="65">
        <v>146000</v>
      </c>
      <c r="G138" s="65"/>
      <c r="H138" s="65"/>
      <c r="I138" s="64">
        <f t="shared" si="66"/>
        <v>41534.74</v>
      </c>
      <c r="J138" s="70">
        <v>41534.74</v>
      </c>
      <c r="K138" s="70"/>
      <c r="L138" s="70"/>
      <c r="M138" s="104">
        <f t="shared" si="69"/>
        <v>28.448452054794522</v>
      </c>
      <c r="N138" s="104">
        <f t="shared" si="70"/>
        <v>28.448452054794522</v>
      </c>
      <c r="O138" s="104"/>
      <c r="P138" s="104"/>
    </row>
    <row r="139" spans="1:18" s="38" customFormat="1" ht="18" x14ac:dyDescent="0.3">
      <c r="A139" s="20" t="s">
        <v>294</v>
      </c>
      <c r="B139" s="20" t="s">
        <v>295</v>
      </c>
      <c r="C139" s="20" t="s">
        <v>296</v>
      </c>
      <c r="D139" s="21" t="s">
        <v>297</v>
      </c>
      <c r="E139" s="64">
        <f t="shared" si="65"/>
        <v>200000</v>
      </c>
      <c r="F139" s="65">
        <v>200000</v>
      </c>
      <c r="G139" s="65"/>
      <c r="H139" s="65"/>
      <c r="I139" s="64">
        <f t="shared" si="66"/>
        <v>0</v>
      </c>
      <c r="J139" s="70">
        <v>0</v>
      </c>
      <c r="K139" s="70"/>
      <c r="L139" s="70"/>
      <c r="M139" s="104">
        <f t="shared" si="69"/>
        <v>0</v>
      </c>
      <c r="N139" s="104">
        <f t="shared" si="70"/>
        <v>0</v>
      </c>
      <c r="O139" s="104"/>
      <c r="P139" s="104"/>
    </row>
    <row r="140" spans="1:18" s="38" customFormat="1" ht="36" x14ac:dyDescent="0.3">
      <c r="A140" s="24">
        <v>3117350</v>
      </c>
      <c r="B140" s="24">
        <v>7350</v>
      </c>
      <c r="C140" s="25" t="s">
        <v>125</v>
      </c>
      <c r="D140" s="21" t="s">
        <v>311</v>
      </c>
      <c r="E140" s="64">
        <f t="shared" si="65"/>
        <v>1500000</v>
      </c>
      <c r="F140" s="65">
        <v>1500000</v>
      </c>
      <c r="G140" s="65"/>
      <c r="H140" s="65"/>
      <c r="I140" s="64">
        <f t="shared" si="66"/>
        <v>353622.2</v>
      </c>
      <c r="J140" s="70">
        <v>353622.2</v>
      </c>
      <c r="K140" s="70"/>
      <c r="L140" s="70"/>
      <c r="M140" s="104">
        <f t="shared" si="69"/>
        <v>23.574813333333331</v>
      </c>
      <c r="N140" s="104">
        <f t="shared" si="70"/>
        <v>23.574813333333331</v>
      </c>
      <c r="O140" s="104"/>
      <c r="P140" s="104"/>
    </row>
    <row r="141" spans="1:18" s="39" customFormat="1" ht="36" x14ac:dyDescent="0.3">
      <c r="A141" s="20" t="s">
        <v>174</v>
      </c>
      <c r="B141" s="20" t="s">
        <v>136</v>
      </c>
      <c r="C141" s="20" t="s">
        <v>22</v>
      </c>
      <c r="D141" s="21" t="s">
        <v>270</v>
      </c>
      <c r="E141" s="64">
        <f t="shared" si="65"/>
        <v>18281300</v>
      </c>
      <c r="F141" s="65">
        <f>1495300+187000+16599000</f>
        <v>18281300</v>
      </c>
      <c r="G141" s="65"/>
      <c r="H141" s="65"/>
      <c r="I141" s="64">
        <f t="shared" si="66"/>
        <v>3255202.9899999998</v>
      </c>
      <c r="J141" s="70">
        <f>316645.46+47202.38+2891355.15</f>
        <v>3255202.9899999998</v>
      </c>
      <c r="K141" s="70"/>
      <c r="L141" s="70"/>
      <c r="M141" s="104">
        <f t="shared" si="69"/>
        <v>17.806189877087515</v>
      </c>
      <c r="N141" s="104">
        <f t="shared" si="70"/>
        <v>17.806189877087515</v>
      </c>
      <c r="O141" s="104"/>
      <c r="P141" s="104"/>
    </row>
    <row r="142" spans="1:18" s="48" customFormat="1" ht="18" x14ac:dyDescent="0.3">
      <c r="A142" s="26" t="s">
        <v>280</v>
      </c>
      <c r="B142" s="26" t="s">
        <v>246</v>
      </c>
      <c r="C142" s="26" t="s">
        <v>160</v>
      </c>
      <c r="D142" s="27" t="s">
        <v>247</v>
      </c>
      <c r="E142" s="64">
        <f t="shared" si="65"/>
        <v>150000</v>
      </c>
      <c r="F142" s="65">
        <v>150000</v>
      </c>
      <c r="G142" s="65"/>
      <c r="H142" s="65"/>
      <c r="I142" s="64">
        <f t="shared" si="66"/>
        <v>22075.47</v>
      </c>
      <c r="J142" s="72">
        <v>22075.47</v>
      </c>
      <c r="K142" s="72"/>
      <c r="L142" s="72"/>
      <c r="M142" s="104">
        <f t="shared" si="69"/>
        <v>14.716980000000001</v>
      </c>
      <c r="N142" s="104">
        <f t="shared" si="70"/>
        <v>14.716980000000001</v>
      </c>
      <c r="O142" s="104"/>
      <c r="P142" s="104"/>
    </row>
    <row r="143" spans="1:18" s="48" customFormat="1" ht="52.2" x14ac:dyDescent="0.3">
      <c r="A143" s="18" t="s">
        <v>94</v>
      </c>
      <c r="B143" s="18" t="s">
        <v>231</v>
      </c>
      <c r="C143" s="18" t="s">
        <v>231</v>
      </c>
      <c r="D143" s="19" t="s">
        <v>274</v>
      </c>
      <c r="E143" s="62">
        <f t="shared" si="65"/>
        <v>38739811</v>
      </c>
      <c r="F143" s="63">
        <f>F144</f>
        <v>22187811</v>
      </c>
      <c r="G143" s="63">
        <f t="shared" ref="G143:H143" si="72">G144</f>
        <v>16552000</v>
      </c>
      <c r="H143" s="63">
        <f t="shared" si="72"/>
        <v>16552000</v>
      </c>
      <c r="I143" s="62">
        <f t="shared" si="66"/>
        <v>22866702.509999998</v>
      </c>
      <c r="J143" s="63">
        <f t="shared" ref="J143:L143" si="73">J144</f>
        <v>8976702.5099999998</v>
      </c>
      <c r="K143" s="63">
        <f t="shared" si="73"/>
        <v>13890000</v>
      </c>
      <c r="L143" s="63">
        <f t="shared" si="73"/>
        <v>13890000</v>
      </c>
      <c r="M143" s="109">
        <f t="shared" si="69"/>
        <v>59.02636569393691</v>
      </c>
      <c r="N143" s="109">
        <f t="shared" si="70"/>
        <v>40.45781041671934</v>
      </c>
      <c r="O143" s="109">
        <f t="shared" ref="O143:P170" si="74">K143/G143*100</f>
        <v>83.917351377477047</v>
      </c>
      <c r="P143" s="109">
        <f t="shared" ref="P143:P170" si="75">L143/H143*100</f>
        <v>83.917351377477047</v>
      </c>
    </row>
    <row r="144" spans="1:18" s="48" customFormat="1" ht="52.2" x14ac:dyDescent="0.3">
      <c r="A144" s="18" t="s">
        <v>95</v>
      </c>
      <c r="B144" s="18" t="s">
        <v>231</v>
      </c>
      <c r="C144" s="18" t="s">
        <v>231</v>
      </c>
      <c r="D144" s="19" t="s">
        <v>274</v>
      </c>
      <c r="E144" s="62">
        <f t="shared" si="65"/>
        <v>38739811</v>
      </c>
      <c r="F144" s="63">
        <f>F145+F146+F147+F148+F153</f>
        <v>22187811</v>
      </c>
      <c r="G144" s="63">
        <f>G145+G146+G147+G148+G153</f>
        <v>16552000</v>
      </c>
      <c r="H144" s="63">
        <f>H145+H146+H147+H148+H153</f>
        <v>16552000</v>
      </c>
      <c r="I144" s="62">
        <f t="shared" si="66"/>
        <v>22866702.509999998</v>
      </c>
      <c r="J144" s="63">
        <f>J145+J146+J147+J148+J153</f>
        <v>8976702.5099999998</v>
      </c>
      <c r="K144" s="63">
        <f>K145+K146+K147+K148+K153</f>
        <v>13890000</v>
      </c>
      <c r="L144" s="63">
        <f>L145+L146+L147+L148+L153</f>
        <v>13890000</v>
      </c>
      <c r="M144" s="109">
        <f t="shared" si="69"/>
        <v>59.02636569393691</v>
      </c>
      <c r="N144" s="109">
        <f t="shared" si="70"/>
        <v>40.45781041671934</v>
      </c>
      <c r="O144" s="109">
        <f t="shared" si="74"/>
        <v>83.917351377477047</v>
      </c>
      <c r="P144" s="109">
        <f t="shared" si="75"/>
        <v>83.917351377477047</v>
      </c>
    </row>
    <row r="145" spans="1:16" s="48" customFormat="1" ht="54" x14ac:dyDescent="0.3">
      <c r="A145" s="20" t="s">
        <v>96</v>
      </c>
      <c r="B145" s="20" t="s">
        <v>56</v>
      </c>
      <c r="C145" s="20" t="s">
        <v>2</v>
      </c>
      <c r="D145" s="21" t="s">
        <v>248</v>
      </c>
      <c r="E145" s="64">
        <f t="shared" si="65"/>
        <v>5938700</v>
      </c>
      <c r="F145" s="65">
        <v>5938700</v>
      </c>
      <c r="G145" s="65"/>
      <c r="H145" s="65"/>
      <c r="I145" s="64">
        <f t="shared" ref="I145" si="76">J145+K145</f>
        <v>1415352.51</v>
      </c>
      <c r="J145" s="70">
        <v>1415352.51</v>
      </c>
      <c r="K145" s="70"/>
      <c r="L145" s="70"/>
      <c r="M145" s="104">
        <f t="shared" si="69"/>
        <v>23.832699243942276</v>
      </c>
      <c r="N145" s="104">
        <f t="shared" si="70"/>
        <v>23.832699243942276</v>
      </c>
      <c r="O145" s="104"/>
      <c r="P145" s="104"/>
    </row>
    <row r="146" spans="1:16" s="39" customFormat="1" ht="36" x14ac:dyDescent="0.3">
      <c r="A146" s="20" t="s">
        <v>103</v>
      </c>
      <c r="B146" s="20" t="s">
        <v>9</v>
      </c>
      <c r="C146" s="20" t="s">
        <v>5</v>
      </c>
      <c r="D146" s="21" t="s">
        <v>102</v>
      </c>
      <c r="E146" s="64">
        <f t="shared" si="65"/>
        <v>52900</v>
      </c>
      <c r="F146" s="65">
        <v>52900</v>
      </c>
      <c r="G146" s="65"/>
      <c r="H146" s="65"/>
      <c r="I146" s="64">
        <f t="shared" si="66"/>
        <v>10650</v>
      </c>
      <c r="J146" s="70">
        <v>10650</v>
      </c>
      <c r="K146" s="70"/>
      <c r="L146" s="70"/>
      <c r="M146" s="104">
        <f t="shared" si="69"/>
        <v>20.132325141776938</v>
      </c>
      <c r="N146" s="104">
        <f t="shared" si="70"/>
        <v>20.132325141776938</v>
      </c>
      <c r="O146" s="104"/>
      <c r="P146" s="104"/>
    </row>
    <row r="147" spans="1:16" s="39" customFormat="1" ht="18" x14ac:dyDescent="0.3">
      <c r="A147" s="20" t="s">
        <v>210</v>
      </c>
      <c r="B147" s="20" t="s">
        <v>211</v>
      </c>
      <c r="C147" s="20" t="s">
        <v>5</v>
      </c>
      <c r="D147" s="21" t="s">
        <v>275</v>
      </c>
      <c r="E147" s="64">
        <f t="shared" si="65"/>
        <v>6422377</v>
      </c>
      <c r="F147" s="65">
        <v>6422377</v>
      </c>
      <c r="G147" s="65"/>
      <c r="H147" s="65"/>
      <c r="I147" s="64">
        <f t="shared" si="66"/>
        <v>0</v>
      </c>
      <c r="J147" s="70">
        <v>0</v>
      </c>
      <c r="K147" s="70"/>
      <c r="L147" s="70"/>
      <c r="M147" s="104">
        <f t="shared" si="69"/>
        <v>0</v>
      </c>
      <c r="N147" s="104">
        <f t="shared" si="70"/>
        <v>0</v>
      </c>
      <c r="O147" s="104"/>
      <c r="P147" s="104"/>
    </row>
    <row r="148" spans="1:16" s="48" customFormat="1" ht="18" x14ac:dyDescent="0.3">
      <c r="A148" s="24">
        <v>3719770</v>
      </c>
      <c r="B148" s="30">
        <v>9770</v>
      </c>
      <c r="C148" s="26" t="s">
        <v>9</v>
      </c>
      <c r="D148" s="49" t="s">
        <v>158</v>
      </c>
      <c r="E148" s="64">
        <f t="shared" si="65"/>
        <v>3798500</v>
      </c>
      <c r="F148" s="65">
        <v>3798500</v>
      </c>
      <c r="G148" s="65"/>
      <c r="H148" s="65"/>
      <c r="I148" s="64">
        <f t="shared" si="66"/>
        <v>2120700</v>
      </c>
      <c r="J148" s="70">
        <v>2120700</v>
      </c>
      <c r="K148" s="70"/>
      <c r="L148" s="70"/>
      <c r="M148" s="104">
        <f t="shared" si="69"/>
        <v>55.829932868237464</v>
      </c>
      <c r="N148" s="104">
        <f t="shared" si="70"/>
        <v>55.829932868237464</v>
      </c>
      <c r="O148" s="104"/>
      <c r="P148" s="104"/>
    </row>
    <row r="149" spans="1:16" s="48" customFormat="1" ht="18" x14ac:dyDescent="0.3">
      <c r="A149" s="20"/>
      <c r="B149" s="30"/>
      <c r="C149" s="26"/>
      <c r="D149" s="21" t="s">
        <v>328</v>
      </c>
      <c r="E149" s="64">
        <f t="shared" si="65"/>
        <v>0</v>
      </c>
      <c r="F149" s="65"/>
      <c r="G149" s="65"/>
      <c r="H149" s="65"/>
      <c r="I149" s="67"/>
      <c r="J149" s="72"/>
      <c r="K149" s="72"/>
      <c r="L149" s="72"/>
      <c r="M149" s="104"/>
      <c r="N149" s="104"/>
      <c r="O149" s="104"/>
      <c r="P149" s="104"/>
    </row>
    <row r="150" spans="1:16" s="54" customFormat="1" ht="143.4" customHeight="1" x14ac:dyDescent="0.3">
      <c r="A150" s="22"/>
      <c r="B150" s="22"/>
      <c r="C150" s="31"/>
      <c r="D150" s="85" t="s">
        <v>330</v>
      </c>
      <c r="E150" s="74">
        <f t="shared" si="65"/>
        <v>1261500</v>
      </c>
      <c r="F150" s="88">
        <v>1261500</v>
      </c>
      <c r="G150" s="75"/>
      <c r="H150" s="75"/>
      <c r="I150" s="74">
        <f t="shared" si="66"/>
        <v>1261500</v>
      </c>
      <c r="J150" s="75">
        <v>1261500</v>
      </c>
      <c r="K150" s="75"/>
      <c r="L150" s="75"/>
      <c r="M150" s="118">
        <f t="shared" si="69"/>
        <v>100</v>
      </c>
      <c r="N150" s="118">
        <f t="shared" si="70"/>
        <v>100</v>
      </c>
      <c r="O150" s="118"/>
      <c r="P150" s="118"/>
    </row>
    <row r="151" spans="1:16" s="54" customFormat="1" ht="54" x14ac:dyDescent="0.3">
      <c r="A151" s="22"/>
      <c r="B151" s="22"/>
      <c r="C151" s="31"/>
      <c r="D151" s="85" t="s">
        <v>331</v>
      </c>
      <c r="E151" s="74">
        <f t="shared" si="65"/>
        <v>300000</v>
      </c>
      <c r="F151" s="88">
        <v>300000</v>
      </c>
      <c r="G151" s="75"/>
      <c r="H151" s="75"/>
      <c r="I151" s="74">
        <f t="shared" si="66"/>
        <v>300000</v>
      </c>
      <c r="J151" s="75">
        <v>300000</v>
      </c>
      <c r="K151" s="75"/>
      <c r="L151" s="75"/>
      <c r="M151" s="118">
        <f t="shared" si="69"/>
        <v>100</v>
      </c>
      <c r="N151" s="118">
        <f t="shared" si="70"/>
        <v>100</v>
      </c>
      <c r="O151" s="118"/>
      <c r="P151" s="118"/>
    </row>
    <row r="152" spans="1:16" s="54" customFormat="1" ht="72" x14ac:dyDescent="0.3">
      <c r="A152" s="22"/>
      <c r="B152" s="22"/>
      <c r="C152" s="31"/>
      <c r="D152" s="85" t="s">
        <v>332</v>
      </c>
      <c r="E152" s="74">
        <f t="shared" si="65"/>
        <v>2237000</v>
      </c>
      <c r="F152" s="88">
        <v>2237000</v>
      </c>
      <c r="G152" s="75"/>
      <c r="H152" s="75"/>
      <c r="I152" s="74">
        <f t="shared" si="66"/>
        <v>559200</v>
      </c>
      <c r="J152" s="75">
        <v>559200</v>
      </c>
      <c r="K152" s="75"/>
      <c r="L152" s="75"/>
      <c r="M152" s="118">
        <f t="shared" si="69"/>
        <v>24.997764863656684</v>
      </c>
      <c r="N152" s="118">
        <f t="shared" si="70"/>
        <v>24.997764863656684</v>
      </c>
      <c r="O152" s="118"/>
      <c r="P152" s="118"/>
    </row>
    <row r="153" spans="1:16" s="54" customFormat="1" ht="54" x14ac:dyDescent="0.3">
      <c r="A153" s="24">
        <v>3719800</v>
      </c>
      <c r="B153" s="24">
        <v>9800</v>
      </c>
      <c r="C153" s="26" t="s">
        <v>9</v>
      </c>
      <c r="D153" s="21" t="s">
        <v>230</v>
      </c>
      <c r="E153" s="76">
        <f t="shared" si="65"/>
        <v>22527334</v>
      </c>
      <c r="F153" s="77">
        <v>5975334</v>
      </c>
      <c r="G153" s="77">
        <v>16552000</v>
      </c>
      <c r="H153" s="77">
        <v>16552000</v>
      </c>
      <c r="I153" s="77">
        <f>SUM(I155:I158)</f>
        <v>19320000</v>
      </c>
      <c r="J153" s="77">
        <v>5430000</v>
      </c>
      <c r="K153" s="77">
        <v>13890000</v>
      </c>
      <c r="L153" s="77">
        <v>13890000</v>
      </c>
      <c r="M153" s="110">
        <f t="shared" si="69"/>
        <v>85.762478596002524</v>
      </c>
      <c r="N153" s="110">
        <f t="shared" si="70"/>
        <v>90.873581292694254</v>
      </c>
      <c r="O153" s="110">
        <f t="shared" si="74"/>
        <v>83.917351377477047</v>
      </c>
      <c r="P153" s="110">
        <f t="shared" si="74"/>
        <v>83.917351377477047</v>
      </c>
    </row>
    <row r="154" spans="1:16" s="54" customFormat="1" ht="18" x14ac:dyDescent="0.3">
      <c r="A154" s="24"/>
      <c r="B154" s="24"/>
      <c r="C154" s="26"/>
      <c r="D154" s="21" t="s">
        <v>157</v>
      </c>
      <c r="E154" s="76"/>
      <c r="F154" s="77"/>
      <c r="G154" s="77"/>
      <c r="H154" s="77"/>
      <c r="I154" s="74"/>
      <c r="J154" s="75"/>
      <c r="K154" s="75"/>
      <c r="L154" s="75"/>
      <c r="M154" s="110"/>
      <c r="N154" s="110"/>
      <c r="O154" s="110"/>
      <c r="P154" s="110"/>
    </row>
    <row r="155" spans="1:16" s="54" customFormat="1" ht="162" x14ac:dyDescent="0.3">
      <c r="A155" s="24"/>
      <c r="B155" s="24"/>
      <c r="C155" s="26"/>
      <c r="D155" s="85" t="s">
        <v>347</v>
      </c>
      <c r="E155" s="74">
        <f t="shared" si="65"/>
        <v>13027334</v>
      </c>
      <c r="F155" s="94">
        <f>190000+1000000+1290000+545334</f>
        <v>3025334</v>
      </c>
      <c r="G155" s="96">
        <f>1300000+6800000+840000+1062000</f>
        <v>10002000</v>
      </c>
      <c r="H155" s="94">
        <f>1300000+6800000+840000+1062000</f>
        <v>10002000</v>
      </c>
      <c r="I155" s="74">
        <f t="shared" si="66"/>
        <v>9820000</v>
      </c>
      <c r="J155" s="75">
        <v>2480000</v>
      </c>
      <c r="K155" s="75">
        <v>7340000</v>
      </c>
      <c r="L155" s="75">
        <v>7340000</v>
      </c>
      <c r="M155" s="118">
        <f t="shared" si="69"/>
        <v>75.379966461288234</v>
      </c>
      <c r="N155" s="118">
        <f t="shared" si="70"/>
        <v>81.974420014451297</v>
      </c>
      <c r="O155" s="118">
        <f t="shared" si="74"/>
        <v>73.385322935412916</v>
      </c>
      <c r="P155" s="118">
        <f t="shared" si="75"/>
        <v>73.385322935412916</v>
      </c>
    </row>
    <row r="156" spans="1:16" s="55" customFormat="1" ht="116.4" customHeight="1" x14ac:dyDescent="0.3">
      <c r="A156" s="32"/>
      <c r="B156" s="32"/>
      <c r="C156" s="31"/>
      <c r="D156" s="85" t="s">
        <v>323</v>
      </c>
      <c r="E156" s="74">
        <f t="shared" si="65"/>
        <v>5000000</v>
      </c>
      <c r="F156" s="94"/>
      <c r="G156" s="96">
        <v>5000000</v>
      </c>
      <c r="H156" s="94">
        <v>5000000</v>
      </c>
      <c r="I156" s="74">
        <f t="shared" si="66"/>
        <v>5000000</v>
      </c>
      <c r="J156" s="75"/>
      <c r="K156" s="94">
        <v>5000000</v>
      </c>
      <c r="L156" s="94">
        <v>5000000</v>
      </c>
      <c r="M156" s="118">
        <f t="shared" si="69"/>
        <v>100</v>
      </c>
      <c r="N156" s="118"/>
      <c r="O156" s="118">
        <f t="shared" si="74"/>
        <v>100</v>
      </c>
      <c r="P156" s="118">
        <f t="shared" si="75"/>
        <v>100</v>
      </c>
    </row>
    <row r="157" spans="1:16" s="55" customFormat="1" ht="75.75" customHeight="1" x14ac:dyDescent="0.3">
      <c r="A157" s="32"/>
      <c r="B157" s="32"/>
      <c r="C157" s="31"/>
      <c r="D157" s="85" t="s">
        <v>333</v>
      </c>
      <c r="E157" s="74">
        <f t="shared" si="65"/>
        <v>2500000</v>
      </c>
      <c r="F157" s="94">
        <v>950000</v>
      </c>
      <c r="G157" s="96">
        <v>1550000</v>
      </c>
      <c r="H157" s="94">
        <v>1550000</v>
      </c>
      <c r="I157" s="74">
        <f t="shared" si="66"/>
        <v>2500000</v>
      </c>
      <c r="J157" s="94">
        <v>950000</v>
      </c>
      <c r="K157" s="94">
        <v>1550000</v>
      </c>
      <c r="L157" s="75">
        <v>1550000</v>
      </c>
      <c r="M157" s="118">
        <f t="shared" si="69"/>
        <v>100</v>
      </c>
      <c r="N157" s="118">
        <f t="shared" si="70"/>
        <v>100</v>
      </c>
      <c r="O157" s="118">
        <f t="shared" si="74"/>
        <v>100</v>
      </c>
      <c r="P157" s="118">
        <f t="shared" si="75"/>
        <v>100</v>
      </c>
    </row>
    <row r="158" spans="1:16" s="55" customFormat="1" ht="93" customHeight="1" x14ac:dyDescent="0.3">
      <c r="A158" s="32"/>
      <c r="B158" s="32"/>
      <c r="C158" s="31"/>
      <c r="D158" s="85" t="s">
        <v>334</v>
      </c>
      <c r="E158" s="74">
        <f t="shared" si="65"/>
        <v>2000000</v>
      </c>
      <c r="F158" s="94">
        <v>2000000</v>
      </c>
      <c r="G158" s="96"/>
      <c r="H158" s="94"/>
      <c r="I158" s="74">
        <f t="shared" si="66"/>
        <v>2000000</v>
      </c>
      <c r="J158" s="94">
        <v>2000000</v>
      </c>
      <c r="K158" s="95"/>
      <c r="L158" s="75"/>
      <c r="M158" s="118">
        <f t="shared" si="69"/>
        <v>100</v>
      </c>
      <c r="N158" s="118">
        <f t="shared" si="70"/>
        <v>100</v>
      </c>
      <c r="O158" s="118"/>
      <c r="P158" s="118"/>
    </row>
    <row r="159" spans="1:16" s="56" customFormat="1" ht="18" x14ac:dyDescent="0.3">
      <c r="A159" s="33" t="s">
        <v>276</v>
      </c>
      <c r="B159" s="18" t="s">
        <v>276</v>
      </c>
      <c r="C159" s="18" t="s">
        <v>276</v>
      </c>
      <c r="D159" s="18" t="s">
        <v>277</v>
      </c>
      <c r="E159" s="78">
        <f>F159+G159</f>
        <v>1125497543</v>
      </c>
      <c r="F159" s="78">
        <f t="shared" ref="F159:L159" si="77">F16+F43+F63+F85+F96+F104+F120+F134+F143+F80</f>
        <v>958291223</v>
      </c>
      <c r="G159" s="78">
        <f t="shared" si="77"/>
        <v>167206320</v>
      </c>
      <c r="H159" s="78">
        <f t="shared" si="77"/>
        <v>146930258</v>
      </c>
      <c r="I159" s="78">
        <f t="shared" si="77"/>
        <v>250632456.31000003</v>
      </c>
      <c r="J159" s="78">
        <f t="shared" si="77"/>
        <v>213314937.33000001</v>
      </c>
      <c r="K159" s="78">
        <f t="shared" si="77"/>
        <v>37317518.980000004</v>
      </c>
      <c r="L159" s="78">
        <f t="shared" si="77"/>
        <v>28854321.530000001</v>
      </c>
      <c r="M159" s="111">
        <f t="shared" si="69"/>
        <v>22.268592043474591</v>
      </c>
      <c r="N159" s="111">
        <f t="shared" si="70"/>
        <v>22.259928110601095</v>
      </c>
      <c r="O159" s="111">
        <f t="shared" si="74"/>
        <v>22.318246690675331</v>
      </c>
      <c r="P159" s="111">
        <f t="shared" si="75"/>
        <v>19.638107169184991</v>
      </c>
    </row>
    <row r="160" spans="1:16" s="56" customFormat="1" ht="18" x14ac:dyDescent="0.3">
      <c r="A160" s="57"/>
      <c r="B160" s="57"/>
      <c r="C160" s="58" t="s">
        <v>216</v>
      </c>
      <c r="D160" s="59" t="s">
        <v>217</v>
      </c>
      <c r="E160" s="77">
        <f>F160+G160</f>
        <v>122376800</v>
      </c>
      <c r="F160" s="77">
        <f>F18+F23+F24+F45+F46+F65+F66+F87+F88+F106+F122+F123+F136+F137+F145+F146+F98+F99+F107+F108+F82+F83</f>
        <v>122238200</v>
      </c>
      <c r="G160" s="77">
        <f>G18+G23+G24+G45+G46+G65+G66+G87+G88+G106+G122+G123+G136+G137+G145+G146+G98+G99+G107+G108+G82</f>
        <v>138600</v>
      </c>
      <c r="H160" s="77">
        <f>H18+H23+H24+H45+H46+H65+H66+H87+H88+H106+H122+H123+H136+H137+H145+H146+H98+H99+H107+H108+H82</f>
        <v>0</v>
      </c>
      <c r="I160" s="77">
        <f>I18+I23+I24+I45+I46+I65+I66+I87+I88+I106+I122+I123+I136+I137+I145+I146+I98+I99+I107+I108+I82</f>
        <v>26125275.780000001</v>
      </c>
      <c r="J160" s="77">
        <f>J18+J23+J24+J45+J46+J65+J66+J87+J88+J106+J122+J123+J136+J137+J145+J146+J98+J99+J107+J108+J82+J83</f>
        <v>26119415.220000003</v>
      </c>
      <c r="K160" s="77">
        <f>K18+K23+K24+K45+K46+K65+K66+K87+K88+K106+K122+K123+K136+K137+K145+K146+K98+K99+K107+K108+K82</f>
        <v>5860.5599999999995</v>
      </c>
      <c r="L160" s="77">
        <f>L18+L23+L24+L45+L46+L65+L66+L87+L88+L106+L122+L123+L136+L137+L145+L146+L98+L99+L107+L108+L82</f>
        <v>0</v>
      </c>
      <c r="M160" s="110">
        <f t="shared" si="69"/>
        <v>21.348225954592699</v>
      </c>
      <c r="N160" s="110">
        <f t="shared" si="70"/>
        <v>21.367637301596393</v>
      </c>
      <c r="O160" s="110">
        <f t="shared" si="74"/>
        <v>4.2283982683982684</v>
      </c>
      <c r="P160" s="110"/>
    </row>
    <row r="161" spans="1:16" s="56" customFormat="1" ht="18" x14ac:dyDescent="0.3">
      <c r="A161" s="57"/>
      <c r="B161" s="57"/>
      <c r="C161" s="58" t="s">
        <v>218</v>
      </c>
      <c r="D161" s="59" t="s">
        <v>219</v>
      </c>
      <c r="E161" s="77">
        <f t="shared" ref="E161:E169" si="78">F161+G161</f>
        <v>472936556</v>
      </c>
      <c r="F161" s="77">
        <f>F47+F48+F49+F50+F51+F52+F53+F54+F55+F56+F57+F89</f>
        <v>448002440</v>
      </c>
      <c r="G161" s="77">
        <f>G47+G48+G49+G50+G51+G52+G53+G54+G55+G56+G57+G89+G58</f>
        <v>24934116</v>
      </c>
      <c r="H161" s="77">
        <f>H47+H48+H49+H50+H51+H52+H53+H54+H55+H56+H57+H89+H58</f>
        <v>5876200</v>
      </c>
      <c r="I161" s="77">
        <f>I47+I48+I49+I50+I51+I52+I53+I54+I55+I56+I57+I89</f>
        <v>97062480.500000015</v>
      </c>
      <c r="J161" s="77">
        <f>J47+J48+J49+J50+J51+J52+J53+J54+J55+J56+J57+J89</f>
        <v>88752314.319999993</v>
      </c>
      <c r="K161" s="77">
        <f>K47+K48+K49+K50+K51+K52+K53+K54+K55+K56+K57+K89</f>
        <v>8310166.1800000006</v>
      </c>
      <c r="L161" s="77">
        <f>L47+L48+L49+L50+L51+L52+L53+L54+L55+L56+L57+L89</f>
        <v>0</v>
      </c>
      <c r="M161" s="110">
        <f t="shared" ref="M161:M169" si="79">I161/E161*100</f>
        <v>20.523361805848651</v>
      </c>
      <c r="N161" s="110">
        <f t="shared" ref="N161:N169" si="80">J161/F161*100</f>
        <v>19.810676548993793</v>
      </c>
      <c r="O161" s="110">
        <f t="shared" ref="O161:O169" si="81">K161/G161*100</f>
        <v>33.328497308667373</v>
      </c>
      <c r="P161" s="110">
        <f t="shared" ref="P161:P169" si="82">L161/H161*100</f>
        <v>0</v>
      </c>
    </row>
    <row r="162" spans="1:16" s="56" customFormat="1" ht="18" x14ac:dyDescent="0.3">
      <c r="A162" s="57"/>
      <c r="B162" s="57"/>
      <c r="C162" s="58" t="s">
        <v>220</v>
      </c>
      <c r="D162" s="59" t="s">
        <v>221</v>
      </c>
      <c r="E162" s="77">
        <f t="shared" si="78"/>
        <v>41386416</v>
      </c>
      <c r="F162" s="77">
        <f t="shared" ref="F162:L162" si="83">F25+F26+F27+F28+F124</f>
        <v>38046384</v>
      </c>
      <c r="G162" s="77">
        <f t="shared" si="83"/>
        <v>3340032</v>
      </c>
      <c r="H162" s="77">
        <f t="shared" si="83"/>
        <v>3340032</v>
      </c>
      <c r="I162" s="77">
        <f t="shared" si="83"/>
        <v>11618549.170000002</v>
      </c>
      <c r="J162" s="77">
        <f t="shared" si="83"/>
        <v>9388389.7700000014</v>
      </c>
      <c r="K162" s="77">
        <f t="shared" si="83"/>
        <v>2230159.4</v>
      </c>
      <c r="L162" s="77">
        <f t="shared" si="83"/>
        <v>2230159.4</v>
      </c>
      <c r="M162" s="110">
        <f t="shared" si="79"/>
        <v>28.073339740266473</v>
      </c>
      <c r="N162" s="110">
        <f t="shared" si="80"/>
        <v>24.676168358075767</v>
      </c>
      <c r="O162" s="110">
        <f t="shared" si="81"/>
        <v>66.770599802636625</v>
      </c>
      <c r="P162" s="110">
        <f t="shared" si="82"/>
        <v>66.770599802636625</v>
      </c>
    </row>
    <row r="163" spans="1:16" s="56" customFormat="1" ht="18" x14ac:dyDescent="0.3">
      <c r="A163" s="57"/>
      <c r="B163" s="57"/>
      <c r="C163" s="58" t="s">
        <v>222</v>
      </c>
      <c r="D163" s="59" t="s">
        <v>223</v>
      </c>
      <c r="E163" s="77">
        <f t="shared" si="78"/>
        <v>97420965</v>
      </c>
      <c r="F163" s="77">
        <f t="shared" ref="F163:L163" si="84">F29+F60+F67+F68+F69+F70+F71+F72+F73+F74+F75+F76+F77+F78+F79+F100+F109+F59+F90+F84</f>
        <v>97364565</v>
      </c>
      <c r="G163" s="77">
        <f t="shared" si="84"/>
        <v>56400</v>
      </c>
      <c r="H163" s="77">
        <f t="shared" si="84"/>
        <v>0</v>
      </c>
      <c r="I163" s="77">
        <f t="shared" si="84"/>
        <v>14562904.91</v>
      </c>
      <c r="J163" s="77">
        <f t="shared" si="84"/>
        <v>14444791.23</v>
      </c>
      <c r="K163" s="77">
        <f t="shared" si="84"/>
        <v>118113.68</v>
      </c>
      <c r="L163" s="77">
        <f t="shared" si="84"/>
        <v>0</v>
      </c>
      <c r="M163" s="110">
        <f t="shared" si="79"/>
        <v>14.948430155665161</v>
      </c>
      <c r="N163" s="110">
        <f t="shared" si="80"/>
        <v>14.835778529899457</v>
      </c>
      <c r="O163" s="110">
        <f t="shared" si="81"/>
        <v>209.42141843971629</v>
      </c>
      <c r="P163" s="110"/>
    </row>
    <row r="164" spans="1:16" s="56" customFormat="1" ht="18" x14ac:dyDescent="0.3">
      <c r="A164" s="57"/>
      <c r="B164" s="57"/>
      <c r="C164" s="58" t="s">
        <v>224</v>
      </c>
      <c r="D164" s="59" t="s">
        <v>225</v>
      </c>
      <c r="E164" s="77">
        <f t="shared" si="78"/>
        <v>29725900</v>
      </c>
      <c r="F164" s="77">
        <f t="shared" ref="F164:L164" si="85">F91+F92+F93+F94+F95</f>
        <v>29445900</v>
      </c>
      <c r="G164" s="77">
        <f t="shared" si="85"/>
        <v>280000</v>
      </c>
      <c r="H164" s="77">
        <f t="shared" si="85"/>
        <v>0</v>
      </c>
      <c r="I164" s="77">
        <f t="shared" si="85"/>
        <v>5962835.0600000005</v>
      </c>
      <c r="J164" s="77">
        <f t="shared" si="85"/>
        <v>5938701.0600000005</v>
      </c>
      <c r="K164" s="77">
        <f t="shared" si="85"/>
        <v>24134</v>
      </c>
      <c r="L164" s="77">
        <f t="shared" si="85"/>
        <v>0</v>
      </c>
      <c r="M164" s="110">
        <f t="shared" si="79"/>
        <v>20.059392852697481</v>
      </c>
      <c r="N164" s="110">
        <f t="shared" si="80"/>
        <v>20.168176418448748</v>
      </c>
      <c r="O164" s="110">
        <f t="shared" si="81"/>
        <v>8.6192857142857147</v>
      </c>
      <c r="P164" s="110"/>
    </row>
    <row r="165" spans="1:16" s="56" customFormat="1" ht="18" x14ac:dyDescent="0.3">
      <c r="A165" s="57"/>
      <c r="B165" s="57"/>
      <c r="C165" s="58" t="s">
        <v>226</v>
      </c>
      <c r="D165" s="59" t="s">
        <v>227</v>
      </c>
      <c r="E165" s="77">
        <f t="shared" si="78"/>
        <v>15033500</v>
      </c>
      <c r="F165" s="77">
        <f>F61+F101+F102+F103</f>
        <v>15033500</v>
      </c>
      <c r="G165" s="77"/>
      <c r="H165" s="77"/>
      <c r="I165" s="77">
        <f>I61+I101+I102+I103</f>
        <v>2706372.76</v>
      </c>
      <c r="J165" s="77">
        <f>J61+J101+J102+J103</f>
        <v>2706372.76</v>
      </c>
      <c r="K165" s="77"/>
      <c r="L165" s="77"/>
      <c r="M165" s="110">
        <f t="shared" si="79"/>
        <v>18.002279974723116</v>
      </c>
      <c r="N165" s="110">
        <f t="shared" si="80"/>
        <v>18.002279974723116</v>
      </c>
      <c r="O165" s="110"/>
      <c r="P165" s="110"/>
    </row>
    <row r="166" spans="1:16" s="56" customFormat="1" ht="18" x14ac:dyDescent="0.3">
      <c r="A166" s="57"/>
      <c r="B166" s="57"/>
      <c r="C166" s="58" t="s">
        <v>228</v>
      </c>
      <c r="D166" s="59" t="s">
        <v>229</v>
      </c>
      <c r="E166" s="77">
        <f>E31+E110+E111+E112+E113+E125+E126+E127+E138+E30</f>
        <v>119020590</v>
      </c>
      <c r="F166" s="77">
        <f>F31+F110+F111+F112+F113+F125+F126+F127+F138+F30</f>
        <v>87383482</v>
      </c>
      <c r="G166" s="77">
        <f t="shared" ref="G166:L166" si="86">G31+G110+G111+G112+G113+G125+G126+G127+G138</f>
        <v>31637108</v>
      </c>
      <c r="H166" s="77">
        <f t="shared" si="86"/>
        <v>31637108</v>
      </c>
      <c r="I166" s="77">
        <f t="shared" si="86"/>
        <v>18096721.190000001</v>
      </c>
      <c r="J166" s="77">
        <f t="shared" si="86"/>
        <v>14002840.380000001</v>
      </c>
      <c r="K166" s="77">
        <f t="shared" si="86"/>
        <v>4093880.81</v>
      </c>
      <c r="L166" s="77">
        <f t="shared" si="86"/>
        <v>4093880.81</v>
      </c>
      <c r="M166" s="110">
        <f t="shared" si="79"/>
        <v>15.204697935037965</v>
      </c>
      <c r="N166" s="110">
        <f t="shared" si="80"/>
        <v>16.024585035418937</v>
      </c>
      <c r="O166" s="110">
        <f t="shared" si="81"/>
        <v>12.940123382959023</v>
      </c>
      <c r="P166" s="110">
        <f t="shared" si="82"/>
        <v>12.940123382959023</v>
      </c>
    </row>
    <row r="167" spans="1:16" s="56" customFormat="1" ht="18" x14ac:dyDescent="0.3">
      <c r="A167" s="57"/>
      <c r="B167" s="57"/>
      <c r="C167" s="58" t="s">
        <v>298</v>
      </c>
      <c r="D167" s="59" t="s">
        <v>299</v>
      </c>
      <c r="E167" s="77">
        <f t="shared" si="78"/>
        <v>144128386</v>
      </c>
      <c r="F167" s="77">
        <f>F128+F129+F131+F139+F114+F37+F115+F116+F141+F140+F35</f>
        <v>80820600</v>
      </c>
      <c r="G167" s="77">
        <f>G128+G129+G131+G139+G114+G37+G115+G116+G141+G140+G132+G130+G36</f>
        <v>63307786</v>
      </c>
      <c r="H167" s="77">
        <f>H128+H129+H131+H139+H114+H37+H115+H116+H141+H140+H132+H130+H36</f>
        <v>62914640</v>
      </c>
      <c r="I167" s="77">
        <f>I128+I129+I131+I139+I114+I37+I115+I116+I141+I140+I132+I130</f>
        <v>41192990.870000005</v>
      </c>
      <c r="J167" s="77">
        <f>J128+J129+J131+J139+J114+J37+J115+J116+J141+J140+J35</f>
        <v>39126551.020000003</v>
      </c>
      <c r="K167" s="77">
        <f>K128+K129+K131+K139+K114+K37+K115+K116+K141+K140+K132+K130</f>
        <v>2066439.85</v>
      </c>
      <c r="L167" s="77">
        <f>L128+L129+L131+L139+L114+L37+L115+L116+L141+L140+L132+L130</f>
        <v>2061516.82</v>
      </c>
      <c r="M167" s="110">
        <f t="shared" si="79"/>
        <v>28.580761925690339</v>
      </c>
      <c r="N167" s="110">
        <f t="shared" si="80"/>
        <v>48.411606719079053</v>
      </c>
      <c r="O167" s="110">
        <f t="shared" si="81"/>
        <v>3.2641164390111514</v>
      </c>
      <c r="P167" s="110">
        <f t="shared" si="82"/>
        <v>3.2766885735974962</v>
      </c>
    </row>
    <row r="168" spans="1:16" s="56" customFormat="1" ht="18" x14ac:dyDescent="0.3">
      <c r="A168" s="57"/>
      <c r="B168" s="57"/>
      <c r="C168" s="58" t="s">
        <v>301</v>
      </c>
      <c r="D168" s="59" t="s">
        <v>300</v>
      </c>
      <c r="E168" s="77">
        <f t="shared" si="78"/>
        <v>57142596</v>
      </c>
      <c r="F168" s="77">
        <f t="shared" ref="F168:L168" si="87">F62+F117+F133+F38+F39+F40+F142+F118+F42+F119+F147+F41</f>
        <v>30182318</v>
      </c>
      <c r="G168" s="77">
        <f t="shared" si="87"/>
        <v>26960278</v>
      </c>
      <c r="H168" s="77">
        <f t="shared" si="87"/>
        <v>26610278</v>
      </c>
      <c r="I168" s="77">
        <f t="shared" si="87"/>
        <v>11863626.07</v>
      </c>
      <c r="J168" s="77">
        <f t="shared" si="87"/>
        <v>5284861.5699999994</v>
      </c>
      <c r="K168" s="77">
        <f t="shared" si="87"/>
        <v>6578764.5</v>
      </c>
      <c r="L168" s="77">
        <f t="shared" si="87"/>
        <v>6578764.5</v>
      </c>
      <c r="M168" s="110">
        <f t="shared" si="79"/>
        <v>20.761440502283097</v>
      </c>
      <c r="N168" s="110">
        <f t="shared" si="80"/>
        <v>17.509793548659847</v>
      </c>
      <c r="O168" s="110">
        <f t="shared" si="81"/>
        <v>24.401693854937253</v>
      </c>
      <c r="P168" s="110">
        <f t="shared" si="82"/>
        <v>24.722644761546647</v>
      </c>
    </row>
    <row r="169" spans="1:16" s="56" customFormat="1" ht="18" x14ac:dyDescent="0.3">
      <c r="A169" s="60"/>
      <c r="B169" s="60"/>
      <c r="C169" s="58" t="s">
        <v>302</v>
      </c>
      <c r="D169" s="20" t="s">
        <v>303</v>
      </c>
      <c r="E169" s="77">
        <f t="shared" si="78"/>
        <v>26325834</v>
      </c>
      <c r="F169" s="77">
        <f t="shared" ref="F169:L169" si="88">F148+F153</f>
        <v>9773834</v>
      </c>
      <c r="G169" s="77">
        <f t="shared" si="88"/>
        <v>16552000</v>
      </c>
      <c r="H169" s="77">
        <f t="shared" si="88"/>
        <v>16552000</v>
      </c>
      <c r="I169" s="77">
        <f t="shared" si="88"/>
        <v>21440700</v>
      </c>
      <c r="J169" s="77">
        <f t="shared" si="88"/>
        <v>7550700</v>
      </c>
      <c r="K169" s="77">
        <f t="shared" si="88"/>
        <v>13890000</v>
      </c>
      <c r="L169" s="77">
        <f t="shared" si="88"/>
        <v>13890000</v>
      </c>
      <c r="M169" s="110">
        <f t="shared" si="79"/>
        <v>81.443573639490396</v>
      </c>
      <c r="N169" s="110">
        <f t="shared" si="80"/>
        <v>77.254227972359672</v>
      </c>
      <c r="O169" s="110">
        <f t="shared" si="81"/>
        <v>83.917351377477047</v>
      </c>
      <c r="P169" s="110">
        <f t="shared" si="82"/>
        <v>83.917351377477047</v>
      </c>
    </row>
    <row r="170" spans="1:16" s="61" customFormat="1" ht="21" x14ac:dyDescent="0.4">
      <c r="A170" s="36"/>
      <c r="B170" s="36"/>
      <c r="C170" s="36"/>
      <c r="D170" s="36" t="s">
        <v>1</v>
      </c>
      <c r="E170" s="79">
        <f>F170+G170</f>
        <v>1125497543</v>
      </c>
      <c r="F170" s="79">
        <f>SUM(F160:F169)</f>
        <v>958291223</v>
      </c>
      <c r="G170" s="79">
        <f t="shared" ref="G170:L170" si="89">SUM(G160:G169)</f>
        <v>167206320</v>
      </c>
      <c r="H170" s="79">
        <f t="shared" si="89"/>
        <v>146930258</v>
      </c>
      <c r="I170" s="79">
        <f>SUM(I160:I169)</f>
        <v>250632456.31</v>
      </c>
      <c r="J170" s="79">
        <f t="shared" si="89"/>
        <v>213314937.32999998</v>
      </c>
      <c r="K170" s="79">
        <f t="shared" si="89"/>
        <v>37317518.980000004</v>
      </c>
      <c r="L170" s="79">
        <f t="shared" si="89"/>
        <v>28854321.530000001</v>
      </c>
      <c r="M170" s="112">
        <f t="shared" si="69"/>
        <v>22.268592043474587</v>
      </c>
      <c r="N170" s="112">
        <f t="shared" si="70"/>
        <v>22.259928110601091</v>
      </c>
      <c r="O170" s="112">
        <f t="shared" si="74"/>
        <v>22.318246690675331</v>
      </c>
      <c r="P170" s="112">
        <f t="shared" si="75"/>
        <v>19.638107169184991</v>
      </c>
    </row>
    <row r="171" spans="1:16" s="2" customFormat="1" ht="18" x14ac:dyDescent="0.35">
      <c r="A171" s="34"/>
      <c r="B171" s="34"/>
      <c r="C171" s="34"/>
      <c r="D171" s="16"/>
      <c r="E171" s="119"/>
      <c r="F171" s="17"/>
      <c r="G171" s="16"/>
      <c r="H171" s="16"/>
      <c r="I171" s="16"/>
      <c r="J171" s="16"/>
      <c r="K171" s="16"/>
      <c r="L171" s="16"/>
      <c r="M171" s="113"/>
      <c r="N171" s="113"/>
      <c r="O171" s="113"/>
      <c r="P171" s="113"/>
    </row>
    <row r="172" spans="1:16" s="2" customFormat="1" ht="18" x14ac:dyDescent="0.35">
      <c r="A172" s="34"/>
      <c r="B172" s="34"/>
      <c r="C172" s="34"/>
      <c r="D172" s="16"/>
      <c r="E172" s="17" t="s">
        <v>286</v>
      </c>
      <c r="F172" s="17"/>
      <c r="G172" s="17"/>
      <c r="H172" s="17"/>
      <c r="I172" s="17"/>
      <c r="J172" s="17" t="s">
        <v>287</v>
      </c>
      <c r="K172" s="17"/>
      <c r="L172" s="17"/>
      <c r="M172" s="114"/>
      <c r="N172" s="114"/>
      <c r="O172" s="114"/>
      <c r="P172" s="114"/>
    </row>
    <row r="173" spans="1:16" s="2" customFormat="1" ht="18" x14ac:dyDescent="0.35">
      <c r="A173" s="34"/>
      <c r="B173" s="34"/>
      <c r="C173" s="34"/>
      <c r="D173" s="16"/>
      <c r="E173" s="17">
        <f>E170-E159</f>
        <v>0</v>
      </c>
      <c r="F173" s="17">
        <f>F170-F159</f>
        <v>0</v>
      </c>
      <c r="G173" s="17">
        <f>G170-G159</f>
        <v>0</v>
      </c>
      <c r="H173" s="17"/>
      <c r="I173" s="17"/>
      <c r="J173" s="17">
        <f>J170-J159</f>
        <v>0</v>
      </c>
      <c r="K173" s="17"/>
      <c r="L173" s="17"/>
      <c r="M173" s="114">
        <f>M170-M159</f>
        <v>0</v>
      </c>
      <c r="N173" s="114">
        <f>N170-N159</f>
        <v>0</v>
      </c>
      <c r="O173" s="114">
        <f>O170-O159</f>
        <v>0</v>
      </c>
      <c r="P173" s="114">
        <f>P170-P159</f>
        <v>0</v>
      </c>
    </row>
    <row r="174" spans="1:16" s="103" customFormat="1" x14ac:dyDescent="0.3">
      <c r="A174" s="102"/>
      <c r="B174" s="102"/>
      <c r="C174" s="102"/>
      <c r="M174" s="115"/>
      <c r="N174" s="115"/>
      <c r="O174" s="115"/>
      <c r="P174" s="115"/>
    </row>
    <row r="175" spans="1:16" x14ac:dyDescent="0.3">
      <c r="A175" s="10"/>
      <c r="B175" s="10"/>
      <c r="C175" s="10"/>
      <c r="D175" s="9"/>
      <c r="I175" s="35"/>
      <c r="L175" s="9"/>
      <c r="M175" s="116"/>
      <c r="N175" s="116"/>
      <c r="O175" s="116"/>
      <c r="P175" s="116"/>
    </row>
    <row r="176" spans="1:16" ht="18" x14ac:dyDescent="0.35">
      <c r="A176" s="10"/>
      <c r="B176" s="10"/>
      <c r="C176" s="10"/>
      <c r="D176" s="9"/>
      <c r="G176" s="89"/>
      <c r="K176" s="90"/>
      <c r="L176" s="9"/>
      <c r="M176" s="116"/>
      <c r="N176" s="116"/>
      <c r="O176" s="116"/>
      <c r="P176" s="116"/>
    </row>
    <row r="177" spans="1:16" x14ac:dyDescent="0.3">
      <c r="A177" s="10"/>
      <c r="B177" s="10"/>
      <c r="C177" s="10"/>
      <c r="D177" s="9"/>
      <c r="G177" s="91"/>
      <c r="K177" s="35"/>
      <c r="L177" s="9"/>
      <c r="M177" s="116"/>
      <c r="N177" s="116"/>
      <c r="O177" s="116"/>
      <c r="P177" s="116"/>
    </row>
    <row r="178" spans="1:16" x14ac:dyDescent="0.3">
      <c r="G178" s="35"/>
      <c r="K178" s="35"/>
      <c r="L178" s="9"/>
    </row>
  </sheetData>
  <customSheetViews>
    <customSheetView guid="{22648713-93C4-4BCC-9593-E6D578C36006}" scale="72" showPageBreaks="1" fitToPage="1" printArea="1" hiddenRows="1" view="pageBreakPreview">
      <pane xSplit="4" ySplit="12" topLeftCell="E91" activePane="bottomRight" state="frozen"/>
      <selection pane="bottomRight" activeCell="E99" sqref="E99"/>
      <rowBreaks count="2" manualBreakCount="2">
        <brk id="70" max="15" man="1"/>
        <brk id="98" max="15" man="1"/>
      </rowBreaks>
      <pageMargins left="0.39370078740157483" right="0.15748031496062992" top="0.15748031496062992" bottom="0.11811023622047245" header="0.15748031496062992" footer="0.11811023622047245"/>
      <pageSetup paperSize="9" scale="45" fitToHeight="15" orientation="landscape" r:id="rId1"/>
    </customSheetView>
  </customSheetViews>
  <mergeCells count="28">
    <mergeCell ref="M1:O1"/>
    <mergeCell ref="M4:O4"/>
    <mergeCell ref="B10:B14"/>
    <mergeCell ref="C10:C14"/>
    <mergeCell ref="D10:D14"/>
    <mergeCell ref="F12:F14"/>
    <mergeCell ref="K12:L12"/>
    <mergeCell ref="J11:L11"/>
    <mergeCell ref="I10:L10"/>
    <mergeCell ref="I11:I14"/>
    <mergeCell ref="N12:N14"/>
    <mergeCell ref="O12:P12"/>
    <mergeCell ref="K13:K14"/>
    <mergeCell ref="A5:P5"/>
    <mergeCell ref="M2:P2"/>
    <mergeCell ref="M3:P3"/>
    <mergeCell ref="A6:P6"/>
    <mergeCell ref="G13:G14"/>
    <mergeCell ref="O13:O14"/>
    <mergeCell ref="G12:H12"/>
    <mergeCell ref="J12:J14"/>
    <mergeCell ref="A10:A14"/>
    <mergeCell ref="M10:P10"/>
    <mergeCell ref="M11:M14"/>
    <mergeCell ref="N11:P11"/>
    <mergeCell ref="F11:H11"/>
    <mergeCell ref="E11:E14"/>
    <mergeCell ref="E10:H10"/>
  </mergeCells>
  <pageMargins left="0.39370078740157483" right="0.19685039370078741" top="0.39370078740157483" bottom="0.39370078740157483" header="0.15748031496062992" footer="0.11811023622047245"/>
  <pageSetup paperSize="9" scale="39" fitToWidth="11" fitToHeight="11" orientation="landscape" r:id="rId2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1кв2024</vt:lpstr>
      <vt:lpstr>'1кв2024'!Заголовки_для_друку</vt:lpstr>
      <vt:lpstr>'1кв2024'!Область_друку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220FU11</cp:lastModifiedBy>
  <cp:lastPrinted>2024-04-09T14:04:12Z</cp:lastPrinted>
  <dcterms:created xsi:type="dcterms:W3CDTF">2012-12-15T07:44:03Z</dcterms:created>
  <dcterms:modified xsi:type="dcterms:W3CDTF">2024-05-07T08:21:38Z</dcterms:modified>
</cp:coreProperties>
</file>