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49 сесія 26.07.2024\№641 Зміни бюджет\"/>
    </mc:Choice>
  </mc:AlternateContent>
  <xr:revisionPtr revIDLastSave="0" documentId="13_ncr:1_{144361AE-CC86-4B26-BD46-9B640A0FAEE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5" i="1" l="1"/>
  <c r="K155" i="1"/>
  <c r="H196" i="1" l="1"/>
  <c r="I196" i="1"/>
  <c r="M196" i="1"/>
  <c r="N196" i="1"/>
  <c r="E171" i="1"/>
  <c r="L124" i="1"/>
  <c r="M124" i="1"/>
  <c r="N124" i="1"/>
  <c r="G124" i="1"/>
  <c r="H124" i="1"/>
  <c r="J143" i="1"/>
  <c r="E143" i="1"/>
  <c r="P143" i="1" s="1"/>
  <c r="G191" i="1" l="1"/>
  <c r="H191" i="1"/>
  <c r="I191" i="1"/>
  <c r="K191" i="1"/>
  <c r="L191" i="1"/>
  <c r="M191" i="1"/>
  <c r="N191" i="1"/>
  <c r="O191" i="1"/>
  <c r="N189" i="1"/>
  <c r="O181" i="1" l="1"/>
  <c r="K181" i="1"/>
  <c r="F181" i="1"/>
  <c r="J142" i="1"/>
  <c r="E142" i="1"/>
  <c r="O133" i="1"/>
  <c r="O124" i="1" s="1"/>
  <c r="K133" i="1"/>
  <c r="K124" i="1" s="1"/>
  <c r="I133" i="1"/>
  <c r="F133" i="1"/>
  <c r="J94" i="1"/>
  <c r="J95" i="1"/>
  <c r="E94" i="1"/>
  <c r="E95" i="1"/>
  <c r="L50" i="1"/>
  <c r="M50" i="1"/>
  <c r="N50" i="1"/>
  <c r="O78" i="1"/>
  <c r="K78" i="1"/>
  <c r="F78" i="1"/>
  <c r="F77" i="1"/>
  <c r="F75" i="1"/>
  <c r="G65" i="1"/>
  <c r="F65" i="1"/>
  <c r="E65" i="1" s="1"/>
  <c r="P65" i="1" s="1"/>
  <c r="E68" i="1"/>
  <c r="P68" i="1" s="1"/>
  <c r="E67" i="1"/>
  <c r="P67" i="1" s="1"/>
  <c r="F60" i="1"/>
  <c r="F55" i="1"/>
  <c r="O54" i="1"/>
  <c r="K54" i="1"/>
  <c r="F54" i="1"/>
  <c r="G54" i="1"/>
  <c r="G53" i="1"/>
  <c r="F53" i="1"/>
  <c r="F35" i="1"/>
  <c r="O28" i="1"/>
  <c r="K28" i="1"/>
  <c r="F28" i="1"/>
  <c r="P142" i="1" l="1"/>
  <c r="P95" i="1"/>
  <c r="P94" i="1"/>
  <c r="F23" i="1"/>
  <c r="O148" i="1" l="1"/>
  <c r="K148" i="1"/>
  <c r="I60" i="1" l="1"/>
  <c r="I189" i="1" l="1"/>
  <c r="I50" i="1"/>
  <c r="G195" i="1"/>
  <c r="H195" i="1"/>
  <c r="K195" i="1"/>
  <c r="L195" i="1"/>
  <c r="M195" i="1"/>
  <c r="N195" i="1"/>
  <c r="O195" i="1"/>
  <c r="O151" i="1"/>
  <c r="K151" i="1"/>
  <c r="I137" i="1"/>
  <c r="I124" i="1" s="1"/>
  <c r="J134" i="1"/>
  <c r="E134" i="1"/>
  <c r="J130" i="1"/>
  <c r="E130" i="1"/>
  <c r="F118" i="1"/>
  <c r="G110" i="1"/>
  <c r="F110" i="1"/>
  <c r="G109" i="1"/>
  <c r="F109" i="1"/>
  <c r="H53" i="1"/>
  <c r="H54" i="1"/>
  <c r="F43" i="1"/>
  <c r="O30" i="1"/>
  <c r="K30" i="1"/>
  <c r="F30" i="1"/>
  <c r="F27" i="1"/>
  <c r="P130" i="1" l="1"/>
  <c r="P134" i="1"/>
  <c r="G43" i="1"/>
  <c r="G196" i="1" s="1"/>
  <c r="G193" i="1" l="1"/>
  <c r="I193" i="1"/>
  <c r="K193" i="1"/>
  <c r="L193" i="1"/>
  <c r="M193" i="1"/>
  <c r="N193" i="1"/>
  <c r="O193" i="1"/>
  <c r="O182" i="1"/>
  <c r="K182" i="1"/>
  <c r="K179" i="1" s="1"/>
  <c r="L172" i="1"/>
  <c r="M172" i="1"/>
  <c r="N172" i="1"/>
  <c r="O172" i="1"/>
  <c r="K172" i="1"/>
  <c r="G172" i="1"/>
  <c r="H172" i="1"/>
  <c r="I172" i="1"/>
  <c r="J178" i="1"/>
  <c r="E178" i="1"/>
  <c r="F163" i="1"/>
  <c r="F195" i="1" s="1"/>
  <c r="F139" i="1"/>
  <c r="F125" i="1"/>
  <c r="E121" i="1"/>
  <c r="P121" i="1" s="1"/>
  <c r="E72" i="1"/>
  <c r="P72" i="1" s="1"/>
  <c r="E71" i="1"/>
  <c r="P71" i="1" s="1"/>
  <c r="F69" i="1"/>
  <c r="E69" i="1" s="1"/>
  <c r="P69" i="1" s="1"/>
  <c r="P178" i="1" l="1"/>
  <c r="J48" i="1"/>
  <c r="E48" i="1"/>
  <c r="F46" i="1"/>
  <c r="F45" i="1"/>
  <c r="H22" i="1"/>
  <c r="F22" i="1"/>
  <c r="P48" i="1" l="1"/>
  <c r="L179" i="1"/>
  <c r="M179" i="1"/>
  <c r="N179" i="1"/>
  <c r="G179" i="1"/>
  <c r="H179" i="1"/>
  <c r="I179" i="1"/>
  <c r="O179" i="1" l="1"/>
  <c r="O157" i="1"/>
  <c r="O196" i="1" s="1"/>
  <c r="K157" i="1"/>
  <c r="K196" i="1" s="1"/>
  <c r="F97" i="1"/>
  <c r="F82" i="1"/>
  <c r="F80" i="1" s="1"/>
  <c r="F42" i="1"/>
  <c r="G61" i="1" l="1"/>
  <c r="F183" i="1" l="1"/>
  <c r="F179" i="1" s="1"/>
  <c r="E185" i="1"/>
  <c r="J185" i="1"/>
  <c r="E177" i="1"/>
  <c r="P177" i="1" s="1"/>
  <c r="F174" i="1"/>
  <c r="F172" i="1" s="1"/>
  <c r="I165" i="1"/>
  <c r="F162" i="1"/>
  <c r="J138" i="1"/>
  <c r="E138" i="1"/>
  <c r="H77" i="1"/>
  <c r="H193" i="1" s="1"/>
  <c r="F193" i="1"/>
  <c r="J73" i="1"/>
  <c r="E73" i="1"/>
  <c r="H64" i="1"/>
  <c r="F64" i="1"/>
  <c r="J63" i="1"/>
  <c r="E63" i="1"/>
  <c r="H61" i="1"/>
  <c r="F61" i="1"/>
  <c r="H60" i="1"/>
  <c r="H58" i="1"/>
  <c r="F58" i="1"/>
  <c r="H55" i="1"/>
  <c r="H189" i="1" s="1"/>
  <c r="O53" i="1"/>
  <c r="K53" i="1"/>
  <c r="H51" i="1"/>
  <c r="F51" i="1"/>
  <c r="F44" i="1"/>
  <c r="F196" i="1" s="1"/>
  <c r="J42" i="1"/>
  <c r="E42" i="1"/>
  <c r="I39" i="1"/>
  <c r="I195" i="1" s="1"/>
  <c r="E38" i="1"/>
  <c r="F36" i="1"/>
  <c r="F34" i="1" s="1"/>
  <c r="F33" i="1"/>
  <c r="K33" i="1"/>
  <c r="O33" i="1"/>
  <c r="F32" i="1"/>
  <c r="F191" i="1" s="1"/>
  <c r="O189" i="1" l="1"/>
  <c r="O50" i="1"/>
  <c r="K189" i="1"/>
  <c r="K50" i="1"/>
  <c r="F189" i="1"/>
  <c r="H50" i="1"/>
  <c r="E33" i="1"/>
  <c r="F194" i="1"/>
  <c r="J33" i="1"/>
  <c r="P185" i="1"/>
  <c r="P138" i="1"/>
  <c r="P63" i="1"/>
  <c r="P73" i="1"/>
  <c r="P42" i="1"/>
  <c r="P33" i="1" l="1"/>
  <c r="L145" i="1"/>
  <c r="M145" i="1"/>
  <c r="N145" i="1"/>
  <c r="O145" i="1"/>
  <c r="K145" i="1"/>
  <c r="G145" i="1"/>
  <c r="H145" i="1"/>
  <c r="I145" i="1"/>
  <c r="J154" i="1"/>
  <c r="E154" i="1"/>
  <c r="J74" i="1"/>
  <c r="E74" i="1"/>
  <c r="P74" i="1" l="1"/>
  <c r="P154" i="1"/>
  <c r="E133" i="1" l="1"/>
  <c r="J176" i="1"/>
  <c r="E176" i="1"/>
  <c r="J175" i="1"/>
  <c r="E175" i="1"/>
  <c r="J174" i="1"/>
  <c r="E174" i="1"/>
  <c r="P176" i="1" l="1"/>
  <c r="P174" i="1"/>
  <c r="P175" i="1"/>
  <c r="F161" i="1" l="1"/>
  <c r="F147" i="1"/>
  <c r="F145" i="1" s="1"/>
  <c r="F127" i="1"/>
  <c r="F124" i="1" s="1"/>
  <c r="F117" i="1"/>
  <c r="F115" i="1" s="1"/>
  <c r="F106" i="1"/>
  <c r="F101" i="1"/>
  <c r="F52" i="1"/>
  <c r="F50" i="1" s="1"/>
  <c r="F29" i="1"/>
  <c r="F25" i="1"/>
  <c r="F24" i="1"/>
  <c r="L168" i="1" l="1"/>
  <c r="M168" i="1"/>
  <c r="N168" i="1"/>
  <c r="G168" i="1"/>
  <c r="H168" i="1"/>
  <c r="I168" i="1"/>
  <c r="J184" i="1"/>
  <c r="E184" i="1"/>
  <c r="P184" i="1" l="1"/>
  <c r="J183" i="1"/>
  <c r="E183" i="1"/>
  <c r="E182" i="1"/>
  <c r="J182" i="1"/>
  <c r="O168" i="1"/>
  <c r="K168" i="1"/>
  <c r="F168" i="1"/>
  <c r="J129" i="1"/>
  <c r="F190" i="1"/>
  <c r="G190" i="1"/>
  <c r="H190" i="1"/>
  <c r="I190" i="1"/>
  <c r="K190" i="1"/>
  <c r="L190" i="1"/>
  <c r="M190" i="1"/>
  <c r="N190" i="1"/>
  <c r="O190" i="1"/>
  <c r="L144" i="1"/>
  <c r="M144" i="1"/>
  <c r="N144" i="1"/>
  <c r="O144" i="1"/>
  <c r="K144" i="1"/>
  <c r="E157" i="1"/>
  <c r="J157" i="1"/>
  <c r="E148" i="1"/>
  <c r="E149" i="1"/>
  <c r="E150" i="1"/>
  <c r="E151" i="1"/>
  <c r="E152" i="1"/>
  <c r="E153" i="1"/>
  <c r="E155" i="1"/>
  <c r="E156" i="1"/>
  <c r="J148" i="1"/>
  <c r="J149" i="1"/>
  <c r="J150" i="1"/>
  <c r="J151" i="1"/>
  <c r="J152" i="1"/>
  <c r="P152" i="1" s="1"/>
  <c r="J153" i="1"/>
  <c r="J155" i="1"/>
  <c r="J156" i="1"/>
  <c r="J136" i="1"/>
  <c r="E136" i="1"/>
  <c r="E129" i="1"/>
  <c r="E78" i="1"/>
  <c r="J78" i="1"/>
  <c r="P182" i="1" l="1"/>
  <c r="P153" i="1"/>
  <c r="P156" i="1"/>
  <c r="P150" i="1"/>
  <c r="P183" i="1"/>
  <c r="P157" i="1"/>
  <c r="P136" i="1"/>
  <c r="P155" i="1"/>
  <c r="P149" i="1"/>
  <c r="P148" i="1"/>
  <c r="P129" i="1"/>
  <c r="P151" i="1"/>
  <c r="P78" i="1"/>
  <c r="G55" i="1"/>
  <c r="E40" i="1"/>
  <c r="J39" i="1"/>
  <c r="J40" i="1"/>
  <c r="E39" i="1"/>
  <c r="G50" i="1" l="1"/>
  <c r="G189" i="1"/>
  <c r="P40" i="1"/>
  <c r="P39" i="1"/>
  <c r="J181" i="1"/>
  <c r="E181" i="1"/>
  <c r="P181" i="1" l="1"/>
  <c r="E140" i="1"/>
  <c r="P140" i="1" s="1"/>
  <c r="F197" i="1" l="1"/>
  <c r="G197" i="1"/>
  <c r="H197" i="1"/>
  <c r="I197" i="1"/>
  <c r="K197" i="1"/>
  <c r="L197" i="1"/>
  <c r="M197" i="1"/>
  <c r="N197" i="1"/>
  <c r="O197" i="1"/>
  <c r="E179" i="1"/>
  <c r="E172" i="1"/>
  <c r="E170" i="1"/>
  <c r="E169" i="1"/>
  <c r="J179" i="1"/>
  <c r="O167" i="1"/>
  <c r="K167" i="1"/>
  <c r="F159" i="1"/>
  <c r="F123" i="1"/>
  <c r="L115" i="1"/>
  <c r="M115" i="1"/>
  <c r="N115" i="1"/>
  <c r="O115" i="1"/>
  <c r="K115" i="1"/>
  <c r="G115" i="1"/>
  <c r="H115" i="1"/>
  <c r="I115" i="1"/>
  <c r="F114" i="1"/>
  <c r="N104" i="1"/>
  <c r="O104" i="1"/>
  <c r="K104" i="1"/>
  <c r="G104" i="1"/>
  <c r="H104" i="1"/>
  <c r="I104" i="1"/>
  <c r="F104" i="1"/>
  <c r="F103" i="1" s="1"/>
  <c r="F99" i="1"/>
  <c r="F98" i="1" s="1"/>
  <c r="L99" i="1"/>
  <c r="M99" i="1"/>
  <c r="N99" i="1"/>
  <c r="O99" i="1"/>
  <c r="K99" i="1"/>
  <c r="G99" i="1"/>
  <c r="H99" i="1"/>
  <c r="I99" i="1"/>
  <c r="L80" i="1"/>
  <c r="M80" i="1"/>
  <c r="N80" i="1"/>
  <c r="O80" i="1"/>
  <c r="K80" i="1"/>
  <c r="G80" i="1"/>
  <c r="H80" i="1"/>
  <c r="I80" i="1"/>
  <c r="E50" i="1"/>
  <c r="J46" i="1"/>
  <c r="E46" i="1"/>
  <c r="G192" i="1"/>
  <c r="H192" i="1"/>
  <c r="I192" i="1"/>
  <c r="K192" i="1"/>
  <c r="N192" i="1"/>
  <c r="O192" i="1"/>
  <c r="E168" i="1" l="1"/>
  <c r="E167" i="1" s="1"/>
  <c r="P179" i="1"/>
  <c r="E197" i="1"/>
  <c r="P46" i="1"/>
  <c r="F192" i="1" l="1"/>
  <c r="M107" i="1" l="1"/>
  <c r="M189" i="1" s="1"/>
  <c r="L107" i="1"/>
  <c r="L189" i="1" s="1"/>
  <c r="L34" i="1" l="1"/>
  <c r="L194" i="1" s="1"/>
  <c r="M34" i="1"/>
  <c r="M194" i="1" s="1"/>
  <c r="N34" i="1"/>
  <c r="N194" i="1" s="1"/>
  <c r="O34" i="1"/>
  <c r="O194" i="1" s="1"/>
  <c r="K34" i="1"/>
  <c r="K194" i="1" s="1"/>
  <c r="G34" i="1"/>
  <c r="G194" i="1" s="1"/>
  <c r="H34" i="1"/>
  <c r="H194" i="1" s="1"/>
  <c r="I34" i="1"/>
  <c r="I194" i="1" s="1"/>
  <c r="J35" i="1"/>
  <c r="J36" i="1"/>
  <c r="J37" i="1"/>
  <c r="E36" i="1"/>
  <c r="E37" i="1"/>
  <c r="E35" i="1"/>
  <c r="E34" i="1" l="1"/>
  <c r="P35" i="1"/>
  <c r="P36" i="1"/>
  <c r="P37" i="1"/>
  <c r="L21" i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P22" i="1" l="1"/>
  <c r="O188" i="1"/>
  <c r="O198" i="1" s="1"/>
  <c r="G188" i="1"/>
  <c r="G198" i="1" s="1"/>
  <c r="L188" i="1"/>
  <c r="N188" i="1"/>
  <c r="N198" i="1" s="1"/>
  <c r="K188" i="1"/>
  <c r="K198" i="1" s="1"/>
  <c r="M188" i="1"/>
  <c r="I188" i="1"/>
  <c r="I198" i="1" s="1"/>
  <c r="H188" i="1"/>
  <c r="H198" i="1" s="1"/>
  <c r="F188" i="1"/>
  <c r="F198" i="1" s="1"/>
  <c r="P25" i="1"/>
  <c r="P24" i="1"/>
  <c r="P23" i="1"/>
  <c r="O98" i="1"/>
  <c r="K98" i="1"/>
  <c r="L98" i="1"/>
  <c r="M98" i="1"/>
  <c r="N98" i="1"/>
  <c r="M79" i="1"/>
  <c r="N79" i="1"/>
  <c r="O79" i="1"/>
  <c r="K79" i="1"/>
  <c r="L79" i="1"/>
  <c r="M49" i="1"/>
  <c r="N49" i="1"/>
  <c r="L49" i="1"/>
  <c r="O49" i="1"/>
  <c r="K49" i="1"/>
  <c r="G167" i="1"/>
  <c r="H167" i="1"/>
  <c r="I167" i="1"/>
  <c r="F167" i="1"/>
  <c r="G159" i="1"/>
  <c r="G158" i="1" s="1"/>
  <c r="H159" i="1"/>
  <c r="H158" i="1" s="1"/>
  <c r="I159" i="1"/>
  <c r="I158" i="1" s="1"/>
  <c r="F158" i="1"/>
  <c r="G144" i="1"/>
  <c r="H144" i="1"/>
  <c r="I144" i="1"/>
  <c r="F144" i="1"/>
  <c r="G123" i="1"/>
  <c r="H123" i="1"/>
  <c r="I123" i="1"/>
  <c r="G114" i="1"/>
  <c r="H114" i="1"/>
  <c r="I114" i="1"/>
  <c r="G103" i="1"/>
  <c r="H103" i="1"/>
  <c r="I103" i="1"/>
  <c r="L47" i="1" l="1"/>
  <c r="L196" i="1" s="1"/>
  <c r="L20" i="1" l="1"/>
  <c r="M111" i="1"/>
  <c r="L109" i="1"/>
  <c r="K103" i="1"/>
  <c r="N103" i="1"/>
  <c r="O103" i="1"/>
  <c r="L123" i="1"/>
  <c r="M123" i="1"/>
  <c r="N123" i="1"/>
  <c r="O123" i="1"/>
  <c r="K123" i="1"/>
  <c r="J141" i="1"/>
  <c r="E141" i="1"/>
  <c r="J47" i="1"/>
  <c r="E47" i="1"/>
  <c r="L192" i="1" l="1"/>
  <c r="L198" i="1" s="1"/>
  <c r="L104" i="1"/>
  <c r="L103" i="1" s="1"/>
  <c r="M192" i="1"/>
  <c r="M198" i="1" s="1"/>
  <c r="M104" i="1"/>
  <c r="M103" i="1" s="1"/>
  <c r="P141" i="1"/>
  <c r="P47" i="1"/>
  <c r="J99" i="1" l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5" i="1"/>
  <c r="J126" i="1"/>
  <c r="J127" i="1"/>
  <c r="J128" i="1"/>
  <c r="J131" i="1"/>
  <c r="J132" i="1"/>
  <c r="J133" i="1"/>
  <c r="J135" i="1"/>
  <c r="J137" i="1"/>
  <c r="J139" i="1"/>
  <c r="J144" i="1"/>
  <c r="J145" i="1"/>
  <c r="J146" i="1"/>
  <c r="J14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82" i="1"/>
  <c r="J83" i="1"/>
  <c r="J84" i="1"/>
  <c r="J85" i="1"/>
  <c r="J86" i="1"/>
  <c r="J87" i="1"/>
  <c r="J88" i="1"/>
  <c r="J89" i="1"/>
  <c r="J90" i="1"/>
  <c r="J91" i="1"/>
  <c r="J92" i="1"/>
  <c r="J93" i="1"/>
  <c r="J96" i="1"/>
  <c r="J97" i="1"/>
  <c r="J81" i="1"/>
  <c r="G79" i="1"/>
  <c r="I79" i="1"/>
  <c r="F79" i="1"/>
  <c r="H79" i="1"/>
  <c r="J52" i="1"/>
  <c r="J53" i="1"/>
  <c r="J54" i="1"/>
  <c r="J55" i="1"/>
  <c r="J56" i="1"/>
  <c r="J57" i="1"/>
  <c r="J58" i="1"/>
  <c r="J59" i="1"/>
  <c r="J60" i="1"/>
  <c r="J61" i="1"/>
  <c r="J62" i="1"/>
  <c r="J64" i="1"/>
  <c r="J75" i="1"/>
  <c r="J76" i="1"/>
  <c r="J77" i="1"/>
  <c r="J51" i="1"/>
  <c r="G49" i="1"/>
  <c r="H49" i="1"/>
  <c r="I49" i="1"/>
  <c r="J26" i="1"/>
  <c r="J27" i="1"/>
  <c r="J28" i="1"/>
  <c r="J29" i="1"/>
  <c r="J30" i="1"/>
  <c r="J31" i="1"/>
  <c r="J32" i="1"/>
  <c r="J34" i="1"/>
  <c r="J41" i="1"/>
  <c r="J43" i="1"/>
  <c r="J44" i="1"/>
  <c r="J45" i="1"/>
  <c r="J21" i="1"/>
  <c r="J20" i="1"/>
  <c r="L19" i="1"/>
  <c r="M19" i="1"/>
  <c r="M186" i="1" s="1"/>
  <c r="N19" i="1"/>
  <c r="N186" i="1" s="1"/>
  <c r="O19" i="1"/>
  <c r="K19" i="1"/>
  <c r="K186" i="1" s="1"/>
  <c r="G19" i="1"/>
  <c r="H19" i="1"/>
  <c r="I19" i="1"/>
  <c r="F19" i="1"/>
  <c r="E161" i="1"/>
  <c r="E162" i="1"/>
  <c r="E163" i="1"/>
  <c r="E164" i="1"/>
  <c r="E165" i="1"/>
  <c r="E166" i="1"/>
  <c r="E147" i="1"/>
  <c r="E126" i="1"/>
  <c r="E127" i="1"/>
  <c r="E128" i="1"/>
  <c r="E131" i="1"/>
  <c r="E132" i="1"/>
  <c r="E135" i="1"/>
  <c r="E137" i="1"/>
  <c r="E139" i="1"/>
  <c r="E117" i="1"/>
  <c r="E118" i="1"/>
  <c r="E119" i="1"/>
  <c r="E120" i="1"/>
  <c r="E122" i="1"/>
  <c r="E106" i="1"/>
  <c r="E107" i="1"/>
  <c r="E108" i="1"/>
  <c r="E109" i="1"/>
  <c r="E110" i="1"/>
  <c r="E111" i="1"/>
  <c r="E112" i="1"/>
  <c r="E113" i="1"/>
  <c r="E101" i="1"/>
  <c r="E102" i="1"/>
  <c r="E82" i="1"/>
  <c r="E83" i="1"/>
  <c r="E84" i="1"/>
  <c r="E85" i="1"/>
  <c r="E86" i="1"/>
  <c r="E87" i="1"/>
  <c r="E88" i="1"/>
  <c r="E89" i="1"/>
  <c r="E90" i="1"/>
  <c r="E91" i="1"/>
  <c r="E92" i="1"/>
  <c r="E93" i="1"/>
  <c r="E96" i="1"/>
  <c r="E97" i="1"/>
  <c r="E52" i="1"/>
  <c r="E53" i="1"/>
  <c r="E54" i="1"/>
  <c r="E55" i="1"/>
  <c r="E56" i="1"/>
  <c r="E57" i="1"/>
  <c r="E58" i="1"/>
  <c r="E59" i="1"/>
  <c r="E60" i="1"/>
  <c r="E61" i="1"/>
  <c r="E62" i="1"/>
  <c r="E64" i="1"/>
  <c r="E75" i="1"/>
  <c r="E76" i="1"/>
  <c r="E77" i="1"/>
  <c r="E160" i="1"/>
  <c r="E159" i="1"/>
  <c r="E158" i="1"/>
  <c r="E146" i="1"/>
  <c r="E145" i="1"/>
  <c r="E144" i="1"/>
  <c r="E125" i="1"/>
  <c r="E124" i="1"/>
  <c r="E123" i="1"/>
  <c r="E116" i="1"/>
  <c r="E115" i="1"/>
  <c r="E114" i="1"/>
  <c r="E105" i="1"/>
  <c r="E104" i="1"/>
  <c r="E103" i="1"/>
  <c r="E100" i="1"/>
  <c r="E99" i="1"/>
  <c r="E98" i="1"/>
  <c r="E81" i="1"/>
  <c r="E80" i="1"/>
  <c r="E51" i="1"/>
  <c r="E26" i="1"/>
  <c r="E27" i="1"/>
  <c r="E28" i="1"/>
  <c r="E29" i="1"/>
  <c r="E30" i="1"/>
  <c r="E31" i="1"/>
  <c r="E32" i="1"/>
  <c r="E41" i="1"/>
  <c r="E43" i="1"/>
  <c r="E44" i="1"/>
  <c r="E45" i="1"/>
  <c r="E21" i="1"/>
  <c r="E20" i="1"/>
  <c r="J196" i="1" l="1"/>
  <c r="J124" i="1"/>
  <c r="P124" i="1" s="1"/>
  <c r="E196" i="1"/>
  <c r="E189" i="1"/>
  <c r="J195" i="1"/>
  <c r="J191" i="1"/>
  <c r="J189" i="1"/>
  <c r="E191" i="1"/>
  <c r="E194" i="1"/>
  <c r="P34" i="1"/>
  <c r="J194" i="1"/>
  <c r="E195" i="1"/>
  <c r="J193" i="1"/>
  <c r="E79" i="1"/>
  <c r="E193" i="1"/>
  <c r="E190" i="1"/>
  <c r="J190" i="1"/>
  <c r="J197" i="1"/>
  <c r="P197" i="1" s="1"/>
  <c r="G186" i="1"/>
  <c r="E192" i="1"/>
  <c r="J192" i="1"/>
  <c r="E188" i="1"/>
  <c r="J188" i="1"/>
  <c r="I186" i="1"/>
  <c r="F49" i="1"/>
  <c r="E49" i="1" s="1"/>
  <c r="H186" i="1"/>
  <c r="J98" i="1"/>
  <c r="P98" i="1" s="1"/>
  <c r="J49" i="1"/>
  <c r="O186" i="1"/>
  <c r="P20" i="1"/>
  <c r="J79" i="1"/>
  <c r="J80" i="1"/>
  <c r="P80" i="1" s="1"/>
  <c r="J50" i="1"/>
  <c r="P50" i="1" s="1"/>
  <c r="J19" i="1"/>
  <c r="L186" i="1"/>
  <c r="E19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47" i="1"/>
  <c r="P146" i="1"/>
  <c r="P145" i="1"/>
  <c r="P144" i="1"/>
  <c r="P139" i="1"/>
  <c r="P137" i="1"/>
  <c r="P135" i="1"/>
  <c r="P133" i="1"/>
  <c r="P132" i="1"/>
  <c r="P131" i="1"/>
  <c r="P128" i="1"/>
  <c r="P127" i="1"/>
  <c r="P126" i="1"/>
  <c r="P125" i="1"/>
  <c r="P123" i="1"/>
  <c r="P122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7" i="1"/>
  <c r="P96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77" i="1"/>
  <c r="P76" i="1"/>
  <c r="P75" i="1"/>
  <c r="P64" i="1"/>
  <c r="P62" i="1"/>
  <c r="P61" i="1"/>
  <c r="P60" i="1"/>
  <c r="P59" i="1"/>
  <c r="P58" i="1"/>
  <c r="P57" i="1"/>
  <c r="P56" i="1"/>
  <c r="P55" i="1"/>
  <c r="P54" i="1"/>
  <c r="P53" i="1"/>
  <c r="P52" i="1"/>
  <c r="P51" i="1"/>
  <c r="P45" i="1"/>
  <c r="P44" i="1"/>
  <c r="P43" i="1"/>
  <c r="P41" i="1"/>
  <c r="P32" i="1"/>
  <c r="P31" i="1"/>
  <c r="P30" i="1"/>
  <c r="P29" i="1"/>
  <c r="P28" i="1"/>
  <c r="P27" i="1"/>
  <c r="P26" i="1"/>
  <c r="P21" i="1"/>
  <c r="P79" i="1" l="1"/>
  <c r="P193" i="1"/>
  <c r="P49" i="1"/>
  <c r="P194" i="1"/>
  <c r="P189" i="1"/>
  <c r="P196" i="1"/>
  <c r="P188" i="1"/>
  <c r="P195" i="1"/>
  <c r="J198" i="1"/>
  <c r="P192" i="1"/>
  <c r="P191" i="1"/>
  <c r="E198" i="1"/>
  <c r="P190" i="1"/>
  <c r="F186" i="1"/>
  <c r="P19" i="1"/>
  <c r="J186" i="1"/>
  <c r="E186" i="1" l="1"/>
  <c r="P198" i="1"/>
  <c r="P186" i="1" l="1"/>
</calcChain>
</file>

<file path=xl/sharedStrings.xml><?xml version="1.0" encoding="utf-8"?>
<sst xmlns="http://schemas.openxmlformats.org/spreadsheetml/2006/main" count="611" uniqueCount="391">
  <si>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</si>
  <si>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</si>
  <si>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</si>
  <si>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</si>
  <si>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</si>
  <si>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</si>
  <si>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</si>
  <si>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</si>
  <si>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</si>
  <si>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</si>
  <si>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</si>
  <si>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</si>
  <si>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</si>
  <si>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</si>
  <si>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</si>
  <si>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</si>
  <si>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</si>
  <si>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</si>
  <si>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</si>
  <si>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</si>
  <si>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</si>
  <si>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</si>
  <si>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</si>
  <si>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</si>
  <si>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</si>
  <si>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</si>
  <si>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</si>
  <si>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</si>
  <si>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</si>
  <si>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</si>
  <si>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</si>
  <si>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</si>
  <si>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</si>
  <si>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</si>
  <si>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</si>
  <si>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</si>
  <si>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</si>
  <si>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</si>
  <si>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</si>
  <si>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</si>
  <si>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</si>
  <si>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</si>
  <si>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</si>
  <si>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</si>
  <si>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</si>
  <si>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</si>
  <si>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</si>
  <si>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</si>
  <si>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</si>
  <si>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</si>
  <si>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</si>
  <si>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</si>
  <si>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</si>
  <si>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</si>
  <si>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</si>
  <si>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</si>
  <si>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</si>
  <si>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</si>
  <si>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</si>
  <si>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</si>
  <si>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</si>
  <si>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</si>
  <si>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</si>
  <si>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</si>
  <si>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</si>
  <si>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</si>
  <si>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</si>
  <si>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</si>
  <si>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</si>
  <si>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</si>
  <si>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</si>
  <si>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</si>
  <si>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</si>
  <si>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</si>
  <si>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</si>
  <si>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</si>
  <si>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</si>
  <si>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</si>
  <si>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</si>
  <si>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</si>
  <si>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</si>
  <si>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</si>
  <si>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</si>
  <si>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</si>
  <si>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</si>
  <si>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</si>
  <si>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</si>
  <si>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</si>
  <si>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</si>
  <si>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</si>
  <si>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</si>
  <si>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</si>
  <si>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</si>
  <si>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</si>
  <si>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</si>
  <si>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</si>
  <si>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</si>
  <si>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</si>
  <si>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</si>
  <si>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</si>
  <si>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</si>
  <si>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</si>
  <si>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</si>
  <si>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</si>
  <si>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</si>
  <si>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</si>
  <si>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</si>
  <si>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</si>
  <si>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</si>
  <si>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</si>
  <si>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</si>
  <si>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</si>
  <si>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</si>
  <si>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</si>
  <si>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</si>
  <si>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</si>
  <si>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</si>
  <si>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</si>
  <si>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</si>
  <si>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</si>
  <si>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</si>
  <si>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</si>
  <si>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</si>
  <si>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</si>
  <si>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</si>
  <si>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</si>
  <si>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</si>
  <si>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</si>
  <si>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</si>
  <si>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</si>
  <si>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</si>
  <si>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</si>
  <si>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</si>
  <si>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</si>
  <si>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</si>
  <si>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</si>
  <si>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</si>
  <si>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</si>
  <si>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</si>
  <si>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</si>
  <si>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</si>
  <si>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</si>
  <si>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</si>
  <si>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</si>
  <si>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</si>
  <si>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</si>
  <si>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</si>
  <si>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</si>
  <si>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</si>
  <si>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</si>
  <si>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</si>
  <si>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</si>
  <si>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</si>
  <si>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</si>
  <si>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</si>
  <si>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</si>
  <si>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</si>
  <si>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</si>
  <si>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</si>
  <si>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</si>
  <si>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</si>
  <si>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</si>
  <si>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</si>
  <si>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</si>
  <si>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</si>
  <si>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</si>
  <si>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</si>
  <si>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</si>
  <si>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</si>
  <si>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</si>
  <si>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</si>
  <si>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</si>
  <si>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</si>
  <si>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</si>
  <si>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</si>
  <si>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0910180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</si>
  <si>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</si>
  <si>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</si>
  <si>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</si>
  <si>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</si>
  <si>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</si>
  <si>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</si>
  <si>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</si>
  <si>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</si>
  <si>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</si>
  <si>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</si>
  <si>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</si>
  <si>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</si>
  <si>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</si>
  <si>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</si>
  <si>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</si>
  <si>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</si>
  <si>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</si>
  <si>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</si>
  <si>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</si>
  <si>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</si>
  <si>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</si>
  <si>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</si>
  <si>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</si>
  <si>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</si>
  <si>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</si>
  <si>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</si>
  <si>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</si>
  <si>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</si>
  <si>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</si>
  <si>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</si>
  <si>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</si>
  <si>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</si>
  <si>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</si>
  <si>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</si>
  <si>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</si>
  <si>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</si>
  <si>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</si>
  <si>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</si>
  <si>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</si>
  <si>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</si>
  <si>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</si>
  <si>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</si>
  <si>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</si>
  <si>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</si>
  <si>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</si>
  <si>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</si>
  <si>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</si>
  <si>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</si>
  <si>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</si>
  <si>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</si>
  <si>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</si>
  <si>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</si>
  <si>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</si>
  <si>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</si>
  <si>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</si>
  <si>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</si>
  <si>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</si>
  <si>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</si>
  <si>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</si>
  <si>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</si>
  <si>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</si>
  <si>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</si>
  <si>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</si>
  <si>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</si>
  <si>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</si>
  <si>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</si>
  <si>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</si>
  <si>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</si>
  <si>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</si>
  <si>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</si>
  <si>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</si>
  <si>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</si>
  <si>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</si>
  <si>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</si>
  <si>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</si>
  <si>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</si>
  <si>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</si>
  <si>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</si>
  <si>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</si>
  <si>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</si>
  <si>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</si>
  <si>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</si>
  <si>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</si>
  <si>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</si>
  <si>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</si>
  <si>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</si>
  <si>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</si>
  <si>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</si>
  <si>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</si>
  <si>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</si>
  <si>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</si>
  <si>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</si>
  <si>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</si>
  <si>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</si>
  <si>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</si>
  <si>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</si>
  <si>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</si>
  <si>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</si>
  <si>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</si>
  <si>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</si>
  <si>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</si>
  <si>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</si>
  <si>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</si>
  <si>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</si>
  <si>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</si>
  <si>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</si>
  <si>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</si>
  <si>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</si>
  <si>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</si>
  <si>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</si>
  <si>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</si>
  <si>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</si>
  <si>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</si>
  <si>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</si>
  <si>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0216011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</si>
  <si>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</si>
  <si>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</si>
  <si>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</si>
  <si>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</si>
  <si>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</si>
  <si>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</si>
  <si>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</si>
  <si>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</si>
  <si>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</si>
  <si>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</si>
  <si>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</si>
  <si>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</si>
  <si>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</si>
  <si>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</si>
  <si>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</si>
  <si>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</si>
  <si>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</si>
  <si>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</si>
  <si>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</si>
  <si>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</si>
  <si>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</si>
  <si>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</si>
  <si>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</si>
  <si>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</si>
  <si>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</si>
  <si>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</si>
  <si>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</si>
  <si>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</si>
  <si>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</si>
  <si>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</si>
  <si>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</si>
  <si>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</si>
  <si>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</si>
  <si>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</si>
  <si>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</si>
  <si>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</si>
  <si>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</si>
  <si>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</si>
  <si>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</si>
  <si>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</si>
  <si>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</si>
  <si>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</si>
  <si>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</si>
  <si>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</si>
  <si>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</si>
  <si>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</si>
  <si>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</si>
  <si>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</si>
  <si>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</si>
  <si>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</si>
  <si>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</si>
  <si>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</si>
  <si>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</si>
  <si>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</si>
  <si>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</si>
  <si>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</si>
  <si>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</si>
  <si>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</si>
  <si>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</si>
  <si>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</si>
  <si>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</si>
  <si>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</si>
  <si>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</si>
  <si>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</si>
  <si>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</si>
  <si>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</si>
  <si>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</si>
  <si>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</si>
  <si>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</si>
  <si>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</si>
  <si>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</si>
  <si>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</si>
  <si>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</si>
  <si>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</si>
  <si>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</si>
  <si>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</si>
  <si>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</si>
  <si>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</si>
  <si>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</si>
  <si>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</si>
  <si>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</si>
  <si>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</si>
  <si>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</si>
  <si>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</si>
  <si>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</si>
  <si>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</si>
  <si>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</si>
  <si>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</si>
  <si>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</si>
  <si>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</si>
  <si>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</si>
  <si>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</si>
  <si>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</si>
  <si>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</si>
  <si>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</si>
  <si>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</si>
  <si>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1218773</t>
  </si>
  <si>
    <t>Заходи, пов'язані із підготовкою та проведенням позачергових місцевих виборів, за рахунок коштів резервного фонду місцевого бюджету</t>
  </si>
  <si>
    <t xml:space="preserve">від   26.07. 2024    </t>
  </si>
  <si>
    <t>№   641 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</si>
</sst>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6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8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0" borderId="1" xfId="2" applyFont="1" applyBorder="1" applyAlignment="1">
      <alignment vertical="center" wrapText="1"/>
    </xf>
    <xf numFmtId="165" fontId="15" fillId="3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 xr:uid="{00000000-0005-0000-0000-000001000000}"/>
    <cellStyle name="Обычный_дод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8"/>
  <sheetViews>
    <sheetView tabSelected="1" view="pageBreakPreview" zoomScale="70" zoomScaleNormal="70" zoomScaleSheetLayoutView="70" workbookViewId="0">
      <selection activeCell="M4" sqref="M4:N4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18.6640625" style="2" customWidth="1"/>
    <col min="6" max="6" width="19.109375" style="2" customWidth="1"/>
    <col min="7" max="7" width="22.88671875" style="2" customWidth="1"/>
    <col min="8" max="8" width="15.6640625" style="2" customWidth="1"/>
    <col min="9" max="9" width="18.44140625" style="2" customWidth="1"/>
    <col min="10" max="10" width="17.44140625" style="2" bestFit="1" customWidth="1"/>
    <col min="11" max="11" width="17.6640625" style="2" customWidth="1"/>
    <col min="12" max="14" width="15.6640625" style="2" customWidth="1"/>
    <col min="15" max="15" width="17" style="2" customWidth="1"/>
    <col min="16" max="16" width="19.5546875" style="2" customWidth="1"/>
    <col min="17" max="16384" width="8.88671875" style="2"/>
  </cols>
  <sheetData>
    <row r="1" spans="1:16">
      <c r="M1" s="2" t="s">
        <v>378</v>
      </c>
    </row>
    <row r="2" spans="1:16">
      <c r="M2" s="2" t="s">
        <v>300</v>
      </c>
    </row>
    <row r="3" spans="1:16">
      <c r="M3" s="2" t="s">
        <v>299</v>
      </c>
    </row>
    <row r="4" spans="1:16">
      <c r="M4" s="2" t="s">
        <v>389</v>
      </c>
      <c r="N4" s="2" t="s">
        <v>390</v>
      </c>
    </row>
    <row r="6" spans="1:16" ht="20.399999999999999" customHeight="1">
      <c r="M6" s="23" t="s">
        <v>324</v>
      </c>
    </row>
    <row r="7" spans="1:16" ht="20.399999999999999" customHeight="1">
      <c r="M7" s="2" t="s">
        <v>300</v>
      </c>
    </row>
    <row r="8" spans="1:16" ht="20.399999999999999" customHeight="1">
      <c r="M8" s="2" t="s">
        <v>299</v>
      </c>
    </row>
    <row r="9" spans="1:16" ht="20.399999999999999" customHeight="1">
      <c r="M9" s="2" t="s">
        <v>302</v>
      </c>
    </row>
    <row r="10" spans="1:16">
      <c r="A10" s="45" t="s">
        <v>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</row>
    <row r="11" spans="1:16">
      <c r="A11" s="45" t="s">
        <v>301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>
      <c r="A12" s="3" t="s">
        <v>1</v>
      </c>
    </row>
    <row r="13" spans="1:16">
      <c r="A13" s="2" t="s">
        <v>2</v>
      </c>
      <c r="P13" s="4" t="s">
        <v>3</v>
      </c>
    </row>
    <row r="14" spans="1:16" ht="26.4" customHeight="1">
      <c r="A14" s="47" t="s">
        <v>4</v>
      </c>
      <c r="B14" s="47" t="s">
        <v>5</v>
      </c>
      <c r="C14" s="47" t="s">
        <v>6</v>
      </c>
      <c r="D14" s="44" t="s">
        <v>7</v>
      </c>
      <c r="E14" s="44" t="s">
        <v>8</v>
      </c>
      <c r="F14" s="44"/>
      <c r="G14" s="44"/>
      <c r="H14" s="44"/>
      <c r="I14" s="44"/>
      <c r="J14" s="44" t="s">
        <v>14</v>
      </c>
      <c r="K14" s="44"/>
      <c r="L14" s="44"/>
      <c r="M14" s="44"/>
      <c r="N14" s="44"/>
      <c r="O14" s="44"/>
      <c r="P14" s="44" t="s">
        <v>16</v>
      </c>
    </row>
    <row r="15" spans="1:16" ht="26.4" customHeight="1">
      <c r="A15" s="47"/>
      <c r="B15" s="47"/>
      <c r="C15" s="47"/>
      <c r="D15" s="44"/>
      <c r="E15" s="44" t="s">
        <v>9</v>
      </c>
      <c r="F15" s="44" t="s">
        <v>10</v>
      </c>
      <c r="G15" s="44" t="s">
        <v>11</v>
      </c>
      <c r="H15" s="44"/>
      <c r="I15" s="44" t="s">
        <v>13</v>
      </c>
      <c r="J15" s="44" t="s">
        <v>9</v>
      </c>
      <c r="K15" s="44" t="s">
        <v>15</v>
      </c>
      <c r="L15" s="44" t="s">
        <v>10</v>
      </c>
      <c r="M15" s="44" t="s">
        <v>11</v>
      </c>
      <c r="N15" s="44"/>
      <c r="O15" s="44" t="s">
        <v>13</v>
      </c>
      <c r="P15" s="44"/>
    </row>
    <row r="16" spans="1:16" ht="30.6" customHeight="1">
      <c r="A16" s="47"/>
      <c r="B16" s="47"/>
      <c r="C16" s="47"/>
      <c r="D16" s="44"/>
      <c r="E16" s="44"/>
      <c r="F16" s="44"/>
      <c r="G16" s="44" t="s">
        <v>322</v>
      </c>
      <c r="H16" s="44" t="s">
        <v>12</v>
      </c>
      <c r="I16" s="44"/>
      <c r="J16" s="44"/>
      <c r="K16" s="44"/>
      <c r="L16" s="44"/>
      <c r="M16" s="44" t="s">
        <v>322</v>
      </c>
      <c r="N16" s="44" t="s">
        <v>12</v>
      </c>
      <c r="O16" s="44"/>
      <c r="P16" s="44"/>
    </row>
    <row r="17" spans="1:16" ht="31.2" customHeight="1">
      <c r="A17" s="47"/>
      <c r="B17" s="47"/>
      <c r="C17" s="47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  <c r="L18" s="7">
        <v>12</v>
      </c>
      <c r="M18" s="7">
        <v>13</v>
      </c>
      <c r="N18" s="7">
        <v>14</v>
      </c>
      <c r="O18" s="7">
        <v>15</v>
      </c>
      <c r="P18" s="7">
        <v>16</v>
      </c>
    </row>
    <row r="19" spans="1:16" ht="46.8">
      <c r="A19" s="8" t="s">
        <v>17</v>
      </c>
      <c r="B19" s="8" t="s">
        <v>18</v>
      </c>
      <c r="C19" s="8" t="s">
        <v>18</v>
      </c>
      <c r="D19" s="9" t="s">
        <v>19</v>
      </c>
      <c r="E19" s="10">
        <f>F19+I19</f>
        <v>157155985</v>
      </c>
      <c r="F19" s="10">
        <f>F20</f>
        <v>157155985</v>
      </c>
      <c r="G19" s="10">
        <f>G20</f>
        <v>82793300</v>
      </c>
      <c r="H19" s="10">
        <f>H20</f>
        <v>5213300</v>
      </c>
      <c r="I19" s="10">
        <f>I20</f>
        <v>0</v>
      </c>
      <c r="J19" s="10">
        <f>L19+O19</f>
        <v>7127089</v>
      </c>
      <c r="K19" s="10">
        <f>K20</f>
        <v>6888489</v>
      </c>
      <c r="L19" s="10">
        <f>L20</f>
        <v>238600</v>
      </c>
      <c r="M19" s="10">
        <f>M20</f>
        <v>0</v>
      </c>
      <c r="N19" s="10">
        <f>N20</f>
        <v>0</v>
      </c>
      <c r="O19" s="10">
        <f>O20</f>
        <v>6888489</v>
      </c>
      <c r="P19" s="10">
        <f t="shared" ref="P19:P76" si="0">E19 + J19</f>
        <v>164283074</v>
      </c>
    </row>
    <row r="20" spans="1:16" ht="46.8">
      <c r="A20" s="8" t="s">
        <v>20</v>
      </c>
      <c r="B20" s="8" t="s">
        <v>18</v>
      </c>
      <c r="C20" s="8" t="s">
        <v>18</v>
      </c>
      <c r="D20" s="9" t="s">
        <v>19</v>
      </c>
      <c r="E20" s="10">
        <f>F20+I20</f>
        <v>157155985</v>
      </c>
      <c r="F20" s="10">
        <f>SUM(F21:F48)-F22-F23-F24-F25-F35-F36-F37</f>
        <v>157155985</v>
      </c>
      <c r="G20" s="10">
        <f t="shared" ref="G20:K20" si="1">SUM(G21:G48)-G22-G23-G24-G25-G35-G36-G37</f>
        <v>82793300</v>
      </c>
      <c r="H20" s="10">
        <f t="shared" si="1"/>
        <v>5213300</v>
      </c>
      <c r="I20" s="10">
        <f t="shared" si="1"/>
        <v>0</v>
      </c>
      <c r="J20" s="10">
        <f>L20+O20</f>
        <v>7127089</v>
      </c>
      <c r="K20" s="10">
        <f t="shared" si="1"/>
        <v>6888489</v>
      </c>
      <c r="L20" s="10">
        <f t="shared" ref="L20" si="2">SUM(L21:L48)-L22-L23-L24-L25-L35-L36-L37</f>
        <v>238600</v>
      </c>
      <c r="M20" s="10">
        <f t="shared" ref="M20" si="3">SUM(M21:M48)-M22-M23-M24-M25-M35-M36-M37</f>
        <v>0</v>
      </c>
      <c r="N20" s="10">
        <f t="shared" ref="N20" si="4">SUM(N21:N48)-N22-N23-N24-N25-N35-N36-N37</f>
        <v>0</v>
      </c>
      <c r="O20" s="10">
        <f t="shared" ref="O20" si="5">SUM(O21:O48)-O22-O23-O24-O25-O35-O36-O37</f>
        <v>6888489</v>
      </c>
      <c r="P20" s="10">
        <f>E20 + J20</f>
        <v>164283074</v>
      </c>
    </row>
    <row r="21" spans="1:16" ht="93.6">
      <c r="A21" s="7" t="s">
        <v>21</v>
      </c>
      <c r="B21" s="7" t="s">
        <v>22</v>
      </c>
      <c r="C21" s="7" t="s">
        <v>23</v>
      </c>
      <c r="D21" s="11" t="s">
        <v>24</v>
      </c>
      <c r="E21" s="12">
        <f>F21+I21</f>
        <v>73968200</v>
      </c>
      <c r="F21" s="12">
        <f>F22+F23+F24+F25</f>
        <v>73968200</v>
      </c>
      <c r="G21" s="12">
        <f>G22+G23+G24+G25</f>
        <v>63820200</v>
      </c>
      <c r="H21" s="12">
        <f t="shared" ref="H21:I21" si="6">H22+H23+H24+H25</f>
        <v>4886300</v>
      </c>
      <c r="I21" s="12">
        <f t="shared" si="6"/>
        <v>0</v>
      </c>
      <c r="J21" s="12">
        <f>L21+O21</f>
        <v>138600</v>
      </c>
      <c r="K21" s="12">
        <f>K22+K23+K24+K25</f>
        <v>0</v>
      </c>
      <c r="L21" s="12">
        <f t="shared" ref="L21:O21" si="7">L22+L23+L24+L25</f>
        <v>138600</v>
      </c>
      <c r="M21" s="12">
        <f t="shared" si="7"/>
        <v>0</v>
      </c>
      <c r="N21" s="12">
        <f t="shared" si="7"/>
        <v>0</v>
      </c>
      <c r="O21" s="12">
        <f t="shared" si="7"/>
        <v>0</v>
      </c>
      <c r="P21" s="12">
        <f t="shared" si="0"/>
        <v>74106800</v>
      </c>
    </row>
    <row r="22" spans="1:16" s="6" customFormat="1" ht="46.8">
      <c r="A22" s="13"/>
      <c r="B22" s="13"/>
      <c r="C22" s="13"/>
      <c r="D22" s="1" t="s">
        <v>19</v>
      </c>
      <c r="E22" s="14">
        <f>F22+I22</f>
        <v>66044500</v>
      </c>
      <c r="F22" s="14">
        <f>66352700-109000-99200-100000</f>
        <v>66044500</v>
      </c>
      <c r="G22" s="14">
        <v>57122400</v>
      </c>
      <c r="H22" s="14">
        <f>4610900-100000</f>
        <v>4510900</v>
      </c>
      <c r="I22" s="14"/>
      <c r="J22" s="14">
        <f>L22+O22</f>
        <v>138598</v>
      </c>
      <c r="K22" s="14"/>
      <c r="L22" s="14">
        <v>138598</v>
      </c>
      <c r="M22" s="14"/>
      <c r="N22" s="14"/>
      <c r="O22" s="14"/>
      <c r="P22" s="14">
        <f t="shared" si="0"/>
        <v>66183098</v>
      </c>
    </row>
    <row r="23" spans="1:16" s="6" customFormat="1" ht="62.4">
      <c r="A23" s="13"/>
      <c r="B23" s="13"/>
      <c r="C23" s="13"/>
      <c r="D23" s="1" t="s">
        <v>293</v>
      </c>
      <c r="E23" s="14">
        <f t="shared" ref="E23:E25" si="8">F23+I23</f>
        <v>3250600</v>
      </c>
      <c r="F23" s="14">
        <f>3206600+44000</f>
        <v>3250600</v>
      </c>
      <c r="G23" s="14">
        <v>2744700</v>
      </c>
      <c r="H23" s="14">
        <v>171700</v>
      </c>
      <c r="I23" s="14"/>
      <c r="J23" s="14">
        <f t="shared" ref="J23:J25" si="9">L23+O23</f>
        <v>1</v>
      </c>
      <c r="K23" s="14"/>
      <c r="L23" s="14">
        <v>1</v>
      </c>
      <c r="M23" s="14"/>
      <c r="N23" s="14"/>
      <c r="O23" s="14"/>
      <c r="P23" s="14">
        <f t="shared" si="0"/>
        <v>3250601</v>
      </c>
    </row>
    <row r="24" spans="1:16" s="6" customFormat="1" ht="62.4">
      <c r="A24" s="13"/>
      <c r="B24" s="13"/>
      <c r="C24" s="13"/>
      <c r="D24" s="1" t="s">
        <v>294</v>
      </c>
      <c r="E24" s="14">
        <f t="shared" si="8"/>
        <v>2157300</v>
      </c>
      <c r="F24" s="14">
        <f>2157300</f>
        <v>2157300</v>
      </c>
      <c r="G24" s="14">
        <v>1819000</v>
      </c>
      <c r="H24" s="14">
        <v>91600</v>
      </c>
      <c r="I24" s="14"/>
      <c r="J24" s="14">
        <f t="shared" si="9"/>
        <v>0</v>
      </c>
      <c r="K24" s="14"/>
      <c r="L24" s="14"/>
      <c r="M24" s="14"/>
      <c r="N24" s="14"/>
      <c r="O24" s="14"/>
      <c r="P24" s="14">
        <f t="shared" si="0"/>
        <v>2157300</v>
      </c>
    </row>
    <row r="25" spans="1:16" s="6" customFormat="1" ht="46.8">
      <c r="A25" s="13"/>
      <c r="B25" s="13"/>
      <c r="C25" s="13"/>
      <c r="D25" s="1" t="s">
        <v>295</v>
      </c>
      <c r="E25" s="14">
        <f t="shared" si="8"/>
        <v>2515800</v>
      </c>
      <c r="F25" s="14">
        <f>2515800</f>
        <v>2515800</v>
      </c>
      <c r="G25" s="14">
        <v>2134100</v>
      </c>
      <c r="H25" s="14">
        <v>112100</v>
      </c>
      <c r="I25" s="14"/>
      <c r="J25" s="14">
        <f t="shared" si="9"/>
        <v>1</v>
      </c>
      <c r="K25" s="14"/>
      <c r="L25" s="14">
        <v>1</v>
      </c>
      <c r="M25" s="14"/>
      <c r="N25" s="14"/>
      <c r="O25" s="14"/>
      <c r="P25" s="14">
        <f t="shared" si="0"/>
        <v>2515801</v>
      </c>
    </row>
    <row r="26" spans="1:16" ht="46.8">
      <c r="A26" s="7" t="s">
        <v>25</v>
      </c>
      <c r="B26" s="7" t="s">
        <v>26</v>
      </c>
      <c r="C26" s="7" t="s">
        <v>27</v>
      </c>
      <c r="D26" s="11" t="s">
        <v>28</v>
      </c>
      <c r="E26" s="12">
        <f t="shared" ref="E26:E48" si="10">F26+I26</f>
        <v>50000</v>
      </c>
      <c r="F26" s="12">
        <v>50000</v>
      </c>
      <c r="G26" s="12">
        <v>0</v>
      </c>
      <c r="H26" s="12">
        <v>0</v>
      </c>
      <c r="I26" s="12">
        <v>0</v>
      </c>
      <c r="J26" s="12">
        <f t="shared" ref="J26:J48" si="11">L26+O26</f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0"/>
        <v>50000</v>
      </c>
    </row>
    <row r="27" spans="1:16" ht="31.2">
      <c r="A27" s="7" t="s">
        <v>29</v>
      </c>
      <c r="B27" s="7" t="s">
        <v>30</v>
      </c>
      <c r="C27" s="7" t="s">
        <v>31</v>
      </c>
      <c r="D27" s="11" t="s">
        <v>32</v>
      </c>
      <c r="E27" s="12">
        <f t="shared" si="10"/>
        <v>2576170</v>
      </c>
      <c r="F27" s="12">
        <f>3265000-33000-557830+100000-99000-99000</f>
        <v>2576170</v>
      </c>
      <c r="G27" s="12">
        <v>0</v>
      </c>
      <c r="H27" s="12">
        <v>0</v>
      </c>
      <c r="I27" s="12">
        <v>0</v>
      </c>
      <c r="J27" s="12">
        <f t="shared" si="11"/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0"/>
        <v>2576170</v>
      </c>
    </row>
    <row r="28" spans="1:16" ht="31.2">
      <c r="A28" s="7" t="s">
        <v>33</v>
      </c>
      <c r="B28" s="7" t="s">
        <v>34</v>
      </c>
      <c r="C28" s="7" t="s">
        <v>35</v>
      </c>
      <c r="D28" s="11" t="s">
        <v>36</v>
      </c>
      <c r="E28" s="12">
        <f t="shared" si="10"/>
        <v>21935284</v>
      </c>
      <c r="F28" s="12">
        <f>18586800+794600-1000000+868684-66000+582720+2168480</f>
        <v>21935284</v>
      </c>
      <c r="G28" s="12">
        <v>0</v>
      </c>
      <c r="H28" s="12">
        <v>0</v>
      </c>
      <c r="I28" s="12">
        <v>0</v>
      </c>
      <c r="J28" s="12">
        <f t="shared" si="11"/>
        <v>2670690</v>
      </c>
      <c r="K28" s="12">
        <f>2134405+66000+700000-229715</f>
        <v>2670690</v>
      </c>
      <c r="L28" s="12">
        <v>0</v>
      </c>
      <c r="M28" s="12">
        <v>0</v>
      </c>
      <c r="N28" s="12">
        <v>0</v>
      </c>
      <c r="O28" s="12">
        <f>2134405+66000+700000-229715</f>
        <v>2670690</v>
      </c>
      <c r="P28" s="12">
        <f t="shared" si="0"/>
        <v>24605974</v>
      </c>
    </row>
    <row r="29" spans="1:16">
      <c r="A29" s="7" t="s">
        <v>37</v>
      </c>
      <c r="B29" s="7" t="s">
        <v>38</v>
      </c>
      <c r="C29" s="7" t="s">
        <v>39</v>
      </c>
      <c r="D29" s="11" t="s">
        <v>40</v>
      </c>
      <c r="E29" s="12">
        <f t="shared" si="10"/>
        <v>8941500</v>
      </c>
      <c r="F29" s="12">
        <f>8941500</f>
        <v>8941500</v>
      </c>
      <c r="G29" s="12">
        <v>0</v>
      </c>
      <c r="H29" s="12">
        <v>0</v>
      </c>
      <c r="I29" s="12">
        <v>0</v>
      </c>
      <c r="J29" s="12">
        <f t="shared" si="11"/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0"/>
        <v>8941500</v>
      </c>
    </row>
    <row r="30" spans="1:16" ht="62.4">
      <c r="A30" s="7" t="s">
        <v>41</v>
      </c>
      <c r="B30" s="7" t="s">
        <v>42</v>
      </c>
      <c r="C30" s="7" t="s">
        <v>43</v>
      </c>
      <c r="D30" s="11" t="s">
        <v>44</v>
      </c>
      <c r="E30" s="12">
        <f t="shared" si="10"/>
        <v>8963200</v>
      </c>
      <c r="F30" s="12">
        <f>8225200+99000+603000+36000</f>
        <v>8963200</v>
      </c>
      <c r="G30" s="12">
        <v>0</v>
      </c>
      <c r="H30" s="12">
        <v>0</v>
      </c>
      <c r="I30" s="12">
        <v>0</v>
      </c>
      <c r="J30" s="12">
        <f t="shared" si="11"/>
        <v>964000</v>
      </c>
      <c r="K30" s="12">
        <f>1000000-36000</f>
        <v>964000</v>
      </c>
      <c r="L30" s="12">
        <v>0</v>
      </c>
      <c r="M30" s="12">
        <v>0</v>
      </c>
      <c r="N30" s="12">
        <v>0</v>
      </c>
      <c r="O30" s="12">
        <f>1000000-36000</f>
        <v>964000</v>
      </c>
      <c r="P30" s="12">
        <f t="shared" si="0"/>
        <v>9927200</v>
      </c>
    </row>
    <row r="31" spans="1:16" ht="31.2">
      <c r="A31" s="7" t="s">
        <v>45</v>
      </c>
      <c r="B31" s="7" t="s">
        <v>46</v>
      </c>
      <c r="C31" s="7" t="s">
        <v>47</v>
      </c>
      <c r="D31" s="11" t="s">
        <v>48</v>
      </c>
      <c r="E31" s="12">
        <f t="shared" si="10"/>
        <v>1629600</v>
      </c>
      <c r="F31" s="12">
        <v>1629600</v>
      </c>
      <c r="G31" s="12">
        <v>0</v>
      </c>
      <c r="H31" s="12">
        <v>0</v>
      </c>
      <c r="I31" s="12">
        <v>0</v>
      </c>
      <c r="J31" s="12">
        <f t="shared" si="11"/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0"/>
        <v>1629600</v>
      </c>
    </row>
    <row r="32" spans="1:16" ht="31.2">
      <c r="A32" s="7" t="s">
        <v>49</v>
      </c>
      <c r="B32" s="7" t="s">
        <v>50</v>
      </c>
      <c r="C32" s="7" t="s">
        <v>51</v>
      </c>
      <c r="D32" s="11" t="s">
        <v>52</v>
      </c>
      <c r="E32" s="12">
        <f t="shared" si="10"/>
        <v>4999900</v>
      </c>
      <c r="F32" s="12">
        <f>4000000+900000+99900</f>
        <v>4999900</v>
      </c>
      <c r="G32" s="12">
        <v>0</v>
      </c>
      <c r="H32" s="12">
        <v>0</v>
      </c>
      <c r="I32" s="12">
        <v>0</v>
      </c>
      <c r="J32" s="12">
        <f t="shared" si="11"/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0"/>
        <v>4999900</v>
      </c>
    </row>
    <row r="33" spans="1:16" ht="31.2">
      <c r="A33" s="15" t="s">
        <v>290</v>
      </c>
      <c r="B33" s="7">
        <v>6011</v>
      </c>
      <c r="C33" s="15" t="s">
        <v>292</v>
      </c>
      <c r="D33" s="11" t="s">
        <v>291</v>
      </c>
      <c r="E33" s="12">
        <f t="shared" si="10"/>
        <v>0</v>
      </c>
      <c r="F33" s="12">
        <f>85744400-85744400+1187813-1187813</f>
        <v>0</v>
      </c>
      <c r="G33" s="12"/>
      <c r="H33" s="12"/>
      <c r="I33" s="12"/>
      <c r="J33" s="12">
        <f t="shared" si="11"/>
        <v>0</v>
      </c>
      <c r="K33" s="12">
        <f>2799000-2799000</f>
        <v>0</v>
      </c>
      <c r="L33" s="12"/>
      <c r="M33" s="12"/>
      <c r="N33" s="12"/>
      <c r="O33" s="12">
        <f>2799000-2799000</f>
        <v>0</v>
      </c>
      <c r="P33" s="12">
        <f t="shared" si="0"/>
        <v>0</v>
      </c>
    </row>
    <row r="34" spans="1:16" ht="31.2">
      <c r="A34" s="7" t="s">
        <v>53</v>
      </c>
      <c r="B34" s="7" t="s">
        <v>54</v>
      </c>
      <c r="C34" s="7" t="s">
        <v>55</v>
      </c>
      <c r="D34" s="11" t="s">
        <v>56</v>
      </c>
      <c r="E34" s="12">
        <f>F34+I34</f>
        <v>9119200</v>
      </c>
      <c r="F34" s="12">
        <f>F35+F36+F37</f>
        <v>9119200</v>
      </c>
      <c r="G34" s="12">
        <f t="shared" ref="G34:I34" si="12">SUM(G35:G37)</f>
        <v>0</v>
      </c>
      <c r="H34" s="12">
        <f t="shared" si="12"/>
        <v>0</v>
      </c>
      <c r="I34" s="12">
        <f t="shared" si="12"/>
        <v>0</v>
      </c>
      <c r="J34" s="12">
        <f t="shared" si="11"/>
        <v>0</v>
      </c>
      <c r="K34" s="12">
        <f>SUM(K35:K37)</f>
        <v>0</v>
      </c>
      <c r="L34" s="12">
        <f t="shared" ref="L34:O34" si="13">SUM(L35:L37)</f>
        <v>0</v>
      </c>
      <c r="M34" s="12">
        <f t="shared" si="13"/>
        <v>0</v>
      </c>
      <c r="N34" s="12">
        <f t="shared" si="13"/>
        <v>0</v>
      </c>
      <c r="O34" s="12">
        <f t="shared" si="13"/>
        <v>0</v>
      </c>
      <c r="P34" s="12">
        <f>E34 + J34</f>
        <v>9119200</v>
      </c>
    </row>
    <row r="35" spans="1:16" s="6" customFormat="1" ht="62.4">
      <c r="A35" s="13"/>
      <c r="B35" s="13"/>
      <c r="C35" s="13"/>
      <c r="D35" s="1" t="s">
        <v>293</v>
      </c>
      <c r="E35" s="14">
        <f>F35+I35</f>
        <v>4132500</v>
      </c>
      <c r="F35" s="14">
        <f>4176500-44000</f>
        <v>4132500</v>
      </c>
      <c r="G35" s="14"/>
      <c r="H35" s="14"/>
      <c r="I35" s="14"/>
      <c r="J35" s="14">
        <f t="shared" si="11"/>
        <v>0</v>
      </c>
      <c r="K35" s="14"/>
      <c r="L35" s="14"/>
      <c r="M35" s="14"/>
      <c r="N35" s="14"/>
      <c r="O35" s="14"/>
      <c r="P35" s="14">
        <f t="shared" si="0"/>
        <v>4132500</v>
      </c>
    </row>
    <row r="36" spans="1:16" s="6" customFormat="1" ht="62.4">
      <c r="A36" s="13"/>
      <c r="B36" s="13"/>
      <c r="C36" s="13"/>
      <c r="D36" s="1" t="s">
        <v>294</v>
      </c>
      <c r="E36" s="14">
        <f t="shared" ref="E36:E40" si="14">F36+I36</f>
        <v>1961700</v>
      </c>
      <c r="F36" s="14">
        <f>2210900-249200</f>
        <v>1961700</v>
      </c>
      <c r="G36" s="14"/>
      <c r="H36" s="14"/>
      <c r="I36" s="14"/>
      <c r="J36" s="14">
        <f t="shared" si="11"/>
        <v>0</v>
      </c>
      <c r="K36" s="14"/>
      <c r="L36" s="14"/>
      <c r="M36" s="14"/>
      <c r="N36" s="14"/>
      <c r="O36" s="14"/>
      <c r="P36" s="14">
        <f t="shared" si="0"/>
        <v>1961700</v>
      </c>
    </row>
    <row r="37" spans="1:16" s="6" customFormat="1" ht="46.8">
      <c r="A37" s="13"/>
      <c r="B37" s="13"/>
      <c r="C37" s="13"/>
      <c r="D37" s="1" t="s">
        <v>295</v>
      </c>
      <c r="E37" s="14">
        <f t="shared" si="14"/>
        <v>3025000</v>
      </c>
      <c r="F37" s="14">
        <v>3025000</v>
      </c>
      <c r="G37" s="14"/>
      <c r="H37" s="14"/>
      <c r="I37" s="14"/>
      <c r="J37" s="14">
        <f t="shared" si="11"/>
        <v>0</v>
      </c>
      <c r="K37" s="14"/>
      <c r="L37" s="14"/>
      <c r="M37" s="14"/>
      <c r="N37" s="14"/>
      <c r="O37" s="14"/>
      <c r="P37" s="14">
        <f t="shared" si="0"/>
        <v>3025000</v>
      </c>
    </row>
    <row r="38" spans="1:16">
      <c r="A38" s="15" t="s">
        <v>357</v>
      </c>
      <c r="B38" s="7">
        <v>7130</v>
      </c>
      <c r="C38" s="15" t="s">
        <v>264</v>
      </c>
      <c r="D38" s="11" t="s">
        <v>265</v>
      </c>
      <c r="E38" s="12">
        <f t="shared" si="14"/>
        <v>3000</v>
      </c>
      <c r="F38" s="12">
        <v>3000</v>
      </c>
      <c r="G38" s="12"/>
      <c r="H38" s="12"/>
      <c r="I38" s="12"/>
      <c r="J38" s="14"/>
      <c r="K38" s="12"/>
      <c r="L38" s="12"/>
      <c r="M38" s="12"/>
      <c r="N38" s="12"/>
      <c r="O38" s="12"/>
      <c r="P38" s="12"/>
    </row>
    <row r="39" spans="1:16" ht="46.8">
      <c r="A39" s="15" t="s">
        <v>328</v>
      </c>
      <c r="B39" s="7">
        <v>7350</v>
      </c>
      <c r="C39" s="15" t="s">
        <v>268</v>
      </c>
      <c r="D39" s="11" t="s">
        <v>269</v>
      </c>
      <c r="E39" s="12">
        <f t="shared" si="14"/>
        <v>0</v>
      </c>
      <c r="F39" s="12"/>
      <c r="G39" s="12"/>
      <c r="H39" s="12"/>
      <c r="I39" s="12">
        <f>260000-260000</f>
        <v>0</v>
      </c>
      <c r="J39" s="12">
        <f t="shared" si="11"/>
        <v>260000</v>
      </c>
      <c r="K39" s="12">
        <v>260000</v>
      </c>
      <c r="L39" s="12"/>
      <c r="M39" s="12"/>
      <c r="N39" s="12"/>
      <c r="O39" s="12">
        <v>260000</v>
      </c>
      <c r="P39" s="12">
        <f t="shared" si="0"/>
        <v>260000</v>
      </c>
    </row>
    <row r="40" spans="1:16">
      <c r="A40" s="15" t="s">
        <v>329</v>
      </c>
      <c r="B40" s="7">
        <v>7640</v>
      </c>
      <c r="C40" s="15" t="s">
        <v>331</v>
      </c>
      <c r="D40" s="11" t="s">
        <v>330</v>
      </c>
      <c r="E40" s="12">
        <f t="shared" si="14"/>
        <v>0</v>
      </c>
      <c r="F40" s="12"/>
      <c r="G40" s="12"/>
      <c r="H40" s="12"/>
      <c r="I40" s="12"/>
      <c r="J40" s="12">
        <f t="shared" si="11"/>
        <v>1680000</v>
      </c>
      <c r="K40" s="12">
        <v>1680000</v>
      </c>
      <c r="L40" s="12"/>
      <c r="M40" s="12"/>
      <c r="N40" s="12"/>
      <c r="O40" s="12">
        <v>1680000</v>
      </c>
      <c r="P40" s="12">
        <f t="shared" si="0"/>
        <v>1680000</v>
      </c>
    </row>
    <row r="41" spans="1:16" ht="31.2">
      <c r="A41" s="7" t="s">
        <v>57</v>
      </c>
      <c r="B41" s="7" t="s">
        <v>58</v>
      </c>
      <c r="C41" s="7" t="s">
        <v>59</v>
      </c>
      <c r="D41" s="11" t="s">
        <v>60</v>
      </c>
      <c r="E41" s="12">
        <f t="shared" si="10"/>
        <v>110000</v>
      </c>
      <c r="F41" s="12">
        <v>110000</v>
      </c>
      <c r="G41" s="12">
        <v>0</v>
      </c>
      <c r="H41" s="12">
        <v>0</v>
      </c>
      <c r="I41" s="12">
        <v>0</v>
      </c>
      <c r="J41" s="12">
        <f t="shared" si="11"/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f t="shared" si="0"/>
        <v>110000</v>
      </c>
    </row>
    <row r="42" spans="1:16" ht="46.8">
      <c r="A42" s="15" t="s">
        <v>358</v>
      </c>
      <c r="B42" s="7">
        <v>8110</v>
      </c>
      <c r="C42" s="15" t="s">
        <v>249</v>
      </c>
      <c r="D42" s="11" t="s">
        <v>250</v>
      </c>
      <c r="E42" s="12">
        <f t="shared" si="10"/>
        <v>91000</v>
      </c>
      <c r="F42" s="12">
        <f>42000+49000</f>
        <v>91000</v>
      </c>
      <c r="G42" s="12"/>
      <c r="H42" s="12"/>
      <c r="I42" s="12"/>
      <c r="J42" s="12">
        <f t="shared" si="11"/>
        <v>0</v>
      </c>
      <c r="K42" s="12"/>
      <c r="L42" s="12"/>
      <c r="M42" s="12"/>
      <c r="N42" s="12"/>
      <c r="O42" s="12"/>
      <c r="P42" s="12">
        <f t="shared" si="0"/>
        <v>91000</v>
      </c>
    </row>
    <row r="43" spans="1:16" ht="31.2">
      <c r="A43" s="7" t="s">
        <v>61</v>
      </c>
      <c r="B43" s="7" t="s">
        <v>62</v>
      </c>
      <c r="C43" s="7" t="s">
        <v>63</v>
      </c>
      <c r="D43" s="11" t="s">
        <v>64</v>
      </c>
      <c r="E43" s="12">
        <f t="shared" si="10"/>
        <v>21287101</v>
      </c>
      <c r="F43" s="12">
        <f>19446000+1542000-444800+1481200-700000-37299</f>
        <v>21287101</v>
      </c>
      <c r="G43" s="12">
        <f>16649900+1542000+1481200-700000</f>
        <v>18973100</v>
      </c>
      <c r="H43" s="12">
        <v>327000</v>
      </c>
      <c r="I43" s="12">
        <v>0</v>
      </c>
      <c r="J43" s="12">
        <f t="shared" si="11"/>
        <v>37299</v>
      </c>
      <c r="K43" s="12">
        <v>37299</v>
      </c>
      <c r="L43" s="12">
        <v>0</v>
      </c>
      <c r="M43" s="12">
        <v>0</v>
      </c>
      <c r="N43" s="12">
        <v>0</v>
      </c>
      <c r="O43" s="12">
        <v>37299</v>
      </c>
      <c r="P43" s="12">
        <f t="shared" si="0"/>
        <v>21324400</v>
      </c>
    </row>
    <row r="44" spans="1:16" ht="31.2">
      <c r="A44" s="7" t="s">
        <v>65</v>
      </c>
      <c r="B44" s="7" t="s">
        <v>66</v>
      </c>
      <c r="C44" s="7" t="s">
        <v>63</v>
      </c>
      <c r="D44" s="11" t="s">
        <v>67</v>
      </c>
      <c r="E44" s="12">
        <f t="shared" si="10"/>
        <v>786030</v>
      </c>
      <c r="F44" s="12">
        <f>637000+33000+116030</f>
        <v>786030</v>
      </c>
      <c r="G44" s="12">
        <v>0</v>
      </c>
      <c r="H44" s="12">
        <v>0</v>
      </c>
      <c r="I44" s="12">
        <v>0</v>
      </c>
      <c r="J44" s="12">
        <f t="shared" si="11"/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f t="shared" si="0"/>
        <v>786030</v>
      </c>
    </row>
    <row r="45" spans="1:16" ht="31.2">
      <c r="A45" s="7" t="s">
        <v>68</v>
      </c>
      <c r="B45" s="7" t="s">
        <v>69</v>
      </c>
      <c r="C45" s="7" t="s">
        <v>63</v>
      </c>
      <c r="D45" s="11" t="s">
        <v>70</v>
      </c>
      <c r="E45" s="12">
        <f t="shared" si="10"/>
        <v>2105800</v>
      </c>
      <c r="F45" s="12">
        <f>1975000+4800+126000</f>
        <v>2105800</v>
      </c>
      <c r="G45" s="12">
        <v>0</v>
      </c>
      <c r="H45" s="12">
        <v>0</v>
      </c>
      <c r="I45" s="12">
        <v>0</v>
      </c>
      <c r="J45" s="12">
        <f t="shared" si="11"/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0"/>
        <v>2105800</v>
      </c>
    </row>
    <row r="46" spans="1:16" s="23" customFormat="1" ht="31.2">
      <c r="A46" s="15" t="s">
        <v>323</v>
      </c>
      <c r="B46" s="7">
        <v>8240</v>
      </c>
      <c r="C46" s="15" t="s">
        <v>63</v>
      </c>
      <c r="D46" s="11" t="s">
        <v>273</v>
      </c>
      <c r="E46" s="12">
        <f t="shared" si="10"/>
        <v>0</v>
      </c>
      <c r="F46" s="12">
        <f>60000-60000</f>
        <v>0</v>
      </c>
      <c r="G46" s="12"/>
      <c r="H46" s="12"/>
      <c r="I46" s="12"/>
      <c r="J46" s="12">
        <f t="shared" si="11"/>
        <v>1276500</v>
      </c>
      <c r="K46" s="12">
        <v>1276500</v>
      </c>
      <c r="L46" s="12"/>
      <c r="M46" s="12"/>
      <c r="N46" s="12"/>
      <c r="O46" s="12">
        <v>1276500</v>
      </c>
      <c r="P46" s="12">
        <f t="shared" si="0"/>
        <v>1276500</v>
      </c>
    </row>
    <row r="47" spans="1:16" ht="31.2">
      <c r="A47" s="15" t="s">
        <v>289</v>
      </c>
      <c r="B47" s="7">
        <v>8340</v>
      </c>
      <c r="C47" s="7" t="s">
        <v>287</v>
      </c>
      <c r="D47" s="11" t="s">
        <v>288</v>
      </c>
      <c r="E47" s="12">
        <f t="shared" si="10"/>
        <v>0</v>
      </c>
      <c r="F47" s="12"/>
      <c r="G47" s="12"/>
      <c r="H47" s="12"/>
      <c r="I47" s="12"/>
      <c r="J47" s="12">
        <f t="shared" si="11"/>
        <v>100000</v>
      </c>
      <c r="K47" s="12"/>
      <c r="L47" s="12">
        <f>50000+50000</f>
        <v>100000</v>
      </c>
      <c r="M47" s="12"/>
      <c r="N47" s="12"/>
      <c r="O47" s="12"/>
      <c r="P47" s="12">
        <f t="shared" si="0"/>
        <v>100000</v>
      </c>
    </row>
    <row r="48" spans="1:16" ht="31.2">
      <c r="A48" s="15" t="s">
        <v>367</v>
      </c>
      <c r="B48" s="7">
        <v>8775</v>
      </c>
      <c r="C48" s="15" t="s">
        <v>31</v>
      </c>
      <c r="D48" s="11" t="s">
        <v>368</v>
      </c>
      <c r="E48" s="12">
        <f t="shared" si="10"/>
        <v>590000</v>
      </c>
      <c r="F48" s="12">
        <v>590000</v>
      </c>
      <c r="G48" s="12"/>
      <c r="H48" s="12"/>
      <c r="I48" s="12"/>
      <c r="J48" s="12">
        <f t="shared" si="11"/>
        <v>0</v>
      </c>
      <c r="K48" s="12"/>
      <c r="L48" s="12"/>
      <c r="M48" s="12"/>
      <c r="N48" s="12"/>
      <c r="O48" s="12"/>
      <c r="P48" s="12">
        <f t="shared" si="0"/>
        <v>590000</v>
      </c>
    </row>
    <row r="49" spans="1:16" ht="46.8">
      <c r="A49" s="8" t="s">
        <v>71</v>
      </c>
      <c r="B49" s="8" t="s">
        <v>18</v>
      </c>
      <c r="C49" s="8" t="s">
        <v>18</v>
      </c>
      <c r="D49" s="9" t="s">
        <v>72</v>
      </c>
      <c r="E49" s="10">
        <f>F49+I49</f>
        <v>438816664.63</v>
      </c>
      <c r="F49" s="10">
        <f>F50</f>
        <v>438750664.63</v>
      </c>
      <c r="G49" s="10">
        <f>G50</f>
        <v>358832094.99000001</v>
      </c>
      <c r="H49" s="10">
        <f>H50</f>
        <v>34689901</v>
      </c>
      <c r="I49" s="10">
        <f>I50</f>
        <v>66000</v>
      </c>
      <c r="J49" s="10">
        <f>L49+O49</f>
        <v>32221388.359999999</v>
      </c>
      <c r="K49" s="10">
        <f>K50</f>
        <v>14188472.359999999</v>
      </c>
      <c r="L49" s="10">
        <f t="shared" ref="L49:O49" si="15">L50</f>
        <v>16500000</v>
      </c>
      <c r="M49" s="10">
        <f t="shared" si="15"/>
        <v>0</v>
      </c>
      <c r="N49" s="10">
        <f t="shared" si="15"/>
        <v>0</v>
      </c>
      <c r="O49" s="10">
        <f t="shared" si="15"/>
        <v>15721388.359999999</v>
      </c>
      <c r="P49" s="10">
        <f t="shared" si="0"/>
        <v>471038052.99000001</v>
      </c>
    </row>
    <row r="50" spans="1:16" ht="46.8">
      <c r="A50" s="8" t="s">
        <v>73</v>
      </c>
      <c r="B50" s="8" t="s">
        <v>18</v>
      </c>
      <c r="C50" s="8" t="s">
        <v>18</v>
      </c>
      <c r="D50" s="9" t="s">
        <v>72</v>
      </c>
      <c r="E50" s="10">
        <f>F50+I50</f>
        <v>438816664.63</v>
      </c>
      <c r="F50" s="10">
        <f>SUM(F51:F78)-F71-F72-F67-F68</f>
        <v>438750664.63</v>
      </c>
      <c r="G50" s="10">
        <f t="shared" ref="G50:K50" si="16">SUM(G51:G78)-G71-G72-G67-G68</f>
        <v>358832094.99000001</v>
      </c>
      <c r="H50" s="10">
        <f t="shared" si="16"/>
        <v>34689901</v>
      </c>
      <c r="I50" s="10">
        <f t="shared" si="16"/>
        <v>66000</v>
      </c>
      <c r="J50" s="10">
        <f>L50+O50</f>
        <v>32221388.359999999</v>
      </c>
      <c r="K50" s="10">
        <f t="shared" si="16"/>
        <v>14188472.359999999</v>
      </c>
      <c r="L50" s="10">
        <f t="shared" ref="L50" si="17">SUM(L51:L78)-L71-L72-L67-L68</f>
        <v>16500000</v>
      </c>
      <c r="M50" s="10">
        <f t="shared" ref="M50" si="18">SUM(M51:M78)-M71-M72-M67-M68</f>
        <v>0</v>
      </c>
      <c r="N50" s="10">
        <f t="shared" ref="N50" si="19">SUM(N51:N78)-N71-N72-N67-N68</f>
        <v>0</v>
      </c>
      <c r="O50" s="10">
        <f t="shared" ref="O50" si="20">SUM(O51:O78)-O71-O72-O67-O68</f>
        <v>15721388.359999999</v>
      </c>
      <c r="P50" s="10">
        <f t="shared" si="0"/>
        <v>471038052.99000001</v>
      </c>
    </row>
    <row r="51" spans="1:16" ht="46.8">
      <c r="A51" s="7" t="s">
        <v>74</v>
      </c>
      <c r="B51" s="7" t="s">
        <v>75</v>
      </c>
      <c r="C51" s="7" t="s">
        <v>23</v>
      </c>
      <c r="D51" s="11" t="s">
        <v>76</v>
      </c>
      <c r="E51" s="12">
        <f>F51+I51</f>
        <v>5115833</v>
      </c>
      <c r="F51" s="12">
        <f>5123700-7867</f>
        <v>5115833</v>
      </c>
      <c r="G51" s="12">
        <v>4656300</v>
      </c>
      <c r="H51" s="12">
        <f>400800-640</f>
        <v>400160</v>
      </c>
      <c r="I51" s="12">
        <v>0</v>
      </c>
      <c r="J51" s="12">
        <f>L51+O51</f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f t="shared" si="0"/>
        <v>5115833</v>
      </c>
    </row>
    <row r="52" spans="1:16" ht="31.2">
      <c r="A52" s="7" t="s">
        <v>77</v>
      </c>
      <c r="B52" s="7" t="s">
        <v>30</v>
      </c>
      <c r="C52" s="7" t="s">
        <v>31</v>
      </c>
      <c r="D52" s="11" t="s">
        <v>32</v>
      </c>
      <c r="E52" s="12">
        <f t="shared" ref="E52:E78" si="21">F52+I52</f>
        <v>99000</v>
      </c>
      <c r="F52" s="12">
        <f>99000</f>
        <v>99000</v>
      </c>
      <c r="G52" s="12">
        <v>0</v>
      </c>
      <c r="H52" s="12">
        <v>0</v>
      </c>
      <c r="I52" s="12">
        <v>0</v>
      </c>
      <c r="J52" s="12">
        <f t="shared" ref="J52:J78" si="22">L52+O52</f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0"/>
        <v>99000</v>
      </c>
    </row>
    <row r="53" spans="1:16">
      <c r="A53" s="7" t="s">
        <v>78</v>
      </c>
      <c r="B53" s="7" t="s">
        <v>79</v>
      </c>
      <c r="C53" s="7" t="s">
        <v>80</v>
      </c>
      <c r="D53" s="11" t="s">
        <v>81</v>
      </c>
      <c r="E53" s="12">
        <f t="shared" si="21"/>
        <v>94838228</v>
      </c>
      <c r="F53" s="12">
        <f>108737600-5482940-1541905-371581-1938765-5061596+497415</f>
        <v>94838228</v>
      </c>
      <c r="G53" s="12">
        <f>85693100-5482940-656964-5061596</f>
        <v>74491600</v>
      </c>
      <c r="H53" s="12">
        <f>12904300-668900-371581</f>
        <v>11863819</v>
      </c>
      <c r="I53" s="12">
        <v>0</v>
      </c>
      <c r="J53" s="12">
        <f t="shared" si="22"/>
        <v>20008713</v>
      </c>
      <c r="K53" s="12">
        <f>3621430+287283</f>
        <v>3908713</v>
      </c>
      <c r="L53" s="12">
        <v>16100000</v>
      </c>
      <c r="M53" s="12">
        <v>0</v>
      </c>
      <c r="N53" s="12">
        <v>0</v>
      </c>
      <c r="O53" s="12">
        <f>3621430+287283</f>
        <v>3908713</v>
      </c>
      <c r="P53" s="12">
        <f t="shared" si="0"/>
        <v>114846941</v>
      </c>
    </row>
    <row r="54" spans="1:16" ht="46.8">
      <c r="A54" s="7" t="s">
        <v>82</v>
      </c>
      <c r="B54" s="7" t="s">
        <v>83</v>
      </c>
      <c r="C54" s="7" t="s">
        <v>84</v>
      </c>
      <c r="D54" s="11" t="s">
        <v>85</v>
      </c>
      <c r="E54" s="12">
        <f t="shared" si="21"/>
        <v>92502343</v>
      </c>
      <c r="F54" s="12">
        <f>78349600+15100000-1214067+658273+168737-800000+239800</f>
        <v>92502343</v>
      </c>
      <c r="G54" s="12">
        <f>40380000+15100000</f>
        <v>55480000</v>
      </c>
      <c r="H54" s="12">
        <f>16403600-644047</f>
        <v>15759553</v>
      </c>
      <c r="I54" s="12">
        <v>0</v>
      </c>
      <c r="J54" s="12">
        <f t="shared" si="22"/>
        <v>4171770</v>
      </c>
      <c r="K54" s="12">
        <f>2254770+1720000</f>
        <v>3974770</v>
      </c>
      <c r="L54" s="12">
        <v>197000</v>
      </c>
      <c r="M54" s="12">
        <v>0</v>
      </c>
      <c r="N54" s="12">
        <v>0</v>
      </c>
      <c r="O54" s="12">
        <f>2254770+1720000</f>
        <v>3974770</v>
      </c>
      <c r="P54" s="12">
        <f t="shared" si="0"/>
        <v>96674113</v>
      </c>
    </row>
    <row r="55" spans="1:16" ht="93.6">
      <c r="A55" s="7" t="s">
        <v>86</v>
      </c>
      <c r="B55" s="7" t="s">
        <v>87</v>
      </c>
      <c r="C55" s="7" t="s">
        <v>88</v>
      </c>
      <c r="D55" s="11" t="s">
        <v>89</v>
      </c>
      <c r="E55" s="12">
        <f t="shared" si="21"/>
        <v>14971050</v>
      </c>
      <c r="F55" s="12">
        <f>14164200+900000-138150+45000</f>
        <v>14971050</v>
      </c>
      <c r="G55" s="12">
        <f>10028000+900000</f>
        <v>10928000</v>
      </c>
      <c r="H55" s="12">
        <f>1929700-9700</f>
        <v>1920000</v>
      </c>
      <c r="I55" s="12">
        <v>0</v>
      </c>
      <c r="J55" s="12">
        <f t="shared" si="22"/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f t="shared" si="0"/>
        <v>14971050</v>
      </c>
    </row>
    <row r="56" spans="1:16" ht="46.8">
      <c r="A56" s="7" t="s">
        <v>90</v>
      </c>
      <c r="B56" s="7" t="s">
        <v>91</v>
      </c>
      <c r="C56" s="7" t="s">
        <v>84</v>
      </c>
      <c r="D56" s="11" t="s">
        <v>92</v>
      </c>
      <c r="E56" s="12">
        <f t="shared" si="21"/>
        <v>146822800</v>
      </c>
      <c r="F56" s="12">
        <v>146822800</v>
      </c>
      <c r="G56" s="12">
        <v>146592900</v>
      </c>
      <c r="H56" s="12">
        <v>0</v>
      </c>
      <c r="I56" s="12">
        <v>0</v>
      </c>
      <c r="J56" s="12">
        <f t="shared" si="22"/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0"/>
        <v>146822800</v>
      </c>
    </row>
    <row r="57" spans="1:16" ht="93.6">
      <c r="A57" s="7" t="s">
        <v>93</v>
      </c>
      <c r="B57" s="7" t="s">
        <v>94</v>
      </c>
      <c r="C57" s="7" t="s">
        <v>88</v>
      </c>
      <c r="D57" s="11" t="s">
        <v>95</v>
      </c>
      <c r="E57" s="12">
        <f t="shared" si="21"/>
        <v>12600000</v>
      </c>
      <c r="F57" s="12">
        <v>12600000</v>
      </c>
      <c r="G57" s="12">
        <v>12600000</v>
      </c>
      <c r="H57" s="12">
        <v>0</v>
      </c>
      <c r="I57" s="12">
        <v>0</v>
      </c>
      <c r="J57" s="12">
        <f t="shared" si="22"/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0"/>
        <v>12600000</v>
      </c>
    </row>
    <row r="58" spans="1:16" ht="46.8">
      <c r="A58" s="7" t="s">
        <v>96</v>
      </c>
      <c r="B58" s="7" t="s">
        <v>97</v>
      </c>
      <c r="C58" s="7" t="s">
        <v>98</v>
      </c>
      <c r="D58" s="11" t="s">
        <v>99</v>
      </c>
      <c r="E58" s="12">
        <f t="shared" si="21"/>
        <v>22455552</v>
      </c>
      <c r="F58" s="12">
        <f>22900800-193260-251988</f>
        <v>22455552</v>
      </c>
      <c r="G58" s="12">
        <v>19000000</v>
      </c>
      <c r="H58" s="12">
        <f>1388800-26570</f>
        <v>1362230</v>
      </c>
      <c r="I58" s="12">
        <v>0</v>
      </c>
      <c r="J58" s="12">
        <f t="shared" si="22"/>
        <v>200000</v>
      </c>
      <c r="K58" s="12">
        <v>0</v>
      </c>
      <c r="L58" s="12">
        <v>200000</v>
      </c>
      <c r="M58" s="12">
        <v>0</v>
      </c>
      <c r="N58" s="12">
        <v>0</v>
      </c>
      <c r="O58" s="12">
        <v>0</v>
      </c>
      <c r="P58" s="12">
        <f t="shared" si="0"/>
        <v>22655552</v>
      </c>
    </row>
    <row r="59" spans="1:16" ht="46.8">
      <c r="A59" s="7" t="s">
        <v>100</v>
      </c>
      <c r="B59" s="7" t="s">
        <v>101</v>
      </c>
      <c r="C59" s="7" t="s">
        <v>102</v>
      </c>
      <c r="D59" s="11" t="s">
        <v>103</v>
      </c>
      <c r="E59" s="12">
        <f t="shared" si="21"/>
        <v>30000</v>
      </c>
      <c r="F59" s="12">
        <v>30000</v>
      </c>
      <c r="G59" s="12">
        <v>0</v>
      </c>
      <c r="H59" s="12">
        <v>0</v>
      </c>
      <c r="I59" s="12">
        <v>0</v>
      </c>
      <c r="J59" s="12">
        <f t="shared" si="22"/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f t="shared" si="0"/>
        <v>30000</v>
      </c>
    </row>
    <row r="60" spans="1:16" ht="31.2">
      <c r="A60" s="7" t="s">
        <v>104</v>
      </c>
      <c r="B60" s="7" t="s">
        <v>105</v>
      </c>
      <c r="C60" s="7" t="s">
        <v>106</v>
      </c>
      <c r="D60" s="11" t="s">
        <v>107</v>
      </c>
      <c r="E60" s="12">
        <f t="shared" si="21"/>
        <v>21182853</v>
      </c>
      <c r="F60" s="12">
        <f>20474900-20000+1103382-658273+202844-46000+60000</f>
        <v>21116853</v>
      </c>
      <c r="G60" s="12">
        <v>17600000</v>
      </c>
      <c r="H60" s="12">
        <f>2136900+259789</f>
        <v>2396689</v>
      </c>
      <c r="I60" s="12">
        <f>20000+46000</f>
        <v>66000</v>
      </c>
      <c r="J60" s="12">
        <f t="shared" si="22"/>
        <v>3000</v>
      </c>
      <c r="K60" s="12">
        <v>0</v>
      </c>
      <c r="L60" s="12">
        <v>3000</v>
      </c>
      <c r="M60" s="12">
        <v>0</v>
      </c>
      <c r="N60" s="12">
        <v>0</v>
      </c>
      <c r="O60" s="12">
        <v>0</v>
      </c>
      <c r="P60" s="12">
        <f t="shared" si="0"/>
        <v>21185853</v>
      </c>
    </row>
    <row r="61" spans="1:16" ht="46.8">
      <c r="A61" s="7" t="s">
        <v>108</v>
      </c>
      <c r="B61" s="7" t="s">
        <v>109</v>
      </c>
      <c r="C61" s="7" t="s">
        <v>106</v>
      </c>
      <c r="D61" s="11" t="s">
        <v>110</v>
      </c>
      <c r="E61" s="12">
        <f t="shared" si="21"/>
        <v>516520</v>
      </c>
      <c r="F61" s="12">
        <f>726800-200000-10280</f>
        <v>516520</v>
      </c>
      <c r="G61" s="12">
        <f>393800-200000+18300</f>
        <v>212100</v>
      </c>
      <c r="H61" s="12">
        <f>179000-18630</f>
        <v>160370</v>
      </c>
      <c r="I61" s="12">
        <v>0</v>
      </c>
      <c r="J61" s="12">
        <f t="shared" si="22"/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f t="shared" si="0"/>
        <v>516520</v>
      </c>
    </row>
    <row r="62" spans="1:16" ht="46.8">
      <c r="A62" s="7" t="s">
        <v>111</v>
      </c>
      <c r="B62" s="7" t="s">
        <v>112</v>
      </c>
      <c r="C62" s="7" t="s">
        <v>106</v>
      </c>
      <c r="D62" s="11" t="s">
        <v>113</v>
      </c>
      <c r="E62" s="12">
        <f t="shared" si="21"/>
        <v>2775740</v>
      </c>
      <c r="F62" s="12">
        <v>2775740</v>
      </c>
      <c r="G62" s="12">
        <v>2775740</v>
      </c>
      <c r="H62" s="12">
        <v>0</v>
      </c>
      <c r="I62" s="12">
        <v>0</v>
      </c>
      <c r="J62" s="12">
        <f t="shared" si="22"/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0"/>
        <v>2775740</v>
      </c>
    </row>
    <row r="63" spans="1:16" ht="124.8">
      <c r="A63" s="15" t="s">
        <v>359</v>
      </c>
      <c r="B63" s="7">
        <v>1154</v>
      </c>
      <c r="C63" s="15" t="s">
        <v>106</v>
      </c>
      <c r="D63" s="11" t="s">
        <v>360</v>
      </c>
      <c r="E63" s="12">
        <f t="shared" si="21"/>
        <v>245454.99</v>
      </c>
      <c r="F63" s="12">
        <v>245454.99</v>
      </c>
      <c r="G63" s="12">
        <v>245454.99</v>
      </c>
      <c r="H63" s="12"/>
      <c r="I63" s="12"/>
      <c r="J63" s="12">
        <f t="shared" si="22"/>
        <v>0</v>
      </c>
      <c r="K63" s="12"/>
      <c r="L63" s="12"/>
      <c r="M63" s="12"/>
      <c r="N63" s="12"/>
      <c r="O63" s="12"/>
      <c r="P63" s="12">
        <f t="shared" si="0"/>
        <v>245454.99</v>
      </c>
    </row>
    <row r="64" spans="1:16" ht="46.8">
      <c r="A64" s="7" t="s">
        <v>114</v>
      </c>
      <c r="B64" s="7" t="s">
        <v>115</v>
      </c>
      <c r="C64" s="7" t="s">
        <v>106</v>
      </c>
      <c r="D64" s="11" t="s">
        <v>116</v>
      </c>
      <c r="E64" s="12">
        <f t="shared" si="21"/>
        <v>4467418</v>
      </c>
      <c r="F64" s="12">
        <f>4471900-4482</f>
        <v>4467418</v>
      </c>
      <c r="G64" s="12">
        <v>4150000</v>
      </c>
      <c r="H64" s="12">
        <f>56900-300</f>
        <v>56600</v>
      </c>
      <c r="I64" s="12">
        <v>0</v>
      </c>
      <c r="J64" s="12">
        <f t="shared" si="22"/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f t="shared" si="0"/>
        <v>4467418</v>
      </c>
    </row>
    <row r="65" spans="1:18" ht="78">
      <c r="A65" s="15" t="s">
        <v>379</v>
      </c>
      <c r="B65" s="7">
        <v>1200</v>
      </c>
      <c r="C65" s="7" t="s">
        <v>106</v>
      </c>
      <c r="D65" s="11" t="s">
        <v>380</v>
      </c>
      <c r="E65" s="12">
        <f t="shared" si="21"/>
        <v>292110</v>
      </c>
      <c r="F65" s="12">
        <f>F67+F68</f>
        <v>292110</v>
      </c>
      <c r="G65" s="12">
        <f>G67+G68</f>
        <v>0</v>
      </c>
      <c r="H65" s="12"/>
      <c r="I65" s="12"/>
      <c r="J65" s="12"/>
      <c r="K65" s="12"/>
      <c r="L65" s="12"/>
      <c r="M65" s="12"/>
      <c r="N65" s="12"/>
      <c r="O65" s="12"/>
      <c r="P65" s="12">
        <f t="shared" si="0"/>
        <v>292110</v>
      </c>
    </row>
    <row r="66" spans="1:18" s="34" customFormat="1">
      <c r="A66" s="31"/>
      <c r="B66" s="31"/>
      <c r="C66" s="31"/>
      <c r="D66" s="32" t="s">
        <v>372</v>
      </c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3"/>
      <c r="R66" s="33"/>
    </row>
    <row r="67" spans="1:18" s="38" customFormat="1" ht="78">
      <c r="A67" s="35"/>
      <c r="B67" s="35"/>
      <c r="C67" s="35"/>
      <c r="D67" s="36" t="s">
        <v>373</v>
      </c>
      <c r="E67" s="40">
        <f t="shared" ref="E67:E68" si="23">F67+I67</f>
        <v>179439</v>
      </c>
      <c r="F67" s="40">
        <v>179439</v>
      </c>
      <c r="G67" s="40"/>
      <c r="H67" s="40"/>
      <c r="I67" s="40"/>
      <c r="J67" s="40"/>
      <c r="K67" s="40"/>
      <c r="L67" s="40"/>
      <c r="M67" s="40"/>
      <c r="N67" s="40"/>
      <c r="O67" s="40"/>
      <c r="P67" s="40">
        <f t="shared" ref="P67:P68" si="24">E67+J67</f>
        <v>179439</v>
      </c>
      <c r="Q67" s="37"/>
      <c r="R67" s="37"/>
    </row>
    <row r="68" spans="1:18" s="38" customFormat="1" ht="78">
      <c r="A68" s="35"/>
      <c r="B68" s="35"/>
      <c r="C68" s="35"/>
      <c r="D68" s="36" t="s">
        <v>374</v>
      </c>
      <c r="E68" s="40">
        <f t="shared" si="23"/>
        <v>112671</v>
      </c>
      <c r="F68" s="40">
        <v>112671</v>
      </c>
      <c r="G68" s="40"/>
      <c r="H68" s="40"/>
      <c r="I68" s="40"/>
      <c r="J68" s="40"/>
      <c r="K68" s="40"/>
      <c r="L68" s="40"/>
      <c r="M68" s="40"/>
      <c r="N68" s="40"/>
      <c r="O68" s="40"/>
      <c r="P68" s="40">
        <f t="shared" si="24"/>
        <v>112671</v>
      </c>
      <c r="Q68" s="37"/>
      <c r="R68" s="37"/>
    </row>
    <row r="69" spans="1:18" s="34" customFormat="1" ht="93.6">
      <c r="A69" s="31" t="s">
        <v>369</v>
      </c>
      <c r="B69" s="31" t="s">
        <v>370</v>
      </c>
      <c r="C69" s="31" t="s">
        <v>106</v>
      </c>
      <c r="D69" s="32" t="s">
        <v>371</v>
      </c>
      <c r="E69" s="39">
        <f>F69+I69</f>
        <v>97284</v>
      </c>
      <c r="F69" s="39">
        <f>F71+F72</f>
        <v>97284</v>
      </c>
      <c r="G69" s="39"/>
      <c r="H69" s="39"/>
      <c r="I69" s="39"/>
      <c r="J69" s="39"/>
      <c r="K69" s="39"/>
      <c r="L69" s="39"/>
      <c r="M69" s="39"/>
      <c r="N69" s="39"/>
      <c r="O69" s="39"/>
      <c r="P69" s="39">
        <f t="shared" ref="P69:P72" si="25">E69+J69</f>
        <v>97284</v>
      </c>
      <c r="Q69" s="33"/>
      <c r="R69" s="33"/>
    </row>
    <row r="70" spans="1:18" s="34" customFormat="1">
      <c r="A70" s="31"/>
      <c r="B70" s="31"/>
      <c r="C70" s="31"/>
      <c r="D70" s="32" t="s">
        <v>372</v>
      </c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3"/>
      <c r="R70" s="33"/>
    </row>
    <row r="71" spans="1:18" s="38" customFormat="1" ht="78">
      <c r="A71" s="35"/>
      <c r="B71" s="35"/>
      <c r="C71" s="35"/>
      <c r="D71" s="36" t="s">
        <v>373</v>
      </c>
      <c r="E71" s="40">
        <f t="shared" ref="E71:E72" si="26">F71+I71</f>
        <v>60434</v>
      </c>
      <c r="F71" s="40">
        <v>60434</v>
      </c>
      <c r="G71" s="40"/>
      <c r="H71" s="40"/>
      <c r="I71" s="40"/>
      <c r="J71" s="40"/>
      <c r="K71" s="40"/>
      <c r="L71" s="40"/>
      <c r="M71" s="40"/>
      <c r="N71" s="40"/>
      <c r="O71" s="40"/>
      <c r="P71" s="40">
        <f t="shared" si="25"/>
        <v>60434</v>
      </c>
      <c r="Q71" s="37"/>
      <c r="R71" s="37"/>
    </row>
    <row r="72" spans="1:18" s="38" customFormat="1" ht="78">
      <c r="A72" s="35"/>
      <c r="B72" s="35"/>
      <c r="C72" s="35"/>
      <c r="D72" s="36" t="s">
        <v>374</v>
      </c>
      <c r="E72" s="40">
        <f t="shared" si="26"/>
        <v>36850</v>
      </c>
      <c r="F72" s="40">
        <v>36850</v>
      </c>
      <c r="G72" s="40"/>
      <c r="H72" s="40"/>
      <c r="I72" s="40"/>
      <c r="J72" s="40"/>
      <c r="K72" s="40"/>
      <c r="L72" s="40"/>
      <c r="M72" s="40"/>
      <c r="N72" s="40"/>
      <c r="O72" s="40"/>
      <c r="P72" s="40">
        <f t="shared" si="25"/>
        <v>36850</v>
      </c>
      <c r="Q72" s="37"/>
      <c r="R72" s="37"/>
    </row>
    <row r="73" spans="1:18" ht="140.4">
      <c r="A73" s="15" t="s">
        <v>361</v>
      </c>
      <c r="B73" s="7">
        <v>1291</v>
      </c>
      <c r="C73" s="31" t="s">
        <v>106</v>
      </c>
      <c r="D73" s="11" t="s">
        <v>362</v>
      </c>
      <c r="E73" s="41">
        <f t="shared" si="21"/>
        <v>0</v>
      </c>
      <c r="F73" s="41"/>
      <c r="G73" s="41"/>
      <c r="H73" s="41"/>
      <c r="I73" s="41"/>
      <c r="J73" s="41">
        <f t="shared" si="22"/>
        <v>656964</v>
      </c>
      <c r="K73" s="41">
        <v>656964</v>
      </c>
      <c r="L73" s="41"/>
      <c r="M73" s="41"/>
      <c r="N73" s="41"/>
      <c r="O73" s="41">
        <v>656964</v>
      </c>
      <c r="P73" s="41">
        <f t="shared" si="0"/>
        <v>656964</v>
      </c>
    </row>
    <row r="74" spans="1:18" ht="124.8">
      <c r="A74" s="31" t="s">
        <v>352</v>
      </c>
      <c r="B74" s="31" t="s">
        <v>353</v>
      </c>
      <c r="C74" s="31" t="s">
        <v>106</v>
      </c>
      <c r="D74" s="32" t="s">
        <v>354</v>
      </c>
      <c r="E74" s="41">
        <f t="shared" si="21"/>
        <v>0</v>
      </c>
      <c r="F74" s="41"/>
      <c r="G74" s="41"/>
      <c r="H74" s="41"/>
      <c r="I74" s="41"/>
      <c r="J74" s="41">
        <f t="shared" si="22"/>
        <v>1532916</v>
      </c>
      <c r="K74" s="41"/>
      <c r="L74" s="41"/>
      <c r="M74" s="41"/>
      <c r="N74" s="41"/>
      <c r="O74" s="39">
        <v>1532916</v>
      </c>
      <c r="P74" s="41">
        <f t="shared" si="0"/>
        <v>1532916</v>
      </c>
    </row>
    <row r="75" spans="1:18" ht="93.6">
      <c r="A75" s="7" t="s">
        <v>117</v>
      </c>
      <c r="B75" s="7" t="s">
        <v>118</v>
      </c>
      <c r="C75" s="7" t="s">
        <v>119</v>
      </c>
      <c r="D75" s="11" t="s">
        <v>120</v>
      </c>
      <c r="E75" s="12">
        <f t="shared" si="21"/>
        <v>4139500</v>
      </c>
      <c r="F75" s="12">
        <f>3348600-9100+800000</f>
        <v>4139500</v>
      </c>
      <c r="G75" s="12">
        <v>0</v>
      </c>
      <c r="H75" s="12">
        <v>0</v>
      </c>
      <c r="I75" s="12">
        <v>0</v>
      </c>
      <c r="J75" s="12">
        <f t="shared" si="22"/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f t="shared" si="0"/>
        <v>4139500</v>
      </c>
    </row>
    <row r="76" spans="1:18" ht="31.2">
      <c r="A76" s="7" t="s">
        <v>121</v>
      </c>
      <c r="B76" s="7" t="s">
        <v>50</v>
      </c>
      <c r="C76" s="7" t="s">
        <v>51</v>
      </c>
      <c r="D76" s="11" t="s">
        <v>52</v>
      </c>
      <c r="E76" s="12">
        <f t="shared" si="21"/>
        <v>3100000</v>
      </c>
      <c r="F76" s="12">
        <v>3100000</v>
      </c>
      <c r="G76" s="12">
        <v>0</v>
      </c>
      <c r="H76" s="12">
        <v>0</v>
      </c>
      <c r="I76" s="12">
        <v>0</v>
      </c>
      <c r="J76" s="12">
        <f t="shared" si="22"/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si="0"/>
        <v>3100000</v>
      </c>
    </row>
    <row r="77" spans="1:18" ht="46.8">
      <c r="A77" s="7" t="s">
        <v>122</v>
      </c>
      <c r="B77" s="7" t="s">
        <v>123</v>
      </c>
      <c r="C77" s="7" t="s">
        <v>124</v>
      </c>
      <c r="D77" s="11" t="s">
        <v>125</v>
      </c>
      <c r="E77" s="12">
        <f t="shared" si="21"/>
        <v>11933747</v>
      </c>
      <c r="F77" s="12">
        <f>11976800-53053+10000</f>
        <v>11933747</v>
      </c>
      <c r="G77" s="12">
        <v>10100000</v>
      </c>
      <c r="H77" s="12">
        <f>771800-1320</f>
        <v>770480</v>
      </c>
      <c r="I77" s="12">
        <v>0</v>
      </c>
      <c r="J77" s="12">
        <f t="shared" si="22"/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ref="P77:P111" si="27">E77 + J77</f>
        <v>11933747</v>
      </c>
    </row>
    <row r="78" spans="1:18" ht="46.8">
      <c r="A78" s="15" t="s">
        <v>332</v>
      </c>
      <c r="B78" s="7">
        <v>8110</v>
      </c>
      <c r="C78" s="15" t="s">
        <v>249</v>
      </c>
      <c r="D78" s="11" t="s">
        <v>250</v>
      </c>
      <c r="E78" s="12">
        <f t="shared" si="21"/>
        <v>631231.64</v>
      </c>
      <c r="F78" s="12">
        <f>100000+531231.64</f>
        <v>631231.64</v>
      </c>
      <c r="G78" s="12"/>
      <c r="H78" s="12"/>
      <c r="I78" s="12"/>
      <c r="J78" s="12">
        <f t="shared" si="22"/>
        <v>5648025.3600000003</v>
      </c>
      <c r="K78" s="12">
        <f>3000000+689876+1958149.36</f>
        <v>5648025.3600000003</v>
      </c>
      <c r="L78" s="12"/>
      <c r="M78" s="12"/>
      <c r="N78" s="12"/>
      <c r="O78" s="12">
        <f>3000000+689876+1958149.36</f>
        <v>5648025.3600000003</v>
      </c>
      <c r="P78" s="12">
        <f t="shared" si="27"/>
        <v>6279257</v>
      </c>
    </row>
    <row r="79" spans="1:18" ht="46.8">
      <c r="A79" s="8" t="s">
        <v>126</v>
      </c>
      <c r="B79" s="8" t="s">
        <v>18</v>
      </c>
      <c r="C79" s="8" t="s">
        <v>18</v>
      </c>
      <c r="D79" s="9" t="s">
        <v>127</v>
      </c>
      <c r="E79" s="10">
        <f>F79+I79</f>
        <v>99620965</v>
      </c>
      <c r="F79" s="10">
        <f>F80</f>
        <v>99620965</v>
      </c>
      <c r="G79" s="10">
        <f>G80</f>
        <v>39846100</v>
      </c>
      <c r="H79" s="10">
        <f>H80</f>
        <v>1363500</v>
      </c>
      <c r="I79" s="10">
        <f>I80</f>
        <v>0</v>
      </c>
      <c r="J79" s="10">
        <f>L79+O79</f>
        <v>6660247</v>
      </c>
      <c r="K79" s="10">
        <f>K80</f>
        <v>6603847</v>
      </c>
      <c r="L79" s="10">
        <f t="shared" ref="L79:O79" si="28">L80</f>
        <v>0</v>
      </c>
      <c r="M79" s="10">
        <f t="shared" si="28"/>
        <v>0</v>
      </c>
      <c r="N79" s="10">
        <f t="shared" si="28"/>
        <v>0</v>
      </c>
      <c r="O79" s="10">
        <f t="shared" si="28"/>
        <v>6660247</v>
      </c>
      <c r="P79" s="10">
        <f t="shared" si="27"/>
        <v>106281212</v>
      </c>
    </row>
    <row r="80" spans="1:18" ht="46.8">
      <c r="A80" s="8" t="s">
        <v>128</v>
      </c>
      <c r="B80" s="8" t="s">
        <v>18</v>
      </c>
      <c r="C80" s="8" t="s">
        <v>18</v>
      </c>
      <c r="D80" s="9" t="s">
        <v>127</v>
      </c>
      <c r="E80" s="10">
        <f>F80+I80</f>
        <v>99620965</v>
      </c>
      <c r="F80" s="10">
        <f>SUM(F81:F97)</f>
        <v>99620965</v>
      </c>
      <c r="G80" s="10">
        <f t="shared" ref="G80:K80" si="29">SUM(G81:G97)</f>
        <v>39846100</v>
      </c>
      <c r="H80" s="10">
        <f t="shared" si="29"/>
        <v>1363500</v>
      </c>
      <c r="I80" s="10">
        <f t="shared" si="29"/>
        <v>0</v>
      </c>
      <c r="J80" s="10">
        <f>L80+O80</f>
        <v>6660247</v>
      </c>
      <c r="K80" s="10">
        <f t="shared" si="29"/>
        <v>6603847</v>
      </c>
      <c r="L80" s="10">
        <f t="shared" ref="L80" si="30">SUM(L81:L97)</f>
        <v>0</v>
      </c>
      <c r="M80" s="10">
        <f t="shared" ref="M80" si="31">SUM(M81:M97)</f>
        <v>0</v>
      </c>
      <c r="N80" s="10">
        <f t="shared" ref="N80" si="32">SUM(N81:N97)</f>
        <v>0</v>
      </c>
      <c r="O80" s="10">
        <f t="shared" ref="O80" si="33">SUM(O81:O97)</f>
        <v>6660247</v>
      </c>
      <c r="P80" s="10">
        <f t="shared" si="27"/>
        <v>106281212</v>
      </c>
    </row>
    <row r="81" spans="1:16" ht="46.8">
      <c r="A81" s="7" t="s">
        <v>129</v>
      </c>
      <c r="B81" s="7" t="s">
        <v>75</v>
      </c>
      <c r="C81" s="7" t="s">
        <v>23</v>
      </c>
      <c r="D81" s="11" t="s">
        <v>76</v>
      </c>
      <c r="E81" s="12">
        <f>F81+I81</f>
        <v>15522300</v>
      </c>
      <c r="F81" s="12">
        <v>15522300</v>
      </c>
      <c r="G81" s="12">
        <v>14208400</v>
      </c>
      <c r="H81" s="12">
        <v>770900</v>
      </c>
      <c r="I81" s="12">
        <v>0</v>
      </c>
      <c r="J81" s="12">
        <f>L81+O81</f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f t="shared" si="27"/>
        <v>15522300</v>
      </c>
    </row>
    <row r="82" spans="1:16" ht="31.2">
      <c r="A82" s="7" t="s">
        <v>130</v>
      </c>
      <c r="B82" s="7" t="s">
        <v>30</v>
      </c>
      <c r="C82" s="7" t="s">
        <v>31</v>
      </c>
      <c r="D82" s="11" t="s">
        <v>32</v>
      </c>
      <c r="E82" s="12">
        <f t="shared" ref="E82:E97" si="34">F82+I82</f>
        <v>248200</v>
      </c>
      <c r="F82" s="12">
        <f>149000+99200</f>
        <v>248200</v>
      </c>
      <c r="G82" s="12">
        <v>0</v>
      </c>
      <c r="H82" s="12">
        <v>0</v>
      </c>
      <c r="I82" s="12">
        <v>0</v>
      </c>
      <c r="J82" s="12">
        <f t="shared" ref="J82:J167" si="35">L82+O82</f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f t="shared" si="27"/>
        <v>248200</v>
      </c>
    </row>
    <row r="83" spans="1:16" ht="46.8">
      <c r="A83" s="7" t="s">
        <v>131</v>
      </c>
      <c r="B83" s="7" t="s">
        <v>132</v>
      </c>
      <c r="C83" s="7" t="s">
        <v>133</v>
      </c>
      <c r="D83" s="11" t="s">
        <v>134</v>
      </c>
      <c r="E83" s="12">
        <f t="shared" si="34"/>
        <v>2311000</v>
      </c>
      <c r="F83" s="12">
        <v>2311000</v>
      </c>
      <c r="G83" s="12">
        <v>0</v>
      </c>
      <c r="H83" s="12">
        <v>0</v>
      </c>
      <c r="I83" s="12">
        <v>0</v>
      </c>
      <c r="J83" s="12">
        <f t="shared" si="35"/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f t="shared" si="27"/>
        <v>2311000</v>
      </c>
    </row>
    <row r="84" spans="1:16" ht="31.2">
      <c r="A84" s="7" t="s">
        <v>135</v>
      </c>
      <c r="B84" s="7" t="s">
        <v>136</v>
      </c>
      <c r="C84" s="7" t="s">
        <v>97</v>
      </c>
      <c r="D84" s="11" t="s">
        <v>137</v>
      </c>
      <c r="E84" s="12">
        <f t="shared" si="34"/>
        <v>11500</v>
      </c>
      <c r="F84" s="12">
        <v>11500</v>
      </c>
      <c r="G84" s="12">
        <v>0</v>
      </c>
      <c r="H84" s="12">
        <v>0</v>
      </c>
      <c r="I84" s="12">
        <v>0</v>
      </c>
      <c r="J84" s="12">
        <f t="shared" si="35"/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si="27"/>
        <v>11500</v>
      </c>
    </row>
    <row r="85" spans="1:16" ht="46.8">
      <c r="A85" s="7" t="s">
        <v>138</v>
      </c>
      <c r="B85" s="7" t="s">
        <v>139</v>
      </c>
      <c r="C85" s="7" t="s">
        <v>97</v>
      </c>
      <c r="D85" s="11" t="s">
        <v>140</v>
      </c>
      <c r="E85" s="12">
        <f t="shared" si="34"/>
        <v>306529</v>
      </c>
      <c r="F85" s="12">
        <v>306529</v>
      </c>
      <c r="G85" s="12">
        <v>0</v>
      </c>
      <c r="H85" s="12">
        <v>0</v>
      </c>
      <c r="I85" s="12">
        <v>0</v>
      </c>
      <c r="J85" s="12">
        <f t="shared" si="35"/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27"/>
        <v>306529</v>
      </c>
    </row>
    <row r="86" spans="1:16" ht="46.8">
      <c r="A86" s="7" t="s">
        <v>141</v>
      </c>
      <c r="B86" s="7" t="s">
        <v>142</v>
      </c>
      <c r="C86" s="7" t="s">
        <v>133</v>
      </c>
      <c r="D86" s="11" t="s">
        <v>143</v>
      </c>
      <c r="E86" s="12">
        <f t="shared" si="34"/>
        <v>182216</v>
      </c>
      <c r="F86" s="12">
        <v>182216</v>
      </c>
      <c r="G86" s="12">
        <v>0</v>
      </c>
      <c r="H86" s="12">
        <v>0</v>
      </c>
      <c r="I86" s="12">
        <v>0</v>
      </c>
      <c r="J86" s="12">
        <f t="shared" si="35"/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f t="shared" si="27"/>
        <v>182216</v>
      </c>
    </row>
    <row r="87" spans="1:16" ht="78">
      <c r="A87" s="7" t="s">
        <v>144</v>
      </c>
      <c r="B87" s="7" t="s">
        <v>145</v>
      </c>
      <c r="C87" s="7" t="s">
        <v>146</v>
      </c>
      <c r="D87" s="11" t="s">
        <v>147</v>
      </c>
      <c r="E87" s="12">
        <f t="shared" si="34"/>
        <v>19637500</v>
      </c>
      <c r="F87" s="12">
        <v>19637500</v>
      </c>
      <c r="G87" s="12">
        <v>18509200</v>
      </c>
      <c r="H87" s="12">
        <v>345300</v>
      </c>
      <c r="I87" s="12">
        <v>0</v>
      </c>
      <c r="J87" s="12">
        <f t="shared" si="35"/>
        <v>56400</v>
      </c>
      <c r="K87" s="12">
        <v>0</v>
      </c>
      <c r="L87" s="12">
        <v>0</v>
      </c>
      <c r="M87" s="12">
        <v>0</v>
      </c>
      <c r="N87" s="12">
        <v>0</v>
      </c>
      <c r="O87" s="12">
        <v>56400</v>
      </c>
      <c r="P87" s="12">
        <f t="shared" si="27"/>
        <v>19693900</v>
      </c>
    </row>
    <row r="88" spans="1:16" ht="31.2">
      <c r="A88" s="7" t="s">
        <v>148</v>
      </c>
      <c r="B88" s="7" t="s">
        <v>149</v>
      </c>
      <c r="C88" s="7" t="s">
        <v>119</v>
      </c>
      <c r="D88" s="11" t="s">
        <v>150</v>
      </c>
      <c r="E88" s="12">
        <f t="shared" si="34"/>
        <v>8328600</v>
      </c>
      <c r="F88" s="12">
        <v>8328600</v>
      </c>
      <c r="G88" s="12">
        <v>7128500</v>
      </c>
      <c r="H88" s="12">
        <v>247300</v>
      </c>
      <c r="I88" s="12">
        <v>0</v>
      </c>
      <c r="J88" s="12">
        <f t="shared" si="35"/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27"/>
        <v>8328600</v>
      </c>
    </row>
    <row r="89" spans="1:16" ht="31.2">
      <c r="A89" s="7" t="s">
        <v>151</v>
      </c>
      <c r="B89" s="7" t="s">
        <v>152</v>
      </c>
      <c r="C89" s="7" t="s">
        <v>119</v>
      </c>
      <c r="D89" s="11" t="s">
        <v>153</v>
      </c>
      <c r="E89" s="12">
        <f t="shared" si="34"/>
        <v>700000</v>
      </c>
      <c r="F89" s="12">
        <v>700000</v>
      </c>
      <c r="G89" s="12">
        <v>0</v>
      </c>
      <c r="H89" s="12">
        <v>0</v>
      </c>
      <c r="I89" s="12">
        <v>0</v>
      </c>
      <c r="J89" s="12">
        <f t="shared" si="35"/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f t="shared" si="27"/>
        <v>700000</v>
      </c>
    </row>
    <row r="90" spans="1:16" ht="109.2">
      <c r="A90" s="7" t="s">
        <v>154</v>
      </c>
      <c r="B90" s="7" t="s">
        <v>155</v>
      </c>
      <c r="C90" s="7" t="s">
        <v>79</v>
      </c>
      <c r="D90" s="11" t="s">
        <v>156</v>
      </c>
      <c r="E90" s="12">
        <f t="shared" si="34"/>
        <v>3300000</v>
      </c>
      <c r="F90" s="12">
        <v>3300000</v>
      </c>
      <c r="G90" s="12">
        <v>0</v>
      </c>
      <c r="H90" s="12">
        <v>0</v>
      </c>
      <c r="I90" s="12">
        <v>0</v>
      </c>
      <c r="J90" s="12">
        <f t="shared" si="35"/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27"/>
        <v>3300000</v>
      </c>
    </row>
    <row r="91" spans="1:16" ht="78">
      <c r="A91" s="7" t="s">
        <v>157</v>
      </c>
      <c r="B91" s="7" t="s">
        <v>158</v>
      </c>
      <c r="C91" s="7" t="s">
        <v>79</v>
      </c>
      <c r="D91" s="11" t="s">
        <v>159</v>
      </c>
      <c r="E91" s="12">
        <f t="shared" si="34"/>
        <v>28720</v>
      </c>
      <c r="F91" s="12">
        <v>28720</v>
      </c>
      <c r="G91" s="12">
        <v>0</v>
      </c>
      <c r="H91" s="12">
        <v>0</v>
      </c>
      <c r="I91" s="12">
        <v>0</v>
      </c>
      <c r="J91" s="12">
        <f t="shared" si="35"/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f t="shared" si="27"/>
        <v>28720</v>
      </c>
    </row>
    <row r="92" spans="1:16" ht="93.6">
      <c r="A92" s="7" t="s">
        <v>160</v>
      </c>
      <c r="B92" s="7" t="s">
        <v>161</v>
      </c>
      <c r="C92" s="7" t="s">
        <v>162</v>
      </c>
      <c r="D92" s="11" t="s">
        <v>163</v>
      </c>
      <c r="E92" s="12">
        <f t="shared" si="34"/>
        <v>1500000</v>
      </c>
      <c r="F92" s="12">
        <v>1500000</v>
      </c>
      <c r="G92" s="12">
        <v>0</v>
      </c>
      <c r="H92" s="12">
        <v>0</v>
      </c>
      <c r="I92" s="12">
        <v>0</v>
      </c>
      <c r="J92" s="12">
        <f t="shared" si="35"/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si="27"/>
        <v>1500000</v>
      </c>
    </row>
    <row r="93" spans="1:16" ht="62.4">
      <c r="A93" s="7" t="s">
        <v>164</v>
      </c>
      <c r="B93" s="7" t="s">
        <v>165</v>
      </c>
      <c r="C93" s="7" t="s">
        <v>133</v>
      </c>
      <c r="D93" s="11" t="s">
        <v>166</v>
      </c>
      <c r="E93" s="12">
        <f t="shared" si="34"/>
        <v>71000</v>
      </c>
      <c r="F93" s="12">
        <v>71000</v>
      </c>
      <c r="G93" s="12">
        <v>0</v>
      </c>
      <c r="H93" s="12">
        <v>0</v>
      </c>
      <c r="I93" s="12">
        <v>0</v>
      </c>
      <c r="J93" s="12">
        <f t="shared" si="35"/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27"/>
        <v>71000</v>
      </c>
    </row>
    <row r="94" spans="1:16" ht="409.6">
      <c r="A94" s="15" t="s">
        <v>381</v>
      </c>
      <c r="B94" s="7">
        <v>3221</v>
      </c>
      <c r="C94" s="7">
        <v>1060</v>
      </c>
      <c r="D94" s="42" t="s">
        <v>383</v>
      </c>
      <c r="E94" s="12">
        <f t="shared" si="34"/>
        <v>0</v>
      </c>
      <c r="F94" s="12"/>
      <c r="G94" s="12"/>
      <c r="H94" s="12"/>
      <c r="I94" s="12"/>
      <c r="J94" s="12">
        <f t="shared" si="35"/>
        <v>1859158</v>
      </c>
      <c r="K94" s="12">
        <v>1859158</v>
      </c>
      <c r="L94" s="12"/>
      <c r="M94" s="12"/>
      <c r="N94" s="12"/>
      <c r="O94" s="12">
        <v>1859158</v>
      </c>
      <c r="P94" s="12">
        <f t="shared" si="27"/>
        <v>1859158</v>
      </c>
    </row>
    <row r="95" spans="1:16" ht="280.8">
      <c r="A95" s="15" t="s">
        <v>382</v>
      </c>
      <c r="B95" s="7">
        <v>3223</v>
      </c>
      <c r="C95" s="7">
        <v>1060</v>
      </c>
      <c r="D95" s="42" t="s">
        <v>384</v>
      </c>
      <c r="E95" s="12">
        <f t="shared" si="34"/>
        <v>0</v>
      </c>
      <c r="F95" s="12"/>
      <c r="G95" s="12"/>
      <c r="H95" s="12"/>
      <c r="I95" s="12"/>
      <c r="J95" s="12">
        <f t="shared" si="35"/>
        <v>4744689</v>
      </c>
      <c r="K95" s="12">
        <v>4744689</v>
      </c>
      <c r="L95" s="12"/>
      <c r="M95" s="12"/>
      <c r="N95" s="12"/>
      <c r="O95" s="12">
        <v>4744689</v>
      </c>
      <c r="P95" s="12">
        <f t="shared" si="27"/>
        <v>4744689</v>
      </c>
    </row>
    <row r="96" spans="1:16" ht="62.4">
      <c r="A96" s="7" t="s">
        <v>167</v>
      </c>
      <c r="B96" s="7" t="s">
        <v>168</v>
      </c>
      <c r="C96" s="7" t="s">
        <v>97</v>
      </c>
      <c r="D96" s="11" t="s">
        <v>169</v>
      </c>
      <c r="E96" s="12">
        <f t="shared" si="34"/>
        <v>688600</v>
      </c>
      <c r="F96" s="12">
        <v>688600</v>
      </c>
      <c r="G96" s="12">
        <v>0</v>
      </c>
      <c r="H96" s="12">
        <v>0</v>
      </c>
      <c r="I96" s="12">
        <v>0</v>
      </c>
      <c r="J96" s="12">
        <f t="shared" si="35"/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f t="shared" si="27"/>
        <v>688600</v>
      </c>
    </row>
    <row r="97" spans="1:16" ht="31.2">
      <c r="A97" s="7" t="s">
        <v>170</v>
      </c>
      <c r="B97" s="7" t="s">
        <v>50</v>
      </c>
      <c r="C97" s="7" t="s">
        <v>51</v>
      </c>
      <c r="D97" s="11" t="s">
        <v>52</v>
      </c>
      <c r="E97" s="12">
        <f t="shared" si="34"/>
        <v>46784800</v>
      </c>
      <c r="F97" s="12">
        <f>12346800+338100+1000000+33000000+99900</f>
        <v>46784800</v>
      </c>
      <c r="G97" s="12">
        <v>0</v>
      </c>
      <c r="H97" s="12">
        <v>0</v>
      </c>
      <c r="I97" s="12">
        <v>0</v>
      </c>
      <c r="J97" s="12">
        <f t="shared" si="35"/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f t="shared" si="27"/>
        <v>46784800</v>
      </c>
    </row>
    <row r="98" spans="1:16" ht="46.8">
      <c r="A98" s="8" t="s">
        <v>171</v>
      </c>
      <c r="B98" s="8" t="s">
        <v>18</v>
      </c>
      <c r="C98" s="8" t="s">
        <v>18</v>
      </c>
      <c r="D98" s="9" t="s">
        <v>172</v>
      </c>
      <c r="E98" s="10">
        <f t="shared" ref="E98:E105" si="36">F98+I98</f>
        <v>2530500</v>
      </c>
      <c r="F98" s="10">
        <f>F99</f>
        <v>2530500</v>
      </c>
      <c r="G98" s="10">
        <v>2115000</v>
      </c>
      <c r="H98" s="10">
        <v>0</v>
      </c>
      <c r="I98" s="10">
        <v>0</v>
      </c>
      <c r="J98" s="10">
        <f t="shared" si="35"/>
        <v>0</v>
      </c>
      <c r="K98" s="10">
        <f>K99</f>
        <v>0</v>
      </c>
      <c r="L98" s="10">
        <f t="shared" ref="L98:O98" si="37">L99</f>
        <v>0</v>
      </c>
      <c r="M98" s="10">
        <f t="shared" si="37"/>
        <v>0</v>
      </c>
      <c r="N98" s="10">
        <f t="shared" si="37"/>
        <v>0</v>
      </c>
      <c r="O98" s="10">
        <f t="shared" si="37"/>
        <v>0</v>
      </c>
      <c r="P98" s="10">
        <f t="shared" si="27"/>
        <v>2530500</v>
      </c>
    </row>
    <row r="99" spans="1:16" ht="46.8">
      <c r="A99" s="8" t="s">
        <v>173</v>
      </c>
      <c r="B99" s="8" t="s">
        <v>18</v>
      </c>
      <c r="C99" s="8" t="s">
        <v>18</v>
      </c>
      <c r="D99" s="9" t="s">
        <v>172</v>
      </c>
      <c r="E99" s="10">
        <f t="shared" si="36"/>
        <v>2530500</v>
      </c>
      <c r="F99" s="10">
        <f>SUM(F100:F102)</f>
        <v>2530500</v>
      </c>
      <c r="G99" s="10">
        <f t="shared" ref="G99:K99" si="38">SUM(G100:G102)</f>
        <v>2115000</v>
      </c>
      <c r="H99" s="10">
        <f t="shared" si="38"/>
        <v>0</v>
      </c>
      <c r="I99" s="10">
        <f t="shared" si="38"/>
        <v>0</v>
      </c>
      <c r="J99" s="10">
        <f t="shared" si="35"/>
        <v>0</v>
      </c>
      <c r="K99" s="10">
        <f t="shared" si="38"/>
        <v>0</v>
      </c>
      <c r="L99" s="10">
        <f t="shared" ref="L99" si="39">SUM(L100:L102)</f>
        <v>0</v>
      </c>
      <c r="M99" s="10">
        <f t="shared" ref="M99" si="40">SUM(M100:M102)</f>
        <v>0</v>
      </c>
      <c r="N99" s="10">
        <f t="shared" ref="N99" si="41">SUM(N100:N102)</f>
        <v>0</v>
      </c>
      <c r="O99" s="10">
        <f t="shared" ref="O99" si="42">SUM(O100:O102)</f>
        <v>0</v>
      </c>
      <c r="P99" s="10">
        <f t="shared" si="27"/>
        <v>2530500</v>
      </c>
    </row>
    <row r="100" spans="1:16" ht="46.8">
      <c r="A100" s="7" t="s">
        <v>174</v>
      </c>
      <c r="B100" s="7" t="s">
        <v>75</v>
      </c>
      <c r="C100" s="7" t="s">
        <v>23</v>
      </c>
      <c r="D100" s="11" t="s">
        <v>76</v>
      </c>
      <c r="E100" s="12">
        <f t="shared" si="36"/>
        <v>2226500</v>
      </c>
      <c r="F100" s="12">
        <v>2226500</v>
      </c>
      <c r="G100" s="12">
        <v>2115000</v>
      </c>
      <c r="H100" s="12">
        <v>0</v>
      </c>
      <c r="I100" s="12">
        <v>0</v>
      </c>
      <c r="J100" s="12">
        <f t="shared" si="35"/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f t="shared" si="27"/>
        <v>2226500</v>
      </c>
    </row>
    <row r="101" spans="1:16" ht="31.2">
      <c r="A101" s="7" t="s">
        <v>175</v>
      </c>
      <c r="B101" s="7" t="s">
        <v>30</v>
      </c>
      <c r="C101" s="7" t="s">
        <v>31</v>
      </c>
      <c r="D101" s="11" t="s">
        <v>32</v>
      </c>
      <c r="E101" s="12">
        <f t="shared" si="36"/>
        <v>99000</v>
      </c>
      <c r="F101" s="12">
        <f>99000</f>
        <v>99000</v>
      </c>
      <c r="G101" s="12">
        <v>0</v>
      </c>
      <c r="H101" s="12">
        <v>0</v>
      </c>
      <c r="I101" s="12">
        <v>0</v>
      </c>
      <c r="J101" s="12">
        <f t="shared" si="35"/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f t="shared" si="27"/>
        <v>99000</v>
      </c>
    </row>
    <row r="102" spans="1:16" ht="31.2">
      <c r="A102" s="7" t="s">
        <v>176</v>
      </c>
      <c r="B102" s="7" t="s">
        <v>177</v>
      </c>
      <c r="C102" s="7" t="s">
        <v>119</v>
      </c>
      <c r="D102" s="11" t="s">
        <v>178</v>
      </c>
      <c r="E102" s="12">
        <f t="shared" si="36"/>
        <v>205000</v>
      </c>
      <c r="F102" s="12">
        <v>205000</v>
      </c>
      <c r="G102" s="12">
        <v>0</v>
      </c>
      <c r="H102" s="12">
        <v>0</v>
      </c>
      <c r="I102" s="12">
        <v>0</v>
      </c>
      <c r="J102" s="12">
        <f t="shared" si="35"/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f t="shared" si="27"/>
        <v>205000</v>
      </c>
    </row>
    <row r="103" spans="1:16" ht="46.8">
      <c r="A103" s="8" t="s">
        <v>179</v>
      </c>
      <c r="B103" s="8" t="s">
        <v>18</v>
      </c>
      <c r="C103" s="8" t="s">
        <v>18</v>
      </c>
      <c r="D103" s="9" t="s">
        <v>180</v>
      </c>
      <c r="E103" s="10">
        <f t="shared" si="36"/>
        <v>56631300</v>
      </c>
      <c r="F103" s="10">
        <f>F104</f>
        <v>56631300</v>
      </c>
      <c r="G103" s="10">
        <f t="shared" ref="G103:I103" si="43">G104</f>
        <v>50409600</v>
      </c>
      <c r="H103" s="10">
        <f t="shared" si="43"/>
        <v>3196000</v>
      </c>
      <c r="I103" s="10">
        <f t="shared" si="43"/>
        <v>0</v>
      </c>
      <c r="J103" s="10">
        <f t="shared" si="35"/>
        <v>1305000</v>
      </c>
      <c r="K103" s="10">
        <f>K104</f>
        <v>0</v>
      </c>
      <c r="L103" s="10">
        <f t="shared" ref="L103:O103" si="44">L104</f>
        <v>1105000</v>
      </c>
      <c r="M103" s="10">
        <f t="shared" si="44"/>
        <v>525100</v>
      </c>
      <c r="N103" s="10">
        <f t="shared" si="44"/>
        <v>0</v>
      </c>
      <c r="O103" s="10">
        <f t="shared" si="44"/>
        <v>200000</v>
      </c>
      <c r="P103" s="10">
        <f t="shared" si="27"/>
        <v>57936300</v>
      </c>
    </row>
    <row r="104" spans="1:16" ht="46.8">
      <c r="A104" s="8" t="s">
        <v>181</v>
      </c>
      <c r="B104" s="8" t="s">
        <v>18</v>
      </c>
      <c r="C104" s="8" t="s">
        <v>18</v>
      </c>
      <c r="D104" s="9" t="s">
        <v>180</v>
      </c>
      <c r="E104" s="10">
        <f t="shared" si="36"/>
        <v>56631300</v>
      </c>
      <c r="F104" s="10">
        <f>SUM(F105:F113)</f>
        <v>56631300</v>
      </c>
      <c r="G104" s="10">
        <f t="shared" ref="G104:K104" si="45">SUM(G105:G113)</f>
        <v>50409600</v>
      </c>
      <c r="H104" s="10">
        <f t="shared" si="45"/>
        <v>3196000</v>
      </c>
      <c r="I104" s="10">
        <f t="shared" si="45"/>
        <v>0</v>
      </c>
      <c r="J104" s="10">
        <f t="shared" si="35"/>
        <v>1305000</v>
      </c>
      <c r="K104" s="10">
        <f t="shared" si="45"/>
        <v>0</v>
      </c>
      <c r="L104" s="10">
        <f t="shared" ref="L104" si="46">SUM(L105:L113)</f>
        <v>1105000</v>
      </c>
      <c r="M104" s="10">
        <f t="shared" ref="M104" si="47">SUM(M105:M113)</f>
        <v>525100</v>
      </c>
      <c r="N104" s="10">
        <f t="shared" ref="N104" si="48">SUM(N105:N113)</f>
        <v>0</v>
      </c>
      <c r="O104" s="10">
        <f t="shared" ref="O104" si="49">SUM(O105:O113)</f>
        <v>200000</v>
      </c>
      <c r="P104" s="10">
        <f t="shared" si="27"/>
        <v>57936300</v>
      </c>
    </row>
    <row r="105" spans="1:16" ht="46.8">
      <c r="A105" s="7" t="s">
        <v>182</v>
      </c>
      <c r="B105" s="7" t="s">
        <v>75</v>
      </c>
      <c r="C105" s="7" t="s">
        <v>23</v>
      </c>
      <c r="D105" s="11" t="s">
        <v>76</v>
      </c>
      <c r="E105" s="12">
        <f t="shared" si="36"/>
        <v>912100</v>
      </c>
      <c r="F105" s="12">
        <v>912100</v>
      </c>
      <c r="G105" s="12">
        <v>884400</v>
      </c>
      <c r="H105" s="12">
        <v>0</v>
      </c>
      <c r="I105" s="12">
        <v>0</v>
      </c>
      <c r="J105" s="12">
        <f t="shared" si="35"/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f t="shared" si="27"/>
        <v>912100</v>
      </c>
    </row>
    <row r="106" spans="1:16" ht="31.2">
      <c r="A106" s="7" t="s">
        <v>183</v>
      </c>
      <c r="B106" s="7" t="s">
        <v>30</v>
      </c>
      <c r="C106" s="7" t="s">
        <v>31</v>
      </c>
      <c r="D106" s="11" t="s">
        <v>32</v>
      </c>
      <c r="E106" s="12">
        <f t="shared" ref="E106:E113" si="50">F106+I106</f>
        <v>99000</v>
      </c>
      <c r="F106" s="12">
        <f>99000</f>
        <v>99000</v>
      </c>
      <c r="G106" s="12">
        <v>0</v>
      </c>
      <c r="H106" s="12">
        <v>0</v>
      </c>
      <c r="I106" s="12">
        <v>0</v>
      </c>
      <c r="J106" s="12">
        <f t="shared" si="35"/>
        <v>0</v>
      </c>
      <c r="K106" s="12">
        <v>0</v>
      </c>
      <c r="L106" s="12"/>
      <c r="M106" s="12"/>
      <c r="N106" s="12"/>
      <c r="O106" s="12"/>
      <c r="P106" s="12">
        <f t="shared" si="27"/>
        <v>99000</v>
      </c>
    </row>
    <row r="107" spans="1:16" ht="31.2">
      <c r="A107" s="7" t="s">
        <v>184</v>
      </c>
      <c r="B107" s="7" t="s">
        <v>185</v>
      </c>
      <c r="C107" s="7" t="s">
        <v>98</v>
      </c>
      <c r="D107" s="11" t="s">
        <v>186</v>
      </c>
      <c r="E107" s="12">
        <f t="shared" si="50"/>
        <v>25824300</v>
      </c>
      <c r="F107" s="12">
        <v>25824300</v>
      </c>
      <c r="G107" s="12">
        <v>25065000</v>
      </c>
      <c r="H107" s="12">
        <v>636100</v>
      </c>
      <c r="I107" s="12">
        <v>0</v>
      </c>
      <c r="J107" s="12">
        <f t="shared" si="35"/>
        <v>1025000</v>
      </c>
      <c r="K107" s="12">
        <v>0</v>
      </c>
      <c r="L107" s="12">
        <f>1024000-200000+1000</f>
        <v>825000</v>
      </c>
      <c r="M107" s="12">
        <f>405800+89300</f>
        <v>495100</v>
      </c>
      <c r="N107" s="12">
        <v>0</v>
      </c>
      <c r="O107" s="12">
        <v>200000</v>
      </c>
      <c r="P107" s="12">
        <f t="shared" si="27"/>
        <v>26849300</v>
      </c>
    </row>
    <row r="108" spans="1:16" ht="93.6">
      <c r="A108" s="7" t="s">
        <v>187</v>
      </c>
      <c r="B108" s="7" t="s">
        <v>118</v>
      </c>
      <c r="C108" s="7" t="s">
        <v>119</v>
      </c>
      <c r="D108" s="11" t="s">
        <v>120</v>
      </c>
      <c r="E108" s="12">
        <f t="shared" si="50"/>
        <v>150000</v>
      </c>
      <c r="F108" s="12">
        <v>150000</v>
      </c>
      <c r="G108" s="12">
        <v>0</v>
      </c>
      <c r="H108" s="12">
        <v>0</v>
      </c>
      <c r="I108" s="12">
        <v>0</v>
      </c>
      <c r="J108" s="12">
        <f t="shared" si="35"/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f t="shared" si="27"/>
        <v>150000</v>
      </c>
    </row>
    <row r="109" spans="1:16">
      <c r="A109" s="7" t="s">
        <v>188</v>
      </c>
      <c r="B109" s="7" t="s">
        <v>189</v>
      </c>
      <c r="C109" s="7" t="s">
        <v>190</v>
      </c>
      <c r="D109" s="11" t="s">
        <v>191</v>
      </c>
      <c r="E109" s="12">
        <f t="shared" si="50"/>
        <v>9580300</v>
      </c>
      <c r="F109" s="12">
        <f>9730300-150000</f>
        <v>9580300</v>
      </c>
      <c r="G109" s="12">
        <f>8119400-150000</f>
        <v>7969400</v>
      </c>
      <c r="H109" s="12">
        <v>1029700</v>
      </c>
      <c r="I109" s="12">
        <v>0</v>
      </c>
      <c r="J109" s="12">
        <f t="shared" si="35"/>
        <v>80000</v>
      </c>
      <c r="K109" s="12">
        <v>0</v>
      </c>
      <c r="L109" s="12">
        <f>80000</f>
        <v>80000</v>
      </c>
      <c r="M109" s="12">
        <v>0</v>
      </c>
      <c r="N109" s="12">
        <v>0</v>
      </c>
      <c r="O109" s="12">
        <v>0</v>
      </c>
      <c r="P109" s="12">
        <f t="shared" si="27"/>
        <v>9660300</v>
      </c>
    </row>
    <row r="110" spans="1:16" ht="31.2">
      <c r="A110" s="7" t="s">
        <v>192</v>
      </c>
      <c r="B110" s="7" t="s">
        <v>193</v>
      </c>
      <c r="C110" s="7" t="s">
        <v>190</v>
      </c>
      <c r="D110" s="11" t="s">
        <v>194</v>
      </c>
      <c r="E110" s="12">
        <f t="shared" si="50"/>
        <v>3962600</v>
      </c>
      <c r="F110" s="12">
        <f>3612600+200000-50000+200000</f>
        <v>3962600</v>
      </c>
      <c r="G110" s="12">
        <f>2754000-50000</f>
        <v>2704000</v>
      </c>
      <c r="H110" s="12">
        <v>436000</v>
      </c>
      <c r="I110" s="12">
        <v>0</v>
      </c>
      <c r="J110" s="12">
        <f t="shared" si="35"/>
        <v>40000</v>
      </c>
      <c r="K110" s="12">
        <v>0</v>
      </c>
      <c r="L110" s="12">
        <v>40000</v>
      </c>
      <c r="M110" s="12">
        <v>0</v>
      </c>
      <c r="N110" s="12">
        <v>0</v>
      </c>
      <c r="O110" s="12">
        <v>0</v>
      </c>
      <c r="P110" s="12">
        <f t="shared" si="27"/>
        <v>4002600</v>
      </c>
    </row>
    <row r="111" spans="1:16" ht="46.8">
      <c r="A111" s="7" t="s">
        <v>195</v>
      </c>
      <c r="B111" s="7" t="s">
        <v>196</v>
      </c>
      <c r="C111" s="7" t="s">
        <v>197</v>
      </c>
      <c r="D111" s="11" t="s">
        <v>198</v>
      </c>
      <c r="E111" s="12">
        <f t="shared" si="50"/>
        <v>12911200</v>
      </c>
      <c r="F111" s="12">
        <v>12911200</v>
      </c>
      <c r="G111" s="12">
        <v>11348400</v>
      </c>
      <c r="H111" s="12">
        <v>1030900</v>
      </c>
      <c r="I111" s="12">
        <v>0</v>
      </c>
      <c r="J111" s="12">
        <f t="shared" si="35"/>
        <v>160000</v>
      </c>
      <c r="K111" s="12">
        <v>0</v>
      </c>
      <c r="L111" s="12">
        <v>160000</v>
      </c>
      <c r="M111" s="12">
        <f>30000</f>
        <v>30000</v>
      </c>
      <c r="N111" s="12">
        <v>0</v>
      </c>
      <c r="O111" s="12">
        <v>0</v>
      </c>
      <c r="P111" s="12">
        <f t="shared" si="27"/>
        <v>13071200</v>
      </c>
    </row>
    <row r="112" spans="1:16" ht="31.2">
      <c r="A112" s="7" t="s">
        <v>199</v>
      </c>
      <c r="B112" s="7" t="s">
        <v>200</v>
      </c>
      <c r="C112" s="7" t="s">
        <v>201</v>
      </c>
      <c r="D112" s="11" t="s">
        <v>202</v>
      </c>
      <c r="E112" s="12">
        <f t="shared" si="50"/>
        <v>2591800</v>
      </c>
      <c r="F112" s="12">
        <v>2591800</v>
      </c>
      <c r="G112" s="12">
        <v>2438400</v>
      </c>
      <c r="H112" s="12">
        <v>63300</v>
      </c>
      <c r="I112" s="12">
        <v>0</v>
      </c>
      <c r="J112" s="12">
        <f t="shared" si="35"/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f t="shared" ref="P112:P163" si="51">E112 + J112</f>
        <v>2591800</v>
      </c>
    </row>
    <row r="113" spans="1:18" ht="31.2">
      <c r="A113" s="7" t="s">
        <v>203</v>
      </c>
      <c r="B113" s="7" t="s">
        <v>204</v>
      </c>
      <c r="C113" s="7" t="s">
        <v>201</v>
      </c>
      <c r="D113" s="11" t="s">
        <v>205</v>
      </c>
      <c r="E113" s="12">
        <f t="shared" si="50"/>
        <v>600000</v>
      </c>
      <c r="F113" s="12">
        <v>600000</v>
      </c>
      <c r="G113" s="12">
        <v>0</v>
      </c>
      <c r="H113" s="12">
        <v>0</v>
      </c>
      <c r="I113" s="12">
        <v>0</v>
      </c>
      <c r="J113" s="12">
        <f t="shared" si="35"/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f t="shared" si="51"/>
        <v>600000</v>
      </c>
    </row>
    <row r="114" spans="1:18" ht="46.8">
      <c r="A114" s="8" t="s">
        <v>206</v>
      </c>
      <c r="B114" s="8" t="s">
        <v>18</v>
      </c>
      <c r="C114" s="8" t="s">
        <v>18</v>
      </c>
      <c r="D114" s="9" t="s">
        <v>207</v>
      </c>
      <c r="E114" s="10">
        <f t="shared" ref="E114:E125" si="52">F114+I114</f>
        <v>7281144</v>
      </c>
      <c r="F114" s="10">
        <f>F115</f>
        <v>7281144</v>
      </c>
      <c r="G114" s="10">
        <f t="shared" ref="G114:I114" si="53">G115</f>
        <v>2566100</v>
      </c>
      <c r="H114" s="10">
        <f t="shared" si="53"/>
        <v>58000</v>
      </c>
      <c r="I114" s="10">
        <f t="shared" si="53"/>
        <v>0</v>
      </c>
      <c r="J114" s="10">
        <f t="shared" si="35"/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f t="shared" si="51"/>
        <v>7281144</v>
      </c>
    </row>
    <row r="115" spans="1:18" ht="46.8">
      <c r="A115" s="8" t="s">
        <v>208</v>
      </c>
      <c r="B115" s="8" t="s">
        <v>18</v>
      </c>
      <c r="C115" s="8" t="s">
        <v>18</v>
      </c>
      <c r="D115" s="9" t="s">
        <v>207</v>
      </c>
      <c r="E115" s="10">
        <f t="shared" si="52"/>
        <v>7281144</v>
      </c>
      <c r="F115" s="10">
        <f>SUM(F116:F122)</f>
        <v>7281144</v>
      </c>
      <c r="G115" s="10">
        <f t="shared" ref="G115:K115" si="54">SUM(G116:G122)</f>
        <v>2566100</v>
      </c>
      <c r="H115" s="10">
        <f t="shared" si="54"/>
        <v>58000</v>
      </c>
      <c r="I115" s="10">
        <f t="shared" si="54"/>
        <v>0</v>
      </c>
      <c r="J115" s="10">
        <f t="shared" si="35"/>
        <v>0</v>
      </c>
      <c r="K115" s="10">
        <f t="shared" si="54"/>
        <v>0</v>
      </c>
      <c r="L115" s="10">
        <f t="shared" ref="L115" si="55">SUM(L116:L122)</f>
        <v>0</v>
      </c>
      <c r="M115" s="10">
        <f t="shared" ref="M115" si="56">SUM(M116:M122)</f>
        <v>0</v>
      </c>
      <c r="N115" s="10">
        <f t="shared" ref="N115" si="57">SUM(N116:N122)</f>
        <v>0</v>
      </c>
      <c r="O115" s="10">
        <f t="shared" ref="O115" si="58">SUM(O116:O122)</f>
        <v>0</v>
      </c>
      <c r="P115" s="10">
        <f t="shared" si="51"/>
        <v>7281144</v>
      </c>
    </row>
    <row r="116" spans="1:18" ht="46.8">
      <c r="A116" s="7" t="s">
        <v>209</v>
      </c>
      <c r="B116" s="7" t="s">
        <v>75</v>
      </c>
      <c r="C116" s="7" t="s">
        <v>23</v>
      </c>
      <c r="D116" s="11" t="s">
        <v>76</v>
      </c>
      <c r="E116" s="12">
        <f t="shared" si="52"/>
        <v>2042100</v>
      </c>
      <c r="F116" s="12">
        <v>2042100</v>
      </c>
      <c r="G116" s="12">
        <v>1932200</v>
      </c>
      <c r="H116" s="12">
        <v>0</v>
      </c>
      <c r="I116" s="12">
        <v>0</v>
      </c>
      <c r="J116" s="12">
        <f t="shared" si="35"/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12">
        <f t="shared" si="51"/>
        <v>2042100</v>
      </c>
    </row>
    <row r="117" spans="1:18" ht="31.2">
      <c r="A117" s="7" t="s">
        <v>210</v>
      </c>
      <c r="B117" s="7" t="s">
        <v>30</v>
      </c>
      <c r="C117" s="7" t="s">
        <v>31</v>
      </c>
      <c r="D117" s="11" t="s">
        <v>32</v>
      </c>
      <c r="E117" s="12">
        <f t="shared" si="52"/>
        <v>99000</v>
      </c>
      <c r="F117" s="12">
        <f>99000</f>
        <v>99000</v>
      </c>
      <c r="G117" s="12">
        <v>0</v>
      </c>
      <c r="H117" s="12">
        <v>0</v>
      </c>
      <c r="I117" s="12">
        <v>0</v>
      </c>
      <c r="J117" s="12">
        <f t="shared" si="35"/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f t="shared" si="51"/>
        <v>99000</v>
      </c>
    </row>
    <row r="118" spans="1:18" ht="31.2">
      <c r="A118" s="7" t="s">
        <v>211</v>
      </c>
      <c r="B118" s="7" t="s">
        <v>212</v>
      </c>
      <c r="C118" s="7" t="s">
        <v>119</v>
      </c>
      <c r="D118" s="11" t="s">
        <v>213</v>
      </c>
      <c r="E118" s="12">
        <f t="shared" si="52"/>
        <v>1979400</v>
      </c>
      <c r="F118" s="12">
        <f>1880400+99000</f>
        <v>1979400</v>
      </c>
      <c r="G118" s="12">
        <v>633900</v>
      </c>
      <c r="H118" s="12">
        <v>58000</v>
      </c>
      <c r="I118" s="12">
        <v>0</v>
      </c>
      <c r="J118" s="12">
        <f t="shared" si="35"/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f t="shared" si="51"/>
        <v>1979400</v>
      </c>
    </row>
    <row r="119" spans="1:18" ht="46.8">
      <c r="A119" s="7" t="s">
        <v>214</v>
      </c>
      <c r="B119" s="7" t="s">
        <v>215</v>
      </c>
      <c r="C119" s="7" t="s">
        <v>124</v>
      </c>
      <c r="D119" s="11" t="s">
        <v>216</v>
      </c>
      <c r="E119" s="12">
        <f t="shared" si="52"/>
        <v>950000</v>
      </c>
      <c r="F119" s="12">
        <v>950000</v>
      </c>
      <c r="G119" s="12">
        <v>0</v>
      </c>
      <c r="H119" s="12">
        <v>0</v>
      </c>
      <c r="I119" s="12">
        <v>0</v>
      </c>
      <c r="J119" s="12">
        <f t="shared" si="35"/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f t="shared" si="51"/>
        <v>950000</v>
      </c>
    </row>
    <row r="120" spans="1:18" ht="46.8">
      <c r="A120" s="7" t="s">
        <v>217</v>
      </c>
      <c r="B120" s="7" t="s">
        <v>218</v>
      </c>
      <c r="C120" s="7" t="s">
        <v>124</v>
      </c>
      <c r="D120" s="11" t="s">
        <v>219</v>
      </c>
      <c r="E120" s="12">
        <f t="shared" si="52"/>
        <v>320000</v>
      </c>
      <c r="F120" s="12">
        <v>320000</v>
      </c>
      <c r="G120" s="12">
        <v>0</v>
      </c>
      <c r="H120" s="12">
        <v>0</v>
      </c>
      <c r="I120" s="12">
        <v>0</v>
      </c>
      <c r="J120" s="12">
        <f t="shared" si="35"/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f t="shared" si="51"/>
        <v>320000</v>
      </c>
    </row>
    <row r="121" spans="1:18" s="34" customFormat="1" ht="46.8">
      <c r="A121" s="31" t="s">
        <v>375</v>
      </c>
      <c r="B121" s="31" t="s">
        <v>376</v>
      </c>
      <c r="C121" s="31" t="s">
        <v>124</v>
      </c>
      <c r="D121" s="32" t="s">
        <v>377</v>
      </c>
      <c r="E121" s="39">
        <f>F121+I121</f>
        <v>103944</v>
      </c>
      <c r="F121" s="39">
        <v>103944</v>
      </c>
      <c r="G121" s="39"/>
      <c r="H121" s="39"/>
      <c r="I121" s="39"/>
      <c r="J121" s="39"/>
      <c r="K121" s="39"/>
      <c r="L121" s="39"/>
      <c r="M121" s="39"/>
      <c r="N121" s="39"/>
      <c r="O121" s="39"/>
      <c r="P121" s="39">
        <f t="shared" ref="P121" si="59">E121+J121</f>
        <v>103944</v>
      </c>
      <c r="Q121" s="33"/>
      <c r="R121" s="33"/>
    </row>
    <row r="122" spans="1:18" ht="78">
      <c r="A122" s="7" t="s">
        <v>220</v>
      </c>
      <c r="B122" s="7" t="s">
        <v>221</v>
      </c>
      <c r="C122" s="7" t="s">
        <v>124</v>
      </c>
      <c r="D122" s="11" t="s">
        <v>222</v>
      </c>
      <c r="E122" s="12">
        <f t="shared" si="52"/>
        <v>1786700</v>
      </c>
      <c r="F122" s="12">
        <v>1786700</v>
      </c>
      <c r="G122" s="12">
        <v>0</v>
      </c>
      <c r="H122" s="12">
        <v>0</v>
      </c>
      <c r="I122" s="12">
        <v>0</v>
      </c>
      <c r="J122" s="12">
        <f t="shared" si="35"/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f t="shared" si="51"/>
        <v>1786700</v>
      </c>
    </row>
    <row r="123" spans="1:18" ht="62.4">
      <c r="A123" s="8" t="s">
        <v>223</v>
      </c>
      <c r="B123" s="8" t="s">
        <v>18</v>
      </c>
      <c r="C123" s="8" t="s">
        <v>18</v>
      </c>
      <c r="D123" s="9" t="s">
        <v>224</v>
      </c>
      <c r="E123" s="10">
        <f t="shared" si="52"/>
        <v>144991210</v>
      </c>
      <c r="F123" s="10">
        <f>F124</f>
        <v>52329841</v>
      </c>
      <c r="G123" s="10">
        <f t="shared" ref="G123:I123" si="60">G124</f>
        <v>3502400</v>
      </c>
      <c r="H123" s="10">
        <f t="shared" si="60"/>
        <v>14400</v>
      </c>
      <c r="I123" s="10">
        <f t="shared" si="60"/>
        <v>92661369</v>
      </c>
      <c r="J123" s="10">
        <f t="shared" si="35"/>
        <v>9032843.4400000013</v>
      </c>
      <c r="K123" s="10">
        <f>K124</f>
        <v>7968896</v>
      </c>
      <c r="L123" s="10">
        <f t="shared" ref="L123:O123" si="61">L124</f>
        <v>100000</v>
      </c>
      <c r="M123" s="10">
        <f t="shared" si="61"/>
        <v>0</v>
      </c>
      <c r="N123" s="10">
        <f t="shared" si="61"/>
        <v>0</v>
      </c>
      <c r="O123" s="10">
        <f t="shared" si="61"/>
        <v>8932843.4400000013</v>
      </c>
      <c r="P123" s="10">
        <f t="shared" si="51"/>
        <v>154024053.44</v>
      </c>
    </row>
    <row r="124" spans="1:18" ht="62.4">
      <c r="A124" s="8" t="s">
        <v>225</v>
      </c>
      <c r="B124" s="8" t="s">
        <v>18</v>
      </c>
      <c r="C124" s="8" t="s">
        <v>18</v>
      </c>
      <c r="D124" s="9" t="s">
        <v>224</v>
      </c>
      <c r="E124" s="10">
        <f t="shared" si="52"/>
        <v>144991210</v>
      </c>
      <c r="F124" s="10">
        <f>SUM(F125:F143)</f>
        <v>52329841</v>
      </c>
      <c r="G124" s="10">
        <f t="shared" ref="G124:J124" si="62">SUM(G125:G143)</f>
        <v>3502400</v>
      </c>
      <c r="H124" s="10">
        <f t="shared" si="62"/>
        <v>14400</v>
      </c>
      <c r="I124" s="10">
        <f t="shared" ref="I124" si="63">SUM(I125:I141)</f>
        <v>92661369</v>
      </c>
      <c r="J124" s="10">
        <f t="shared" si="62"/>
        <v>9032843.4400000013</v>
      </c>
      <c r="K124" s="10">
        <f t="shared" ref="K124" si="64">SUM(K125:K143)</f>
        <v>7968896</v>
      </c>
      <c r="L124" s="10">
        <f t="shared" ref="L124" si="65">SUM(L125:L143)</f>
        <v>100000</v>
      </c>
      <c r="M124" s="10">
        <f t="shared" ref="M124" si="66">SUM(M125:M143)</f>
        <v>0</v>
      </c>
      <c r="N124" s="10">
        <f t="shared" ref="N124" si="67">SUM(N125:N143)</f>
        <v>0</v>
      </c>
      <c r="O124" s="10">
        <f t="shared" ref="O124" si="68">SUM(O125:O143)</f>
        <v>8932843.4400000013</v>
      </c>
      <c r="P124" s="10">
        <f>E124 + J124</f>
        <v>154024053.44</v>
      </c>
    </row>
    <row r="125" spans="1:18" ht="46.8">
      <c r="A125" s="7" t="s">
        <v>226</v>
      </c>
      <c r="B125" s="7" t="s">
        <v>75</v>
      </c>
      <c r="C125" s="7" t="s">
        <v>23</v>
      </c>
      <c r="D125" s="11" t="s">
        <v>76</v>
      </c>
      <c r="E125" s="12">
        <f t="shared" si="52"/>
        <v>4294900</v>
      </c>
      <c r="F125" s="12">
        <f>3829700+465200</f>
        <v>4294900</v>
      </c>
      <c r="G125" s="12">
        <v>3502400</v>
      </c>
      <c r="H125" s="12">
        <v>14400</v>
      </c>
      <c r="I125" s="12">
        <v>0</v>
      </c>
      <c r="J125" s="12">
        <f t="shared" si="35"/>
        <v>36000</v>
      </c>
      <c r="K125" s="12">
        <v>36000</v>
      </c>
      <c r="L125" s="12">
        <v>0</v>
      </c>
      <c r="M125" s="12">
        <v>0</v>
      </c>
      <c r="N125" s="12">
        <v>0</v>
      </c>
      <c r="O125" s="12">
        <v>36000</v>
      </c>
      <c r="P125" s="12">
        <f t="shared" si="51"/>
        <v>4330900</v>
      </c>
    </row>
    <row r="126" spans="1:18" ht="46.8">
      <c r="A126" s="7" t="s">
        <v>227</v>
      </c>
      <c r="B126" s="7" t="s">
        <v>26</v>
      </c>
      <c r="C126" s="7" t="s">
        <v>27</v>
      </c>
      <c r="D126" s="11" t="s">
        <v>28</v>
      </c>
      <c r="E126" s="12">
        <f t="shared" ref="E126:E143" si="69">F126+I126</f>
        <v>25000</v>
      </c>
      <c r="F126" s="12">
        <v>25000</v>
      </c>
      <c r="G126" s="12">
        <v>0</v>
      </c>
      <c r="H126" s="12">
        <v>0</v>
      </c>
      <c r="I126" s="12">
        <v>0</v>
      </c>
      <c r="J126" s="12">
        <f t="shared" si="35"/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f t="shared" si="51"/>
        <v>25000</v>
      </c>
    </row>
    <row r="127" spans="1:18" ht="31.2">
      <c r="A127" s="7" t="s">
        <v>228</v>
      </c>
      <c r="B127" s="7" t="s">
        <v>30</v>
      </c>
      <c r="C127" s="7" t="s">
        <v>31</v>
      </c>
      <c r="D127" s="11" t="s">
        <v>32</v>
      </c>
      <c r="E127" s="12">
        <f t="shared" si="69"/>
        <v>99000</v>
      </c>
      <c r="F127" s="12">
        <f>99000</f>
        <v>99000</v>
      </c>
      <c r="G127" s="12">
        <v>0</v>
      </c>
      <c r="H127" s="12">
        <v>0</v>
      </c>
      <c r="I127" s="12">
        <v>0</v>
      </c>
      <c r="J127" s="12">
        <f t="shared" si="35"/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f t="shared" si="51"/>
        <v>99000</v>
      </c>
    </row>
    <row r="128" spans="1:18" ht="31.2">
      <c r="A128" s="7" t="s">
        <v>229</v>
      </c>
      <c r="B128" s="7" t="s">
        <v>230</v>
      </c>
      <c r="C128" s="7" t="s">
        <v>231</v>
      </c>
      <c r="D128" s="11" t="s">
        <v>232</v>
      </c>
      <c r="E128" s="12">
        <f t="shared" si="69"/>
        <v>30000</v>
      </c>
      <c r="F128" s="12">
        <v>30000</v>
      </c>
      <c r="G128" s="12">
        <v>0</v>
      </c>
      <c r="H128" s="12">
        <v>0</v>
      </c>
      <c r="I128" s="12">
        <v>0</v>
      </c>
      <c r="J128" s="12">
        <f t="shared" si="35"/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f t="shared" si="51"/>
        <v>30000</v>
      </c>
    </row>
    <row r="129" spans="1:16" ht="31.2">
      <c r="A129" s="7">
        <v>1216011</v>
      </c>
      <c r="B129" s="7">
        <v>6011</v>
      </c>
      <c r="C129" s="15" t="s">
        <v>292</v>
      </c>
      <c r="D129" s="11" t="s">
        <v>291</v>
      </c>
      <c r="E129" s="12">
        <f t="shared" si="69"/>
        <v>319069</v>
      </c>
      <c r="F129" s="12"/>
      <c r="G129" s="12"/>
      <c r="H129" s="12"/>
      <c r="I129" s="12">
        <v>319069</v>
      </c>
      <c r="J129" s="12">
        <f t="shared" si="35"/>
        <v>4029487</v>
      </c>
      <c r="K129" s="12">
        <v>4029487</v>
      </c>
      <c r="L129" s="12"/>
      <c r="M129" s="12"/>
      <c r="N129" s="12"/>
      <c r="O129" s="12">
        <v>4029487</v>
      </c>
      <c r="P129" s="12">
        <f t="shared" si="51"/>
        <v>4348556</v>
      </c>
    </row>
    <row r="130" spans="1:16" ht="31.2">
      <c r="A130" s="7">
        <v>1216013</v>
      </c>
      <c r="B130" s="7">
        <v>6013</v>
      </c>
      <c r="C130" s="15" t="s">
        <v>55</v>
      </c>
      <c r="D130" s="11" t="s">
        <v>335</v>
      </c>
      <c r="E130" s="12">
        <f t="shared" si="69"/>
        <v>0</v>
      </c>
      <c r="F130" s="12"/>
      <c r="G130" s="12"/>
      <c r="H130" s="12"/>
      <c r="I130" s="12"/>
      <c r="J130" s="12">
        <f t="shared" si="35"/>
        <v>1244281</v>
      </c>
      <c r="K130" s="12">
        <v>1244281</v>
      </c>
      <c r="L130" s="12"/>
      <c r="M130" s="12"/>
      <c r="N130" s="12"/>
      <c r="O130" s="12">
        <v>1244281</v>
      </c>
      <c r="P130" s="12">
        <f t="shared" si="51"/>
        <v>1244281</v>
      </c>
    </row>
    <row r="131" spans="1:16" ht="31.2">
      <c r="A131" s="7" t="s">
        <v>233</v>
      </c>
      <c r="B131" s="7" t="s">
        <v>234</v>
      </c>
      <c r="C131" s="7" t="s">
        <v>55</v>
      </c>
      <c r="D131" s="11" t="s">
        <v>235</v>
      </c>
      <c r="E131" s="12">
        <f t="shared" si="69"/>
        <v>300000</v>
      </c>
      <c r="F131" s="12">
        <v>0</v>
      </c>
      <c r="G131" s="12">
        <v>0</v>
      </c>
      <c r="H131" s="12">
        <v>0</v>
      </c>
      <c r="I131" s="12">
        <v>300000</v>
      </c>
      <c r="J131" s="12">
        <f t="shared" si="35"/>
        <v>495000</v>
      </c>
      <c r="K131" s="12">
        <v>495000</v>
      </c>
      <c r="L131" s="12">
        <v>0</v>
      </c>
      <c r="M131" s="12">
        <v>0</v>
      </c>
      <c r="N131" s="12">
        <v>0</v>
      </c>
      <c r="O131" s="12">
        <v>495000</v>
      </c>
      <c r="P131" s="12">
        <f t="shared" si="51"/>
        <v>795000</v>
      </c>
    </row>
    <row r="132" spans="1:16" ht="46.8">
      <c r="A132" s="7" t="s">
        <v>236</v>
      </c>
      <c r="B132" s="7" t="s">
        <v>237</v>
      </c>
      <c r="C132" s="7" t="s">
        <v>55</v>
      </c>
      <c r="D132" s="11" t="s">
        <v>238</v>
      </c>
      <c r="E132" s="12">
        <f t="shared" si="69"/>
        <v>1493000</v>
      </c>
      <c r="F132" s="12">
        <v>0</v>
      </c>
      <c r="G132" s="12">
        <v>0</v>
      </c>
      <c r="H132" s="12">
        <v>0</v>
      </c>
      <c r="I132" s="12">
        <v>1493000</v>
      </c>
      <c r="J132" s="12">
        <f t="shared" si="35"/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f t="shared" si="51"/>
        <v>1493000</v>
      </c>
    </row>
    <row r="133" spans="1:16" ht="31.2">
      <c r="A133" s="7" t="s">
        <v>239</v>
      </c>
      <c r="B133" s="7" t="s">
        <v>54</v>
      </c>
      <c r="C133" s="7" t="s">
        <v>55</v>
      </c>
      <c r="D133" s="11" t="s">
        <v>56</v>
      </c>
      <c r="E133" s="12">
        <f>F133+I133</f>
        <v>74535000</v>
      </c>
      <c r="F133" s="12">
        <f>19865000+465200+345000-50000-465200</f>
        <v>20160000</v>
      </c>
      <c r="G133" s="12">
        <v>0</v>
      </c>
      <c r="H133" s="12">
        <v>0</v>
      </c>
      <c r="I133" s="12">
        <f>54195000-345000+30000-55000+550000</f>
        <v>54375000</v>
      </c>
      <c r="J133" s="12">
        <f t="shared" si="35"/>
        <v>839500</v>
      </c>
      <c r="K133" s="12">
        <f>875500-36000+550000-550000</f>
        <v>839500</v>
      </c>
      <c r="L133" s="12">
        <v>0</v>
      </c>
      <c r="M133" s="12">
        <v>0</v>
      </c>
      <c r="N133" s="12">
        <v>0</v>
      </c>
      <c r="O133" s="12">
        <f>875500-36000+550000-550000</f>
        <v>839500</v>
      </c>
      <c r="P133" s="12">
        <f t="shared" si="51"/>
        <v>75374500</v>
      </c>
    </row>
    <row r="134" spans="1:16">
      <c r="A134" s="7">
        <v>1217130</v>
      </c>
      <c r="B134" s="7">
        <v>7130</v>
      </c>
      <c r="C134" s="15" t="s">
        <v>264</v>
      </c>
      <c r="D134" s="11" t="s">
        <v>265</v>
      </c>
      <c r="E134" s="12">
        <f>F134+I134</f>
        <v>55000</v>
      </c>
      <c r="F134" s="12"/>
      <c r="G134" s="12"/>
      <c r="H134" s="12"/>
      <c r="I134" s="12">
        <v>55000</v>
      </c>
      <c r="J134" s="12">
        <f t="shared" si="35"/>
        <v>0</v>
      </c>
      <c r="K134" s="12"/>
      <c r="L134" s="12"/>
      <c r="M134" s="12"/>
      <c r="N134" s="12"/>
      <c r="O134" s="12"/>
      <c r="P134" s="12">
        <f t="shared" si="51"/>
        <v>55000</v>
      </c>
    </row>
    <row r="135" spans="1:16" ht="46.8">
      <c r="A135" s="7" t="s">
        <v>240</v>
      </c>
      <c r="B135" s="7" t="s">
        <v>241</v>
      </c>
      <c r="C135" s="7" t="s">
        <v>242</v>
      </c>
      <c r="D135" s="11" t="s">
        <v>243</v>
      </c>
      <c r="E135" s="12">
        <f t="shared" si="69"/>
        <v>25700000</v>
      </c>
      <c r="F135" s="12">
        <v>25700000</v>
      </c>
      <c r="G135" s="12">
        <v>0</v>
      </c>
      <c r="H135" s="12">
        <v>0</v>
      </c>
      <c r="I135" s="12">
        <v>0</v>
      </c>
      <c r="J135" s="12">
        <f t="shared" si="35"/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f t="shared" si="51"/>
        <v>25700000</v>
      </c>
    </row>
    <row r="136" spans="1:16" ht="140.4">
      <c r="A136" s="7">
        <v>1217691</v>
      </c>
      <c r="B136" s="7">
        <v>7691</v>
      </c>
      <c r="C136" s="15" t="s">
        <v>59</v>
      </c>
      <c r="D136" s="11" t="s">
        <v>333</v>
      </c>
      <c r="E136" s="12">
        <f t="shared" si="69"/>
        <v>0</v>
      </c>
      <c r="F136" s="12"/>
      <c r="G136" s="12"/>
      <c r="H136" s="12"/>
      <c r="I136" s="12"/>
      <c r="J136" s="12">
        <f t="shared" si="35"/>
        <v>393146</v>
      </c>
      <c r="K136" s="12"/>
      <c r="L136" s="12"/>
      <c r="M136" s="12"/>
      <c r="N136" s="12"/>
      <c r="O136" s="12">
        <v>393146</v>
      </c>
      <c r="P136" s="12">
        <f t="shared" si="51"/>
        <v>393146</v>
      </c>
    </row>
    <row r="137" spans="1:16" ht="31.2">
      <c r="A137" s="7" t="s">
        <v>244</v>
      </c>
      <c r="B137" s="7" t="s">
        <v>245</v>
      </c>
      <c r="C137" s="7" t="s">
        <v>59</v>
      </c>
      <c r="D137" s="11" t="s">
        <v>246</v>
      </c>
      <c r="E137" s="12">
        <f t="shared" si="69"/>
        <v>36119300</v>
      </c>
      <c r="F137" s="12">
        <v>0</v>
      </c>
      <c r="G137" s="12">
        <v>0</v>
      </c>
      <c r="H137" s="12">
        <v>0</v>
      </c>
      <c r="I137" s="12">
        <f>31215000+3554300+1350000</f>
        <v>36119300</v>
      </c>
      <c r="J137" s="12">
        <f t="shared" si="35"/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f t="shared" si="51"/>
        <v>36119300</v>
      </c>
    </row>
    <row r="138" spans="1:16" ht="62.4">
      <c r="A138" s="7">
        <v>1217700</v>
      </c>
      <c r="B138" s="7">
        <v>7700</v>
      </c>
      <c r="C138" s="15" t="s">
        <v>31</v>
      </c>
      <c r="D138" s="11" t="s">
        <v>363</v>
      </c>
      <c r="E138" s="12">
        <f t="shared" si="69"/>
        <v>0</v>
      </c>
      <c r="F138" s="12"/>
      <c r="G138" s="12"/>
      <c r="H138" s="12"/>
      <c r="I138" s="12"/>
      <c r="J138" s="12">
        <f t="shared" si="35"/>
        <v>420801.44</v>
      </c>
      <c r="K138" s="12"/>
      <c r="L138" s="12"/>
      <c r="M138" s="12"/>
      <c r="N138" s="12"/>
      <c r="O138" s="12">
        <v>420801.44</v>
      </c>
      <c r="P138" s="12">
        <f t="shared" si="51"/>
        <v>420801.44</v>
      </c>
    </row>
    <row r="139" spans="1:16" ht="46.8">
      <c r="A139" s="7" t="s">
        <v>247</v>
      </c>
      <c r="B139" s="7" t="s">
        <v>248</v>
      </c>
      <c r="C139" s="7" t="s">
        <v>249</v>
      </c>
      <c r="D139" s="11" t="s">
        <v>250</v>
      </c>
      <c r="E139" s="12">
        <f t="shared" si="69"/>
        <v>2008241</v>
      </c>
      <c r="F139" s="12">
        <f>835000+552900+58341+62000+500000</f>
        <v>2008241</v>
      </c>
      <c r="G139" s="12">
        <v>0</v>
      </c>
      <c r="H139" s="12">
        <v>0</v>
      </c>
      <c r="I139" s="12">
        <v>0</v>
      </c>
      <c r="J139" s="12">
        <f t="shared" si="35"/>
        <v>150000</v>
      </c>
      <c r="K139" s="12">
        <v>150000</v>
      </c>
      <c r="L139" s="12">
        <v>0</v>
      </c>
      <c r="M139" s="12">
        <v>0</v>
      </c>
      <c r="N139" s="12">
        <v>0</v>
      </c>
      <c r="O139" s="12">
        <v>150000</v>
      </c>
      <c r="P139" s="12">
        <f t="shared" si="51"/>
        <v>2158241</v>
      </c>
    </row>
    <row r="140" spans="1:16" ht="31.2">
      <c r="A140" s="15" t="s">
        <v>325</v>
      </c>
      <c r="B140" s="7">
        <v>8240</v>
      </c>
      <c r="C140" s="15" t="s">
        <v>63</v>
      </c>
      <c r="D140" s="11" t="s">
        <v>273</v>
      </c>
      <c r="E140" s="12">
        <f t="shared" si="69"/>
        <v>12700</v>
      </c>
      <c r="F140" s="12">
        <v>12700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>
        <f t="shared" si="51"/>
        <v>12700</v>
      </c>
    </row>
    <row r="141" spans="1:16" ht="31.2">
      <c r="A141" s="15" t="s">
        <v>296</v>
      </c>
      <c r="B141" s="7">
        <v>8340</v>
      </c>
      <c r="C141" s="7" t="s">
        <v>287</v>
      </c>
      <c r="D141" s="11" t="s">
        <v>288</v>
      </c>
      <c r="E141" s="12">
        <f t="shared" si="69"/>
        <v>0</v>
      </c>
      <c r="F141" s="12"/>
      <c r="G141" s="12"/>
      <c r="H141" s="12"/>
      <c r="I141" s="12"/>
      <c r="J141" s="12">
        <f t="shared" si="35"/>
        <v>250000</v>
      </c>
      <c r="K141" s="12"/>
      <c r="L141" s="12">
        <v>100000</v>
      </c>
      <c r="M141" s="12"/>
      <c r="N141" s="12"/>
      <c r="O141" s="12">
        <v>150000</v>
      </c>
      <c r="P141" s="12">
        <f t="shared" si="51"/>
        <v>250000</v>
      </c>
    </row>
    <row r="142" spans="1:16" ht="78">
      <c r="A142" s="15" t="s">
        <v>385</v>
      </c>
      <c r="B142" s="7">
        <v>8761</v>
      </c>
      <c r="C142" s="15" t="s">
        <v>287</v>
      </c>
      <c r="D142" s="11" t="s">
        <v>386</v>
      </c>
      <c r="E142" s="12">
        <f t="shared" si="69"/>
        <v>0</v>
      </c>
      <c r="F142" s="12"/>
      <c r="G142" s="12"/>
      <c r="H142" s="12"/>
      <c r="I142" s="12"/>
      <c r="J142" s="12">
        <f t="shared" si="35"/>
        <v>674628</v>
      </c>
      <c r="K142" s="12">
        <v>674628</v>
      </c>
      <c r="L142" s="12"/>
      <c r="M142" s="12"/>
      <c r="N142" s="12"/>
      <c r="O142" s="12">
        <v>674628</v>
      </c>
      <c r="P142" s="12">
        <f t="shared" si="51"/>
        <v>674628</v>
      </c>
    </row>
    <row r="143" spans="1:16" ht="62.4">
      <c r="A143" s="15" t="s">
        <v>387</v>
      </c>
      <c r="B143" s="7">
        <v>8773</v>
      </c>
      <c r="C143" s="15" t="s">
        <v>75</v>
      </c>
      <c r="D143" s="11" t="s">
        <v>388</v>
      </c>
      <c r="E143" s="12">
        <f t="shared" si="69"/>
        <v>0</v>
      </c>
      <c r="F143" s="12"/>
      <c r="G143" s="12"/>
      <c r="H143" s="12"/>
      <c r="I143" s="12"/>
      <c r="J143" s="12">
        <f t="shared" si="35"/>
        <v>500000</v>
      </c>
      <c r="K143" s="12">
        <v>500000</v>
      </c>
      <c r="L143" s="12"/>
      <c r="M143" s="12"/>
      <c r="N143" s="12"/>
      <c r="O143" s="12">
        <v>500000</v>
      </c>
      <c r="P143" s="12">
        <f t="shared" si="51"/>
        <v>500000</v>
      </c>
    </row>
    <row r="144" spans="1:16" ht="62.4">
      <c r="A144" s="8" t="s">
        <v>251</v>
      </c>
      <c r="B144" s="8" t="s">
        <v>18</v>
      </c>
      <c r="C144" s="8" t="s">
        <v>18</v>
      </c>
      <c r="D144" s="9" t="s">
        <v>252</v>
      </c>
      <c r="E144" s="10">
        <f t="shared" ref="E144:E160" si="70">F144+I144</f>
        <v>4485000</v>
      </c>
      <c r="F144" s="10">
        <f>F145</f>
        <v>4485000</v>
      </c>
      <c r="G144" s="10">
        <f t="shared" ref="G144:I144" si="71">G145</f>
        <v>4270900</v>
      </c>
      <c r="H144" s="10">
        <f t="shared" si="71"/>
        <v>0</v>
      </c>
      <c r="I144" s="10">
        <f t="shared" si="71"/>
        <v>0</v>
      </c>
      <c r="J144" s="10">
        <f t="shared" si="35"/>
        <v>128608136</v>
      </c>
      <c r="K144" s="10">
        <f>K145</f>
        <v>128608136</v>
      </c>
      <c r="L144" s="10">
        <f t="shared" ref="L144:O144" si="72">L145</f>
        <v>0</v>
      </c>
      <c r="M144" s="10">
        <f t="shared" si="72"/>
        <v>0</v>
      </c>
      <c r="N144" s="10">
        <f t="shared" si="72"/>
        <v>0</v>
      </c>
      <c r="O144" s="10">
        <f t="shared" si="72"/>
        <v>128608136</v>
      </c>
      <c r="P144" s="10">
        <f t="shared" si="51"/>
        <v>133093136</v>
      </c>
    </row>
    <row r="145" spans="1:16" ht="62.4">
      <c r="A145" s="8" t="s">
        <v>253</v>
      </c>
      <c r="B145" s="8" t="s">
        <v>18</v>
      </c>
      <c r="C145" s="8" t="s">
        <v>18</v>
      </c>
      <c r="D145" s="9" t="s">
        <v>252</v>
      </c>
      <c r="E145" s="10">
        <f t="shared" si="70"/>
        <v>4485000</v>
      </c>
      <c r="F145" s="10">
        <f>SUM(F146:F157)</f>
        <v>4485000</v>
      </c>
      <c r="G145" s="10">
        <f t="shared" ref="G145:K145" si="73">SUM(G146:G157)</f>
        <v>4270900</v>
      </c>
      <c r="H145" s="10">
        <f t="shared" si="73"/>
        <v>0</v>
      </c>
      <c r="I145" s="10">
        <f t="shared" si="73"/>
        <v>0</v>
      </c>
      <c r="J145" s="10">
        <f t="shared" si="35"/>
        <v>128608136</v>
      </c>
      <c r="K145" s="10">
        <f t="shared" si="73"/>
        <v>128608136</v>
      </c>
      <c r="L145" s="10">
        <f t="shared" ref="L145" si="74">SUM(L146:L157)</f>
        <v>0</v>
      </c>
      <c r="M145" s="10">
        <f t="shared" ref="M145" si="75">SUM(M146:M157)</f>
        <v>0</v>
      </c>
      <c r="N145" s="10">
        <f t="shared" ref="N145" si="76">SUM(N146:N157)</f>
        <v>0</v>
      </c>
      <c r="O145" s="10">
        <f t="shared" ref="O145" si="77">SUM(O146:O157)</f>
        <v>128608136</v>
      </c>
      <c r="P145" s="10">
        <f t="shared" si="51"/>
        <v>133093136</v>
      </c>
    </row>
    <row r="146" spans="1:16" ht="46.8">
      <c r="A146" s="7" t="s">
        <v>254</v>
      </c>
      <c r="B146" s="7" t="s">
        <v>75</v>
      </c>
      <c r="C146" s="7" t="s">
        <v>23</v>
      </c>
      <c r="D146" s="11" t="s">
        <v>76</v>
      </c>
      <c r="E146" s="12">
        <f t="shared" si="70"/>
        <v>4386000</v>
      </c>
      <c r="F146" s="12">
        <v>4386000</v>
      </c>
      <c r="G146" s="12">
        <v>4270900</v>
      </c>
      <c r="H146" s="12">
        <v>0</v>
      </c>
      <c r="I146" s="12">
        <v>0</v>
      </c>
      <c r="J146" s="12">
        <f t="shared" si="35"/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f t="shared" si="51"/>
        <v>4386000</v>
      </c>
    </row>
    <row r="147" spans="1:16" ht="31.2">
      <c r="A147" s="7" t="s">
        <v>255</v>
      </c>
      <c r="B147" s="7" t="s">
        <v>30</v>
      </c>
      <c r="C147" s="7" t="s">
        <v>31</v>
      </c>
      <c r="D147" s="11" t="s">
        <v>32</v>
      </c>
      <c r="E147" s="12">
        <f t="shared" si="70"/>
        <v>99000</v>
      </c>
      <c r="F147" s="12">
        <f>99000</f>
        <v>99000</v>
      </c>
      <c r="G147" s="12">
        <v>0</v>
      </c>
      <c r="H147" s="12">
        <v>0</v>
      </c>
      <c r="I147" s="12">
        <v>0</v>
      </c>
      <c r="J147" s="12">
        <f t="shared" si="35"/>
        <v>0</v>
      </c>
      <c r="K147" s="12">
        <v>0</v>
      </c>
      <c r="L147" s="12">
        <v>0</v>
      </c>
      <c r="M147" s="12">
        <v>0</v>
      </c>
      <c r="N147" s="12">
        <v>0</v>
      </c>
      <c r="O147" s="12">
        <v>0</v>
      </c>
      <c r="P147" s="12">
        <f t="shared" si="51"/>
        <v>99000</v>
      </c>
    </row>
    <row r="148" spans="1:16" ht="31.2">
      <c r="A148" s="7">
        <v>1512010</v>
      </c>
      <c r="B148" s="15" t="s">
        <v>34</v>
      </c>
      <c r="C148" s="15" t="s">
        <v>35</v>
      </c>
      <c r="D148" s="11" t="s">
        <v>36</v>
      </c>
      <c r="E148" s="12">
        <f t="shared" si="70"/>
        <v>0</v>
      </c>
      <c r="F148" s="12"/>
      <c r="G148" s="12"/>
      <c r="H148" s="12"/>
      <c r="I148" s="12"/>
      <c r="J148" s="12">
        <f t="shared" si="35"/>
        <v>1175627</v>
      </c>
      <c r="K148" s="12">
        <f>1205627-30000</f>
        <v>1175627</v>
      </c>
      <c r="L148" s="12"/>
      <c r="M148" s="12"/>
      <c r="N148" s="12"/>
      <c r="O148" s="12">
        <f>1205627-30000</f>
        <v>1175627</v>
      </c>
      <c r="P148" s="12">
        <f t="shared" si="51"/>
        <v>1175627</v>
      </c>
    </row>
    <row r="149" spans="1:16" ht="31.2">
      <c r="A149" s="7">
        <v>1516013</v>
      </c>
      <c r="B149" s="15" t="s">
        <v>334</v>
      </c>
      <c r="C149" s="15" t="s">
        <v>55</v>
      </c>
      <c r="D149" s="11" t="s">
        <v>335</v>
      </c>
      <c r="E149" s="12">
        <f t="shared" si="70"/>
        <v>0</v>
      </c>
      <c r="F149" s="12"/>
      <c r="G149" s="12"/>
      <c r="H149" s="12"/>
      <c r="I149" s="12"/>
      <c r="J149" s="12">
        <f t="shared" si="35"/>
        <v>382750</v>
      </c>
      <c r="K149" s="12">
        <v>382750</v>
      </c>
      <c r="L149" s="12"/>
      <c r="M149" s="12"/>
      <c r="N149" s="12"/>
      <c r="O149" s="12">
        <v>382750</v>
      </c>
      <c r="P149" s="12">
        <f t="shared" si="51"/>
        <v>382750</v>
      </c>
    </row>
    <row r="150" spans="1:16" ht="31.2">
      <c r="A150" s="7">
        <v>1516015</v>
      </c>
      <c r="B150" s="15" t="s">
        <v>234</v>
      </c>
      <c r="C150" s="15" t="s">
        <v>55</v>
      </c>
      <c r="D150" s="11" t="s">
        <v>235</v>
      </c>
      <c r="E150" s="12">
        <f t="shared" si="70"/>
        <v>0</v>
      </c>
      <c r="F150" s="12"/>
      <c r="G150" s="12"/>
      <c r="H150" s="12"/>
      <c r="I150" s="12"/>
      <c r="J150" s="12">
        <f t="shared" si="35"/>
        <v>23415217</v>
      </c>
      <c r="K150" s="12">
        <v>23415217</v>
      </c>
      <c r="L150" s="12"/>
      <c r="M150" s="12"/>
      <c r="N150" s="12"/>
      <c r="O150" s="12">
        <v>23415217</v>
      </c>
      <c r="P150" s="12">
        <f t="shared" si="51"/>
        <v>23415217</v>
      </c>
    </row>
    <row r="151" spans="1:16" ht="78">
      <c r="A151" s="7">
        <v>1516050</v>
      </c>
      <c r="B151" s="15" t="s">
        <v>336</v>
      </c>
      <c r="C151" s="15" t="s">
        <v>55</v>
      </c>
      <c r="D151" s="11" t="s">
        <v>337</v>
      </c>
      <c r="E151" s="12">
        <f t="shared" si="70"/>
        <v>0</v>
      </c>
      <c r="F151" s="12"/>
      <c r="G151" s="12"/>
      <c r="H151" s="12"/>
      <c r="I151" s="12"/>
      <c r="J151" s="12">
        <f t="shared" si="35"/>
        <v>1194873</v>
      </c>
      <c r="K151" s="12">
        <f>2439154-1244281</f>
        <v>1194873</v>
      </c>
      <c r="L151" s="12"/>
      <c r="M151" s="12"/>
      <c r="N151" s="12"/>
      <c r="O151" s="12">
        <f>2439154-1244281</f>
        <v>1194873</v>
      </c>
      <c r="P151" s="12">
        <f t="shared" si="51"/>
        <v>1194873</v>
      </c>
    </row>
    <row r="152" spans="1:16" ht="31.2">
      <c r="A152" s="7">
        <v>1517310</v>
      </c>
      <c r="B152" s="15" t="s">
        <v>338</v>
      </c>
      <c r="C152" s="15" t="s">
        <v>268</v>
      </c>
      <c r="D152" s="11" t="s">
        <v>339</v>
      </c>
      <c r="E152" s="12">
        <f t="shared" si="70"/>
        <v>0</v>
      </c>
      <c r="F152" s="12"/>
      <c r="G152" s="12"/>
      <c r="H152" s="12"/>
      <c r="I152" s="12"/>
      <c r="J152" s="12">
        <f t="shared" si="35"/>
        <v>19000000</v>
      </c>
      <c r="K152" s="12">
        <v>19000000</v>
      </c>
      <c r="L152" s="12"/>
      <c r="M152" s="12"/>
      <c r="N152" s="12"/>
      <c r="O152" s="12">
        <v>19000000</v>
      </c>
      <c r="P152" s="12">
        <f t="shared" si="51"/>
        <v>19000000</v>
      </c>
    </row>
    <row r="153" spans="1:16" ht="31.2">
      <c r="A153" s="7">
        <v>1517321</v>
      </c>
      <c r="B153" s="15" t="s">
        <v>340</v>
      </c>
      <c r="C153" s="15" t="s">
        <v>268</v>
      </c>
      <c r="D153" s="11" t="s">
        <v>341</v>
      </c>
      <c r="E153" s="12">
        <f t="shared" si="70"/>
        <v>0</v>
      </c>
      <c r="F153" s="12"/>
      <c r="G153" s="12"/>
      <c r="H153" s="12"/>
      <c r="I153" s="12"/>
      <c r="J153" s="12">
        <f t="shared" si="35"/>
        <v>202660</v>
      </c>
      <c r="K153" s="12">
        <v>202660</v>
      </c>
      <c r="L153" s="12"/>
      <c r="M153" s="12"/>
      <c r="N153" s="12"/>
      <c r="O153" s="12">
        <v>202660</v>
      </c>
      <c r="P153" s="12">
        <f t="shared" si="51"/>
        <v>202660</v>
      </c>
    </row>
    <row r="154" spans="1:16" ht="31.2">
      <c r="A154" s="7">
        <v>1517368</v>
      </c>
      <c r="B154" s="15" t="s">
        <v>355</v>
      </c>
      <c r="C154" s="15" t="s">
        <v>59</v>
      </c>
      <c r="D154" s="11" t="s">
        <v>356</v>
      </c>
      <c r="E154" s="12">
        <f t="shared" si="70"/>
        <v>0</v>
      </c>
      <c r="F154" s="12"/>
      <c r="G154" s="12"/>
      <c r="H154" s="12"/>
      <c r="I154" s="12"/>
      <c r="J154" s="12">
        <f t="shared" si="35"/>
        <v>26491442</v>
      </c>
      <c r="K154" s="12">
        <v>26491442</v>
      </c>
      <c r="L154" s="12"/>
      <c r="M154" s="12"/>
      <c r="N154" s="12"/>
      <c r="O154" s="12">
        <v>26491442</v>
      </c>
      <c r="P154" s="12">
        <f t="shared" si="51"/>
        <v>26491442</v>
      </c>
    </row>
    <row r="155" spans="1:16" ht="46.8">
      <c r="A155" s="7">
        <v>1517370</v>
      </c>
      <c r="B155" s="15" t="s">
        <v>342</v>
      </c>
      <c r="C155" s="15" t="s">
        <v>59</v>
      </c>
      <c r="D155" s="11" t="s">
        <v>343</v>
      </c>
      <c r="E155" s="12">
        <f t="shared" si="70"/>
        <v>0</v>
      </c>
      <c r="F155" s="12"/>
      <c r="G155" s="12"/>
      <c r="H155" s="12"/>
      <c r="I155" s="12"/>
      <c r="J155" s="12">
        <f t="shared" si="35"/>
        <v>27740698</v>
      </c>
      <c r="K155" s="12">
        <f>7820447+17920251+2000000</f>
        <v>27740698</v>
      </c>
      <c r="L155" s="12"/>
      <c r="M155" s="12"/>
      <c r="N155" s="12"/>
      <c r="O155" s="12">
        <f>7820447+17920251+2000000</f>
        <v>27740698</v>
      </c>
      <c r="P155" s="12">
        <f t="shared" si="51"/>
        <v>27740698</v>
      </c>
    </row>
    <row r="156" spans="1:16">
      <c r="A156" s="7">
        <v>1517640</v>
      </c>
      <c r="B156" s="15" t="s">
        <v>344</v>
      </c>
      <c r="C156" s="15" t="s">
        <v>331</v>
      </c>
      <c r="D156" s="11" t="s">
        <v>330</v>
      </c>
      <c r="E156" s="12">
        <f t="shared" si="70"/>
        <v>0</v>
      </c>
      <c r="F156" s="12"/>
      <c r="G156" s="12"/>
      <c r="H156" s="12"/>
      <c r="I156" s="12"/>
      <c r="J156" s="12">
        <f t="shared" si="35"/>
        <v>7720091</v>
      </c>
      <c r="K156" s="12">
        <v>7720091</v>
      </c>
      <c r="L156" s="12"/>
      <c r="M156" s="12"/>
      <c r="N156" s="12"/>
      <c r="O156" s="12">
        <v>7720091</v>
      </c>
      <c r="P156" s="12">
        <f t="shared" si="51"/>
        <v>7720091</v>
      </c>
    </row>
    <row r="157" spans="1:16" ht="46.8">
      <c r="A157" s="7">
        <v>1518110</v>
      </c>
      <c r="B157" s="15" t="s">
        <v>248</v>
      </c>
      <c r="C157" s="15" t="s">
        <v>249</v>
      </c>
      <c r="D157" s="11" t="s">
        <v>250</v>
      </c>
      <c r="E157" s="12">
        <f t="shared" si="70"/>
        <v>0</v>
      </c>
      <c r="F157" s="12"/>
      <c r="G157" s="12"/>
      <c r="H157" s="12"/>
      <c r="I157" s="12"/>
      <c r="J157" s="12">
        <f t="shared" si="35"/>
        <v>21284778</v>
      </c>
      <c r="K157" s="12">
        <f>22333778-1000000-49000</f>
        <v>21284778</v>
      </c>
      <c r="L157" s="12"/>
      <c r="M157" s="12"/>
      <c r="N157" s="12"/>
      <c r="O157" s="12">
        <f>22333778-1000000-49000</f>
        <v>21284778</v>
      </c>
      <c r="P157" s="12">
        <f t="shared" si="51"/>
        <v>21284778</v>
      </c>
    </row>
    <row r="158" spans="1:16" ht="62.4">
      <c r="A158" s="8" t="s">
        <v>256</v>
      </c>
      <c r="B158" s="8" t="s">
        <v>18</v>
      </c>
      <c r="C158" s="8" t="s">
        <v>18</v>
      </c>
      <c r="D158" s="9" t="s">
        <v>257</v>
      </c>
      <c r="E158" s="10">
        <f t="shared" si="70"/>
        <v>24436100</v>
      </c>
      <c r="F158" s="10">
        <f>F159</f>
        <v>4467800</v>
      </c>
      <c r="G158" s="10">
        <f t="shared" ref="G158:I158" si="78">G159</f>
        <v>3675600</v>
      </c>
      <c r="H158" s="10">
        <f t="shared" si="78"/>
        <v>0</v>
      </c>
      <c r="I158" s="10">
        <f t="shared" si="78"/>
        <v>19968300</v>
      </c>
      <c r="J158" s="10">
        <f t="shared" si="35"/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f t="shared" si="51"/>
        <v>24436100</v>
      </c>
    </row>
    <row r="159" spans="1:16" ht="62.4">
      <c r="A159" s="8" t="s">
        <v>258</v>
      </c>
      <c r="B159" s="8" t="s">
        <v>18</v>
      </c>
      <c r="C159" s="8" t="s">
        <v>18</v>
      </c>
      <c r="D159" s="9" t="s">
        <v>257</v>
      </c>
      <c r="E159" s="10">
        <f t="shared" si="70"/>
        <v>24436100</v>
      </c>
      <c r="F159" s="10">
        <f>SUM(F160:F166)</f>
        <v>4467800</v>
      </c>
      <c r="G159" s="10">
        <f t="shared" ref="G159:I159" si="79">SUM(G160:G166)</f>
        <v>3675600</v>
      </c>
      <c r="H159" s="10">
        <f t="shared" si="79"/>
        <v>0</v>
      </c>
      <c r="I159" s="10">
        <f t="shared" si="79"/>
        <v>19968300</v>
      </c>
      <c r="J159" s="10">
        <f t="shared" si="35"/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f t="shared" si="51"/>
        <v>24436100</v>
      </c>
    </row>
    <row r="160" spans="1:16" ht="46.8">
      <c r="A160" s="7" t="s">
        <v>259</v>
      </c>
      <c r="B160" s="7" t="s">
        <v>75</v>
      </c>
      <c r="C160" s="7" t="s">
        <v>23</v>
      </c>
      <c r="D160" s="11" t="s">
        <v>76</v>
      </c>
      <c r="E160" s="12">
        <f t="shared" si="70"/>
        <v>3762800</v>
      </c>
      <c r="F160" s="12">
        <v>3762800</v>
      </c>
      <c r="G160" s="12">
        <v>3675600</v>
      </c>
      <c r="H160" s="12">
        <v>0</v>
      </c>
      <c r="I160" s="12">
        <v>0</v>
      </c>
      <c r="J160" s="12">
        <f t="shared" si="35"/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f t="shared" si="51"/>
        <v>3762800</v>
      </c>
    </row>
    <row r="161" spans="1:16" ht="31.2">
      <c r="A161" s="7" t="s">
        <v>260</v>
      </c>
      <c r="B161" s="7" t="s">
        <v>30</v>
      </c>
      <c r="C161" s="7" t="s">
        <v>31</v>
      </c>
      <c r="D161" s="11" t="s">
        <v>32</v>
      </c>
      <c r="E161" s="12">
        <f t="shared" ref="E161:E166" si="80">F161+I161</f>
        <v>159000</v>
      </c>
      <c r="F161" s="12">
        <f>159000</f>
        <v>159000</v>
      </c>
      <c r="G161" s="12">
        <v>0</v>
      </c>
      <c r="H161" s="12">
        <v>0</v>
      </c>
      <c r="I161" s="12">
        <v>0</v>
      </c>
      <c r="J161" s="12">
        <f t="shared" si="35"/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12">
        <f t="shared" si="51"/>
        <v>159000</v>
      </c>
    </row>
    <row r="162" spans="1:16" ht="46.8">
      <c r="A162" s="7" t="s">
        <v>261</v>
      </c>
      <c r="B162" s="7" t="s">
        <v>237</v>
      </c>
      <c r="C162" s="7" t="s">
        <v>55</v>
      </c>
      <c r="D162" s="11" t="s">
        <v>238</v>
      </c>
      <c r="E162" s="12">
        <f t="shared" si="80"/>
        <v>250000</v>
      </c>
      <c r="F162" s="12">
        <f>146000+104000</f>
        <v>250000</v>
      </c>
      <c r="G162" s="12">
        <v>0</v>
      </c>
      <c r="H162" s="12">
        <v>0</v>
      </c>
      <c r="I162" s="12">
        <v>0</v>
      </c>
      <c r="J162" s="12">
        <f t="shared" si="35"/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f t="shared" si="51"/>
        <v>250000</v>
      </c>
    </row>
    <row r="163" spans="1:16">
      <c r="A163" s="7" t="s">
        <v>262</v>
      </c>
      <c r="B163" s="7" t="s">
        <v>263</v>
      </c>
      <c r="C163" s="7" t="s">
        <v>264</v>
      </c>
      <c r="D163" s="11" t="s">
        <v>265</v>
      </c>
      <c r="E163" s="12">
        <f t="shared" si="80"/>
        <v>146000</v>
      </c>
      <c r="F163" s="12">
        <f>200000-104000+50000</f>
        <v>146000</v>
      </c>
      <c r="G163" s="12">
        <v>0</v>
      </c>
      <c r="H163" s="12">
        <v>0</v>
      </c>
      <c r="I163" s="12">
        <v>0</v>
      </c>
      <c r="J163" s="12">
        <f t="shared" si="35"/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f t="shared" si="51"/>
        <v>146000</v>
      </c>
    </row>
    <row r="164" spans="1:16" ht="46.8">
      <c r="A164" s="7" t="s">
        <v>266</v>
      </c>
      <c r="B164" s="7" t="s">
        <v>267</v>
      </c>
      <c r="C164" s="7" t="s">
        <v>268</v>
      </c>
      <c r="D164" s="11" t="s">
        <v>269</v>
      </c>
      <c r="E164" s="12">
        <f t="shared" si="80"/>
        <v>1500000</v>
      </c>
      <c r="F164" s="12">
        <v>0</v>
      </c>
      <c r="G164" s="12">
        <v>0</v>
      </c>
      <c r="H164" s="12">
        <v>0</v>
      </c>
      <c r="I164" s="12">
        <v>1500000</v>
      </c>
      <c r="J164" s="12">
        <f t="shared" si="35"/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f t="shared" ref="P164:P186" si="81">E164 + J164</f>
        <v>1500000</v>
      </c>
    </row>
    <row r="165" spans="1:16" ht="31.2">
      <c r="A165" s="7" t="s">
        <v>270</v>
      </c>
      <c r="B165" s="7" t="s">
        <v>245</v>
      </c>
      <c r="C165" s="7" t="s">
        <v>59</v>
      </c>
      <c r="D165" s="11" t="s">
        <v>246</v>
      </c>
      <c r="E165" s="12">
        <f t="shared" si="80"/>
        <v>18468300</v>
      </c>
      <c r="F165" s="12">
        <v>0</v>
      </c>
      <c r="G165" s="12">
        <v>0</v>
      </c>
      <c r="H165" s="12">
        <v>0</v>
      </c>
      <c r="I165" s="12">
        <f>18281300+187000</f>
        <v>18468300</v>
      </c>
      <c r="J165" s="12">
        <f t="shared" si="35"/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f t="shared" si="81"/>
        <v>18468300</v>
      </c>
    </row>
    <row r="166" spans="1:16" ht="31.2">
      <c r="A166" s="7" t="s">
        <v>271</v>
      </c>
      <c r="B166" s="7" t="s">
        <v>272</v>
      </c>
      <c r="C166" s="7" t="s">
        <v>63</v>
      </c>
      <c r="D166" s="11" t="s">
        <v>273</v>
      </c>
      <c r="E166" s="12">
        <f t="shared" si="80"/>
        <v>150000</v>
      </c>
      <c r="F166" s="12">
        <v>150000</v>
      </c>
      <c r="G166" s="12">
        <v>0</v>
      </c>
      <c r="H166" s="12">
        <v>0</v>
      </c>
      <c r="I166" s="12">
        <v>0</v>
      </c>
      <c r="J166" s="12">
        <f t="shared" si="35"/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f t="shared" si="81"/>
        <v>150000</v>
      </c>
    </row>
    <row r="167" spans="1:16" ht="46.8">
      <c r="A167" s="8" t="s">
        <v>274</v>
      </c>
      <c r="B167" s="8" t="s">
        <v>18</v>
      </c>
      <c r="C167" s="8" t="s">
        <v>18</v>
      </c>
      <c r="D167" s="9" t="s">
        <v>275</v>
      </c>
      <c r="E167" s="10">
        <f>E168</f>
        <v>24574114</v>
      </c>
      <c r="F167" s="10">
        <f>F168</f>
        <v>22074114</v>
      </c>
      <c r="G167" s="10">
        <f t="shared" ref="G167:I167" si="82">G168</f>
        <v>5671600</v>
      </c>
      <c r="H167" s="10">
        <f t="shared" si="82"/>
        <v>0</v>
      </c>
      <c r="I167" s="10">
        <f t="shared" si="82"/>
        <v>0</v>
      </c>
      <c r="J167" s="10">
        <f t="shared" si="35"/>
        <v>36602767</v>
      </c>
      <c r="K167" s="10">
        <f>K168</f>
        <v>36602767</v>
      </c>
      <c r="L167" s="10">
        <v>0</v>
      </c>
      <c r="M167" s="10">
        <v>0</v>
      </c>
      <c r="N167" s="10">
        <v>0</v>
      </c>
      <c r="O167" s="10">
        <f>O168</f>
        <v>36602767</v>
      </c>
      <c r="P167" s="10">
        <f t="shared" si="81"/>
        <v>61176881</v>
      </c>
    </row>
    <row r="168" spans="1:16" ht="46.8">
      <c r="A168" s="8" t="s">
        <v>276</v>
      </c>
      <c r="B168" s="8" t="s">
        <v>18</v>
      </c>
      <c r="C168" s="8" t="s">
        <v>18</v>
      </c>
      <c r="D168" s="9" t="s">
        <v>275</v>
      </c>
      <c r="E168" s="10">
        <f>SUM(E169:E172)+E179</f>
        <v>24574114</v>
      </c>
      <c r="F168" s="10">
        <f>F169+F170+F171+F172+F179</f>
        <v>22074114</v>
      </c>
      <c r="G168" s="10">
        <f t="shared" ref="G168:K168" si="83">G169+G170+G171+G172+G179</f>
        <v>5671600</v>
      </c>
      <c r="H168" s="10">
        <f t="shared" si="83"/>
        <v>0</v>
      </c>
      <c r="I168" s="10">
        <f t="shared" si="83"/>
        <v>0</v>
      </c>
      <c r="J168" s="10">
        <f t="shared" ref="J168:J185" si="84">L168+O168</f>
        <v>36602767</v>
      </c>
      <c r="K168" s="10">
        <f t="shared" si="83"/>
        <v>36602767</v>
      </c>
      <c r="L168" s="10">
        <f t="shared" ref="L168" si="85">L169+L170+L171+L172+L179</f>
        <v>0</v>
      </c>
      <c r="M168" s="10">
        <f t="shared" ref="M168" si="86">M169+M170+M171+M172+M179</f>
        <v>0</v>
      </c>
      <c r="N168" s="10">
        <f t="shared" ref="N168" si="87">N169+N170+N171+N172+N179</f>
        <v>0</v>
      </c>
      <c r="O168" s="10">
        <f t="shared" ref="O168" si="88">O169+O170+O171+O172+O179</f>
        <v>36602767</v>
      </c>
      <c r="P168" s="10">
        <f t="shared" si="81"/>
        <v>61176881</v>
      </c>
    </row>
    <row r="169" spans="1:16" ht="46.8">
      <c r="A169" s="7" t="s">
        <v>277</v>
      </c>
      <c r="B169" s="7" t="s">
        <v>75</v>
      </c>
      <c r="C169" s="7" t="s">
        <v>23</v>
      </c>
      <c r="D169" s="11" t="s">
        <v>76</v>
      </c>
      <c r="E169" s="12">
        <f>F169+I169</f>
        <v>5938700</v>
      </c>
      <c r="F169" s="12">
        <v>5938700</v>
      </c>
      <c r="G169" s="12">
        <v>5671600</v>
      </c>
      <c r="H169" s="12">
        <v>0</v>
      </c>
      <c r="I169" s="12">
        <v>0</v>
      </c>
      <c r="J169" s="12">
        <f t="shared" si="84"/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f t="shared" si="81"/>
        <v>5938700</v>
      </c>
    </row>
    <row r="170" spans="1:16" ht="31.2">
      <c r="A170" s="7" t="s">
        <v>278</v>
      </c>
      <c r="B170" s="7" t="s">
        <v>30</v>
      </c>
      <c r="C170" s="7" t="s">
        <v>31</v>
      </c>
      <c r="D170" s="11" t="s">
        <v>32</v>
      </c>
      <c r="E170" s="12">
        <f>F170+I170</f>
        <v>52900</v>
      </c>
      <c r="F170" s="12">
        <v>52900</v>
      </c>
      <c r="G170" s="12">
        <v>0</v>
      </c>
      <c r="H170" s="12">
        <v>0</v>
      </c>
      <c r="I170" s="12">
        <v>0</v>
      </c>
      <c r="J170" s="12">
        <f t="shared" si="84"/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12">
        <f t="shared" si="81"/>
        <v>52900</v>
      </c>
    </row>
    <row r="171" spans="1:16">
      <c r="A171" s="7" t="s">
        <v>279</v>
      </c>
      <c r="B171" s="7" t="s">
        <v>280</v>
      </c>
      <c r="C171" s="7" t="s">
        <v>31</v>
      </c>
      <c r="D171" s="11" t="s">
        <v>281</v>
      </c>
      <c r="E171" s="12">
        <f>8000000-1577623-590000-157749-2000000-674628-500000</f>
        <v>2500000</v>
      </c>
      <c r="F171" s="12">
        <v>0</v>
      </c>
      <c r="G171" s="12">
        <v>0</v>
      </c>
      <c r="H171" s="12">
        <v>0</v>
      </c>
      <c r="I171" s="12">
        <v>0</v>
      </c>
      <c r="J171" s="12">
        <f t="shared" si="84"/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f t="shared" si="81"/>
        <v>2500000</v>
      </c>
    </row>
    <row r="172" spans="1:16">
      <c r="A172" s="7" t="s">
        <v>282</v>
      </c>
      <c r="B172" s="7" t="s">
        <v>283</v>
      </c>
      <c r="C172" s="7" t="s">
        <v>30</v>
      </c>
      <c r="D172" s="11" t="s">
        <v>284</v>
      </c>
      <c r="E172" s="12">
        <f>F172+I172</f>
        <v>4407500</v>
      </c>
      <c r="F172" s="12">
        <f>F174+F175+F176+F177+F178</f>
        <v>4407500</v>
      </c>
      <c r="G172" s="12">
        <f t="shared" ref="G172:O172" si="89">G174+G175+G176+G177+G178</f>
        <v>0</v>
      </c>
      <c r="H172" s="12">
        <f t="shared" si="89"/>
        <v>0</v>
      </c>
      <c r="I172" s="12">
        <f t="shared" si="89"/>
        <v>0</v>
      </c>
      <c r="J172" s="12">
        <f t="shared" si="84"/>
        <v>1800000</v>
      </c>
      <c r="K172" s="12">
        <f t="shared" si="89"/>
        <v>1800000</v>
      </c>
      <c r="L172" s="12">
        <f t="shared" si="89"/>
        <v>0</v>
      </c>
      <c r="M172" s="12">
        <f t="shared" si="89"/>
        <v>0</v>
      </c>
      <c r="N172" s="12">
        <f t="shared" si="89"/>
        <v>0</v>
      </c>
      <c r="O172" s="12">
        <f t="shared" si="89"/>
        <v>1800000</v>
      </c>
      <c r="P172" s="12">
        <f t="shared" si="81"/>
        <v>6207500</v>
      </c>
    </row>
    <row r="173" spans="1:16" s="6" customFormat="1">
      <c r="A173" s="13"/>
      <c r="B173" s="13"/>
      <c r="C173" s="13"/>
      <c r="D173" s="1" t="s">
        <v>349</v>
      </c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</row>
    <row r="174" spans="1:16" s="6" customFormat="1" ht="124.8">
      <c r="A174" s="13"/>
      <c r="B174" s="13"/>
      <c r="C174" s="13"/>
      <c r="D174" s="1" t="s">
        <v>348</v>
      </c>
      <c r="E174" s="14">
        <f t="shared" ref="E174:E179" si="90">F174+I174</f>
        <v>1570500</v>
      </c>
      <c r="F174" s="14">
        <f>1261500+309000</f>
        <v>1570500</v>
      </c>
      <c r="G174" s="14"/>
      <c r="H174" s="14"/>
      <c r="I174" s="14"/>
      <c r="J174" s="14">
        <f>L174+O174</f>
        <v>0</v>
      </c>
      <c r="K174" s="14"/>
      <c r="L174" s="14"/>
      <c r="M174" s="14"/>
      <c r="N174" s="14"/>
      <c r="O174" s="14"/>
      <c r="P174" s="14">
        <f>E174+J174</f>
        <v>1570500</v>
      </c>
    </row>
    <row r="175" spans="1:16" s="6" customFormat="1" ht="62.4">
      <c r="A175" s="13"/>
      <c r="B175" s="13"/>
      <c r="C175" s="13"/>
      <c r="D175" s="1" t="s">
        <v>350</v>
      </c>
      <c r="E175" s="14">
        <f t="shared" si="90"/>
        <v>300000</v>
      </c>
      <c r="F175" s="14">
        <v>300000</v>
      </c>
      <c r="G175" s="14"/>
      <c r="H175" s="14"/>
      <c r="I175" s="14"/>
      <c r="J175" s="14">
        <f>L175+O175</f>
        <v>0</v>
      </c>
      <c r="K175" s="14"/>
      <c r="L175" s="14"/>
      <c r="M175" s="14"/>
      <c r="N175" s="14"/>
      <c r="O175" s="14"/>
      <c r="P175" s="14">
        <f t="shared" si="81"/>
        <v>300000</v>
      </c>
    </row>
    <row r="176" spans="1:16" s="6" customFormat="1" ht="78">
      <c r="A176" s="13"/>
      <c r="B176" s="13"/>
      <c r="C176" s="13"/>
      <c r="D176" s="1" t="s">
        <v>351</v>
      </c>
      <c r="E176" s="14">
        <f t="shared" si="90"/>
        <v>2237000</v>
      </c>
      <c r="F176" s="14">
        <v>2237000</v>
      </c>
      <c r="G176" s="14"/>
      <c r="H176" s="14"/>
      <c r="I176" s="14"/>
      <c r="J176" s="14">
        <f>L176+O176</f>
        <v>0</v>
      </c>
      <c r="K176" s="14"/>
      <c r="L176" s="14"/>
      <c r="M176" s="14"/>
      <c r="N176" s="14"/>
      <c r="O176" s="14"/>
      <c r="P176" s="14">
        <f>E176+J176</f>
        <v>2237000</v>
      </c>
    </row>
    <row r="177" spans="1:16" s="6" customFormat="1" ht="78">
      <c r="A177" s="13"/>
      <c r="B177" s="13"/>
      <c r="C177" s="13"/>
      <c r="D177" s="1" t="s">
        <v>364</v>
      </c>
      <c r="E177" s="14">
        <f t="shared" si="90"/>
        <v>300000</v>
      </c>
      <c r="F177" s="14">
        <v>300000</v>
      </c>
      <c r="G177" s="14"/>
      <c r="H177" s="14"/>
      <c r="I177" s="14"/>
      <c r="J177" s="14"/>
      <c r="K177" s="14"/>
      <c r="L177" s="14"/>
      <c r="M177" s="14"/>
      <c r="N177" s="14"/>
      <c r="O177" s="14"/>
      <c r="P177" s="14">
        <f>E177+J177</f>
        <v>300000</v>
      </c>
    </row>
    <row r="178" spans="1:16" s="6" customFormat="1" ht="78">
      <c r="A178" s="13"/>
      <c r="B178" s="13"/>
      <c r="C178" s="13"/>
      <c r="D178" s="1" t="s">
        <v>345</v>
      </c>
      <c r="E178" s="14">
        <f t="shared" si="90"/>
        <v>0</v>
      </c>
      <c r="F178" s="14"/>
      <c r="G178" s="14"/>
      <c r="H178" s="14"/>
      <c r="I178" s="14"/>
      <c r="J178" s="14">
        <f>L178+O178</f>
        <v>1800000</v>
      </c>
      <c r="K178" s="14">
        <v>1800000</v>
      </c>
      <c r="L178" s="14"/>
      <c r="M178" s="14"/>
      <c r="N178" s="14"/>
      <c r="O178" s="14">
        <v>1800000</v>
      </c>
      <c r="P178" s="14">
        <f>E178+J178</f>
        <v>1800000</v>
      </c>
    </row>
    <row r="179" spans="1:16" s="23" customFormat="1" ht="62.4">
      <c r="A179" s="7">
        <v>3719800</v>
      </c>
      <c r="B179" s="7">
        <v>9800</v>
      </c>
      <c r="C179" s="7"/>
      <c r="D179" s="11" t="s">
        <v>326</v>
      </c>
      <c r="E179" s="12">
        <f t="shared" si="90"/>
        <v>11675014</v>
      </c>
      <c r="F179" s="12">
        <f>F181+F182+F183+F184+F185</f>
        <v>11675014</v>
      </c>
      <c r="G179" s="12">
        <f t="shared" ref="G179:O179" si="91">G181+G182+G183+G184+G185</f>
        <v>0</v>
      </c>
      <c r="H179" s="12">
        <f t="shared" si="91"/>
        <v>0</v>
      </c>
      <c r="I179" s="12">
        <f t="shared" si="91"/>
        <v>0</v>
      </c>
      <c r="J179" s="12">
        <f t="shared" si="84"/>
        <v>34802767</v>
      </c>
      <c r="K179" s="12">
        <f>K181+K182+K183+K184+K185</f>
        <v>34802767</v>
      </c>
      <c r="L179" s="12">
        <f t="shared" si="91"/>
        <v>0</v>
      </c>
      <c r="M179" s="12">
        <f t="shared" si="91"/>
        <v>0</v>
      </c>
      <c r="N179" s="12">
        <f t="shared" si="91"/>
        <v>0</v>
      </c>
      <c r="O179" s="12">
        <f t="shared" si="91"/>
        <v>34802767</v>
      </c>
      <c r="P179" s="12">
        <f t="shared" si="81"/>
        <v>46477781</v>
      </c>
    </row>
    <row r="180" spans="1:16" s="30" customFormat="1">
      <c r="A180" s="13"/>
      <c r="B180" s="13"/>
      <c r="C180" s="13"/>
      <c r="D180" s="1" t="s">
        <v>349</v>
      </c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</row>
    <row r="181" spans="1:16" s="30" customFormat="1" ht="156">
      <c r="A181" s="13"/>
      <c r="B181" s="13"/>
      <c r="C181" s="13"/>
      <c r="D181" s="1" t="s">
        <v>366</v>
      </c>
      <c r="E181" s="14">
        <f t="shared" ref="E181:E185" si="92">F181+I181</f>
        <v>8698614</v>
      </c>
      <c r="F181" s="14">
        <f>190000+1000000+1290000+545334+1000000+2000000+295600+2377680</f>
        <v>8698614</v>
      </c>
      <c r="G181" s="14"/>
      <c r="H181" s="14"/>
      <c r="I181" s="14"/>
      <c r="J181" s="14">
        <f t="shared" si="84"/>
        <v>24102767</v>
      </c>
      <c r="K181" s="14">
        <f>1300000+6800000+840000+1062000+4750000+1943963+2204400+5202404</f>
        <v>24102767</v>
      </c>
      <c r="L181" s="14"/>
      <c r="M181" s="14"/>
      <c r="N181" s="14"/>
      <c r="O181" s="14">
        <f>1300000+6800000+840000+1062000+4750000+1943963+2204400+5202404</f>
        <v>24102767</v>
      </c>
      <c r="P181" s="14">
        <f t="shared" si="81"/>
        <v>32801381</v>
      </c>
    </row>
    <row r="182" spans="1:16" s="30" customFormat="1" ht="78">
      <c r="A182" s="13"/>
      <c r="B182" s="13"/>
      <c r="C182" s="13"/>
      <c r="D182" s="1" t="s">
        <v>345</v>
      </c>
      <c r="E182" s="14">
        <f t="shared" si="92"/>
        <v>0</v>
      </c>
      <c r="F182" s="14"/>
      <c r="G182" s="14"/>
      <c r="H182" s="14"/>
      <c r="I182" s="14"/>
      <c r="J182" s="14">
        <f t="shared" si="84"/>
        <v>8200000</v>
      </c>
      <c r="K182" s="14">
        <f>5000000+3200000</f>
        <v>8200000</v>
      </c>
      <c r="L182" s="14"/>
      <c r="M182" s="14"/>
      <c r="N182" s="14"/>
      <c r="O182" s="14">
        <f>5000000+3200000</f>
        <v>8200000</v>
      </c>
      <c r="P182" s="14">
        <f t="shared" si="81"/>
        <v>8200000</v>
      </c>
    </row>
    <row r="183" spans="1:16" s="30" customFormat="1" ht="62.4">
      <c r="A183" s="13"/>
      <c r="B183" s="13"/>
      <c r="C183" s="13"/>
      <c r="D183" s="1" t="s">
        <v>346</v>
      </c>
      <c r="E183" s="14">
        <f t="shared" si="92"/>
        <v>976400</v>
      </c>
      <c r="F183" s="14">
        <f>950000+26400</f>
        <v>976400</v>
      </c>
      <c r="G183" s="14"/>
      <c r="H183" s="14"/>
      <c r="I183" s="14"/>
      <c r="J183" s="14">
        <f t="shared" si="84"/>
        <v>1550000</v>
      </c>
      <c r="K183" s="14">
        <v>1550000</v>
      </c>
      <c r="L183" s="14"/>
      <c r="M183" s="14"/>
      <c r="N183" s="14"/>
      <c r="O183" s="14">
        <v>1550000</v>
      </c>
      <c r="P183" s="14">
        <f t="shared" si="81"/>
        <v>2526400</v>
      </c>
    </row>
    <row r="184" spans="1:16" s="30" customFormat="1" ht="78">
      <c r="A184" s="13"/>
      <c r="B184" s="13"/>
      <c r="C184" s="13"/>
      <c r="D184" s="1" t="s">
        <v>347</v>
      </c>
      <c r="E184" s="14">
        <f t="shared" si="92"/>
        <v>2000000</v>
      </c>
      <c r="F184" s="14">
        <v>2000000</v>
      </c>
      <c r="G184" s="14"/>
      <c r="H184" s="14"/>
      <c r="I184" s="14"/>
      <c r="J184" s="14">
        <f t="shared" si="84"/>
        <v>0</v>
      </c>
      <c r="K184" s="14"/>
      <c r="L184" s="14"/>
      <c r="M184" s="14"/>
      <c r="N184" s="14"/>
      <c r="O184" s="14"/>
      <c r="P184" s="14">
        <f t="shared" si="81"/>
        <v>2000000</v>
      </c>
    </row>
    <row r="185" spans="1:16" s="30" customFormat="1" ht="62.4">
      <c r="A185" s="13"/>
      <c r="B185" s="13"/>
      <c r="C185" s="13"/>
      <c r="D185" s="1" t="s">
        <v>365</v>
      </c>
      <c r="E185" s="14">
        <f t="shared" si="92"/>
        <v>0</v>
      </c>
      <c r="F185" s="14"/>
      <c r="G185" s="14"/>
      <c r="H185" s="14"/>
      <c r="I185" s="14"/>
      <c r="J185" s="14">
        <f t="shared" si="84"/>
        <v>950000</v>
      </c>
      <c r="K185" s="14">
        <v>950000</v>
      </c>
      <c r="L185" s="14"/>
      <c r="M185" s="14"/>
      <c r="N185" s="14"/>
      <c r="O185" s="14">
        <v>950000</v>
      </c>
      <c r="P185" s="14">
        <f t="shared" si="81"/>
        <v>950000</v>
      </c>
    </row>
    <row r="186" spans="1:16">
      <c r="A186" s="8" t="s">
        <v>286</v>
      </c>
      <c r="B186" s="8" t="s">
        <v>286</v>
      </c>
      <c r="C186" s="8" t="s">
        <v>286</v>
      </c>
      <c r="D186" s="16" t="s">
        <v>285</v>
      </c>
      <c r="E186" s="10">
        <f>F186+I186+E171</f>
        <v>960522982.63</v>
      </c>
      <c r="F186" s="10">
        <f>F19+F49+F79+F98+F103+F114+F123+F144+F158+F167</f>
        <v>845327313.63</v>
      </c>
      <c r="G186" s="10">
        <f>G19+G49+G79+G98+G103+G114+G123+G144+G158+G167</f>
        <v>553682694.99000001</v>
      </c>
      <c r="H186" s="10">
        <f>H19+H49+H79+H98+H103+H114+H123+H144+H158+H167</f>
        <v>44535101</v>
      </c>
      <c r="I186" s="10">
        <f>I19+I49+I79+I98+I103+I114+I123+I144+I158+I167</f>
        <v>112695669</v>
      </c>
      <c r="J186" s="10">
        <f>L186+O186</f>
        <v>221557470.80000001</v>
      </c>
      <c r="K186" s="10">
        <f>K19+K49+K79+K98+K103+K114+K123+K144+K158+K167</f>
        <v>200860607.36000001</v>
      </c>
      <c r="L186" s="10">
        <f>L19+L49+L79+L98+L103+L114+L123+L144+L158+L167</f>
        <v>17943600</v>
      </c>
      <c r="M186" s="10">
        <f>M19+M49+M79+M98+M103+M114+M123+M144+M158+M167</f>
        <v>525100</v>
      </c>
      <c r="N186" s="10">
        <f>N19+N49+N79+N98+N103+N114+N123+N144+N158+N167</f>
        <v>0</v>
      </c>
      <c r="O186" s="10">
        <f>O19+O49+O79+O98+O103+O114+O123+O144+O158+O167</f>
        <v>203613870.80000001</v>
      </c>
      <c r="P186" s="10">
        <f t="shared" si="81"/>
        <v>1182080453.4300001</v>
      </c>
    </row>
    <row r="188" spans="1:16" s="21" customFormat="1" ht="18">
      <c r="A188" s="17"/>
      <c r="B188" s="17"/>
      <c r="C188" s="18" t="s">
        <v>303</v>
      </c>
      <c r="D188" s="19" t="s">
        <v>304</v>
      </c>
      <c r="E188" s="20">
        <f t="shared" ref="E188:O188" si="93">E21+E26+E27+E51+E52+E81+E82+E100+E101+E105+E106+E116+E117+E125+E126+E127+E146+E147+E160+E161+E169+E170</f>
        <v>121874703</v>
      </c>
      <c r="F188" s="20">
        <f t="shared" si="93"/>
        <v>121874703</v>
      </c>
      <c r="G188" s="20">
        <f t="shared" si="93"/>
        <v>104737000</v>
      </c>
      <c r="H188" s="20">
        <f t="shared" si="93"/>
        <v>6071760</v>
      </c>
      <c r="I188" s="20">
        <f t="shared" si="93"/>
        <v>0</v>
      </c>
      <c r="J188" s="20">
        <f t="shared" si="93"/>
        <v>174600</v>
      </c>
      <c r="K188" s="20">
        <f t="shared" si="93"/>
        <v>36000</v>
      </c>
      <c r="L188" s="20">
        <f t="shared" si="93"/>
        <v>138600</v>
      </c>
      <c r="M188" s="20">
        <f t="shared" si="93"/>
        <v>0</v>
      </c>
      <c r="N188" s="20">
        <f t="shared" si="93"/>
        <v>0</v>
      </c>
      <c r="O188" s="20">
        <f t="shared" si="93"/>
        <v>36000</v>
      </c>
      <c r="P188" s="20">
        <f>E188+J188</f>
        <v>122049303</v>
      </c>
    </row>
    <row r="189" spans="1:16" s="21" customFormat="1" ht="18">
      <c r="A189" s="17"/>
      <c r="B189" s="17"/>
      <c r="C189" s="18" t="s">
        <v>305</v>
      </c>
      <c r="D189" s="19" t="s">
        <v>306</v>
      </c>
      <c r="E189" s="20">
        <f>E53+E54+E55+E56+E57+E58+E59+E60+E61+E62+E63+E64+E65+E69+E73+E74+E107</f>
        <v>439621652.99000001</v>
      </c>
      <c r="F189" s="20">
        <f t="shared" ref="F189:O189" si="94">F53+F54+F55+F56+F57+F58+F59+F60+F61+F62+F63+F64+F65+F69+F73+F74+F107</f>
        <v>439555652.99000001</v>
      </c>
      <c r="G189" s="20">
        <f t="shared" si="94"/>
        <v>369140794.99000001</v>
      </c>
      <c r="H189" s="20">
        <f t="shared" si="94"/>
        <v>34155361</v>
      </c>
      <c r="I189" s="20">
        <f t="shared" si="94"/>
        <v>66000</v>
      </c>
      <c r="J189" s="20">
        <f t="shared" si="94"/>
        <v>27598363</v>
      </c>
      <c r="K189" s="20">
        <f t="shared" si="94"/>
        <v>8540447</v>
      </c>
      <c r="L189" s="20">
        <f t="shared" si="94"/>
        <v>17325000</v>
      </c>
      <c r="M189" s="20">
        <f t="shared" si="94"/>
        <v>495100</v>
      </c>
      <c r="N189" s="20">
        <f t="shared" si="94"/>
        <v>0</v>
      </c>
      <c r="O189" s="20">
        <f t="shared" si="94"/>
        <v>10273363</v>
      </c>
      <c r="P189" s="20">
        <f t="shared" ref="P189:P197" si="95">E189+J189</f>
        <v>467220015.99000001</v>
      </c>
    </row>
    <row r="190" spans="1:16" s="21" customFormat="1" ht="18">
      <c r="A190" s="17"/>
      <c r="B190" s="17"/>
      <c r="C190" s="18" t="s">
        <v>307</v>
      </c>
      <c r="D190" s="19" t="s">
        <v>308</v>
      </c>
      <c r="E190" s="20">
        <f t="shared" ref="E190:O190" si="96">E28+E29+E30+E31+E148</f>
        <v>41469584</v>
      </c>
      <c r="F190" s="20">
        <f t="shared" si="96"/>
        <v>41469584</v>
      </c>
      <c r="G190" s="20">
        <f t="shared" si="96"/>
        <v>0</v>
      </c>
      <c r="H190" s="20">
        <f t="shared" si="96"/>
        <v>0</v>
      </c>
      <c r="I190" s="20">
        <f t="shared" si="96"/>
        <v>0</v>
      </c>
      <c r="J190" s="20">
        <f t="shared" si="96"/>
        <v>4810317</v>
      </c>
      <c r="K190" s="20">
        <f t="shared" si="96"/>
        <v>4810317</v>
      </c>
      <c r="L190" s="20">
        <f t="shared" si="96"/>
        <v>0</v>
      </c>
      <c r="M190" s="20">
        <f t="shared" si="96"/>
        <v>0</v>
      </c>
      <c r="N190" s="20">
        <f t="shared" si="96"/>
        <v>0</v>
      </c>
      <c r="O190" s="20">
        <f t="shared" si="96"/>
        <v>4810317</v>
      </c>
      <c r="P190" s="20">
        <f t="shared" si="95"/>
        <v>46279901</v>
      </c>
    </row>
    <row r="191" spans="1:16" s="21" customFormat="1" ht="31.8">
      <c r="A191" s="17"/>
      <c r="B191" s="17"/>
      <c r="C191" s="18" t="s">
        <v>309</v>
      </c>
      <c r="D191" s="19" t="s">
        <v>310</v>
      </c>
      <c r="E191" s="20">
        <f>E32+E75+E76+E83+E84+E85+E86+E87+E88+E89+E90+E91+E92+E93+E94+E95+E96+E97+E102+E108+E118+E128</f>
        <v>98454265</v>
      </c>
      <c r="F191" s="20">
        <f t="shared" ref="F191:O191" si="97">F32+F75+F76+F83+F84+F85+F86+F87+F88+F89+F90+F91+F92+F93+F94+F95+F96+F97+F102+F108+F118+F128</f>
        <v>98454265</v>
      </c>
      <c r="G191" s="20">
        <f t="shared" si="97"/>
        <v>26271600</v>
      </c>
      <c r="H191" s="20">
        <f t="shared" si="97"/>
        <v>650600</v>
      </c>
      <c r="I191" s="20">
        <f t="shared" si="97"/>
        <v>0</v>
      </c>
      <c r="J191" s="20">
        <f t="shared" si="97"/>
        <v>6660247</v>
      </c>
      <c r="K191" s="20">
        <f t="shared" si="97"/>
        <v>6603847</v>
      </c>
      <c r="L191" s="20">
        <f t="shared" si="97"/>
        <v>0</v>
      </c>
      <c r="M191" s="20">
        <f t="shared" si="97"/>
        <v>0</v>
      </c>
      <c r="N191" s="20">
        <f t="shared" si="97"/>
        <v>0</v>
      </c>
      <c r="O191" s="20">
        <f t="shared" si="97"/>
        <v>6660247</v>
      </c>
      <c r="P191" s="20">
        <f t="shared" si="95"/>
        <v>105114512</v>
      </c>
    </row>
    <row r="192" spans="1:16" s="21" customFormat="1" ht="18">
      <c r="A192" s="17"/>
      <c r="B192" s="17"/>
      <c r="C192" s="18" t="s">
        <v>311</v>
      </c>
      <c r="D192" s="19" t="s">
        <v>312</v>
      </c>
      <c r="E192" s="20">
        <f t="shared" ref="E192:O192" si="98">E109+E110+E111+E112+E113</f>
        <v>29645900</v>
      </c>
      <c r="F192" s="20">
        <f t="shared" si="98"/>
        <v>29645900</v>
      </c>
      <c r="G192" s="20">
        <f t="shared" si="98"/>
        <v>24460200</v>
      </c>
      <c r="H192" s="20">
        <f t="shared" si="98"/>
        <v>2559900</v>
      </c>
      <c r="I192" s="20">
        <f t="shared" si="98"/>
        <v>0</v>
      </c>
      <c r="J192" s="20">
        <f t="shared" si="98"/>
        <v>280000</v>
      </c>
      <c r="K192" s="20">
        <f t="shared" si="98"/>
        <v>0</v>
      </c>
      <c r="L192" s="20">
        <f t="shared" si="98"/>
        <v>280000</v>
      </c>
      <c r="M192" s="20">
        <f t="shared" si="98"/>
        <v>30000</v>
      </c>
      <c r="N192" s="20">
        <f t="shared" si="98"/>
        <v>0</v>
      </c>
      <c r="O192" s="20">
        <f t="shared" si="98"/>
        <v>0</v>
      </c>
      <c r="P192" s="20">
        <f t="shared" si="95"/>
        <v>29925900</v>
      </c>
    </row>
    <row r="193" spans="1:16" s="21" customFormat="1" ht="18">
      <c r="A193" s="17"/>
      <c r="B193" s="17"/>
      <c r="C193" s="18" t="s">
        <v>313</v>
      </c>
      <c r="D193" s="19" t="s">
        <v>314</v>
      </c>
      <c r="E193" s="20">
        <f t="shared" ref="E193:O193" si="99">E77+E119+E120+E121+E122</f>
        <v>15094391</v>
      </c>
      <c r="F193" s="20">
        <f t="shared" si="99"/>
        <v>15094391</v>
      </c>
      <c r="G193" s="20">
        <f t="shared" si="99"/>
        <v>10100000</v>
      </c>
      <c r="H193" s="20">
        <f t="shared" si="99"/>
        <v>770480</v>
      </c>
      <c r="I193" s="20">
        <f t="shared" si="99"/>
        <v>0</v>
      </c>
      <c r="J193" s="20">
        <f t="shared" si="99"/>
        <v>0</v>
      </c>
      <c r="K193" s="20">
        <f t="shared" si="99"/>
        <v>0</v>
      </c>
      <c r="L193" s="20">
        <f t="shared" si="99"/>
        <v>0</v>
      </c>
      <c r="M193" s="20">
        <f t="shared" si="99"/>
        <v>0</v>
      </c>
      <c r="N193" s="20">
        <f t="shared" si="99"/>
        <v>0</v>
      </c>
      <c r="O193" s="20">
        <f t="shared" si="99"/>
        <v>0</v>
      </c>
      <c r="P193" s="20">
        <f t="shared" si="95"/>
        <v>15094391</v>
      </c>
    </row>
    <row r="194" spans="1:16" s="21" customFormat="1" ht="18">
      <c r="A194" s="17"/>
      <c r="B194" s="17"/>
      <c r="C194" s="18" t="s">
        <v>315</v>
      </c>
      <c r="D194" s="19" t="s">
        <v>316</v>
      </c>
      <c r="E194" s="20">
        <f>E33+E34+E129+E130+E131+E132+E133+E149+E150+E151+E162</f>
        <v>86016269</v>
      </c>
      <c r="F194" s="20">
        <f t="shared" ref="F194:O194" si="100">F33+F34+F129+F130+F131+F132+F133+F149+F150+F151+F162</f>
        <v>29529200</v>
      </c>
      <c r="G194" s="20">
        <f t="shared" si="100"/>
        <v>0</v>
      </c>
      <c r="H194" s="20">
        <f t="shared" si="100"/>
        <v>0</v>
      </c>
      <c r="I194" s="20">
        <f t="shared" si="100"/>
        <v>56487069</v>
      </c>
      <c r="J194" s="20">
        <f t="shared" si="100"/>
        <v>31601108</v>
      </c>
      <c r="K194" s="20">
        <f t="shared" si="100"/>
        <v>31601108</v>
      </c>
      <c r="L194" s="20">
        <f t="shared" si="100"/>
        <v>0</v>
      </c>
      <c r="M194" s="20">
        <f t="shared" si="100"/>
        <v>0</v>
      </c>
      <c r="N194" s="20">
        <f t="shared" si="100"/>
        <v>0</v>
      </c>
      <c r="O194" s="20">
        <f t="shared" si="100"/>
        <v>31601108</v>
      </c>
      <c r="P194" s="20">
        <f t="shared" si="95"/>
        <v>117617377</v>
      </c>
    </row>
    <row r="195" spans="1:16" s="21" customFormat="1" ht="18">
      <c r="A195" s="17"/>
      <c r="B195" s="17"/>
      <c r="C195" s="18" t="s">
        <v>317</v>
      </c>
      <c r="D195" s="19" t="s">
        <v>318</v>
      </c>
      <c r="E195" s="20">
        <f>E38+E39+E40+E41+E134+E135+E136+E137+E138+E152+E153+E154+E155+E156+E163+E164+E165</f>
        <v>82101600</v>
      </c>
      <c r="F195" s="20">
        <f t="shared" ref="F195:O195" si="101">F38+F39+F40+F41+F134+F135+F136+F137+F138+F152+F153+F154+F155+F156+F163+F164+F165</f>
        <v>25959000</v>
      </c>
      <c r="G195" s="20">
        <f t="shared" si="101"/>
        <v>0</v>
      </c>
      <c r="H195" s="20">
        <f t="shared" si="101"/>
        <v>0</v>
      </c>
      <c r="I195" s="20">
        <f t="shared" si="101"/>
        <v>56142600</v>
      </c>
      <c r="J195" s="20">
        <f t="shared" si="101"/>
        <v>83908838.439999998</v>
      </c>
      <c r="K195" s="20">
        <f t="shared" si="101"/>
        <v>83094891</v>
      </c>
      <c r="L195" s="20">
        <f t="shared" si="101"/>
        <v>0</v>
      </c>
      <c r="M195" s="20">
        <f t="shared" si="101"/>
        <v>0</v>
      </c>
      <c r="N195" s="20">
        <f t="shared" si="101"/>
        <v>0</v>
      </c>
      <c r="O195" s="20">
        <f t="shared" si="101"/>
        <v>83908838.439999998</v>
      </c>
      <c r="P195" s="20">
        <f>E195+J195</f>
        <v>166010438.44</v>
      </c>
    </row>
    <row r="196" spans="1:16" s="22" customFormat="1" ht="18">
      <c r="A196" s="17"/>
      <c r="B196" s="17"/>
      <c r="C196" s="18" t="s">
        <v>319</v>
      </c>
      <c r="D196" s="19" t="s">
        <v>327</v>
      </c>
      <c r="E196" s="20">
        <f>E42+E43+E44+E45+E46+E47+E48+E78+E140+E141+E142+E143+E139+E157+E166+E171</f>
        <v>30162103.640000001</v>
      </c>
      <c r="F196" s="20">
        <f t="shared" ref="F196:O196" si="102">F42+F43+F44+F45+F46+F47+F48+F78+F140+F141+F142+F143+F139+F157+F166+F171</f>
        <v>27662103.640000001</v>
      </c>
      <c r="G196" s="20">
        <f t="shared" si="102"/>
        <v>18973100</v>
      </c>
      <c r="H196" s="20">
        <f t="shared" si="102"/>
        <v>327000</v>
      </c>
      <c r="I196" s="20">
        <f t="shared" si="102"/>
        <v>0</v>
      </c>
      <c r="J196" s="20">
        <f t="shared" si="102"/>
        <v>29921230.359999999</v>
      </c>
      <c r="K196" s="20">
        <f t="shared" si="102"/>
        <v>29571230.359999999</v>
      </c>
      <c r="L196" s="20">
        <f t="shared" si="102"/>
        <v>200000</v>
      </c>
      <c r="M196" s="20">
        <f t="shared" si="102"/>
        <v>0</v>
      </c>
      <c r="N196" s="20">
        <f t="shared" si="102"/>
        <v>0</v>
      </c>
      <c r="O196" s="20">
        <f t="shared" si="102"/>
        <v>29721230.359999999</v>
      </c>
      <c r="P196" s="20">
        <f t="shared" si="95"/>
        <v>60083334</v>
      </c>
    </row>
    <row r="197" spans="1:16" s="23" customFormat="1" ht="18">
      <c r="A197" s="17"/>
      <c r="B197" s="17"/>
      <c r="C197" s="18" t="s">
        <v>320</v>
      </c>
      <c r="D197" s="19" t="s">
        <v>321</v>
      </c>
      <c r="E197" s="20">
        <f>E172+E179</f>
        <v>16082514</v>
      </c>
      <c r="F197" s="20">
        <f t="shared" ref="F197:O197" si="103">F172+F179</f>
        <v>16082514</v>
      </c>
      <c r="G197" s="20">
        <f t="shared" si="103"/>
        <v>0</v>
      </c>
      <c r="H197" s="20">
        <f t="shared" si="103"/>
        <v>0</v>
      </c>
      <c r="I197" s="20">
        <f t="shared" si="103"/>
        <v>0</v>
      </c>
      <c r="J197" s="20">
        <f t="shared" si="103"/>
        <v>36602767</v>
      </c>
      <c r="K197" s="20">
        <f t="shared" si="103"/>
        <v>36602767</v>
      </c>
      <c r="L197" s="20">
        <f t="shared" si="103"/>
        <v>0</v>
      </c>
      <c r="M197" s="20">
        <f t="shared" si="103"/>
        <v>0</v>
      </c>
      <c r="N197" s="20">
        <f t="shared" si="103"/>
        <v>0</v>
      </c>
      <c r="O197" s="20">
        <f t="shared" si="103"/>
        <v>36602767</v>
      </c>
      <c r="P197" s="20">
        <f t="shared" si="95"/>
        <v>52685281</v>
      </c>
    </row>
    <row r="198" spans="1:16" s="23" customFormat="1">
      <c r="A198" s="24"/>
      <c r="B198" s="24"/>
      <c r="C198" s="24"/>
      <c r="D198" s="24" t="s">
        <v>16</v>
      </c>
      <c r="E198" s="25">
        <f>SUM(E188:E197)</f>
        <v>960522982.63</v>
      </c>
      <c r="F198" s="25">
        <f t="shared" ref="F198:O198" si="104">SUM(F188:F197)</f>
        <v>845327313.63</v>
      </c>
      <c r="G198" s="25">
        <f t="shared" si="104"/>
        <v>553682694.99000001</v>
      </c>
      <c r="H198" s="25">
        <f t="shared" si="104"/>
        <v>44535101</v>
      </c>
      <c r="I198" s="25">
        <f t="shared" si="104"/>
        <v>112695669</v>
      </c>
      <c r="J198" s="25">
        <f t="shared" si="104"/>
        <v>221557470.80000001</v>
      </c>
      <c r="K198" s="25">
        <f t="shared" si="104"/>
        <v>200860607.36000001</v>
      </c>
      <c r="L198" s="25">
        <f t="shared" si="104"/>
        <v>17943600</v>
      </c>
      <c r="M198" s="25">
        <f t="shared" si="104"/>
        <v>525100</v>
      </c>
      <c r="N198" s="25">
        <f t="shared" si="104"/>
        <v>0</v>
      </c>
      <c r="O198" s="25">
        <f t="shared" si="104"/>
        <v>203613870.80000001</v>
      </c>
      <c r="P198" s="25">
        <f>E198+J198</f>
        <v>1182080453.4300001</v>
      </c>
    </row>
    <row r="199" spans="1:16" s="23" customFormat="1" ht="11.4" customHeight="1"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 s="23" customFormat="1">
      <c r="D200" s="23" t="s">
        <v>297</v>
      </c>
      <c r="E200" s="26"/>
      <c r="F200" s="26"/>
      <c r="G200" s="26"/>
      <c r="H200" s="26"/>
      <c r="I200" s="26" t="s">
        <v>298</v>
      </c>
      <c r="J200" s="26"/>
      <c r="K200" s="26"/>
      <c r="L200" s="26"/>
      <c r="M200" s="26"/>
      <c r="N200" s="26"/>
      <c r="O200" s="26"/>
      <c r="P200" s="26"/>
    </row>
    <row r="201" spans="1:16">
      <c r="E201" s="5"/>
    </row>
    <row r="202" spans="1:16">
      <c r="D202" s="4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</row>
    <row r="203" spans="1:16">
      <c r="D203" s="4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</row>
    <row r="204" spans="1:16" s="27" customFormat="1">
      <c r="D204" s="29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16" s="27" customFormat="1">
      <c r="D205" s="29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</row>
    <row r="207" spans="1:16" s="5" customFormat="1"/>
    <row r="208" spans="1:16" s="5" customFormat="1"/>
  </sheetData>
  <mergeCells count="22"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  <mergeCell ref="J15:J17"/>
    <mergeCell ref="K15:K17"/>
    <mergeCell ref="L15:L17"/>
    <mergeCell ref="M15:N15"/>
    <mergeCell ref="M16:M17"/>
    <mergeCell ref="N16:N17"/>
  </mergeCells>
  <pageMargins left="0.19685039370078741" right="0.19685039370078741" top="0.39370078740157483" bottom="0.39370078740157483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Admin</cp:lastModifiedBy>
  <cp:lastPrinted>2024-07-23T14:11:29Z</cp:lastPrinted>
  <dcterms:created xsi:type="dcterms:W3CDTF">2023-12-16T13:37:11Z</dcterms:created>
  <dcterms:modified xsi:type="dcterms:W3CDTF">2024-07-26T10:34:45Z</dcterms:modified>
</cp:coreProperties>
</file>