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452222A5-7110-43A6-8A1C-ED82E0FA19B6}"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'2024'!$A$9:$K$162</definedName>
    <definedName name="_xlnm.Print_Titles" localSheetId="0">'2024'!$13:$15</definedName>
    <definedName name="_xlnm.Print_Area" localSheetId="0">'2024'!$A$1:$K$160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1" l="1"/>
  <c r="J106" i="11"/>
  <c r="I39" i="11" l="1"/>
  <c r="H42" i="11" l="1"/>
  <c r="K124" i="11" l="1"/>
  <c r="J124" i="11"/>
  <c r="I124" i="11"/>
  <c r="K91" i="11"/>
  <c r="J91" i="11"/>
  <c r="I91" i="11"/>
  <c r="K46" i="11"/>
  <c r="J46" i="11"/>
  <c r="I46" i="11"/>
  <c r="I43" i="11" l="1"/>
  <c r="I36" i="11"/>
  <c r="J36" i="11"/>
  <c r="K36" i="11"/>
  <c r="K18" i="11"/>
  <c r="J18" i="11"/>
  <c r="I18" i="11"/>
  <c r="K100" i="11" l="1"/>
  <c r="J100" i="11"/>
  <c r="I131" i="11" l="1"/>
  <c r="I94" i="11"/>
  <c r="K103" i="11"/>
  <c r="J103" i="11"/>
  <c r="H87" i="11"/>
  <c r="K20" i="11"/>
  <c r="J20" i="11"/>
  <c r="I20" i="11"/>
  <c r="J133" i="11" l="1"/>
  <c r="K133" i="11"/>
  <c r="H28" i="11" l="1"/>
  <c r="I27" i="11"/>
  <c r="I158" i="11" l="1"/>
  <c r="J158" i="11"/>
  <c r="K158" i="11"/>
  <c r="H86" i="11"/>
  <c r="H158" i="11" s="1"/>
  <c r="I157" i="11" l="1"/>
  <c r="K34" i="11"/>
  <c r="J34" i="11"/>
  <c r="K35" i="11"/>
  <c r="K157" i="11" s="1"/>
  <c r="J35" i="11"/>
  <c r="J157" i="11" s="1"/>
  <c r="H35" i="11" l="1"/>
  <c r="H23" i="11"/>
  <c r="I22" i="11"/>
  <c r="H30" i="11"/>
  <c r="H108" i="11"/>
  <c r="H97" i="11" l="1"/>
  <c r="J144" i="11" l="1"/>
  <c r="K144" i="11"/>
  <c r="I41" i="11"/>
  <c r="H41" i="11" s="1"/>
  <c r="I144" i="11" l="1"/>
  <c r="H39" i="11"/>
  <c r="K125" i="11"/>
  <c r="K149" i="11" s="1"/>
  <c r="J125" i="11"/>
  <c r="J149" i="11" s="1"/>
  <c r="K151" i="11"/>
  <c r="J151" i="11"/>
  <c r="I149" i="11"/>
  <c r="H123" i="11"/>
  <c r="I95" i="11"/>
  <c r="I29" i="11" l="1"/>
  <c r="I151" i="11" s="1"/>
  <c r="I135" i="11"/>
  <c r="H151" i="11" l="1"/>
  <c r="K111" i="11"/>
  <c r="J111" i="11"/>
  <c r="I60" i="11"/>
  <c r="I133" i="11" s="1"/>
  <c r="I25" i="11"/>
  <c r="K118" i="11" l="1"/>
  <c r="I59" i="11"/>
  <c r="J118" i="11"/>
  <c r="I127" i="11"/>
  <c r="I137" i="11"/>
  <c r="H128" i="11"/>
  <c r="H122" i="11"/>
  <c r="I119" i="11"/>
  <c r="I115" i="11"/>
  <c r="H105" i="11"/>
  <c r="I118" i="11" l="1"/>
  <c r="K137" i="11"/>
  <c r="J137" i="11"/>
  <c r="I26" i="11"/>
  <c r="I17" i="11" s="1"/>
  <c r="H25" i="11"/>
  <c r="J17" i="11" l="1"/>
  <c r="K17" i="11"/>
  <c r="K85" i="11" l="1"/>
  <c r="K131" i="11" s="1"/>
  <c r="J85" i="11"/>
  <c r="J131" i="11" s="1"/>
  <c r="K82" i="11" l="1"/>
  <c r="J82" i="11"/>
  <c r="I156" i="11"/>
  <c r="J156" i="11"/>
  <c r="K156" i="11"/>
  <c r="I155" i="11"/>
  <c r="J155" i="11"/>
  <c r="K155" i="11"/>
  <c r="H127" i="11"/>
  <c r="H156" i="11" s="1"/>
  <c r="H126" i="11"/>
  <c r="H155" i="11" s="1"/>
  <c r="H125" i="11"/>
  <c r="H149" i="11" s="1"/>
  <c r="I139" i="11"/>
  <c r="J139" i="11"/>
  <c r="K139" i="11"/>
  <c r="J135" i="11"/>
  <c r="K135" i="11"/>
  <c r="I132" i="11"/>
  <c r="J132" i="11"/>
  <c r="K132" i="11"/>
  <c r="I99" i="11"/>
  <c r="I98" i="11" s="1"/>
  <c r="J99" i="11"/>
  <c r="J98" i="11" s="1"/>
  <c r="K99" i="11"/>
  <c r="K98" i="11" s="1"/>
  <c r="H111" i="11"/>
  <c r="H110" i="11"/>
  <c r="H109" i="11"/>
  <c r="H107" i="11"/>
  <c r="H106" i="11"/>
  <c r="H139" i="11" s="1"/>
  <c r="H104" i="11"/>
  <c r="H103" i="11"/>
  <c r="H102" i="11"/>
  <c r="H101" i="11"/>
  <c r="H100" i="11"/>
  <c r="I147" i="11"/>
  <c r="J147" i="11"/>
  <c r="K147" i="11"/>
  <c r="I82" i="11"/>
  <c r="H93" i="11"/>
  <c r="H89" i="11"/>
  <c r="H85" i="11"/>
  <c r="H88" i="11"/>
  <c r="H90" i="11"/>
  <c r="H157" i="11" l="1"/>
  <c r="H99" i="11"/>
  <c r="H98" i="11" s="1"/>
  <c r="H132" i="11"/>
  <c r="H84" i="11"/>
  <c r="H147" i="11" s="1"/>
  <c r="H46" i="11" l="1"/>
  <c r="H34" i="11"/>
  <c r="H24" i="11"/>
  <c r="H29" i="11" l="1"/>
  <c r="I48" i="11"/>
  <c r="H96" i="11"/>
  <c r="H124" i="11"/>
  <c r="I152" i="11" l="1"/>
  <c r="J152" i="11"/>
  <c r="K152" i="11"/>
  <c r="H83" i="11"/>
  <c r="H152" i="11" l="1"/>
  <c r="H60" i="11"/>
  <c r="I134" i="11" l="1"/>
  <c r="J134" i="11"/>
  <c r="K134" i="11"/>
  <c r="I142" i="11" l="1"/>
  <c r="J142" i="11"/>
  <c r="K142" i="11"/>
  <c r="I136" i="11" l="1"/>
  <c r="I32" i="11"/>
  <c r="H67" i="11"/>
  <c r="H69" i="11" l="1"/>
  <c r="H70" i="11"/>
  <c r="H71" i="11"/>
  <c r="I143" i="11" l="1"/>
  <c r="J143" i="11"/>
  <c r="K143" i="11"/>
  <c r="I154" i="11"/>
  <c r="J154" i="11"/>
  <c r="K154" i="11"/>
  <c r="I150" i="11"/>
  <c r="J150" i="11"/>
  <c r="K150" i="11"/>
  <c r="I141" i="11"/>
  <c r="J141" i="11"/>
  <c r="K141" i="11"/>
  <c r="I138" i="11"/>
  <c r="J138" i="11"/>
  <c r="K138" i="11"/>
  <c r="J62" i="11"/>
  <c r="K62" i="11"/>
  <c r="I62" i="11"/>
  <c r="K40" i="11" l="1"/>
  <c r="J40" i="11"/>
  <c r="J136" i="11" l="1"/>
  <c r="J32" i="11"/>
  <c r="K136" i="11"/>
  <c r="K32" i="11"/>
  <c r="H40" i="11"/>
  <c r="H121" i="11" l="1"/>
  <c r="I61" i="11" l="1"/>
  <c r="J61" i="11"/>
  <c r="K61" i="11"/>
  <c r="H63" i="11"/>
  <c r="H62" i="11" s="1"/>
  <c r="H61" i="11" l="1"/>
  <c r="I113" i="11"/>
  <c r="J148" i="11" l="1"/>
  <c r="H148" i="11" s="1"/>
  <c r="K153" i="11"/>
  <c r="J153" i="11"/>
  <c r="I153" i="11"/>
  <c r="K146" i="11"/>
  <c r="J146" i="11"/>
  <c r="K145" i="11"/>
  <c r="J145" i="11"/>
  <c r="I145" i="11"/>
  <c r="I140" i="11"/>
  <c r="I130" i="11"/>
  <c r="H120" i="11"/>
  <c r="H154" i="11" s="1"/>
  <c r="H119" i="11"/>
  <c r="H116" i="11"/>
  <c r="J114" i="11"/>
  <c r="H114" i="11" s="1"/>
  <c r="K113" i="11"/>
  <c r="K112" i="11" s="1"/>
  <c r="H94" i="11"/>
  <c r="H92" i="11"/>
  <c r="H80" i="11"/>
  <c r="H79" i="11"/>
  <c r="H78" i="11"/>
  <c r="H77" i="11"/>
  <c r="H76" i="11"/>
  <c r="H75" i="11"/>
  <c r="H72" i="11"/>
  <c r="H68" i="11"/>
  <c r="H66" i="11"/>
  <c r="K65" i="11"/>
  <c r="K64" i="11" s="1"/>
  <c r="H59" i="11"/>
  <c r="H58" i="11"/>
  <c r="H57" i="11"/>
  <c r="H56" i="11"/>
  <c r="H54" i="11"/>
  <c r="H53" i="11"/>
  <c r="H52" i="11"/>
  <c r="H51" i="11"/>
  <c r="H50" i="11"/>
  <c r="H49" i="11"/>
  <c r="K48" i="11"/>
  <c r="K47" i="11" s="1"/>
  <c r="H44" i="11"/>
  <c r="H130" i="11" s="1"/>
  <c r="H43" i="11"/>
  <c r="H38" i="11"/>
  <c r="H145" i="11" s="1"/>
  <c r="H37" i="11"/>
  <c r="H140" i="11" s="1"/>
  <c r="H33" i="11"/>
  <c r="K31" i="11"/>
  <c r="I146" i="11"/>
  <c r="H22" i="11"/>
  <c r="H21" i="11"/>
  <c r="H20" i="11"/>
  <c r="H144" i="11" l="1"/>
  <c r="K159" i="11"/>
  <c r="J159" i="11"/>
  <c r="H133" i="11"/>
  <c r="I159" i="11"/>
  <c r="H118" i="11"/>
  <c r="H142" i="11"/>
  <c r="H153" i="11"/>
  <c r="H141" i="11"/>
  <c r="H143" i="11"/>
  <c r="K16" i="11"/>
  <c r="K81" i="11"/>
  <c r="H26" i="11"/>
  <c r="H138" i="11" s="1"/>
  <c r="I16" i="11"/>
  <c r="J117" i="11"/>
  <c r="H55" i="11"/>
  <c r="K117" i="11"/>
  <c r="H115" i="11"/>
  <c r="H113" i="11" s="1"/>
  <c r="H112" i="11" s="1"/>
  <c r="J48" i="11"/>
  <c r="J47" i="11" s="1"/>
  <c r="H65" i="11"/>
  <c r="H64" i="11" s="1"/>
  <c r="I81" i="11"/>
  <c r="H36" i="11"/>
  <c r="H136" i="11" s="1"/>
  <c r="H45" i="11"/>
  <c r="J65" i="11"/>
  <c r="J64" i="11" s="1"/>
  <c r="H74" i="11"/>
  <c r="H73" i="11" s="1"/>
  <c r="J31" i="11"/>
  <c r="H27" i="11"/>
  <c r="H146" i="11" s="1"/>
  <c r="H95" i="11"/>
  <c r="H137" i="11" s="1"/>
  <c r="J113" i="11"/>
  <c r="J112" i="11" s="1"/>
  <c r="I47" i="11"/>
  <c r="I117" i="11"/>
  <c r="I31" i="11"/>
  <c r="I112" i="11"/>
  <c r="I65" i="11"/>
  <c r="I64" i="11" s="1"/>
  <c r="H18" i="11"/>
  <c r="I74" i="11"/>
  <c r="I73" i="11" s="1"/>
  <c r="H159" i="11" l="1"/>
  <c r="K129" i="11"/>
  <c r="I129" i="11"/>
  <c r="H134" i="11"/>
  <c r="H32" i="11"/>
  <c r="H31" i="11" s="1"/>
  <c r="H150" i="11"/>
  <c r="J16" i="11"/>
  <c r="H19" i="11"/>
  <c r="H91" i="11"/>
  <c r="H131" i="11" s="1"/>
  <c r="J81" i="11"/>
  <c r="H117" i="11"/>
  <c r="H48" i="11"/>
  <c r="H47" i="11" s="1"/>
  <c r="H82" i="11" l="1"/>
  <c r="H81" i="11" s="1"/>
  <c r="H135" i="11"/>
  <c r="H17" i="11"/>
  <c r="H16" i="11" s="1"/>
  <c r="J129" i="11"/>
  <c r="H129" i="11" l="1"/>
</calcChain>
</file>

<file path=xl/sharedStrings.xml><?xml version="1.0" encoding="utf-8"?>
<sst xmlns="http://schemas.openxmlformats.org/spreadsheetml/2006/main" count="649" uniqueCount="316">
  <si>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</si>
  <si>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</si>
  <si>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</si>
  <si>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</si>
  <si>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</si>
  <si>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</si>
  <si>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</si>
  <si>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</si>
  <si>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</si>
  <si>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</si>
  <si>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</si>
  <si>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</si>
  <si>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</si>
  <si>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</si>
  <si>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</si>
  <si>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</si>
  <si>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</si>
  <si>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</si>
  <si>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</si>
  <si>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</si>
  <si>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</si>
  <si>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</si>
  <si>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</si>
  <si>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</si>
  <si>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</si>
  <si>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</si>
  <si>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</si>
  <si>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</si>
  <si>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</si>
  <si>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</si>
  <si>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</si>
  <si>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</si>
  <si>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</si>
  <si>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</si>
  <si>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</si>
  <si>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</si>
  <si>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</si>
  <si>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</si>
  <si>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</si>
  <si>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</si>
  <si>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</si>
  <si>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</si>
  <si>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</si>
  <si>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</si>
  <si>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</si>
  <si>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</si>
  <si>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</si>
  <si>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</si>
  <si>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</si>
  <si>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</si>
  <si>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</si>
  <si>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</si>
  <si>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</si>
  <si>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</si>
  <si>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</si>
  <si>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</si>
  <si>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</si>
  <si>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</si>
  <si>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</si>
  <si>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</si>
  <si>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</si>
  <si>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</si>
  <si>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</si>
  <si>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</si>
  <si>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</si>
  <si>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</si>
  <si>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</si>
  <si>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</si>
  <si>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</si>
  <si>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</si>
  <si>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</si>
  <si>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</si>
  <si>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</si>
  <si>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</si>
  <si>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</si>
  <si>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</si>
  <si>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</si>
  <si>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</si>
  <si>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</si>
  <si>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</si>
  <si>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</si>
  <si>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</si>
  <si>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</si>
  <si>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</si>
  <si>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</si>
  <si>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</si>
  <si>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</si>
  <si>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</si>
  <si>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</si>
  <si>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</si>
  <si>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</si>
  <si>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</si>
  <si>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</si>
  <si>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</si>
  <si>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</si>
  <si>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</si>
  <si>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</si>
  <si>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</si>
  <si>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</si>
  <si>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</si>
  <si>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</si>
  <si>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</si>
  <si>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</si>
  <si>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</si>
  <si>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</si>
  <si>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</si>
  <si>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</si>
  <si>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</si>
  <si>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</si>
  <si>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</si>
  <si>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</si>
  <si>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</si>
  <si>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</si>
  <si>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</si>
  <si>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</si>
  <si>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</si>
  <si>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</si>
  <si>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</si>
  <si>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</si>
  <si>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</si>
  <si>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</si>
  <si>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</si>
  <si>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</si>
  <si>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</si>
  <si>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</si>
  <si>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</si>
  <si>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</si>
  <si>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</si>
  <si>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</si>
  <si>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</si>
  <si>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</si>
  <si>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</si>
  <si>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</si>
  <si>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</si>
  <si>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</si>
  <si>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</si>
  <si>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</si>
  <si>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</si>
  <si>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</si>
  <si>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</si>
  <si>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</si>
  <si>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</si>
  <si>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</si>
  <si>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</si>
  <si>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</si>
  <si>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</si>
  <si>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</si>
  <si>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</si>
  <si>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</si>
  <si>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</si>
  <si>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</si>
  <si>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</si>
  <si>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</si>
  <si>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</si>
  <si>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</si>
  <si>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</si>
  <si>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</si>
  <si>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</si>
  <si>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</si>
  <si>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</si>
  <si>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</si>
  <si>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</si>
  <si>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</si>
  <si>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</si>
  <si>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</si>
  <si>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</si>
  <si>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</si>
  <si>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</si>
  <si>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</si>
  <si>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</si>
  <si>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</si>
  <si>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</si>
  <si>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</si>
  <si>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</si>
  <si>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</si>
  <si>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</si>
  <si>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</si>
  <si>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</si>
  <si>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</si>
  <si>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</si>
  <si>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</si>
  <si>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</si>
  <si>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</si>
  <si>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</si>
  <si>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</si>
  <si>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</si>
  <si>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</si>
  <si>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</si>
  <si>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</si>
  <si>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</si>
  <si>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</si>
  <si>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</si>
  <si>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</si>
  <si>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</si>
  <si>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</si>
  <si>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</si>
  <si>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</si>
  <si>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</si>
  <si>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</si>
  <si>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</si>
  <si>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</si>
  <si>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</si>
  <si>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</si>
  <si>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</si>
  <si>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</si>
  <si>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</si>
  <si>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</si>
  <si>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</si>
  <si>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</si>
  <si>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</si>
  <si>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</si>
  <si>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</si>
  <si>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</si>
  <si>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</si>
  <si>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</si>
  <si>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</si>
  <si>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</si>
  <si>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</si>
  <si>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</si>
  <si>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</si>
  <si>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</si>
  <si>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</si>
  <si>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</si>
  <si>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</si>
  <si>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</si>
  <si>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</si>
  <si>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</si>
  <si>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</si>
  <si>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</si>
  <si>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</si>
  <si>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</si>
  <si>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</si>
  <si>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</si>
  <si>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</si>
  <si>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</si>
  <si>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</si>
  <si>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</si>
  <si>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</si>
  <si>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</si>
  <si>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</si>
  <si>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</si>
  <si>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</si>
  <si>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</si>
  <si>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</si>
  <si>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</si>
  <si>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</si>
  <si>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</si>
  <si>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</si>
  <si>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</si>
  <si>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</si>
  <si>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</si>
  <si>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</si>
  <si>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</si>
  <si>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</si>
  <si>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</si>
  <si>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</si>
  <si>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</si>
  <si>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</si>
  <si>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</si>
  <si>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</si>
  <si>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</si>
  <si>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</si>
  <si>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</si>
  <si>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</si>
  <si>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</si>
  <si>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</si>
  <si>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</si>
  <si>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</si>
  <si>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</si>
  <si>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</si>
  <si>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</si>
  <si>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</si>
  <si>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</si>
  <si>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</si>
  <si>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</si>
  <si>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</si>
  <si>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</si>
  <si>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</si>
  <si>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</si>
  <si>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</si>
  <si>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</si>
  <si>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</si>
  <si>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</si>
  <si>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</si>
  <si>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</si>
  <si>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</si>
  <si>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</si>
  <si>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</si>
  <si>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</si>
  <si>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</si>
  <si>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</si>
  <si>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</si>
  <si>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</si>
  <si>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</si>
  <si>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</si>
  <si>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</si>
  <si>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</si>
  <si>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</si>
  <si>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</si>
  <si>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</si>
  <si>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</si>
  <si>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</si>
  <si>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</si>
  <si>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</si>
  <si>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</si>
  <si>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</si>
  <si>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</si>
  <si>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</si>
  <si>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</si>
  <si>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</si>
  <si>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Додаток 6</t>
  </si>
  <si>
    <t>0611141</t>
  </si>
  <si>
    <t>1141</t>
  </si>
  <si>
    <t>0990</t>
  </si>
  <si>
    <t>Забезпечення діяльності інших закладів у сфері освіти</t>
  </si>
  <si>
    <t>від    26.07. 2024 № 641 -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</si>
</sst>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1">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xr:uid="{00000000-0005-0000-0000-000002000000}"/>
    <cellStyle name="Обычный 17 5 6" xfId="3" xr:uid="{00000000-0005-0000-0000-000003000000}"/>
    <cellStyle name="Обычный 2" xfId="6" xr:uid="{00000000-0005-0000-0000-000004000000}"/>
    <cellStyle name="Обычный 3" xfId="2" xr:uid="{00000000-0005-0000-0000-000005000000}"/>
    <cellStyle name="Обычный 3 2" xfId="4" xr:uid="{00000000-0005-0000-0000-000006000000}"/>
    <cellStyle name="Обычный_дод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5"/>
  <sheetViews>
    <sheetView showZeros="0" tabSelected="1" view="pageBreakPreview" zoomScale="60" zoomScaleNormal="60" workbookViewId="0">
      <selection activeCell="I3" sqref="I3:K3"/>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87"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23" t="s">
        <v>310</v>
      </c>
      <c r="J1" s="123"/>
      <c r="K1" s="123"/>
    </row>
    <row r="2" spans="1:11" ht="15.6" x14ac:dyDescent="0.3">
      <c r="I2" s="123" t="s">
        <v>309</v>
      </c>
      <c r="J2" s="123"/>
      <c r="K2" s="123"/>
    </row>
    <row r="3" spans="1:11" ht="15.6" x14ac:dyDescent="0.3">
      <c r="I3" s="124" t="s">
        <v>315</v>
      </c>
      <c r="J3" s="124"/>
      <c r="K3" s="124"/>
    </row>
    <row r="5" spans="1:11" ht="15.6" x14ac:dyDescent="0.3">
      <c r="I5" s="123" t="s">
        <v>251</v>
      </c>
      <c r="J5" s="123"/>
      <c r="K5" s="123"/>
    </row>
    <row r="6" spans="1:11" ht="15.6" x14ac:dyDescent="0.3">
      <c r="I6" s="123" t="s">
        <v>309</v>
      </c>
      <c r="J6" s="123"/>
      <c r="K6" s="123"/>
    </row>
    <row r="7" spans="1:11" ht="15.6" x14ac:dyDescent="0.3">
      <c r="I7" s="124" t="s">
        <v>234</v>
      </c>
      <c r="J7" s="124"/>
      <c r="K7" s="124"/>
    </row>
    <row r="9" spans="1:11" ht="15.6" x14ac:dyDescent="0.3">
      <c r="A9" s="139" t="s">
        <v>221</v>
      </c>
      <c r="B9" s="139"/>
      <c r="C9" s="139"/>
      <c r="D9" s="139"/>
      <c r="E9" s="139"/>
      <c r="F9" s="139"/>
      <c r="G9" s="139"/>
      <c r="H9" s="139"/>
      <c r="I9" s="139"/>
      <c r="J9" s="139"/>
      <c r="K9" s="139"/>
    </row>
    <row r="10" spans="1:11" ht="18" x14ac:dyDescent="0.35">
      <c r="A10" s="142">
        <v>1558900000</v>
      </c>
      <c r="B10" s="142"/>
      <c r="C10" s="14"/>
      <c r="D10" s="3"/>
      <c r="E10" s="100"/>
      <c r="F10" s="4"/>
      <c r="G10" s="13"/>
      <c r="H10" s="13"/>
      <c r="I10" s="13"/>
      <c r="J10" s="13"/>
      <c r="K10" s="13"/>
    </row>
    <row r="11" spans="1:11" x14ac:dyDescent="0.3">
      <c r="A11" s="15" t="s">
        <v>46</v>
      </c>
      <c r="B11" s="5"/>
      <c r="C11" s="15"/>
      <c r="D11" s="6"/>
      <c r="E11" s="101"/>
      <c r="F11" s="7"/>
      <c r="G11" s="5"/>
      <c r="H11" s="5"/>
      <c r="I11" s="5"/>
      <c r="J11" s="5"/>
      <c r="K11" s="5"/>
    </row>
    <row r="12" spans="1:11" x14ac:dyDescent="0.3">
      <c r="A12" s="16"/>
      <c r="B12" s="8"/>
      <c r="C12" s="12"/>
      <c r="D12" s="8"/>
      <c r="E12" s="102"/>
      <c r="F12" s="9"/>
      <c r="G12" s="8"/>
      <c r="H12" s="10"/>
      <c r="I12" s="10"/>
      <c r="J12" s="10"/>
      <c r="K12" s="11" t="s">
        <v>47</v>
      </c>
    </row>
    <row r="13" spans="1:11" x14ac:dyDescent="0.3">
      <c r="A13" s="143" t="s">
        <v>48</v>
      </c>
      <c r="B13" s="131" t="s">
        <v>49</v>
      </c>
      <c r="C13" s="143" t="s">
        <v>9</v>
      </c>
      <c r="D13" s="131" t="s">
        <v>51</v>
      </c>
      <c r="E13" s="144" t="s">
        <v>288</v>
      </c>
      <c r="F13" s="140" t="s">
        <v>50</v>
      </c>
      <c r="G13" s="131" t="s">
        <v>52</v>
      </c>
      <c r="H13" s="132" t="s">
        <v>0</v>
      </c>
      <c r="I13" s="132" t="s">
        <v>1</v>
      </c>
      <c r="J13" s="132" t="s">
        <v>2</v>
      </c>
      <c r="K13" s="132"/>
    </row>
    <row r="14" spans="1:11" ht="85.65" customHeight="1" x14ac:dyDescent="0.3">
      <c r="A14" s="143"/>
      <c r="B14" s="131"/>
      <c r="C14" s="143"/>
      <c r="D14" s="131"/>
      <c r="E14" s="145"/>
      <c r="F14" s="141"/>
      <c r="G14" s="131"/>
      <c r="H14" s="132"/>
      <c r="I14" s="132"/>
      <c r="J14" s="52" t="s">
        <v>3</v>
      </c>
      <c r="K14" s="52" t="s">
        <v>4</v>
      </c>
    </row>
    <row r="15" spans="1:11" s="1" customFormat="1" x14ac:dyDescent="0.25">
      <c r="A15" s="53">
        <v>1</v>
      </c>
      <c r="B15" s="51">
        <v>2</v>
      </c>
      <c r="C15" s="53">
        <v>3</v>
      </c>
      <c r="D15" s="51">
        <v>4</v>
      </c>
      <c r="E15" s="103"/>
      <c r="F15" s="51">
        <v>5</v>
      </c>
      <c r="G15" s="51">
        <v>6</v>
      </c>
      <c r="H15" s="52">
        <v>7</v>
      </c>
      <c r="I15" s="52">
        <v>8</v>
      </c>
      <c r="J15" s="52">
        <v>9</v>
      </c>
      <c r="K15" s="52">
        <v>10</v>
      </c>
    </row>
    <row r="16" spans="1:11" s="36" customFormat="1" ht="15.6" x14ac:dyDescent="0.3">
      <c r="A16" s="40" t="s">
        <v>10</v>
      </c>
      <c r="B16" s="41"/>
      <c r="C16" s="41"/>
      <c r="D16" s="128" t="s">
        <v>146</v>
      </c>
      <c r="E16" s="129"/>
      <c r="F16" s="130"/>
      <c r="G16" s="35"/>
      <c r="H16" s="47">
        <f>H17</f>
        <v>56143504</v>
      </c>
      <c r="I16" s="47">
        <f>I17</f>
        <v>49452314</v>
      </c>
      <c r="J16" s="47">
        <f>J17</f>
        <v>6691190</v>
      </c>
      <c r="K16" s="47">
        <f>K17</f>
        <v>6591190</v>
      </c>
    </row>
    <row r="17" spans="1:11" s="36" customFormat="1" ht="15.6" x14ac:dyDescent="0.3">
      <c r="A17" s="40" t="s">
        <v>11</v>
      </c>
      <c r="B17" s="40"/>
      <c r="C17" s="40"/>
      <c r="D17" s="128" t="s">
        <v>146</v>
      </c>
      <c r="E17" s="129"/>
      <c r="F17" s="130"/>
      <c r="G17" s="35"/>
      <c r="H17" s="47">
        <f>SUM(H18:H30)</f>
        <v>56143504</v>
      </c>
      <c r="I17" s="47">
        <f>SUM(I18:I30)</f>
        <v>49452314</v>
      </c>
      <c r="J17" s="47">
        <f>SUM(J18:J30)</f>
        <v>6691190</v>
      </c>
      <c r="K17" s="47">
        <f>SUM(K18:K30)</f>
        <v>6591190</v>
      </c>
    </row>
    <row r="18" spans="1:11" s="25" customFormat="1" ht="46.8" x14ac:dyDescent="0.3">
      <c r="A18" s="21" t="s">
        <v>64</v>
      </c>
      <c r="B18" s="21" t="s">
        <v>65</v>
      </c>
      <c r="C18" s="21" t="s">
        <v>66</v>
      </c>
      <c r="D18" s="22" t="s">
        <v>67</v>
      </c>
      <c r="E18" s="104">
        <v>15</v>
      </c>
      <c r="F18" s="23" t="s">
        <v>229</v>
      </c>
      <c r="G18" s="24" t="s">
        <v>172</v>
      </c>
      <c r="H18" s="48">
        <f>I18+J18</f>
        <v>24605974</v>
      </c>
      <c r="I18" s="48">
        <f>19381400-1000000+868684-66000+582720+2168480</f>
        <v>21935284</v>
      </c>
      <c r="J18" s="48">
        <f>2134405+66000+700000-229715</f>
        <v>2670690</v>
      </c>
      <c r="K18" s="48">
        <f>2134405+66000+700000-229715</f>
        <v>2670690</v>
      </c>
    </row>
    <row r="19" spans="1:11" s="25" customFormat="1" ht="46.8" x14ac:dyDescent="0.3">
      <c r="A19" s="21" t="s">
        <v>68</v>
      </c>
      <c r="B19" s="21" t="s">
        <v>69</v>
      </c>
      <c r="C19" s="21" t="s">
        <v>70</v>
      </c>
      <c r="D19" s="22" t="s">
        <v>71</v>
      </c>
      <c r="E19" s="104">
        <v>15</v>
      </c>
      <c r="F19" s="23" t="s">
        <v>229</v>
      </c>
      <c r="G19" s="24" t="s">
        <v>172</v>
      </c>
      <c r="H19" s="48">
        <f t="shared" ref="H19:H29" si="0">I19+J19</f>
        <v>8941500</v>
      </c>
      <c r="I19" s="48">
        <v>8941500</v>
      </c>
      <c r="J19" s="48"/>
      <c r="K19" s="48"/>
    </row>
    <row r="20" spans="1:11" s="25" customFormat="1" ht="46.8" x14ac:dyDescent="0.3">
      <c r="A20" s="24" t="s">
        <v>152</v>
      </c>
      <c r="B20" s="24">
        <v>2111</v>
      </c>
      <c r="C20" s="24" t="s">
        <v>153</v>
      </c>
      <c r="D20" s="26" t="s">
        <v>154</v>
      </c>
      <c r="E20" s="105">
        <v>15</v>
      </c>
      <c r="F20" s="23" t="s">
        <v>229</v>
      </c>
      <c r="G20" s="24" t="s">
        <v>172</v>
      </c>
      <c r="H20" s="48">
        <f t="shared" si="0"/>
        <v>9927200</v>
      </c>
      <c r="I20" s="48">
        <f>8225200+99000+603000+36000</f>
        <v>8963200</v>
      </c>
      <c r="J20" s="48">
        <f>1000000-36000</f>
        <v>964000</v>
      </c>
      <c r="K20" s="48">
        <f>1000000-36000</f>
        <v>964000</v>
      </c>
    </row>
    <row r="21" spans="1:11" s="25" customFormat="1" ht="46.8" x14ac:dyDescent="0.3">
      <c r="A21" s="21" t="s">
        <v>72</v>
      </c>
      <c r="B21" s="21" t="s">
        <v>73</v>
      </c>
      <c r="C21" s="21" t="s">
        <v>74</v>
      </c>
      <c r="D21" s="54" t="s">
        <v>75</v>
      </c>
      <c r="E21" s="106">
        <v>15</v>
      </c>
      <c r="F21" s="23" t="s">
        <v>229</v>
      </c>
      <c r="G21" s="24" t="s">
        <v>172</v>
      </c>
      <c r="H21" s="48">
        <f t="shared" si="0"/>
        <v>1629600</v>
      </c>
      <c r="I21" s="48">
        <v>1629600</v>
      </c>
      <c r="J21" s="48"/>
      <c r="K21" s="48"/>
    </row>
    <row r="22" spans="1:11" s="25" customFormat="1" ht="46.8" x14ac:dyDescent="0.3">
      <c r="A22" s="27" t="s">
        <v>79</v>
      </c>
      <c r="B22" s="21" t="s">
        <v>80</v>
      </c>
      <c r="C22" s="21" t="s">
        <v>81</v>
      </c>
      <c r="D22" s="29" t="s">
        <v>82</v>
      </c>
      <c r="E22" s="98">
        <v>14</v>
      </c>
      <c r="F22" s="30" t="s">
        <v>78</v>
      </c>
      <c r="G22" s="24" t="s">
        <v>174</v>
      </c>
      <c r="H22" s="49">
        <f t="shared" si="0"/>
        <v>4900000</v>
      </c>
      <c r="I22" s="48">
        <f>4000000+900000</f>
        <v>4900000</v>
      </c>
      <c r="J22" s="48"/>
      <c r="K22" s="48"/>
    </row>
    <row r="23" spans="1:11" s="25" customFormat="1" ht="62.4" x14ac:dyDescent="0.3">
      <c r="A23" s="27" t="s">
        <v>79</v>
      </c>
      <c r="B23" s="21" t="s">
        <v>80</v>
      </c>
      <c r="C23" s="21" t="s">
        <v>81</v>
      </c>
      <c r="D23" s="29" t="s">
        <v>82</v>
      </c>
      <c r="E23" s="98">
        <v>13</v>
      </c>
      <c r="F23" s="23" t="s">
        <v>91</v>
      </c>
      <c r="G23" s="24" t="s">
        <v>92</v>
      </c>
      <c r="H23" s="49">
        <f t="shared" si="0"/>
        <v>99900</v>
      </c>
      <c r="I23" s="48">
        <v>99900</v>
      </c>
      <c r="J23" s="48"/>
      <c r="K23" s="48"/>
    </row>
    <row r="24" spans="1:11" s="25" customFormat="1" ht="46.8" x14ac:dyDescent="0.3">
      <c r="A24" s="27" t="s">
        <v>252</v>
      </c>
      <c r="B24" s="21" t="s">
        <v>253</v>
      </c>
      <c r="C24" s="31" t="s">
        <v>254</v>
      </c>
      <c r="D24" s="26" t="s">
        <v>255</v>
      </c>
      <c r="E24" s="105">
        <v>15</v>
      </c>
      <c r="F24" s="23" t="s">
        <v>229</v>
      </c>
      <c r="G24" s="24" t="s">
        <v>172</v>
      </c>
      <c r="H24" s="49">
        <f t="shared" si="0"/>
        <v>1680000</v>
      </c>
      <c r="I24" s="48"/>
      <c r="J24" s="48">
        <v>1680000</v>
      </c>
      <c r="K24" s="48">
        <v>1680000</v>
      </c>
    </row>
    <row r="25" spans="1:11" s="25" customFormat="1" ht="46.8" x14ac:dyDescent="0.3">
      <c r="A25" s="27" t="s">
        <v>291</v>
      </c>
      <c r="B25" s="21" t="s">
        <v>292</v>
      </c>
      <c r="C25" s="31" t="s">
        <v>164</v>
      </c>
      <c r="D25" s="26" t="s">
        <v>165</v>
      </c>
      <c r="E25" s="117">
        <v>17</v>
      </c>
      <c r="F25" s="23" t="s">
        <v>163</v>
      </c>
      <c r="G25" s="24" t="s">
        <v>175</v>
      </c>
      <c r="H25" s="49">
        <f t="shared" si="0"/>
        <v>91000</v>
      </c>
      <c r="I25" s="48">
        <f>42000+49000</f>
        <v>91000</v>
      </c>
      <c r="J25" s="48"/>
      <c r="K25" s="48"/>
    </row>
    <row r="26" spans="1:11" s="25" customFormat="1" ht="124.8" x14ac:dyDescent="0.3">
      <c r="A26" s="31" t="s">
        <v>196</v>
      </c>
      <c r="B26" s="24">
        <v>8220</v>
      </c>
      <c r="C26" s="31" t="s">
        <v>85</v>
      </c>
      <c r="D26" s="26" t="s">
        <v>197</v>
      </c>
      <c r="E26" s="107">
        <v>18</v>
      </c>
      <c r="F26" s="32" t="s">
        <v>198</v>
      </c>
      <c r="G26" s="24" t="s">
        <v>199</v>
      </c>
      <c r="H26" s="48">
        <f t="shared" si="0"/>
        <v>786030</v>
      </c>
      <c r="I26" s="48">
        <f>637000+33000+116030</f>
        <v>786030</v>
      </c>
      <c r="J26" s="48"/>
      <c r="K26" s="48"/>
    </row>
    <row r="27" spans="1:11" s="25" customFormat="1" ht="62.4" x14ac:dyDescent="0.3">
      <c r="A27" s="21" t="s">
        <v>83</v>
      </c>
      <c r="B27" s="21" t="s">
        <v>84</v>
      </c>
      <c r="C27" s="21" t="s">
        <v>85</v>
      </c>
      <c r="D27" s="29" t="s">
        <v>86</v>
      </c>
      <c r="E27" s="108">
        <v>36</v>
      </c>
      <c r="F27" s="32" t="s">
        <v>189</v>
      </c>
      <c r="G27" s="24" t="s">
        <v>202</v>
      </c>
      <c r="H27" s="48">
        <f>I27+J27</f>
        <v>1979800</v>
      </c>
      <c r="I27" s="48">
        <f>1975000+4800</f>
        <v>1979800</v>
      </c>
      <c r="J27" s="48"/>
      <c r="K27" s="48"/>
    </row>
    <row r="28" spans="1:11" s="25" customFormat="1" ht="109.2" x14ac:dyDescent="0.3">
      <c r="A28" s="21" t="s">
        <v>83</v>
      </c>
      <c r="B28" s="21" t="s">
        <v>84</v>
      </c>
      <c r="C28" s="21" t="s">
        <v>85</v>
      </c>
      <c r="D28" s="29" t="s">
        <v>86</v>
      </c>
      <c r="E28" s="108">
        <v>52</v>
      </c>
      <c r="F28" s="26" t="s">
        <v>296</v>
      </c>
      <c r="G28" s="24" t="s">
        <v>308</v>
      </c>
      <c r="H28" s="48">
        <f>I28+J28</f>
        <v>126000</v>
      </c>
      <c r="I28" s="48">
        <v>126000</v>
      </c>
      <c r="J28" s="48"/>
      <c r="K28" s="48"/>
    </row>
    <row r="29" spans="1:11" s="25" customFormat="1" ht="109.2" x14ac:dyDescent="0.3">
      <c r="A29" s="21" t="s">
        <v>250</v>
      </c>
      <c r="B29" s="21" t="s">
        <v>157</v>
      </c>
      <c r="C29" s="21" t="s">
        <v>85</v>
      </c>
      <c r="D29" s="29" t="s">
        <v>158</v>
      </c>
      <c r="E29" s="108">
        <v>52</v>
      </c>
      <c r="F29" s="26" t="s">
        <v>296</v>
      </c>
      <c r="G29" s="24" t="s">
        <v>237</v>
      </c>
      <c r="H29" s="48">
        <f t="shared" si="0"/>
        <v>1276500</v>
      </c>
      <c r="I29" s="48">
        <f>60000-60000</f>
        <v>0</v>
      </c>
      <c r="J29" s="48">
        <v>1276500</v>
      </c>
      <c r="K29" s="48">
        <v>1276500</v>
      </c>
    </row>
    <row r="30" spans="1:11" s="25" customFormat="1" ht="90" x14ac:dyDescent="0.3">
      <c r="A30" s="21" t="s">
        <v>307</v>
      </c>
      <c r="B30" s="21" t="s">
        <v>304</v>
      </c>
      <c r="C30" s="24" t="s">
        <v>305</v>
      </c>
      <c r="D30" s="26" t="s">
        <v>306</v>
      </c>
      <c r="E30" s="99">
        <v>56</v>
      </c>
      <c r="F30" s="83" t="s">
        <v>299</v>
      </c>
      <c r="G30" s="24" t="s">
        <v>301</v>
      </c>
      <c r="H30" s="48">
        <f>I30+J30</f>
        <v>100000</v>
      </c>
      <c r="I30" s="48"/>
      <c r="J30" s="48">
        <v>100000</v>
      </c>
      <c r="K30" s="48"/>
    </row>
    <row r="31" spans="1:11" s="36" customFormat="1" ht="16.5" customHeight="1" x14ac:dyDescent="0.3">
      <c r="A31" s="34" t="s">
        <v>5</v>
      </c>
      <c r="B31" s="34"/>
      <c r="C31" s="34"/>
      <c r="D31" s="125" t="s">
        <v>203</v>
      </c>
      <c r="E31" s="126"/>
      <c r="F31" s="127"/>
      <c r="G31" s="35"/>
      <c r="H31" s="47">
        <f>H32</f>
        <v>38044710</v>
      </c>
      <c r="I31" s="47">
        <f>I32</f>
        <v>24513201.640000001</v>
      </c>
      <c r="J31" s="47">
        <f>J32</f>
        <v>13531508.359999999</v>
      </c>
      <c r="K31" s="47">
        <f>K32</f>
        <v>13531508.359999999</v>
      </c>
    </row>
    <row r="32" spans="1:11" s="36" customFormat="1" ht="15.6" x14ac:dyDescent="0.3">
      <c r="A32" s="34" t="s">
        <v>6</v>
      </c>
      <c r="B32" s="34"/>
      <c r="C32" s="34"/>
      <c r="D32" s="125" t="s">
        <v>203</v>
      </c>
      <c r="E32" s="126"/>
      <c r="F32" s="127"/>
      <c r="G32" s="35"/>
      <c r="H32" s="47">
        <f>SUM(H33:H46)</f>
        <v>38044710</v>
      </c>
      <c r="I32" s="47">
        <f t="shared" ref="I32:K32" si="1">SUM(I33:I46)</f>
        <v>24513201.640000001</v>
      </c>
      <c r="J32" s="47">
        <f t="shared" si="1"/>
        <v>13531508.359999999</v>
      </c>
      <c r="K32" s="47">
        <f t="shared" si="1"/>
        <v>13531508.359999999</v>
      </c>
    </row>
    <row r="33" spans="1:12" s="25" customFormat="1" ht="62.4" x14ac:dyDescent="0.3">
      <c r="A33" s="21" t="s">
        <v>7</v>
      </c>
      <c r="B33" s="21" t="s">
        <v>29</v>
      </c>
      <c r="C33" s="21" t="s">
        <v>15</v>
      </c>
      <c r="D33" s="22" t="s">
        <v>8</v>
      </c>
      <c r="E33" s="104">
        <v>13</v>
      </c>
      <c r="F33" s="23" t="s">
        <v>91</v>
      </c>
      <c r="G33" s="28" t="s">
        <v>182</v>
      </c>
      <c r="H33" s="48">
        <f t="shared" ref="H33:H43" si="2">I33+J33</f>
        <v>455000</v>
      </c>
      <c r="I33" s="48">
        <v>455000</v>
      </c>
      <c r="J33" s="48"/>
      <c r="K33" s="48"/>
    </row>
    <row r="34" spans="1:12" s="25" customFormat="1" ht="46.8" x14ac:dyDescent="0.3">
      <c r="A34" s="21" t="s">
        <v>7</v>
      </c>
      <c r="B34" s="21" t="s">
        <v>29</v>
      </c>
      <c r="C34" s="21" t="s">
        <v>15</v>
      </c>
      <c r="D34" s="22" t="s">
        <v>8</v>
      </c>
      <c r="E34" s="104">
        <v>16</v>
      </c>
      <c r="F34" s="23" t="s">
        <v>119</v>
      </c>
      <c r="G34" s="24" t="s">
        <v>176</v>
      </c>
      <c r="H34" s="48">
        <f t="shared" si="2"/>
        <v>2608713</v>
      </c>
      <c r="I34" s="48"/>
      <c r="J34" s="48">
        <f>3621430+287283-1300000</f>
        <v>2608713</v>
      </c>
      <c r="K34" s="48">
        <f>3621430+287283-1300000</f>
        <v>2608713</v>
      </c>
    </row>
    <row r="35" spans="1:12" s="25" customFormat="1" ht="90" x14ac:dyDescent="0.3">
      <c r="A35" s="21" t="s">
        <v>7</v>
      </c>
      <c r="B35" s="21" t="s">
        <v>29</v>
      </c>
      <c r="C35" s="21" t="s">
        <v>15</v>
      </c>
      <c r="D35" s="22" t="s">
        <v>8</v>
      </c>
      <c r="E35" s="104">
        <v>56</v>
      </c>
      <c r="F35" s="84" t="s">
        <v>299</v>
      </c>
      <c r="G35" s="24" t="s">
        <v>301</v>
      </c>
      <c r="H35" s="48">
        <f t="shared" si="2"/>
        <v>1300000</v>
      </c>
      <c r="I35" s="48"/>
      <c r="J35" s="48">
        <f>1100000+200000</f>
        <v>1300000</v>
      </c>
      <c r="K35" s="48">
        <f>1100000+200000</f>
        <v>1300000</v>
      </c>
    </row>
    <row r="36" spans="1:12" s="25" customFormat="1" ht="46.8" x14ac:dyDescent="0.3">
      <c r="A36" s="21" t="s">
        <v>60</v>
      </c>
      <c r="B36" s="21" t="s">
        <v>61</v>
      </c>
      <c r="C36" s="21" t="s">
        <v>45</v>
      </c>
      <c r="D36" s="29" t="s">
        <v>59</v>
      </c>
      <c r="E36" s="99">
        <v>16</v>
      </c>
      <c r="F36" s="23" t="s">
        <v>119</v>
      </c>
      <c r="G36" s="24" t="s">
        <v>176</v>
      </c>
      <c r="H36" s="48">
        <f>I36+J36</f>
        <v>18590570</v>
      </c>
      <c r="I36" s="48">
        <f>15000000+415800-800000</f>
        <v>14615800</v>
      </c>
      <c r="J36" s="48">
        <f>2254770+1720000</f>
        <v>3974770</v>
      </c>
      <c r="K36" s="48">
        <f>2254770+1720000</f>
        <v>3974770</v>
      </c>
    </row>
    <row r="37" spans="1:12" s="25" customFormat="1" ht="46.8" x14ac:dyDescent="0.3">
      <c r="A37" s="21" t="s">
        <v>60</v>
      </c>
      <c r="B37" s="21" t="s">
        <v>61</v>
      </c>
      <c r="C37" s="21" t="s">
        <v>45</v>
      </c>
      <c r="D37" s="29" t="s">
        <v>59</v>
      </c>
      <c r="E37" s="99">
        <v>23</v>
      </c>
      <c r="F37" s="23" t="s">
        <v>159</v>
      </c>
      <c r="G37" s="24" t="s">
        <v>160</v>
      </c>
      <c r="H37" s="48">
        <f t="shared" si="2"/>
        <v>200000</v>
      </c>
      <c r="I37" s="48">
        <v>200000</v>
      </c>
      <c r="J37" s="48"/>
      <c r="K37" s="48"/>
    </row>
    <row r="38" spans="1:12" s="25" customFormat="1" ht="62.4" x14ac:dyDescent="0.3">
      <c r="A38" s="21" t="s">
        <v>60</v>
      </c>
      <c r="B38" s="21" t="s">
        <v>61</v>
      </c>
      <c r="C38" s="21" t="s">
        <v>45</v>
      </c>
      <c r="D38" s="29" t="s">
        <v>59</v>
      </c>
      <c r="E38" s="99">
        <v>32</v>
      </c>
      <c r="F38" s="23" t="s">
        <v>186</v>
      </c>
      <c r="G38" s="24" t="s">
        <v>185</v>
      </c>
      <c r="H38" s="48">
        <f t="shared" si="2"/>
        <v>15000</v>
      </c>
      <c r="I38" s="48">
        <v>15000</v>
      </c>
      <c r="J38" s="48"/>
      <c r="K38" s="48"/>
    </row>
    <row r="39" spans="1:12" s="25" customFormat="1" ht="46.8" x14ac:dyDescent="0.3">
      <c r="A39" s="21" t="s">
        <v>60</v>
      </c>
      <c r="B39" s="21" t="s">
        <v>61</v>
      </c>
      <c r="C39" s="21" t="s">
        <v>45</v>
      </c>
      <c r="D39" s="29" t="s">
        <v>59</v>
      </c>
      <c r="E39" s="99">
        <v>30</v>
      </c>
      <c r="F39" s="23" t="s">
        <v>162</v>
      </c>
      <c r="G39" s="24" t="s">
        <v>188</v>
      </c>
      <c r="H39" s="48">
        <f t="shared" si="2"/>
        <v>145342</v>
      </c>
      <c r="I39" s="48">
        <f>141290+4052</f>
        <v>145342</v>
      </c>
      <c r="J39" s="48"/>
      <c r="K39" s="48"/>
      <c r="L39" s="121"/>
    </row>
    <row r="40" spans="1:12" s="25" customFormat="1" ht="62.4" x14ac:dyDescent="0.3">
      <c r="A40" s="21" t="s">
        <v>120</v>
      </c>
      <c r="B40" s="21" t="s">
        <v>121</v>
      </c>
      <c r="C40" s="21" t="s">
        <v>122</v>
      </c>
      <c r="D40" s="29" t="s">
        <v>123</v>
      </c>
      <c r="E40" s="99">
        <v>16</v>
      </c>
      <c r="F40" s="23" t="s">
        <v>119</v>
      </c>
      <c r="G40" s="24" t="s">
        <v>176</v>
      </c>
      <c r="H40" s="48">
        <f>I40+J40</f>
        <v>1100000</v>
      </c>
      <c r="I40" s="48">
        <v>1100000</v>
      </c>
      <c r="J40" s="48">
        <f>2915000-2915000</f>
        <v>0</v>
      </c>
      <c r="K40" s="48">
        <f>2915000-2915000</f>
        <v>0</v>
      </c>
    </row>
    <row r="41" spans="1:12" s="25" customFormat="1" ht="46.8" x14ac:dyDescent="0.3">
      <c r="A41" s="21" t="s">
        <v>297</v>
      </c>
      <c r="B41" s="21" t="s">
        <v>124</v>
      </c>
      <c r="C41" s="21" t="s">
        <v>226</v>
      </c>
      <c r="D41" s="29" t="s">
        <v>298</v>
      </c>
      <c r="E41" s="99">
        <v>30</v>
      </c>
      <c r="F41" s="23" t="s">
        <v>162</v>
      </c>
      <c r="G41" s="24" t="s">
        <v>188</v>
      </c>
      <c r="H41" s="48">
        <f>I41+J41</f>
        <v>110128</v>
      </c>
      <c r="I41" s="48">
        <f>10138+99990</f>
        <v>110128</v>
      </c>
      <c r="J41" s="48"/>
      <c r="K41" s="48"/>
    </row>
    <row r="42" spans="1:12" s="25" customFormat="1" ht="46.8" x14ac:dyDescent="0.3">
      <c r="A42" s="21" t="s">
        <v>311</v>
      </c>
      <c r="B42" s="21" t="s">
        <v>312</v>
      </c>
      <c r="C42" s="24" t="s">
        <v>313</v>
      </c>
      <c r="D42" s="26" t="s">
        <v>314</v>
      </c>
      <c r="E42" s="99"/>
      <c r="F42" s="23" t="s">
        <v>162</v>
      </c>
      <c r="G42" s="24" t="s">
        <v>188</v>
      </c>
      <c r="H42" s="48">
        <f>I42+J42</f>
        <v>1200</v>
      </c>
      <c r="I42" s="48">
        <v>1200</v>
      </c>
      <c r="J42" s="48"/>
      <c r="K42" s="48"/>
    </row>
    <row r="43" spans="1:12" s="25" customFormat="1" ht="62.4" x14ac:dyDescent="0.3">
      <c r="A43" s="21" t="s">
        <v>184</v>
      </c>
      <c r="B43" s="21" t="s">
        <v>26</v>
      </c>
      <c r="C43" s="21" t="s">
        <v>27</v>
      </c>
      <c r="D43" s="44" t="s">
        <v>16</v>
      </c>
      <c r="E43" s="99">
        <v>25</v>
      </c>
      <c r="F43" s="23" t="s">
        <v>170</v>
      </c>
      <c r="G43" s="24" t="s">
        <v>212</v>
      </c>
      <c r="H43" s="48">
        <f t="shared" si="2"/>
        <v>4139500</v>
      </c>
      <c r="I43" s="48">
        <f>3348600-9100+800000</f>
        <v>4139500</v>
      </c>
      <c r="J43" s="48"/>
      <c r="K43" s="48"/>
    </row>
    <row r="44" spans="1:12" s="45" customFormat="1" ht="46.8" x14ac:dyDescent="0.3">
      <c r="A44" s="31" t="s">
        <v>24</v>
      </c>
      <c r="B44" s="24">
        <v>3242</v>
      </c>
      <c r="C44" s="24">
        <v>1090</v>
      </c>
      <c r="D44" s="23" t="s">
        <v>14</v>
      </c>
      <c r="E44" s="59">
        <v>1</v>
      </c>
      <c r="F44" s="23" t="s">
        <v>28</v>
      </c>
      <c r="G44" s="24" t="s">
        <v>178</v>
      </c>
      <c r="H44" s="48">
        <f t="shared" ref="H44:H46" si="3">I44+J44</f>
        <v>360000</v>
      </c>
      <c r="I44" s="48">
        <v>360000</v>
      </c>
      <c r="J44" s="48"/>
      <c r="K44" s="48"/>
    </row>
    <row r="45" spans="1:12" s="45" customFormat="1" ht="46.8" x14ac:dyDescent="0.3">
      <c r="A45" s="31" t="s">
        <v>24</v>
      </c>
      <c r="B45" s="24">
        <v>3242</v>
      </c>
      <c r="C45" s="24">
        <v>1090</v>
      </c>
      <c r="D45" s="23" t="s">
        <v>14</v>
      </c>
      <c r="E45" s="59">
        <v>14</v>
      </c>
      <c r="F45" s="23" t="s">
        <v>78</v>
      </c>
      <c r="G45" s="24" t="s">
        <v>174</v>
      </c>
      <c r="H45" s="48">
        <f t="shared" si="3"/>
        <v>2740000</v>
      </c>
      <c r="I45" s="48">
        <v>2740000</v>
      </c>
      <c r="J45" s="48"/>
      <c r="K45" s="48"/>
    </row>
    <row r="46" spans="1:12" s="45" customFormat="1" ht="46.8" x14ac:dyDescent="0.3">
      <c r="A46" s="31" t="s">
        <v>256</v>
      </c>
      <c r="B46" s="24">
        <v>8110</v>
      </c>
      <c r="C46" s="31" t="s">
        <v>164</v>
      </c>
      <c r="D46" s="26" t="s">
        <v>165</v>
      </c>
      <c r="E46" s="105">
        <v>17</v>
      </c>
      <c r="F46" s="23" t="s">
        <v>163</v>
      </c>
      <c r="G46" s="24" t="s">
        <v>175</v>
      </c>
      <c r="H46" s="48">
        <f t="shared" si="3"/>
        <v>6279257</v>
      </c>
      <c r="I46" s="48">
        <f>100000+531231.64</f>
        <v>631231.64</v>
      </c>
      <c r="J46" s="48">
        <f>3000000+689876+1958149.36</f>
        <v>5648025.3600000003</v>
      </c>
      <c r="K46" s="48">
        <f>3000000+689876+1958149.36</f>
        <v>5648025.3600000003</v>
      </c>
    </row>
    <row r="47" spans="1:12" s="56" customFormat="1" ht="15.6" x14ac:dyDescent="0.3">
      <c r="A47" s="34" t="s">
        <v>17</v>
      </c>
      <c r="B47" s="34"/>
      <c r="C47" s="34"/>
      <c r="D47" s="125" t="s">
        <v>147</v>
      </c>
      <c r="E47" s="126"/>
      <c r="F47" s="127"/>
      <c r="G47" s="35"/>
      <c r="H47" s="47">
        <f>H48</f>
        <v>55801700</v>
      </c>
      <c r="I47" s="47">
        <f>I48</f>
        <v>55801700</v>
      </c>
      <c r="J47" s="47">
        <f t="shared" ref="J47:K47" si="4">J48</f>
        <v>0</v>
      </c>
      <c r="K47" s="47">
        <f t="shared" si="4"/>
        <v>0</v>
      </c>
    </row>
    <row r="48" spans="1:12" s="56" customFormat="1" ht="15.6" x14ac:dyDescent="0.3">
      <c r="A48" s="34" t="s">
        <v>18</v>
      </c>
      <c r="B48" s="34"/>
      <c r="C48" s="34"/>
      <c r="D48" s="125" t="s">
        <v>147</v>
      </c>
      <c r="E48" s="126"/>
      <c r="F48" s="127"/>
      <c r="G48" s="35"/>
      <c r="H48" s="47">
        <f>SUM(H49:H60)</f>
        <v>55801700</v>
      </c>
      <c r="I48" s="47">
        <f>SUM(I49:I60)</f>
        <v>55801700</v>
      </c>
      <c r="J48" s="47">
        <f>SUM(J49:J60)</f>
        <v>0</v>
      </c>
      <c r="K48" s="47">
        <f>SUM(K49:K60)</f>
        <v>0</v>
      </c>
    </row>
    <row r="49" spans="1:13" s="55" customFormat="1" ht="46.8" x14ac:dyDescent="0.3">
      <c r="A49" s="21" t="s">
        <v>87</v>
      </c>
      <c r="B49" s="21" t="s">
        <v>88</v>
      </c>
      <c r="C49" s="21" t="s">
        <v>89</v>
      </c>
      <c r="D49" s="63" t="s">
        <v>90</v>
      </c>
      <c r="E49" s="109">
        <v>14</v>
      </c>
      <c r="F49" s="23" t="s">
        <v>78</v>
      </c>
      <c r="G49" s="24" t="s">
        <v>174</v>
      </c>
      <c r="H49" s="48">
        <f>I49+J49</f>
        <v>161000</v>
      </c>
      <c r="I49" s="48">
        <v>161000</v>
      </c>
      <c r="J49" s="48"/>
      <c r="K49" s="48"/>
    </row>
    <row r="50" spans="1:13" s="55" customFormat="1" ht="62.4" x14ac:dyDescent="0.3">
      <c r="A50" s="21" t="s">
        <v>87</v>
      </c>
      <c r="B50" s="21" t="s">
        <v>88</v>
      </c>
      <c r="C50" s="21" t="s">
        <v>89</v>
      </c>
      <c r="D50" s="63" t="s">
        <v>90</v>
      </c>
      <c r="E50" s="109">
        <v>13</v>
      </c>
      <c r="F50" s="23" t="s">
        <v>91</v>
      </c>
      <c r="G50" s="24" t="s">
        <v>92</v>
      </c>
      <c r="H50" s="48">
        <f t="shared" ref="H50:H60" si="5">I50+J50</f>
        <v>2150000</v>
      </c>
      <c r="I50" s="48">
        <v>2150000</v>
      </c>
      <c r="J50" s="48"/>
      <c r="K50" s="48"/>
    </row>
    <row r="51" spans="1:13" s="55" customFormat="1" ht="46.8" x14ac:dyDescent="0.3">
      <c r="A51" s="21" t="s">
        <v>93</v>
      </c>
      <c r="B51" s="21" t="s">
        <v>94</v>
      </c>
      <c r="C51" s="21" t="s">
        <v>89</v>
      </c>
      <c r="D51" s="63" t="s">
        <v>95</v>
      </c>
      <c r="E51" s="109">
        <v>14</v>
      </c>
      <c r="F51" s="23" t="s">
        <v>78</v>
      </c>
      <c r="G51" s="24" t="s">
        <v>174</v>
      </c>
      <c r="H51" s="48">
        <f t="shared" si="5"/>
        <v>11500</v>
      </c>
      <c r="I51" s="48">
        <v>11500</v>
      </c>
      <c r="J51" s="48"/>
      <c r="K51" s="48"/>
    </row>
    <row r="52" spans="1:13" s="55" customFormat="1" ht="46.8" x14ac:dyDescent="0.3">
      <c r="A52" s="21" t="s">
        <v>25</v>
      </c>
      <c r="B52" s="21" t="s">
        <v>54</v>
      </c>
      <c r="C52" s="21" t="s">
        <v>27</v>
      </c>
      <c r="D52" s="22" t="s">
        <v>62</v>
      </c>
      <c r="E52" s="104">
        <v>29</v>
      </c>
      <c r="F52" s="23" t="s">
        <v>169</v>
      </c>
      <c r="G52" s="24" t="s">
        <v>201</v>
      </c>
      <c r="H52" s="48">
        <f t="shared" si="5"/>
        <v>208000</v>
      </c>
      <c r="I52" s="48">
        <v>208000</v>
      </c>
      <c r="J52" s="48"/>
      <c r="K52" s="48"/>
      <c r="M52" s="57"/>
    </row>
    <row r="53" spans="1:13" s="55" customFormat="1" ht="46.8" x14ac:dyDescent="0.3">
      <c r="A53" s="21" t="s">
        <v>25</v>
      </c>
      <c r="B53" s="21" t="s">
        <v>54</v>
      </c>
      <c r="C53" s="21" t="s">
        <v>27</v>
      </c>
      <c r="D53" s="22" t="s">
        <v>62</v>
      </c>
      <c r="E53" s="104">
        <v>14</v>
      </c>
      <c r="F53" s="23" t="s">
        <v>78</v>
      </c>
      <c r="G53" s="24" t="s">
        <v>177</v>
      </c>
      <c r="H53" s="48">
        <f t="shared" si="5"/>
        <v>227500</v>
      </c>
      <c r="I53" s="48">
        <v>227500</v>
      </c>
      <c r="J53" s="48"/>
      <c r="K53" s="48"/>
      <c r="M53" s="57"/>
    </row>
    <row r="54" spans="1:13" s="55" customFormat="1" ht="46.8" x14ac:dyDescent="0.3">
      <c r="A54" s="21" t="s">
        <v>107</v>
      </c>
      <c r="B54" s="21" t="s">
        <v>108</v>
      </c>
      <c r="C54" s="21" t="s">
        <v>27</v>
      </c>
      <c r="D54" s="37" t="s">
        <v>109</v>
      </c>
      <c r="E54" s="99">
        <v>14</v>
      </c>
      <c r="F54" s="23" t="s">
        <v>78</v>
      </c>
      <c r="G54" s="24" t="s">
        <v>179</v>
      </c>
      <c r="H54" s="48">
        <f>I54+J54</f>
        <v>700000</v>
      </c>
      <c r="I54" s="48">
        <v>700000</v>
      </c>
      <c r="J54" s="48"/>
      <c r="K54" s="48"/>
      <c r="M54" s="57"/>
    </row>
    <row r="55" spans="1:13" s="55" customFormat="1" ht="78" x14ac:dyDescent="0.3">
      <c r="A55" s="21" t="s">
        <v>96</v>
      </c>
      <c r="B55" s="21" t="s">
        <v>97</v>
      </c>
      <c r="C55" s="21" t="s">
        <v>29</v>
      </c>
      <c r="D55" s="22" t="s">
        <v>98</v>
      </c>
      <c r="E55" s="104">
        <v>14</v>
      </c>
      <c r="F55" s="23" t="s">
        <v>78</v>
      </c>
      <c r="G55" s="24" t="s">
        <v>174</v>
      </c>
      <c r="H55" s="48">
        <f t="shared" si="5"/>
        <v>3300000</v>
      </c>
      <c r="I55" s="48">
        <v>3300000</v>
      </c>
      <c r="J55" s="48"/>
      <c r="K55" s="48"/>
      <c r="M55" s="57"/>
    </row>
    <row r="56" spans="1:13" s="55" customFormat="1" ht="62.4" x14ac:dyDescent="0.3">
      <c r="A56" s="21" t="s">
        <v>99</v>
      </c>
      <c r="B56" s="21" t="s">
        <v>100</v>
      </c>
      <c r="C56" s="21" t="s">
        <v>101</v>
      </c>
      <c r="D56" s="22" t="s">
        <v>102</v>
      </c>
      <c r="E56" s="104">
        <v>14</v>
      </c>
      <c r="F56" s="23" t="s">
        <v>78</v>
      </c>
      <c r="G56" s="24" t="s">
        <v>174</v>
      </c>
      <c r="H56" s="48">
        <f t="shared" si="5"/>
        <v>1500000</v>
      </c>
      <c r="I56" s="48">
        <v>1500000</v>
      </c>
      <c r="J56" s="48"/>
      <c r="K56" s="48"/>
      <c r="M56" s="57"/>
    </row>
    <row r="57" spans="1:13" s="55" customFormat="1" ht="46.8" x14ac:dyDescent="0.3">
      <c r="A57" s="21" t="s">
        <v>103</v>
      </c>
      <c r="B57" s="21" t="s">
        <v>104</v>
      </c>
      <c r="C57" s="21" t="s">
        <v>89</v>
      </c>
      <c r="D57" s="22" t="s">
        <v>105</v>
      </c>
      <c r="E57" s="104">
        <v>14</v>
      </c>
      <c r="F57" s="23" t="s">
        <v>78</v>
      </c>
      <c r="G57" s="24" t="s">
        <v>174</v>
      </c>
      <c r="H57" s="48">
        <f t="shared" si="5"/>
        <v>71000</v>
      </c>
      <c r="I57" s="48">
        <v>71000</v>
      </c>
      <c r="J57" s="48"/>
      <c r="K57" s="48"/>
      <c r="M57" s="57"/>
    </row>
    <row r="58" spans="1:13" s="55" customFormat="1" ht="46.8" x14ac:dyDescent="0.3">
      <c r="A58" s="21" t="s">
        <v>166</v>
      </c>
      <c r="B58" s="21" t="s">
        <v>167</v>
      </c>
      <c r="C58" s="21" t="s">
        <v>124</v>
      </c>
      <c r="D58" s="64" t="s">
        <v>168</v>
      </c>
      <c r="E58" s="110">
        <v>14</v>
      </c>
      <c r="F58" s="23" t="s">
        <v>78</v>
      </c>
      <c r="G58" s="24" t="s">
        <v>174</v>
      </c>
      <c r="H58" s="48">
        <f t="shared" si="5"/>
        <v>688600</v>
      </c>
      <c r="I58" s="48">
        <v>688600</v>
      </c>
      <c r="J58" s="48"/>
      <c r="K58" s="48"/>
      <c r="M58" s="57"/>
    </row>
    <row r="59" spans="1:13" s="55" customFormat="1" ht="46.8" x14ac:dyDescent="0.3">
      <c r="A59" s="21" t="s">
        <v>106</v>
      </c>
      <c r="B59" s="21" t="s">
        <v>80</v>
      </c>
      <c r="C59" s="21" t="s">
        <v>81</v>
      </c>
      <c r="D59" s="65" t="s">
        <v>82</v>
      </c>
      <c r="E59" s="104">
        <v>14</v>
      </c>
      <c r="F59" s="23" t="s">
        <v>78</v>
      </c>
      <c r="G59" s="24" t="s">
        <v>174</v>
      </c>
      <c r="H59" s="48">
        <f t="shared" si="5"/>
        <v>35473600</v>
      </c>
      <c r="I59" s="48">
        <f>10052800+25321600+99200</f>
        <v>35473600</v>
      </c>
      <c r="J59" s="48"/>
      <c r="K59" s="48"/>
      <c r="M59" s="57"/>
    </row>
    <row r="60" spans="1:13" s="55" customFormat="1" ht="62.4" x14ac:dyDescent="0.3">
      <c r="A60" s="21" t="s">
        <v>106</v>
      </c>
      <c r="B60" s="21" t="s">
        <v>80</v>
      </c>
      <c r="C60" s="21" t="s">
        <v>81</v>
      </c>
      <c r="D60" s="22" t="s">
        <v>82</v>
      </c>
      <c r="E60" s="104">
        <v>13</v>
      </c>
      <c r="F60" s="23" t="s">
        <v>91</v>
      </c>
      <c r="G60" s="24" t="s">
        <v>180</v>
      </c>
      <c r="H60" s="48">
        <f t="shared" si="5"/>
        <v>11310500</v>
      </c>
      <c r="I60" s="48">
        <f>2294000+338100+7678400+1000000</f>
        <v>11310500</v>
      </c>
      <c r="J60" s="48"/>
      <c r="K60" s="48"/>
      <c r="M60" s="57"/>
    </row>
    <row r="61" spans="1:13" s="55" customFormat="1" ht="15.75" customHeight="1" x14ac:dyDescent="0.3">
      <c r="A61" s="58" t="s">
        <v>213</v>
      </c>
      <c r="B61" s="59" t="s">
        <v>214</v>
      </c>
      <c r="C61" s="59" t="s">
        <v>214</v>
      </c>
      <c r="D61" s="136" t="s">
        <v>215</v>
      </c>
      <c r="E61" s="137"/>
      <c r="F61" s="138"/>
      <c r="G61" s="24"/>
      <c r="H61" s="47">
        <f>H62</f>
        <v>205000</v>
      </c>
      <c r="I61" s="47">
        <f t="shared" ref="I61:K62" si="6">I62</f>
        <v>205000</v>
      </c>
      <c r="J61" s="47">
        <f t="shared" si="6"/>
        <v>0</v>
      </c>
      <c r="K61" s="47">
        <f t="shared" si="6"/>
        <v>0</v>
      </c>
      <c r="L61" s="57"/>
      <c r="M61" s="57"/>
    </row>
    <row r="62" spans="1:13" s="55" customFormat="1" ht="18" customHeight="1" x14ac:dyDescent="0.3">
      <c r="A62" s="58" t="s">
        <v>216</v>
      </c>
      <c r="B62" s="59" t="s">
        <v>214</v>
      </c>
      <c r="C62" s="59" t="s">
        <v>214</v>
      </c>
      <c r="D62" s="136" t="s">
        <v>215</v>
      </c>
      <c r="E62" s="137"/>
      <c r="F62" s="138"/>
      <c r="G62" s="24"/>
      <c r="H62" s="47">
        <f>H63</f>
        <v>205000</v>
      </c>
      <c r="I62" s="47">
        <f>I63</f>
        <v>205000</v>
      </c>
      <c r="J62" s="47">
        <f t="shared" si="6"/>
        <v>0</v>
      </c>
      <c r="K62" s="47">
        <f t="shared" si="6"/>
        <v>0</v>
      </c>
      <c r="L62" s="57"/>
      <c r="M62" s="57"/>
    </row>
    <row r="63" spans="1:13" s="55" customFormat="1" ht="46.8" x14ac:dyDescent="0.3">
      <c r="A63" s="31" t="s">
        <v>217</v>
      </c>
      <c r="B63" s="24" t="s">
        <v>76</v>
      </c>
      <c r="C63" s="24" t="s">
        <v>27</v>
      </c>
      <c r="D63" s="26" t="s">
        <v>77</v>
      </c>
      <c r="E63" s="105">
        <v>14</v>
      </c>
      <c r="F63" s="23" t="s">
        <v>78</v>
      </c>
      <c r="G63" s="28" t="s">
        <v>173</v>
      </c>
      <c r="H63" s="48">
        <f>I63+J63</f>
        <v>205000</v>
      </c>
      <c r="I63" s="48">
        <v>205000</v>
      </c>
      <c r="J63" s="48"/>
      <c r="K63" s="48"/>
      <c r="L63" s="57"/>
      <c r="M63" s="57"/>
    </row>
    <row r="64" spans="1:13" s="25" customFormat="1" ht="15.6" x14ac:dyDescent="0.3">
      <c r="A64" s="34" t="s">
        <v>125</v>
      </c>
      <c r="B64" s="34"/>
      <c r="C64" s="34"/>
      <c r="D64" s="125" t="s">
        <v>148</v>
      </c>
      <c r="E64" s="126"/>
      <c r="F64" s="127"/>
      <c r="G64" s="35"/>
      <c r="H64" s="47">
        <f>H65</f>
        <v>1600000</v>
      </c>
      <c r="I64" s="47">
        <f>I65</f>
        <v>1325000</v>
      </c>
      <c r="J64" s="47">
        <f>J65</f>
        <v>275000</v>
      </c>
      <c r="K64" s="47">
        <f>K65</f>
        <v>0</v>
      </c>
      <c r="L64" s="38"/>
      <c r="M64" s="38"/>
    </row>
    <row r="65" spans="1:13" s="25" customFormat="1" ht="15.6" x14ac:dyDescent="0.3">
      <c r="A65" s="34" t="s">
        <v>126</v>
      </c>
      <c r="B65" s="34"/>
      <c r="C65" s="34"/>
      <c r="D65" s="125" t="s">
        <v>148</v>
      </c>
      <c r="E65" s="126"/>
      <c r="F65" s="127"/>
      <c r="G65" s="35"/>
      <c r="H65" s="47">
        <f>SUM(H66:H72)</f>
        <v>1600000</v>
      </c>
      <c r="I65" s="47">
        <f>SUM(I66:I72)</f>
        <v>1325000</v>
      </c>
      <c r="J65" s="47">
        <f>SUM(J66:J72)</f>
        <v>275000</v>
      </c>
      <c r="K65" s="47">
        <f>SUM(K66:K72)</f>
        <v>0</v>
      </c>
      <c r="L65" s="38"/>
      <c r="M65" s="38"/>
    </row>
    <row r="66" spans="1:13" s="36" customFormat="1" ht="46.8" x14ac:dyDescent="0.3">
      <c r="A66" s="21" t="s">
        <v>127</v>
      </c>
      <c r="B66" s="21" t="s">
        <v>128</v>
      </c>
      <c r="C66" s="21" t="s">
        <v>129</v>
      </c>
      <c r="D66" s="22" t="s">
        <v>130</v>
      </c>
      <c r="E66" s="111">
        <v>28</v>
      </c>
      <c r="F66" s="42" t="s">
        <v>149</v>
      </c>
      <c r="G66" s="28" t="s">
        <v>200</v>
      </c>
      <c r="H66" s="48">
        <f t="shared" ref="H66:H72" si="7">I66+J66</f>
        <v>99000</v>
      </c>
      <c r="I66" s="48">
        <v>99000</v>
      </c>
      <c r="J66" s="48"/>
      <c r="K66" s="48"/>
    </row>
    <row r="67" spans="1:13" s="36" customFormat="1" ht="46.8" x14ac:dyDescent="0.3">
      <c r="A67" s="21" t="s">
        <v>224</v>
      </c>
      <c r="B67" s="21" t="s">
        <v>225</v>
      </c>
      <c r="C67" s="21" t="s">
        <v>226</v>
      </c>
      <c r="D67" s="22" t="s">
        <v>227</v>
      </c>
      <c r="E67" s="104">
        <v>28</v>
      </c>
      <c r="F67" s="43" t="s">
        <v>149</v>
      </c>
      <c r="G67" s="28" t="s">
        <v>200</v>
      </c>
      <c r="H67" s="48">
        <f>I67+J67</f>
        <v>275000</v>
      </c>
      <c r="I67" s="48"/>
      <c r="J67" s="48">
        <v>275000</v>
      </c>
      <c r="K67" s="48"/>
    </row>
    <row r="68" spans="1:13" s="25" customFormat="1" ht="62.4" x14ac:dyDescent="0.3">
      <c r="A68" s="31" t="s">
        <v>211</v>
      </c>
      <c r="B68" s="24">
        <v>3140</v>
      </c>
      <c r="C68" s="21" t="s">
        <v>27</v>
      </c>
      <c r="D68" s="22" t="s">
        <v>16</v>
      </c>
      <c r="E68" s="104">
        <v>25</v>
      </c>
      <c r="F68" s="23" t="s">
        <v>170</v>
      </c>
      <c r="G68" s="24" t="s">
        <v>212</v>
      </c>
      <c r="H68" s="48">
        <f>I68+J68</f>
        <v>150000</v>
      </c>
      <c r="I68" s="48">
        <v>150000</v>
      </c>
      <c r="J68" s="48"/>
      <c r="K68" s="48"/>
    </row>
    <row r="69" spans="1:13" s="25" customFormat="1" ht="46.8" x14ac:dyDescent="0.3">
      <c r="A69" s="21" t="s">
        <v>131</v>
      </c>
      <c r="B69" s="21" t="s">
        <v>132</v>
      </c>
      <c r="C69" s="21" t="s">
        <v>133</v>
      </c>
      <c r="D69" s="22" t="s">
        <v>134</v>
      </c>
      <c r="E69" s="104">
        <v>28</v>
      </c>
      <c r="F69" s="43" t="s">
        <v>149</v>
      </c>
      <c r="G69" s="28" t="s">
        <v>200</v>
      </c>
      <c r="H69" s="48">
        <f t="shared" ref="H69:H71" si="8">I69+J69</f>
        <v>260000</v>
      </c>
      <c r="I69" s="48">
        <v>260000</v>
      </c>
      <c r="J69" s="48"/>
      <c r="K69" s="48"/>
    </row>
    <row r="70" spans="1:13" s="25" customFormat="1" ht="46.8" x14ac:dyDescent="0.3">
      <c r="A70" s="21" t="s">
        <v>135</v>
      </c>
      <c r="B70" s="21" t="s">
        <v>136</v>
      </c>
      <c r="C70" s="21" t="s">
        <v>133</v>
      </c>
      <c r="D70" s="22" t="s">
        <v>137</v>
      </c>
      <c r="E70" s="104">
        <v>28</v>
      </c>
      <c r="F70" s="43" t="s">
        <v>149</v>
      </c>
      <c r="G70" s="24" t="s">
        <v>200</v>
      </c>
      <c r="H70" s="48">
        <f t="shared" si="8"/>
        <v>24000</v>
      </c>
      <c r="I70" s="48">
        <v>24000</v>
      </c>
      <c r="J70" s="48"/>
      <c r="K70" s="48"/>
    </row>
    <row r="71" spans="1:13" s="25" customFormat="1" ht="46.8" x14ac:dyDescent="0.3">
      <c r="A71" s="21" t="s">
        <v>138</v>
      </c>
      <c r="B71" s="21" t="s">
        <v>139</v>
      </c>
      <c r="C71" s="21" t="s">
        <v>140</v>
      </c>
      <c r="D71" s="22" t="s">
        <v>141</v>
      </c>
      <c r="E71" s="111">
        <v>28</v>
      </c>
      <c r="F71" s="42" t="s">
        <v>149</v>
      </c>
      <c r="G71" s="28" t="s">
        <v>200</v>
      </c>
      <c r="H71" s="48">
        <f t="shared" si="8"/>
        <v>192000</v>
      </c>
      <c r="I71" s="48">
        <v>192000</v>
      </c>
      <c r="J71" s="48"/>
      <c r="K71" s="48"/>
    </row>
    <row r="72" spans="1:13" s="25" customFormat="1" ht="46.8" x14ac:dyDescent="0.3">
      <c r="A72" s="21" t="s">
        <v>142</v>
      </c>
      <c r="B72" s="21" t="s">
        <v>143</v>
      </c>
      <c r="C72" s="21" t="s">
        <v>144</v>
      </c>
      <c r="D72" s="22" t="s">
        <v>145</v>
      </c>
      <c r="E72" s="111">
        <v>28</v>
      </c>
      <c r="F72" s="42" t="s">
        <v>149</v>
      </c>
      <c r="G72" s="28" t="s">
        <v>200</v>
      </c>
      <c r="H72" s="48">
        <f t="shared" si="7"/>
        <v>600000</v>
      </c>
      <c r="I72" s="48">
        <v>600000</v>
      </c>
      <c r="J72" s="48"/>
      <c r="K72" s="48"/>
    </row>
    <row r="73" spans="1:13" s="55" customFormat="1" ht="15.6" x14ac:dyDescent="0.3">
      <c r="A73" s="34" t="s">
        <v>22</v>
      </c>
      <c r="B73" s="34"/>
      <c r="C73" s="34"/>
      <c r="D73" s="125" t="s">
        <v>156</v>
      </c>
      <c r="E73" s="126"/>
      <c r="F73" s="127"/>
      <c r="G73" s="35"/>
      <c r="H73" s="47">
        <f>H74</f>
        <v>4068700</v>
      </c>
      <c r="I73" s="47">
        <f>I74</f>
        <v>4068700</v>
      </c>
      <c r="J73" s="47"/>
      <c r="K73" s="47"/>
    </row>
    <row r="74" spans="1:13" s="56" customFormat="1" ht="15.6" x14ac:dyDescent="0.3">
      <c r="A74" s="34" t="s">
        <v>23</v>
      </c>
      <c r="B74" s="34"/>
      <c r="C74" s="34"/>
      <c r="D74" s="125" t="s">
        <v>156</v>
      </c>
      <c r="E74" s="126"/>
      <c r="F74" s="127"/>
      <c r="G74" s="35"/>
      <c r="H74" s="47">
        <f>SUM(H75:H80)</f>
        <v>4068700</v>
      </c>
      <c r="I74" s="47">
        <f>SUM(I75:I80)</f>
        <v>4068700</v>
      </c>
      <c r="J74" s="47"/>
      <c r="K74" s="47"/>
    </row>
    <row r="75" spans="1:13" s="56" customFormat="1" ht="46.8" x14ac:dyDescent="0.3">
      <c r="A75" s="21" t="s">
        <v>195</v>
      </c>
      <c r="B75" s="21" t="s">
        <v>128</v>
      </c>
      <c r="C75" s="21" t="s">
        <v>129</v>
      </c>
      <c r="D75" s="22" t="s">
        <v>130</v>
      </c>
      <c r="E75" s="104">
        <v>29</v>
      </c>
      <c r="F75" s="23" t="s">
        <v>171</v>
      </c>
      <c r="G75" s="24" t="s">
        <v>201</v>
      </c>
      <c r="H75" s="48">
        <f t="shared" ref="H75:H80" si="9">I75+J75</f>
        <v>30000</v>
      </c>
      <c r="I75" s="48">
        <v>30000</v>
      </c>
      <c r="J75" s="48"/>
      <c r="K75" s="48"/>
    </row>
    <row r="76" spans="1:13" s="56" customFormat="1" ht="46.8" x14ac:dyDescent="0.3">
      <c r="A76" s="21" t="s">
        <v>195</v>
      </c>
      <c r="B76" s="21" t="s">
        <v>128</v>
      </c>
      <c r="C76" s="21" t="s">
        <v>129</v>
      </c>
      <c r="D76" s="22" t="s">
        <v>130</v>
      </c>
      <c r="E76" s="104">
        <v>30</v>
      </c>
      <c r="F76" s="23" t="s">
        <v>162</v>
      </c>
      <c r="G76" s="24" t="s">
        <v>188</v>
      </c>
      <c r="H76" s="48">
        <f t="shared" si="9"/>
        <v>69000</v>
      </c>
      <c r="I76" s="48">
        <v>69000</v>
      </c>
      <c r="J76" s="48"/>
      <c r="K76" s="48"/>
    </row>
    <row r="77" spans="1:13" s="56" customFormat="1" ht="46.8" x14ac:dyDescent="0.3">
      <c r="A77" s="21" t="s">
        <v>42</v>
      </c>
      <c r="B77" s="21" t="s">
        <v>43</v>
      </c>
      <c r="C77" s="21" t="s">
        <v>27</v>
      </c>
      <c r="D77" s="22" t="s">
        <v>44</v>
      </c>
      <c r="E77" s="104">
        <v>29</v>
      </c>
      <c r="F77" s="23" t="s">
        <v>171</v>
      </c>
      <c r="G77" s="24" t="s">
        <v>201</v>
      </c>
      <c r="H77" s="48">
        <f t="shared" si="9"/>
        <v>913000</v>
      </c>
      <c r="I77" s="48">
        <v>913000</v>
      </c>
      <c r="J77" s="48"/>
      <c r="K77" s="48"/>
    </row>
    <row r="78" spans="1:13" s="55" customFormat="1" ht="46.8" x14ac:dyDescent="0.3">
      <c r="A78" s="21" t="s">
        <v>110</v>
      </c>
      <c r="B78" s="21" t="s">
        <v>111</v>
      </c>
      <c r="C78" s="21" t="s">
        <v>38</v>
      </c>
      <c r="D78" s="22" t="s">
        <v>112</v>
      </c>
      <c r="E78" s="104">
        <v>30</v>
      </c>
      <c r="F78" s="23" t="s">
        <v>162</v>
      </c>
      <c r="G78" s="24" t="s">
        <v>188</v>
      </c>
      <c r="H78" s="48">
        <f t="shared" si="9"/>
        <v>950000</v>
      </c>
      <c r="I78" s="48">
        <v>950000</v>
      </c>
      <c r="J78" s="48"/>
      <c r="K78" s="48"/>
    </row>
    <row r="79" spans="1:13" s="55" customFormat="1" ht="46.8" x14ac:dyDescent="0.3">
      <c r="A79" s="21" t="s">
        <v>114</v>
      </c>
      <c r="B79" s="21" t="s">
        <v>113</v>
      </c>
      <c r="C79" s="21" t="s">
        <v>38</v>
      </c>
      <c r="D79" s="22" t="s">
        <v>115</v>
      </c>
      <c r="E79" s="104">
        <v>30</v>
      </c>
      <c r="F79" s="23" t="s">
        <v>162</v>
      </c>
      <c r="G79" s="24" t="s">
        <v>188</v>
      </c>
      <c r="H79" s="48">
        <f t="shared" si="9"/>
        <v>320000</v>
      </c>
      <c r="I79" s="48">
        <v>320000</v>
      </c>
      <c r="J79" s="48"/>
      <c r="K79" s="48"/>
    </row>
    <row r="80" spans="1:13" s="55" customFormat="1" ht="46.8" x14ac:dyDescent="0.3">
      <c r="A80" s="21" t="s">
        <v>36</v>
      </c>
      <c r="B80" s="21" t="s">
        <v>37</v>
      </c>
      <c r="C80" s="21" t="s">
        <v>38</v>
      </c>
      <c r="D80" s="29" t="s">
        <v>63</v>
      </c>
      <c r="E80" s="99">
        <v>30</v>
      </c>
      <c r="F80" s="23" t="s">
        <v>162</v>
      </c>
      <c r="G80" s="24" t="s">
        <v>188</v>
      </c>
      <c r="H80" s="48">
        <f t="shared" si="9"/>
        <v>1786700</v>
      </c>
      <c r="I80" s="48">
        <v>1786700</v>
      </c>
      <c r="J80" s="48"/>
      <c r="K80" s="48"/>
    </row>
    <row r="81" spans="1:11" s="55" customFormat="1" ht="27" customHeight="1" x14ac:dyDescent="0.3">
      <c r="A81" s="66" t="s">
        <v>12</v>
      </c>
      <c r="B81" s="66"/>
      <c r="C81" s="66"/>
      <c r="D81" s="133" t="s">
        <v>150</v>
      </c>
      <c r="E81" s="134"/>
      <c r="F81" s="135"/>
      <c r="G81" s="78"/>
      <c r="H81" s="67">
        <f>H82</f>
        <v>147973724</v>
      </c>
      <c r="I81" s="67">
        <f>I82</f>
        <v>140572310</v>
      </c>
      <c r="J81" s="67">
        <f>J82</f>
        <v>7401414</v>
      </c>
      <c r="K81" s="67">
        <f>K82</f>
        <v>6758268</v>
      </c>
    </row>
    <row r="82" spans="1:11" s="56" customFormat="1" ht="30" customHeight="1" x14ac:dyDescent="0.3">
      <c r="A82" s="66" t="s">
        <v>13</v>
      </c>
      <c r="B82" s="66"/>
      <c r="C82" s="66"/>
      <c r="D82" s="133" t="s">
        <v>150</v>
      </c>
      <c r="E82" s="134"/>
      <c r="F82" s="135"/>
      <c r="G82" s="78"/>
      <c r="H82" s="67">
        <f>SUM(H83:H97)</f>
        <v>147973724</v>
      </c>
      <c r="I82" s="67">
        <f>SUM(I83:I97)</f>
        <v>140572310</v>
      </c>
      <c r="J82" s="67">
        <f>SUM(J83:J97)</f>
        <v>7401414</v>
      </c>
      <c r="K82" s="67">
        <f>SUM(K83:K97)</f>
        <v>6758268</v>
      </c>
    </row>
    <row r="83" spans="1:11" s="56" customFormat="1" ht="46.8" x14ac:dyDescent="0.3">
      <c r="A83" s="24" t="s">
        <v>240</v>
      </c>
      <c r="B83" s="24" t="s">
        <v>241</v>
      </c>
      <c r="C83" s="24" t="s">
        <v>242</v>
      </c>
      <c r="D83" s="26" t="s">
        <v>243</v>
      </c>
      <c r="E83" s="105">
        <v>53</v>
      </c>
      <c r="F83" s="23" t="s">
        <v>238</v>
      </c>
      <c r="G83" s="24" t="s">
        <v>239</v>
      </c>
      <c r="H83" s="72">
        <f>I83+J83</f>
        <v>30000</v>
      </c>
      <c r="I83" s="72">
        <v>30000</v>
      </c>
      <c r="J83" s="67"/>
      <c r="K83" s="67"/>
    </row>
    <row r="84" spans="1:11" s="56" customFormat="1" ht="78" x14ac:dyDescent="0.3">
      <c r="A84" s="24">
        <v>1216011</v>
      </c>
      <c r="B84" s="24">
        <v>6011</v>
      </c>
      <c r="C84" s="31" t="s">
        <v>257</v>
      </c>
      <c r="D84" s="26" t="s">
        <v>258</v>
      </c>
      <c r="E84" s="105">
        <v>40</v>
      </c>
      <c r="F84" s="70" t="s">
        <v>259</v>
      </c>
      <c r="G84" s="24" t="s">
        <v>260</v>
      </c>
      <c r="H84" s="72">
        <f>I84+J84</f>
        <v>3044185</v>
      </c>
      <c r="I84" s="72"/>
      <c r="J84" s="72">
        <v>3044185</v>
      </c>
      <c r="K84" s="72">
        <v>3044185</v>
      </c>
    </row>
    <row r="85" spans="1:11" s="56" customFormat="1" ht="52.95" customHeight="1" x14ac:dyDescent="0.3">
      <c r="A85" s="24">
        <v>1216011</v>
      </c>
      <c r="B85" s="24">
        <v>6011</v>
      </c>
      <c r="C85" s="31" t="s">
        <v>257</v>
      </c>
      <c r="D85" s="26" t="s">
        <v>258</v>
      </c>
      <c r="E85" s="105">
        <v>5</v>
      </c>
      <c r="F85" s="77" t="s">
        <v>222</v>
      </c>
      <c r="G85" s="71" t="s">
        <v>183</v>
      </c>
      <c r="H85" s="72">
        <f t="shared" ref="H85:H90" si="10">I85+J85</f>
        <v>979196</v>
      </c>
      <c r="I85" s="72">
        <v>319069</v>
      </c>
      <c r="J85" s="72">
        <f>660127</f>
        <v>660127</v>
      </c>
      <c r="K85" s="72">
        <f>660127</f>
        <v>660127</v>
      </c>
    </row>
    <row r="86" spans="1:11" s="36" customFormat="1" ht="105.6" x14ac:dyDescent="0.3">
      <c r="A86" s="24">
        <v>1216011</v>
      </c>
      <c r="B86" s="24">
        <v>6011</v>
      </c>
      <c r="C86" s="31" t="s">
        <v>257</v>
      </c>
      <c r="D86" s="26" t="s">
        <v>258</v>
      </c>
      <c r="E86" s="105">
        <v>59</v>
      </c>
      <c r="F86" s="84" t="s">
        <v>300</v>
      </c>
      <c r="G86" s="24" t="s">
        <v>302</v>
      </c>
      <c r="H86" s="48">
        <f t="shared" si="10"/>
        <v>325175</v>
      </c>
      <c r="I86" s="48"/>
      <c r="J86" s="48">
        <v>325175</v>
      </c>
      <c r="K86" s="48">
        <v>325175</v>
      </c>
    </row>
    <row r="87" spans="1:11" s="36" customFormat="1" ht="46.8" x14ac:dyDescent="0.3">
      <c r="A87" s="24">
        <v>1216013</v>
      </c>
      <c r="B87" s="24">
        <v>6013</v>
      </c>
      <c r="C87" s="31" t="s">
        <v>20</v>
      </c>
      <c r="D87" s="26" t="s">
        <v>270</v>
      </c>
      <c r="E87" s="105"/>
      <c r="F87" s="77" t="s">
        <v>222</v>
      </c>
      <c r="G87" s="71" t="s">
        <v>183</v>
      </c>
      <c r="H87" s="48">
        <f t="shared" si="10"/>
        <v>1244281</v>
      </c>
      <c r="I87" s="48"/>
      <c r="J87" s="48">
        <v>1244281</v>
      </c>
      <c r="K87" s="48">
        <v>1244281</v>
      </c>
    </row>
    <row r="88" spans="1:11" s="55" customFormat="1" ht="46.8" x14ac:dyDescent="0.3">
      <c r="A88" s="68" t="s">
        <v>116</v>
      </c>
      <c r="B88" s="68" t="s">
        <v>117</v>
      </c>
      <c r="C88" s="68" t="s">
        <v>20</v>
      </c>
      <c r="D88" s="75" t="s">
        <v>118</v>
      </c>
      <c r="E88" s="112">
        <v>9</v>
      </c>
      <c r="F88" s="23" t="s">
        <v>210</v>
      </c>
      <c r="G88" s="24" t="s">
        <v>204</v>
      </c>
      <c r="H88" s="72">
        <f t="shared" si="10"/>
        <v>300000</v>
      </c>
      <c r="I88" s="72">
        <v>300000</v>
      </c>
      <c r="J88" s="72"/>
      <c r="K88" s="72"/>
    </row>
    <row r="89" spans="1:11" s="55" customFormat="1" ht="78" x14ac:dyDescent="0.3">
      <c r="A89" s="68" t="s">
        <v>116</v>
      </c>
      <c r="B89" s="68" t="s">
        <v>117</v>
      </c>
      <c r="C89" s="68" t="s">
        <v>20</v>
      </c>
      <c r="D89" s="75" t="s">
        <v>118</v>
      </c>
      <c r="E89" s="112">
        <v>40</v>
      </c>
      <c r="F89" s="70" t="s">
        <v>259</v>
      </c>
      <c r="G89" s="24" t="s">
        <v>260</v>
      </c>
      <c r="H89" s="72">
        <f t="shared" si="10"/>
        <v>495000</v>
      </c>
      <c r="I89" s="72"/>
      <c r="J89" s="72">
        <v>495000</v>
      </c>
      <c r="K89" s="72">
        <v>495000</v>
      </c>
    </row>
    <row r="90" spans="1:11" s="55" customFormat="1" ht="46.8" x14ac:dyDescent="0.3">
      <c r="A90" s="68" t="s">
        <v>31</v>
      </c>
      <c r="B90" s="68" t="s">
        <v>56</v>
      </c>
      <c r="C90" s="68" t="s">
        <v>20</v>
      </c>
      <c r="D90" s="69" t="s">
        <v>57</v>
      </c>
      <c r="E90" s="113">
        <v>5</v>
      </c>
      <c r="F90" s="77" t="s">
        <v>222</v>
      </c>
      <c r="G90" s="71" t="s">
        <v>183</v>
      </c>
      <c r="H90" s="72">
        <f t="shared" si="10"/>
        <v>1493000</v>
      </c>
      <c r="I90" s="72">
        <v>1493000</v>
      </c>
      <c r="J90" s="72"/>
      <c r="K90" s="72"/>
    </row>
    <row r="91" spans="1:11" s="55" customFormat="1" ht="46.8" x14ac:dyDescent="0.3">
      <c r="A91" s="68" t="s">
        <v>19</v>
      </c>
      <c r="B91" s="68" t="s">
        <v>55</v>
      </c>
      <c r="C91" s="68" t="s">
        <v>20</v>
      </c>
      <c r="D91" s="76" t="s">
        <v>30</v>
      </c>
      <c r="E91" s="112">
        <v>5</v>
      </c>
      <c r="F91" s="77" t="s">
        <v>222</v>
      </c>
      <c r="G91" s="71" t="s">
        <v>183</v>
      </c>
      <c r="H91" s="72">
        <f t="shared" ref="H91:H94" si="11">I91+J91</f>
        <v>75429500</v>
      </c>
      <c r="I91" s="72">
        <f>74060000-50000+30000+550000</f>
        <v>74590000</v>
      </c>
      <c r="J91" s="72">
        <f>839500+550000-550000</f>
        <v>839500</v>
      </c>
      <c r="K91" s="72">
        <f>839500+550000-550000</f>
        <v>839500</v>
      </c>
    </row>
    <row r="92" spans="1:11" s="55" customFormat="1" ht="46.8" x14ac:dyDescent="0.3">
      <c r="A92" s="68" t="s">
        <v>33</v>
      </c>
      <c r="B92" s="68" t="s">
        <v>58</v>
      </c>
      <c r="C92" s="68" t="s">
        <v>32</v>
      </c>
      <c r="D92" s="69" t="s">
        <v>34</v>
      </c>
      <c r="E92" s="113">
        <v>5</v>
      </c>
      <c r="F92" s="77" t="s">
        <v>222</v>
      </c>
      <c r="G92" s="71" t="s">
        <v>183</v>
      </c>
      <c r="H92" s="72">
        <f t="shared" si="11"/>
        <v>25700000</v>
      </c>
      <c r="I92" s="72">
        <v>25700000</v>
      </c>
      <c r="J92" s="72"/>
      <c r="K92" s="72"/>
    </row>
    <row r="93" spans="1:11" s="55" customFormat="1" ht="109.2" x14ac:dyDescent="0.3">
      <c r="A93" s="68" t="s">
        <v>261</v>
      </c>
      <c r="B93" s="68" t="s">
        <v>262</v>
      </c>
      <c r="C93" s="31" t="s">
        <v>21</v>
      </c>
      <c r="D93" s="26" t="s">
        <v>263</v>
      </c>
      <c r="E93" s="105">
        <v>40</v>
      </c>
      <c r="F93" s="70" t="s">
        <v>259</v>
      </c>
      <c r="G93" s="24" t="s">
        <v>260</v>
      </c>
      <c r="H93" s="72">
        <f t="shared" si="11"/>
        <v>393146</v>
      </c>
      <c r="I93" s="72"/>
      <c r="J93" s="72">
        <v>393146</v>
      </c>
      <c r="K93" s="72"/>
    </row>
    <row r="94" spans="1:11" s="55" customFormat="1" ht="46.8" x14ac:dyDescent="0.3">
      <c r="A94" s="68" t="s">
        <v>187</v>
      </c>
      <c r="B94" s="68" t="s">
        <v>35</v>
      </c>
      <c r="C94" s="68" t="s">
        <v>21</v>
      </c>
      <c r="D94" s="75" t="s">
        <v>53</v>
      </c>
      <c r="E94" s="112">
        <v>51</v>
      </c>
      <c r="F94" s="70" t="s">
        <v>223</v>
      </c>
      <c r="G94" s="24" t="s">
        <v>235</v>
      </c>
      <c r="H94" s="72">
        <f t="shared" si="11"/>
        <v>36119300</v>
      </c>
      <c r="I94" s="72">
        <f>31215000+3554300+1350000</f>
        <v>36119300</v>
      </c>
      <c r="J94" s="72"/>
      <c r="K94" s="72"/>
    </row>
    <row r="95" spans="1:11" s="55" customFormat="1" ht="46.8" x14ac:dyDescent="0.3">
      <c r="A95" s="71">
        <v>1218110</v>
      </c>
      <c r="B95" s="71">
        <v>8110</v>
      </c>
      <c r="C95" s="73" t="s">
        <v>164</v>
      </c>
      <c r="D95" s="74" t="s">
        <v>165</v>
      </c>
      <c r="E95" s="114">
        <v>17</v>
      </c>
      <c r="F95" s="70" t="s">
        <v>155</v>
      </c>
      <c r="G95" s="71" t="s">
        <v>175</v>
      </c>
      <c r="H95" s="72">
        <f>I95+J95</f>
        <v>2158241</v>
      </c>
      <c r="I95" s="72">
        <f>835000+552900+58341+62000+500000</f>
        <v>2008241</v>
      </c>
      <c r="J95" s="72">
        <v>150000</v>
      </c>
      <c r="K95" s="72">
        <v>150000</v>
      </c>
    </row>
    <row r="96" spans="1:11" s="55" customFormat="1" ht="109.2" x14ac:dyDescent="0.3">
      <c r="A96" s="21" t="s">
        <v>249</v>
      </c>
      <c r="B96" s="21" t="s">
        <v>157</v>
      </c>
      <c r="C96" s="21" t="s">
        <v>85</v>
      </c>
      <c r="D96" s="29" t="s">
        <v>158</v>
      </c>
      <c r="E96" s="108">
        <v>52</v>
      </c>
      <c r="F96" s="26" t="s">
        <v>296</v>
      </c>
      <c r="G96" s="24" t="s">
        <v>237</v>
      </c>
      <c r="H96" s="72">
        <f>I96+J96</f>
        <v>12700</v>
      </c>
      <c r="I96" s="72">
        <v>12700</v>
      </c>
      <c r="J96" s="72"/>
      <c r="K96" s="72"/>
    </row>
    <row r="97" spans="1:11" s="25" customFormat="1" ht="90" x14ac:dyDescent="0.3">
      <c r="A97" s="21" t="s">
        <v>303</v>
      </c>
      <c r="B97" s="21" t="s">
        <v>304</v>
      </c>
      <c r="C97" s="24" t="s">
        <v>305</v>
      </c>
      <c r="D97" s="26" t="s">
        <v>306</v>
      </c>
      <c r="E97" s="99">
        <v>56</v>
      </c>
      <c r="F97" s="83" t="s">
        <v>299</v>
      </c>
      <c r="G97" s="24" t="s">
        <v>301</v>
      </c>
      <c r="H97" s="48">
        <f>I97+J97</f>
        <v>250000</v>
      </c>
      <c r="I97" s="48"/>
      <c r="J97" s="48">
        <v>250000</v>
      </c>
      <c r="K97" s="48"/>
    </row>
    <row r="98" spans="1:11" s="25" customFormat="1" ht="30" customHeight="1" x14ac:dyDescent="0.3">
      <c r="A98" s="34" t="s">
        <v>264</v>
      </c>
      <c r="B98" s="34"/>
      <c r="C98" s="34"/>
      <c r="D98" s="125" t="s">
        <v>266</v>
      </c>
      <c r="E98" s="126"/>
      <c r="F98" s="127"/>
      <c r="G98" s="35"/>
      <c r="H98" s="47">
        <f>H99</f>
        <v>128405476</v>
      </c>
      <c r="I98" s="47">
        <f>I99</f>
        <v>0</v>
      </c>
      <c r="J98" s="47">
        <f>J99</f>
        <v>128405476</v>
      </c>
      <c r="K98" s="47">
        <f>K99</f>
        <v>128405476</v>
      </c>
    </row>
    <row r="99" spans="1:11" s="36" customFormat="1" ht="30" customHeight="1" x14ac:dyDescent="0.3">
      <c r="A99" s="34" t="s">
        <v>265</v>
      </c>
      <c r="B99" s="34"/>
      <c r="C99" s="34"/>
      <c r="D99" s="125" t="s">
        <v>266</v>
      </c>
      <c r="E99" s="126"/>
      <c r="F99" s="127"/>
      <c r="G99" s="35"/>
      <c r="H99" s="47">
        <f>SUM(H100:H111)</f>
        <v>128405476</v>
      </c>
      <c r="I99" s="47">
        <f t="shared" ref="I99:K99" si="12">SUM(I100:I111)</f>
        <v>0</v>
      </c>
      <c r="J99" s="47">
        <f t="shared" si="12"/>
        <v>128405476</v>
      </c>
      <c r="K99" s="47">
        <f t="shared" si="12"/>
        <v>128405476</v>
      </c>
    </row>
    <row r="100" spans="1:11" s="55" customFormat="1" ht="46.8" x14ac:dyDescent="0.3">
      <c r="A100" s="21" t="s">
        <v>267</v>
      </c>
      <c r="B100" s="21" t="s">
        <v>65</v>
      </c>
      <c r="C100" s="21" t="s">
        <v>66</v>
      </c>
      <c r="D100" s="22" t="s">
        <v>67</v>
      </c>
      <c r="E100" s="104">
        <v>15</v>
      </c>
      <c r="F100" s="23" t="s">
        <v>229</v>
      </c>
      <c r="G100" s="24" t="s">
        <v>172</v>
      </c>
      <c r="H100" s="72">
        <f t="shared" ref="H100:H111" si="13">I100+J100</f>
        <v>1175627</v>
      </c>
      <c r="I100" s="72"/>
      <c r="J100" s="72">
        <f>1205627-30000</f>
        <v>1175627</v>
      </c>
      <c r="K100" s="72">
        <f>1205627-30000</f>
        <v>1175627</v>
      </c>
    </row>
    <row r="101" spans="1:11" s="55" customFormat="1" ht="46.8" x14ac:dyDescent="0.3">
      <c r="A101" s="21" t="s">
        <v>268</v>
      </c>
      <c r="B101" s="21" t="s">
        <v>269</v>
      </c>
      <c r="C101" s="31" t="s">
        <v>20</v>
      </c>
      <c r="D101" s="26" t="s">
        <v>270</v>
      </c>
      <c r="E101" s="105">
        <v>5</v>
      </c>
      <c r="F101" s="77" t="s">
        <v>222</v>
      </c>
      <c r="G101" s="71" t="s">
        <v>183</v>
      </c>
      <c r="H101" s="72">
        <f t="shared" si="13"/>
        <v>382750</v>
      </c>
      <c r="I101" s="72"/>
      <c r="J101" s="72">
        <v>382750</v>
      </c>
      <c r="K101" s="72">
        <v>382750</v>
      </c>
    </row>
    <row r="102" spans="1:11" s="55" customFormat="1" ht="46.8" x14ac:dyDescent="0.3">
      <c r="A102" s="21" t="s">
        <v>271</v>
      </c>
      <c r="B102" s="21" t="s">
        <v>117</v>
      </c>
      <c r="C102" s="68" t="s">
        <v>20</v>
      </c>
      <c r="D102" s="75" t="s">
        <v>118</v>
      </c>
      <c r="E102" s="112">
        <v>9</v>
      </c>
      <c r="F102" s="23" t="s">
        <v>210</v>
      </c>
      <c r="G102" s="24" t="s">
        <v>204</v>
      </c>
      <c r="H102" s="72">
        <f t="shared" si="13"/>
        <v>23415217</v>
      </c>
      <c r="I102" s="72"/>
      <c r="J102" s="72">
        <v>23415217</v>
      </c>
      <c r="K102" s="72">
        <v>23415217</v>
      </c>
    </row>
    <row r="103" spans="1:11" s="25" customFormat="1" ht="90" x14ac:dyDescent="0.3">
      <c r="A103" s="21" t="s">
        <v>272</v>
      </c>
      <c r="B103" s="21" t="s">
        <v>273</v>
      </c>
      <c r="C103" s="31" t="s">
        <v>20</v>
      </c>
      <c r="D103" s="26" t="s">
        <v>274</v>
      </c>
      <c r="E103" s="105">
        <v>56</v>
      </c>
      <c r="F103" s="84" t="s">
        <v>299</v>
      </c>
      <c r="G103" s="24" t="s">
        <v>301</v>
      </c>
      <c r="H103" s="48">
        <f t="shared" si="13"/>
        <v>1194873</v>
      </c>
      <c r="I103" s="48"/>
      <c r="J103" s="48">
        <f>2439154-1244281</f>
        <v>1194873</v>
      </c>
      <c r="K103" s="48">
        <f>2439154-1244281</f>
        <v>1194873</v>
      </c>
    </row>
    <row r="104" spans="1:11" s="55" customFormat="1" ht="46.8" x14ac:dyDescent="0.3">
      <c r="A104" s="21" t="s">
        <v>276</v>
      </c>
      <c r="B104" s="21" t="s">
        <v>277</v>
      </c>
      <c r="C104" s="73" t="s">
        <v>194</v>
      </c>
      <c r="D104" s="95" t="s">
        <v>275</v>
      </c>
      <c r="E104" s="114">
        <v>5</v>
      </c>
      <c r="F104" s="70" t="s">
        <v>222</v>
      </c>
      <c r="G104" s="71" t="s">
        <v>183</v>
      </c>
      <c r="H104" s="72">
        <f t="shared" si="13"/>
        <v>19000000</v>
      </c>
      <c r="I104" s="72"/>
      <c r="J104" s="72">
        <v>19000000</v>
      </c>
      <c r="K104" s="72">
        <v>19000000</v>
      </c>
    </row>
    <row r="105" spans="1:11" s="55" customFormat="1" ht="46.8" x14ac:dyDescent="0.3">
      <c r="A105" s="21" t="s">
        <v>293</v>
      </c>
      <c r="B105" s="21" t="s">
        <v>294</v>
      </c>
      <c r="C105" s="31" t="s">
        <v>21</v>
      </c>
      <c r="D105" s="26" t="s">
        <v>295</v>
      </c>
      <c r="E105" s="117">
        <v>17</v>
      </c>
      <c r="F105" s="23" t="s">
        <v>163</v>
      </c>
      <c r="G105" s="24" t="s">
        <v>175</v>
      </c>
      <c r="H105" s="72">
        <f t="shared" si="13"/>
        <v>26491442</v>
      </c>
      <c r="I105" s="72"/>
      <c r="J105" s="72">
        <v>26491442</v>
      </c>
      <c r="K105" s="72">
        <v>26491442</v>
      </c>
    </row>
    <row r="106" spans="1:11" s="55" customFormat="1" ht="62.4" x14ac:dyDescent="0.3">
      <c r="A106" s="71">
        <v>1517370</v>
      </c>
      <c r="B106" s="71">
        <v>7370</v>
      </c>
      <c r="C106" s="73" t="s">
        <v>21</v>
      </c>
      <c r="D106" s="74" t="s">
        <v>278</v>
      </c>
      <c r="E106" s="114">
        <v>20</v>
      </c>
      <c r="F106" s="70" t="s">
        <v>280</v>
      </c>
      <c r="G106" s="71" t="s">
        <v>279</v>
      </c>
      <c r="H106" s="72">
        <f t="shared" si="13"/>
        <v>27585022</v>
      </c>
      <c r="I106" s="72"/>
      <c r="J106" s="72">
        <f>7664771+2000000+17920251</f>
        <v>27585022</v>
      </c>
      <c r="K106" s="72">
        <f>7664771+2000000+17920251</f>
        <v>27585022</v>
      </c>
    </row>
    <row r="107" spans="1:11" s="55" customFormat="1" ht="46.8" x14ac:dyDescent="0.3">
      <c r="A107" s="68" t="s">
        <v>281</v>
      </c>
      <c r="B107" s="68" t="s">
        <v>282</v>
      </c>
      <c r="C107" s="73" t="s">
        <v>21</v>
      </c>
      <c r="D107" s="74" t="s">
        <v>278</v>
      </c>
      <c r="E107" s="114">
        <v>5</v>
      </c>
      <c r="F107" s="70" t="s">
        <v>222</v>
      </c>
      <c r="G107" s="71" t="s">
        <v>183</v>
      </c>
      <c r="H107" s="72">
        <f t="shared" si="13"/>
        <v>118569</v>
      </c>
      <c r="I107" s="72"/>
      <c r="J107" s="72">
        <v>118569</v>
      </c>
      <c r="K107" s="72">
        <v>118569</v>
      </c>
    </row>
    <row r="108" spans="1:11" s="25" customFormat="1" ht="90" x14ac:dyDescent="0.3">
      <c r="A108" s="21" t="s">
        <v>281</v>
      </c>
      <c r="B108" s="21" t="s">
        <v>282</v>
      </c>
      <c r="C108" s="31" t="s">
        <v>21</v>
      </c>
      <c r="D108" s="122" t="s">
        <v>278</v>
      </c>
      <c r="E108" s="105">
        <v>56</v>
      </c>
      <c r="F108" s="84" t="s">
        <v>299</v>
      </c>
      <c r="G108" s="24" t="s">
        <v>301</v>
      </c>
      <c r="H108" s="48">
        <f t="shared" si="13"/>
        <v>37107</v>
      </c>
      <c r="I108" s="48"/>
      <c r="J108" s="48">
        <v>37107</v>
      </c>
      <c r="K108" s="48">
        <v>37107</v>
      </c>
    </row>
    <row r="109" spans="1:11" s="25" customFormat="1" ht="90" x14ac:dyDescent="0.3">
      <c r="A109" s="24">
        <v>1517640</v>
      </c>
      <c r="B109" s="24">
        <v>7640</v>
      </c>
      <c r="C109" s="31" t="s">
        <v>254</v>
      </c>
      <c r="D109" s="122" t="s">
        <v>255</v>
      </c>
      <c r="E109" s="105">
        <v>56</v>
      </c>
      <c r="F109" s="84" t="s">
        <v>299</v>
      </c>
      <c r="G109" s="24" t="s">
        <v>301</v>
      </c>
      <c r="H109" s="48">
        <f t="shared" si="13"/>
        <v>121222</v>
      </c>
      <c r="I109" s="48"/>
      <c r="J109" s="48">
        <v>121222</v>
      </c>
      <c r="K109" s="48">
        <v>121222</v>
      </c>
    </row>
    <row r="110" spans="1:11" s="55" customFormat="1" ht="46.8" x14ac:dyDescent="0.3">
      <c r="A110" s="71">
        <v>1517640</v>
      </c>
      <c r="B110" s="71">
        <v>7640</v>
      </c>
      <c r="C110" s="73" t="s">
        <v>254</v>
      </c>
      <c r="D110" s="74" t="s">
        <v>255</v>
      </c>
      <c r="E110" s="114">
        <v>15</v>
      </c>
      <c r="F110" s="70" t="s">
        <v>283</v>
      </c>
      <c r="G110" s="71" t="s">
        <v>172</v>
      </c>
      <c r="H110" s="72">
        <f t="shared" si="13"/>
        <v>7598869</v>
      </c>
      <c r="I110" s="72"/>
      <c r="J110" s="72">
        <v>7598869</v>
      </c>
      <c r="K110" s="72">
        <v>7598869</v>
      </c>
    </row>
    <row r="111" spans="1:11" s="55" customFormat="1" ht="46.8" x14ac:dyDescent="0.3">
      <c r="A111" s="71">
        <v>1518110</v>
      </c>
      <c r="B111" s="71">
        <v>8110</v>
      </c>
      <c r="C111" s="73" t="s">
        <v>164</v>
      </c>
      <c r="D111" s="74" t="s">
        <v>165</v>
      </c>
      <c r="E111" s="114">
        <v>17</v>
      </c>
      <c r="F111" s="70" t="s">
        <v>155</v>
      </c>
      <c r="G111" s="71" t="s">
        <v>175</v>
      </c>
      <c r="H111" s="72">
        <f t="shared" si="13"/>
        <v>21284778</v>
      </c>
      <c r="I111" s="72"/>
      <c r="J111" s="72">
        <f>22333778-1000000-49000</f>
        <v>21284778</v>
      </c>
      <c r="K111" s="72">
        <f>22333778-1000000-49000</f>
        <v>21284778</v>
      </c>
    </row>
    <row r="112" spans="1:11" s="25" customFormat="1" ht="30" customHeight="1" x14ac:dyDescent="0.3">
      <c r="A112" s="34" t="s">
        <v>39</v>
      </c>
      <c r="B112" s="34"/>
      <c r="C112" s="34"/>
      <c r="D112" s="150" t="s">
        <v>151</v>
      </c>
      <c r="E112" s="150"/>
      <c r="F112" s="150"/>
      <c r="G112" s="35"/>
      <c r="H112" s="47">
        <f>H113</f>
        <v>20118300</v>
      </c>
      <c r="I112" s="47">
        <f>I113</f>
        <v>20118300</v>
      </c>
      <c r="J112" s="47">
        <f>J113</f>
        <v>0</v>
      </c>
      <c r="K112" s="47">
        <f>K113</f>
        <v>0</v>
      </c>
    </row>
    <row r="113" spans="1:11" s="36" customFormat="1" ht="30" customHeight="1" x14ac:dyDescent="0.3">
      <c r="A113" s="34" t="s">
        <v>40</v>
      </c>
      <c r="B113" s="34"/>
      <c r="C113" s="34"/>
      <c r="D113" s="125" t="s">
        <v>151</v>
      </c>
      <c r="E113" s="126"/>
      <c r="F113" s="127"/>
      <c r="G113" s="35"/>
      <c r="H113" s="47">
        <f>SUM(H114:H116)</f>
        <v>20118300</v>
      </c>
      <c r="I113" s="47">
        <f>SUM(I114:I116)</f>
        <v>20118300</v>
      </c>
      <c r="J113" s="47">
        <f>SUM(J114:J116)</f>
        <v>0</v>
      </c>
      <c r="K113" s="47">
        <f>SUM(K114:K116)</f>
        <v>0</v>
      </c>
    </row>
    <row r="114" spans="1:11" s="36" customFormat="1" ht="109.2" x14ac:dyDescent="0.3">
      <c r="A114" s="21" t="s">
        <v>205</v>
      </c>
      <c r="B114" s="21" t="s">
        <v>206</v>
      </c>
      <c r="C114" s="21" t="s">
        <v>194</v>
      </c>
      <c r="D114" s="26" t="s">
        <v>207</v>
      </c>
      <c r="E114" s="105">
        <v>45</v>
      </c>
      <c r="F114" s="26" t="s">
        <v>209</v>
      </c>
      <c r="G114" s="33" t="s">
        <v>236</v>
      </c>
      <c r="H114" s="48">
        <f>I114+J114</f>
        <v>1500000</v>
      </c>
      <c r="I114" s="48">
        <v>1500000</v>
      </c>
      <c r="J114" s="48">
        <f>K114</f>
        <v>0</v>
      </c>
      <c r="K114" s="48"/>
    </row>
    <row r="115" spans="1:11" s="36" customFormat="1" ht="46.8" x14ac:dyDescent="0.3">
      <c r="A115" s="21" t="s">
        <v>41</v>
      </c>
      <c r="B115" s="21" t="s">
        <v>35</v>
      </c>
      <c r="C115" s="21" t="s">
        <v>21</v>
      </c>
      <c r="D115" s="37" t="s">
        <v>53</v>
      </c>
      <c r="E115" s="99">
        <v>51</v>
      </c>
      <c r="F115" s="23" t="s">
        <v>223</v>
      </c>
      <c r="G115" s="24" t="s">
        <v>235</v>
      </c>
      <c r="H115" s="48">
        <f>I115+J115</f>
        <v>18468300</v>
      </c>
      <c r="I115" s="48">
        <f>18281300+187000</f>
        <v>18468300</v>
      </c>
      <c r="J115" s="48"/>
      <c r="K115" s="48"/>
    </row>
    <row r="116" spans="1:11" s="25" customFormat="1" ht="109.2" x14ac:dyDescent="0.3">
      <c r="A116" s="21" t="s">
        <v>190</v>
      </c>
      <c r="B116" s="21" t="s">
        <v>157</v>
      </c>
      <c r="C116" s="21" t="s">
        <v>85</v>
      </c>
      <c r="D116" s="29" t="s">
        <v>158</v>
      </c>
      <c r="E116" s="108">
        <v>52</v>
      </c>
      <c r="F116" s="26" t="s">
        <v>296</v>
      </c>
      <c r="G116" s="24" t="s">
        <v>237</v>
      </c>
      <c r="H116" s="48">
        <f>I116+J116</f>
        <v>150000</v>
      </c>
      <c r="I116" s="48">
        <v>150000</v>
      </c>
      <c r="J116" s="48"/>
      <c r="K116" s="48"/>
    </row>
    <row r="117" spans="1:11" s="25" customFormat="1" ht="15.6" x14ac:dyDescent="0.3">
      <c r="A117" s="34" t="s">
        <v>193</v>
      </c>
      <c r="B117" s="34"/>
      <c r="C117" s="34"/>
      <c r="D117" s="125" t="s">
        <v>191</v>
      </c>
      <c r="E117" s="126"/>
      <c r="F117" s="127"/>
      <c r="G117" s="24"/>
      <c r="H117" s="47">
        <f>H118</f>
        <v>52685281</v>
      </c>
      <c r="I117" s="47">
        <f>I118</f>
        <v>16082514</v>
      </c>
      <c r="J117" s="47">
        <f>J118</f>
        <v>36602767</v>
      </c>
      <c r="K117" s="47">
        <f>K118</f>
        <v>36602767</v>
      </c>
    </row>
    <row r="118" spans="1:11" s="25" customFormat="1" ht="15.6" x14ac:dyDescent="0.3">
      <c r="A118" s="34" t="s">
        <v>192</v>
      </c>
      <c r="B118" s="34"/>
      <c r="C118" s="34"/>
      <c r="D118" s="125" t="s">
        <v>191</v>
      </c>
      <c r="E118" s="126"/>
      <c r="F118" s="127"/>
      <c r="G118" s="24"/>
      <c r="H118" s="47">
        <f>SUM(H119:H128)</f>
        <v>52685281</v>
      </c>
      <c r="I118" s="47">
        <f t="shared" ref="I118:K118" si="14">SUM(I119:I128)</f>
        <v>16082514</v>
      </c>
      <c r="J118" s="47">
        <f t="shared" si="14"/>
        <v>36602767</v>
      </c>
      <c r="K118" s="47">
        <f t="shared" si="14"/>
        <v>36602767</v>
      </c>
    </row>
    <row r="119" spans="1:11" s="25" customFormat="1" ht="93.6" x14ac:dyDescent="0.3">
      <c r="A119" s="24">
        <v>3719770</v>
      </c>
      <c r="B119" s="60">
        <v>9770</v>
      </c>
      <c r="C119" s="31" t="s">
        <v>128</v>
      </c>
      <c r="D119" s="26" t="s">
        <v>218</v>
      </c>
      <c r="E119" s="115">
        <v>54</v>
      </c>
      <c r="F119" s="23" t="s">
        <v>228</v>
      </c>
      <c r="G119" s="24" t="s">
        <v>244</v>
      </c>
      <c r="H119" s="48">
        <f t="shared" ref="H119:H128" si="15">I119+J119</f>
        <v>1570500</v>
      </c>
      <c r="I119" s="48">
        <f>1261500+309000</f>
        <v>1570500</v>
      </c>
      <c r="J119" s="48"/>
      <c r="K119" s="48"/>
    </row>
    <row r="120" spans="1:11" s="25" customFormat="1" ht="31.2" x14ac:dyDescent="0.3">
      <c r="A120" s="24">
        <v>3719770</v>
      </c>
      <c r="B120" s="60">
        <v>9770</v>
      </c>
      <c r="C120" s="31" t="s">
        <v>128</v>
      </c>
      <c r="D120" s="26" t="s">
        <v>208</v>
      </c>
      <c r="E120" s="105">
        <v>55</v>
      </c>
      <c r="F120" s="26" t="s">
        <v>231</v>
      </c>
      <c r="G120" s="33" t="s">
        <v>245</v>
      </c>
      <c r="H120" s="48">
        <f t="shared" si="15"/>
        <v>300000</v>
      </c>
      <c r="I120" s="48">
        <v>300000</v>
      </c>
      <c r="J120" s="48"/>
      <c r="K120" s="48"/>
    </row>
    <row r="121" spans="1:11" s="25" customFormat="1" ht="46.8" x14ac:dyDescent="0.3">
      <c r="A121" s="24">
        <v>3719770</v>
      </c>
      <c r="B121" s="60">
        <v>9770</v>
      </c>
      <c r="C121" s="31" t="s">
        <v>128</v>
      </c>
      <c r="D121" s="26" t="s">
        <v>218</v>
      </c>
      <c r="E121" s="105">
        <v>14</v>
      </c>
      <c r="F121" s="23" t="s">
        <v>78</v>
      </c>
      <c r="G121" s="24" t="s">
        <v>174</v>
      </c>
      <c r="H121" s="48">
        <f t="shared" si="15"/>
        <v>2237000</v>
      </c>
      <c r="I121" s="48">
        <v>2237000</v>
      </c>
      <c r="J121" s="48"/>
      <c r="K121" s="48"/>
    </row>
    <row r="122" spans="1:11" s="25" customFormat="1" ht="46.8" x14ac:dyDescent="0.3">
      <c r="A122" s="24">
        <v>3719770</v>
      </c>
      <c r="B122" s="60">
        <v>9770</v>
      </c>
      <c r="C122" s="31" t="s">
        <v>128</v>
      </c>
      <c r="D122" s="26" t="s">
        <v>208</v>
      </c>
      <c r="E122" s="117">
        <v>30</v>
      </c>
      <c r="F122" s="23" t="s">
        <v>162</v>
      </c>
      <c r="G122" s="24" t="s">
        <v>188</v>
      </c>
      <c r="H122" s="48">
        <f t="shared" si="15"/>
        <v>300000</v>
      </c>
      <c r="I122" s="48">
        <v>300000</v>
      </c>
      <c r="J122" s="48"/>
      <c r="K122" s="48"/>
    </row>
    <row r="123" spans="1:11" s="25" customFormat="1" ht="62.4" x14ac:dyDescent="0.3">
      <c r="A123" s="24">
        <v>3719770</v>
      </c>
      <c r="B123" s="60">
        <v>9770</v>
      </c>
      <c r="C123" s="31" t="s">
        <v>128</v>
      </c>
      <c r="D123" s="26" t="s">
        <v>208</v>
      </c>
      <c r="E123" s="119">
        <v>50</v>
      </c>
      <c r="F123" s="84" t="s">
        <v>284</v>
      </c>
      <c r="G123" s="24" t="s">
        <v>285</v>
      </c>
      <c r="H123" s="48">
        <f t="shared" si="15"/>
        <v>1800000</v>
      </c>
      <c r="I123" s="48"/>
      <c r="J123" s="48">
        <v>1800000</v>
      </c>
      <c r="K123" s="48">
        <v>1800000</v>
      </c>
    </row>
    <row r="124" spans="1:11" s="25" customFormat="1" ht="109.2" x14ac:dyDescent="0.3">
      <c r="A124" s="21" t="s">
        <v>246</v>
      </c>
      <c r="B124" s="24" t="s">
        <v>247</v>
      </c>
      <c r="C124" s="82" t="s">
        <v>128</v>
      </c>
      <c r="D124" s="83" t="s">
        <v>248</v>
      </c>
      <c r="E124" s="116">
        <v>52</v>
      </c>
      <c r="F124" s="26" t="s">
        <v>296</v>
      </c>
      <c r="G124" s="24" t="s">
        <v>237</v>
      </c>
      <c r="H124" s="48">
        <f t="shared" si="15"/>
        <v>32801381</v>
      </c>
      <c r="I124" s="48">
        <f>190000+1000000+1835334+1000000+2000000+295600+2377680</f>
        <v>8698614</v>
      </c>
      <c r="J124" s="48">
        <f>1300000+6800000+1902000+4750000+1943963+2204400+5202404</f>
        <v>24102767</v>
      </c>
      <c r="K124" s="48">
        <f>1300000+6800000+1902000+4750000+1943963+2204400+5202404</f>
        <v>24102767</v>
      </c>
    </row>
    <row r="125" spans="1:11" s="25" customFormat="1" ht="62.4" x14ac:dyDescent="0.3">
      <c r="A125" s="21" t="s">
        <v>246</v>
      </c>
      <c r="B125" s="24" t="s">
        <v>247</v>
      </c>
      <c r="C125" s="82" t="s">
        <v>128</v>
      </c>
      <c r="D125" s="83" t="s">
        <v>248</v>
      </c>
      <c r="E125" s="116">
        <v>50</v>
      </c>
      <c r="F125" s="84" t="s">
        <v>284</v>
      </c>
      <c r="G125" s="24" t="s">
        <v>285</v>
      </c>
      <c r="H125" s="48">
        <f t="shared" si="15"/>
        <v>8200000</v>
      </c>
      <c r="I125" s="48"/>
      <c r="J125" s="48">
        <f>5000000+3200000</f>
        <v>8200000</v>
      </c>
      <c r="K125" s="48">
        <f>5000000+3200000</f>
        <v>8200000</v>
      </c>
    </row>
    <row r="126" spans="1:11" s="25" customFormat="1" ht="46.8" x14ac:dyDescent="0.3">
      <c r="A126" s="21" t="s">
        <v>246</v>
      </c>
      <c r="B126" s="24" t="s">
        <v>247</v>
      </c>
      <c r="C126" s="82" t="s">
        <v>128</v>
      </c>
      <c r="D126" s="83" t="s">
        <v>248</v>
      </c>
      <c r="E126" s="116">
        <v>57</v>
      </c>
      <c r="F126" s="84" t="s">
        <v>286</v>
      </c>
      <c r="G126" s="24" t="s">
        <v>289</v>
      </c>
      <c r="H126" s="48">
        <f t="shared" si="15"/>
        <v>2000000</v>
      </c>
      <c r="I126" s="48">
        <v>2000000</v>
      </c>
      <c r="J126" s="48"/>
      <c r="K126" s="48"/>
    </row>
    <row r="127" spans="1:11" s="25" customFormat="1" ht="46.8" x14ac:dyDescent="0.3">
      <c r="A127" s="21" t="s">
        <v>246</v>
      </c>
      <c r="B127" s="24" t="s">
        <v>247</v>
      </c>
      <c r="C127" s="82" t="s">
        <v>128</v>
      </c>
      <c r="D127" s="83" t="s">
        <v>248</v>
      </c>
      <c r="E127" s="116">
        <v>58</v>
      </c>
      <c r="F127" s="84" t="s">
        <v>287</v>
      </c>
      <c r="G127" s="24" t="s">
        <v>290</v>
      </c>
      <c r="H127" s="48">
        <f t="shared" si="15"/>
        <v>2526400</v>
      </c>
      <c r="I127" s="48">
        <f>950000+26400</f>
        <v>976400</v>
      </c>
      <c r="J127" s="48">
        <v>1550000</v>
      </c>
      <c r="K127" s="48">
        <v>1550000</v>
      </c>
    </row>
    <row r="128" spans="1:11" s="25" customFormat="1" ht="46.8" x14ac:dyDescent="0.3">
      <c r="A128" s="21" t="s">
        <v>246</v>
      </c>
      <c r="B128" s="24" t="s">
        <v>247</v>
      </c>
      <c r="C128" s="82" t="s">
        <v>128</v>
      </c>
      <c r="D128" s="83" t="s">
        <v>248</v>
      </c>
      <c r="E128" s="117">
        <v>17</v>
      </c>
      <c r="F128" s="23" t="s">
        <v>163</v>
      </c>
      <c r="G128" s="24" t="s">
        <v>175</v>
      </c>
      <c r="H128" s="48">
        <f t="shared" si="15"/>
        <v>950000</v>
      </c>
      <c r="I128" s="48"/>
      <c r="J128" s="48">
        <v>950000</v>
      </c>
      <c r="K128" s="48">
        <v>950000</v>
      </c>
    </row>
    <row r="129" spans="1:11" s="97" customFormat="1" ht="18" x14ac:dyDescent="0.35">
      <c r="A129" s="96"/>
      <c r="B129" s="96"/>
      <c r="C129" s="96"/>
      <c r="D129" s="147" t="s">
        <v>232</v>
      </c>
      <c r="E129" s="148"/>
      <c r="F129" s="149"/>
      <c r="G129" s="96"/>
      <c r="H129" s="80">
        <f>H16+H31+H47+H61+H64+H73+H81+H98+H112+H117</f>
        <v>505046395</v>
      </c>
      <c r="I129" s="80">
        <f>I16+I31+I47+I61+I64+I73+I81+I98+I112+I117</f>
        <v>312139039.63999999</v>
      </c>
      <c r="J129" s="80">
        <f>J16+J31+J47+J61+J64+J73+J81+J98+J112+J117</f>
        <v>192907355.36000001</v>
      </c>
      <c r="K129" s="80">
        <f>K16+K31+K47+K61+K64+K73+K81+K98+K112+K117</f>
        <v>191889209.36000001</v>
      </c>
    </row>
    <row r="130" spans="1:11" s="36" customFormat="1" ht="46.8" x14ac:dyDescent="0.3">
      <c r="A130" s="24">
        <v>1</v>
      </c>
      <c r="B130" s="61"/>
      <c r="C130" s="61"/>
      <c r="D130" s="62"/>
      <c r="E130" s="117">
        <v>1</v>
      </c>
      <c r="F130" s="23" t="s">
        <v>28</v>
      </c>
      <c r="G130" s="24" t="s">
        <v>181</v>
      </c>
      <c r="H130" s="48">
        <f>H44</f>
        <v>360000</v>
      </c>
      <c r="I130" s="48">
        <f>I44</f>
        <v>360000</v>
      </c>
      <c r="J130" s="48"/>
      <c r="K130" s="48"/>
    </row>
    <row r="131" spans="1:11" s="25" customFormat="1" ht="46.8" x14ac:dyDescent="0.3">
      <c r="A131" s="24">
        <v>2</v>
      </c>
      <c r="B131" s="61"/>
      <c r="C131" s="61"/>
      <c r="D131" s="62"/>
      <c r="E131" s="117">
        <v>5</v>
      </c>
      <c r="F131" s="23" t="s">
        <v>222</v>
      </c>
      <c r="G131" s="24" t="s">
        <v>183</v>
      </c>
      <c r="H131" s="48">
        <f>H85+H87+H90+H91+H92+H101+H104+H107</f>
        <v>124347296</v>
      </c>
      <c r="I131" s="48">
        <f t="shared" ref="I131:K131" si="16">I85+I87+I90+I91+I92+I101+I104+I107</f>
        <v>102102069</v>
      </c>
      <c r="J131" s="48">
        <f t="shared" si="16"/>
        <v>22245227</v>
      </c>
      <c r="K131" s="48">
        <f t="shared" si="16"/>
        <v>22245227</v>
      </c>
    </row>
    <row r="132" spans="1:11" s="25" customFormat="1" ht="46.8" x14ac:dyDescent="0.3">
      <c r="A132" s="24">
        <v>3</v>
      </c>
      <c r="B132" s="61"/>
      <c r="C132" s="61"/>
      <c r="D132" s="62"/>
      <c r="E132" s="117">
        <v>9</v>
      </c>
      <c r="F132" s="23" t="s">
        <v>210</v>
      </c>
      <c r="G132" s="24" t="s">
        <v>204</v>
      </c>
      <c r="H132" s="48">
        <f>H88+H102</f>
        <v>23715217</v>
      </c>
      <c r="I132" s="48">
        <f>I88+I102</f>
        <v>300000</v>
      </c>
      <c r="J132" s="48">
        <f>J88+J102</f>
        <v>23415217</v>
      </c>
      <c r="K132" s="48">
        <f>K88+K102</f>
        <v>23415217</v>
      </c>
    </row>
    <row r="133" spans="1:11" s="25" customFormat="1" ht="62.4" x14ac:dyDescent="0.3">
      <c r="A133" s="24">
        <v>4</v>
      </c>
      <c r="B133" s="61"/>
      <c r="C133" s="61"/>
      <c r="D133" s="62"/>
      <c r="E133" s="117">
        <v>13</v>
      </c>
      <c r="F133" s="23" t="s">
        <v>91</v>
      </c>
      <c r="G133" s="24" t="s">
        <v>182</v>
      </c>
      <c r="H133" s="48">
        <f>H23+H50+H60+H33</f>
        <v>14015400</v>
      </c>
      <c r="I133" s="48">
        <f>I23+I50+I60+I33</f>
        <v>14015400</v>
      </c>
      <c r="J133" s="48">
        <f>J23+J50+J60+J33</f>
        <v>0</v>
      </c>
      <c r="K133" s="48">
        <f>K23+K50+K60+K33</f>
        <v>0</v>
      </c>
    </row>
    <row r="134" spans="1:11" s="25" customFormat="1" ht="46.8" x14ac:dyDescent="0.3">
      <c r="A134" s="24">
        <v>5</v>
      </c>
      <c r="B134" s="61"/>
      <c r="C134" s="61"/>
      <c r="D134" s="62"/>
      <c r="E134" s="117">
        <v>14</v>
      </c>
      <c r="F134" s="23" t="s">
        <v>78</v>
      </c>
      <c r="G134" s="24" t="s">
        <v>174</v>
      </c>
      <c r="H134" s="48">
        <f>H22+H45+H49+H51+H53+H54+H55+H56+H57+H58+H59+H63+H121</f>
        <v>52215200</v>
      </c>
      <c r="I134" s="48">
        <f>I22+I45+I49+I51+I53+I54+I55+I56+I57+I58+I59+I63+I121</f>
        <v>52215200</v>
      </c>
      <c r="J134" s="48">
        <f>J22+J45+J49+J51+J53+J54+J55+J56+J57+J58+J59+J63+J121</f>
        <v>0</v>
      </c>
      <c r="K134" s="48">
        <f>K22+K45+K49+K51+K53+K54+K55+K56+K57+K58+K59+K63+K121</f>
        <v>0</v>
      </c>
    </row>
    <row r="135" spans="1:11" s="25" customFormat="1" ht="46.8" x14ac:dyDescent="0.3">
      <c r="A135" s="24">
        <v>6</v>
      </c>
      <c r="B135" s="61"/>
      <c r="C135" s="61"/>
      <c r="D135" s="79"/>
      <c r="E135" s="117">
        <v>15</v>
      </c>
      <c r="F135" s="23" t="s">
        <v>229</v>
      </c>
      <c r="G135" s="24" t="s">
        <v>172</v>
      </c>
      <c r="H135" s="48">
        <f>H18+H19+H20+H21+H24+H100+H110</f>
        <v>55558770</v>
      </c>
      <c r="I135" s="48">
        <f>I18+I19+I20+I21+I24+I100+I110</f>
        <v>41469584</v>
      </c>
      <c r="J135" s="48">
        <f>J18+J19+J20+J21+J24+J100+J110</f>
        <v>14089186</v>
      </c>
      <c r="K135" s="48">
        <f>K18+K19+K20+K21+K24+K100+K110</f>
        <v>14089186</v>
      </c>
    </row>
    <row r="136" spans="1:11" s="25" customFormat="1" ht="46.8" x14ac:dyDescent="0.3">
      <c r="A136" s="24">
        <v>7</v>
      </c>
      <c r="B136" s="61"/>
      <c r="C136" s="61"/>
      <c r="D136" s="79"/>
      <c r="E136" s="117">
        <v>16</v>
      </c>
      <c r="F136" s="23" t="s">
        <v>119</v>
      </c>
      <c r="G136" s="24" t="s">
        <v>176</v>
      </c>
      <c r="H136" s="48">
        <f>H34+H36+H40</f>
        <v>22299283</v>
      </c>
      <c r="I136" s="48">
        <f>I34+I36+I40</f>
        <v>15715800</v>
      </c>
      <c r="J136" s="48">
        <f>J34+J36+J40</f>
        <v>6583483</v>
      </c>
      <c r="K136" s="48">
        <f>K34+K36+K40</f>
        <v>6583483</v>
      </c>
    </row>
    <row r="137" spans="1:11" s="25" customFormat="1" ht="46.8" x14ac:dyDescent="0.3">
      <c r="A137" s="24">
        <v>8</v>
      </c>
      <c r="B137" s="61"/>
      <c r="C137" s="61"/>
      <c r="D137" s="62"/>
      <c r="E137" s="117">
        <v>17</v>
      </c>
      <c r="F137" s="23" t="s">
        <v>163</v>
      </c>
      <c r="G137" s="24" t="s">
        <v>175</v>
      </c>
      <c r="H137" s="48">
        <f>H25+H46+H95+H105+H111+H128</f>
        <v>57254718</v>
      </c>
      <c r="I137" s="48">
        <f>I25+I46+I95+I105+I111+I128</f>
        <v>2730472.64</v>
      </c>
      <c r="J137" s="48">
        <f>J25+J46+J95+J105+J111+J128</f>
        <v>54524245.359999999</v>
      </c>
      <c r="K137" s="48">
        <f>K25+K46+K95+K105+K111+K128</f>
        <v>54524245.359999999</v>
      </c>
    </row>
    <row r="138" spans="1:11" s="25" customFormat="1" ht="124.8" x14ac:dyDescent="0.3">
      <c r="A138" s="24">
        <v>9</v>
      </c>
      <c r="B138" s="61"/>
      <c r="C138" s="61"/>
      <c r="D138" s="62"/>
      <c r="E138" s="118">
        <v>18</v>
      </c>
      <c r="F138" s="32" t="s">
        <v>198</v>
      </c>
      <c r="G138" s="24" t="s">
        <v>199</v>
      </c>
      <c r="H138" s="48">
        <f>H26</f>
        <v>786030</v>
      </c>
      <c r="I138" s="48">
        <f>I26</f>
        <v>786030</v>
      </c>
      <c r="J138" s="48">
        <f>J26</f>
        <v>0</v>
      </c>
      <c r="K138" s="48">
        <f>K26</f>
        <v>0</v>
      </c>
    </row>
    <row r="139" spans="1:11" s="25" customFormat="1" ht="62.4" x14ac:dyDescent="0.3">
      <c r="A139" s="24">
        <v>10</v>
      </c>
      <c r="B139" s="61"/>
      <c r="C139" s="61"/>
      <c r="D139" s="62"/>
      <c r="E139" s="117">
        <v>20</v>
      </c>
      <c r="F139" s="70" t="s">
        <v>280</v>
      </c>
      <c r="G139" s="71" t="s">
        <v>279</v>
      </c>
      <c r="H139" s="48">
        <f>H106</f>
        <v>27585022</v>
      </c>
      <c r="I139" s="48">
        <f t="shared" ref="I139:K139" si="17">I106</f>
        <v>0</v>
      </c>
      <c r="J139" s="48">
        <f t="shared" si="17"/>
        <v>27585022</v>
      </c>
      <c r="K139" s="48">
        <f t="shared" si="17"/>
        <v>27585022</v>
      </c>
    </row>
    <row r="140" spans="1:11" s="25" customFormat="1" ht="46.8" x14ac:dyDescent="0.3">
      <c r="A140" s="24">
        <v>11</v>
      </c>
      <c r="B140" s="61"/>
      <c r="C140" s="61"/>
      <c r="D140" s="62"/>
      <c r="E140" s="118">
        <v>23</v>
      </c>
      <c r="F140" s="32" t="s">
        <v>159</v>
      </c>
      <c r="G140" s="24" t="s">
        <v>161</v>
      </c>
      <c r="H140" s="48">
        <f>H37</f>
        <v>200000</v>
      </c>
      <c r="I140" s="48">
        <f>I37</f>
        <v>200000</v>
      </c>
      <c r="J140" s="48"/>
      <c r="K140" s="48"/>
    </row>
    <row r="141" spans="1:11" s="25" customFormat="1" ht="46.8" x14ac:dyDescent="0.3">
      <c r="A141" s="24">
        <v>12</v>
      </c>
      <c r="B141" s="61"/>
      <c r="C141" s="61"/>
      <c r="D141" s="62"/>
      <c r="E141" s="117">
        <v>25</v>
      </c>
      <c r="F141" s="43" t="s">
        <v>170</v>
      </c>
      <c r="G141" s="24" t="s">
        <v>212</v>
      </c>
      <c r="H141" s="48">
        <f>H43+H68</f>
        <v>4289500</v>
      </c>
      <c r="I141" s="48">
        <f>I43+I68</f>
        <v>4289500</v>
      </c>
      <c r="J141" s="48">
        <f>J43+J68</f>
        <v>0</v>
      </c>
      <c r="K141" s="48">
        <f>K43+K68</f>
        <v>0</v>
      </c>
    </row>
    <row r="142" spans="1:11" s="25" customFormat="1" ht="46.8" x14ac:dyDescent="0.3">
      <c r="A142" s="24">
        <v>13</v>
      </c>
      <c r="B142" s="61"/>
      <c r="C142" s="61"/>
      <c r="D142" s="62"/>
      <c r="E142" s="117">
        <v>28</v>
      </c>
      <c r="F142" s="43" t="s">
        <v>149</v>
      </c>
      <c r="G142" s="28" t="s">
        <v>200</v>
      </c>
      <c r="H142" s="48">
        <f>H66+H67+H69+H70+H71+H72</f>
        <v>1450000</v>
      </c>
      <c r="I142" s="48">
        <f>I66+I67+I69+I70+I71+I72</f>
        <v>1175000</v>
      </c>
      <c r="J142" s="48">
        <f>J66+J67+J69+J70+J71+J72</f>
        <v>275000</v>
      </c>
      <c r="K142" s="48">
        <f>K66+K67+K69+K70+K71+K72</f>
        <v>0</v>
      </c>
    </row>
    <row r="143" spans="1:11" s="25" customFormat="1" ht="46.8" x14ac:dyDescent="0.3">
      <c r="A143" s="24">
        <v>14</v>
      </c>
      <c r="B143" s="61"/>
      <c r="C143" s="61"/>
      <c r="D143" s="62"/>
      <c r="E143" s="117">
        <v>29</v>
      </c>
      <c r="F143" s="23" t="s">
        <v>171</v>
      </c>
      <c r="G143" s="24" t="s">
        <v>201</v>
      </c>
      <c r="H143" s="48">
        <f>H52+H75+H77</f>
        <v>1151000</v>
      </c>
      <c r="I143" s="48">
        <f>I52+I75+I77</f>
        <v>1151000</v>
      </c>
      <c r="J143" s="48">
        <f>J52+J75+J77</f>
        <v>0</v>
      </c>
      <c r="K143" s="48">
        <f>K52+K75+K77</f>
        <v>0</v>
      </c>
    </row>
    <row r="144" spans="1:11" s="25" customFormat="1" ht="46.8" x14ac:dyDescent="0.3">
      <c r="A144" s="24">
        <v>15</v>
      </c>
      <c r="B144" s="61"/>
      <c r="C144" s="61"/>
      <c r="D144" s="62"/>
      <c r="E144" s="117">
        <v>30</v>
      </c>
      <c r="F144" s="23" t="s">
        <v>162</v>
      </c>
      <c r="G144" s="24" t="s">
        <v>188</v>
      </c>
      <c r="H144" s="48">
        <f>H39+H41+H42+H76+H78+H79+H80+H122</f>
        <v>3682370</v>
      </c>
      <c r="I144" s="48">
        <f>I39+I41+I76+I78+I79+I80+I122</f>
        <v>3681170</v>
      </c>
      <c r="J144" s="48">
        <f>J39+J41+J76+J78+J79+J80+J122</f>
        <v>0</v>
      </c>
      <c r="K144" s="48">
        <f>K39+K41+K76+K78+K79+K80+K122</f>
        <v>0</v>
      </c>
    </row>
    <row r="145" spans="1:11" s="25" customFormat="1" ht="62.4" x14ac:dyDescent="0.3">
      <c r="A145" s="24">
        <v>16</v>
      </c>
      <c r="B145" s="61"/>
      <c r="C145" s="61"/>
      <c r="D145" s="62"/>
      <c r="E145" s="117">
        <v>32</v>
      </c>
      <c r="F145" s="23" t="s">
        <v>186</v>
      </c>
      <c r="G145" s="24" t="s">
        <v>185</v>
      </c>
      <c r="H145" s="48">
        <f>H38</f>
        <v>15000</v>
      </c>
      <c r="I145" s="48">
        <f>I38</f>
        <v>15000</v>
      </c>
      <c r="J145" s="48">
        <f>J38</f>
        <v>0</v>
      </c>
      <c r="K145" s="48">
        <f>K38</f>
        <v>0</v>
      </c>
    </row>
    <row r="146" spans="1:11" s="25" customFormat="1" ht="62.4" x14ac:dyDescent="0.3">
      <c r="A146" s="24">
        <v>17</v>
      </c>
      <c r="B146" s="61"/>
      <c r="C146" s="61"/>
      <c r="D146" s="62"/>
      <c r="E146" s="118">
        <v>36</v>
      </c>
      <c r="F146" s="32" t="s">
        <v>189</v>
      </c>
      <c r="G146" s="24" t="s">
        <v>202</v>
      </c>
      <c r="H146" s="48">
        <f>H27</f>
        <v>1979800</v>
      </c>
      <c r="I146" s="48">
        <f>I27</f>
        <v>1979800</v>
      </c>
      <c r="J146" s="48">
        <f>J27</f>
        <v>0</v>
      </c>
      <c r="K146" s="48">
        <f>K27</f>
        <v>0</v>
      </c>
    </row>
    <row r="147" spans="1:11" s="25" customFormat="1" ht="78" x14ac:dyDescent="0.3">
      <c r="A147" s="24">
        <v>18</v>
      </c>
      <c r="B147" s="61"/>
      <c r="C147" s="61"/>
      <c r="D147" s="62"/>
      <c r="E147" s="117">
        <v>40</v>
      </c>
      <c r="F147" s="70" t="s">
        <v>259</v>
      </c>
      <c r="G147" s="24" t="s">
        <v>260</v>
      </c>
      <c r="H147" s="48">
        <f>H84+H89+H93</f>
        <v>3932331</v>
      </c>
      <c r="I147" s="48">
        <f>I84+I89+I93</f>
        <v>0</v>
      </c>
      <c r="J147" s="48">
        <f>J84+J89+J93</f>
        <v>3932331</v>
      </c>
      <c r="K147" s="48">
        <f>K84+K89+K93</f>
        <v>3539185</v>
      </c>
    </row>
    <row r="148" spans="1:11" s="25" customFormat="1" ht="109.2" x14ac:dyDescent="0.3">
      <c r="A148" s="24">
        <v>19</v>
      </c>
      <c r="B148" s="61"/>
      <c r="C148" s="61"/>
      <c r="D148" s="62"/>
      <c r="E148" s="117">
        <v>45</v>
      </c>
      <c r="F148" s="26" t="s">
        <v>209</v>
      </c>
      <c r="G148" s="33" t="s">
        <v>236</v>
      </c>
      <c r="H148" s="48">
        <f>I148+J148</f>
        <v>1500000</v>
      </c>
      <c r="I148" s="48">
        <v>1500000</v>
      </c>
      <c r="J148" s="48">
        <f>K148</f>
        <v>0</v>
      </c>
      <c r="K148" s="48"/>
    </row>
    <row r="149" spans="1:11" s="25" customFormat="1" ht="62.4" x14ac:dyDescent="0.3">
      <c r="A149" s="24">
        <v>20</v>
      </c>
      <c r="B149" s="61"/>
      <c r="C149" s="61"/>
      <c r="D149" s="62"/>
      <c r="E149" s="119">
        <v>50</v>
      </c>
      <c r="F149" s="84" t="s">
        <v>284</v>
      </c>
      <c r="G149" s="24" t="s">
        <v>285</v>
      </c>
      <c r="H149" s="48">
        <f>H123+H125</f>
        <v>10000000</v>
      </c>
      <c r="I149" s="48">
        <f t="shared" ref="I149:K149" si="18">I123+I125</f>
        <v>0</v>
      </c>
      <c r="J149" s="48">
        <f t="shared" si="18"/>
        <v>10000000</v>
      </c>
      <c r="K149" s="48">
        <f t="shared" si="18"/>
        <v>10000000</v>
      </c>
    </row>
    <row r="150" spans="1:11" s="25" customFormat="1" ht="46.8" x14ac:dyDescent="0.3">
      <c r="A150" s="24">
        <v>21</v>
      </c>
      <c r="B150" s="61"/>
      <c r="C150" s="61"/>
      <c r="D150" s="62"/>
      <c r="E150" s="117">
        <v>51</v>
      </c>
      <c r="F150" s="43" t="s">
        <v>223</v>
      </c>
      <c r="G150" s="24" t="s">
        <v>235</v>
      </c>
      <c r="H150" s="48">
        <f>H94+H115</f>
        <v>54587600</v>
      </c>
      <c r="I150" s="48">
        <f>I94+I115</f>
        <v>54587600</v>
      </c>
      <c r="J150" s="48">
        <f>J94+J115</f>
        <v>0</v>
      </c>
      <c r="K150" s="48">
        <f>K94+K115</f>
        <v>0</v>
      </c>
    </row>
    <row r="151" spans="1:11" s="25" customFormat="1" ht="120" customHeight="1" x14ac:dyDescent="0.3">
      <c r="A151" s="24">
        <v>22</v>
      </c>
      <c r="B151" s="61"/>
      <c r="C151" s="61"/>
      <c r="D151" s="62"/>
      <c r="E151" s="118">
        <v>52</v>
      </c>
      <c r="F151" s="26" t="s">
        <v>296</v>
      </c>
      <c r="G151" s="24" t="s">
        <v>308</v>
      </c>
      <c r="H151" s="48">
        <f>I151+J151</f>
        <v>77355749</v>
      </c>
      <c r="I151" s="48">
        <f>I28+I29+I96+I116+I124+68489503-7580084-17920251</f>
        <v>51976482</v>
      </c>
      <c r="J151" s="48">
        <f>J28+J29+J96+J116+J124</f>
        <v>25379267</v>
      </c>
      <c r="K151" s="48">
        <f>K28+K29+K96+K116+K124</f>
        <v>25379267</v>
      </c>
    </row>
    <row r="152" spans="1:11" s="25" customFormat="1" ht="46.8" x14ac:dyDescent="0.3">
      <c r="A152" s="24">
        <v>23</v>
      </c>
      <c r="B152" s="61"/>
      <c r="C152" s="61"/>
      <c r="D152" s="62"/>
      <c r="E152" s="118">
        <v>53</v>
      </c>
      <c r="F152" s="32" t="s">
        <v>238</v>
      </c>
      <c r="G152" s="24" t="s">
        <v>239</v>
      </c>
      <c r="H152" s="48">
        <f>H83</f>
        <v>30000</v>
      </c>
      <c r="I152" s="48">
        <f>I83</f>
        <v>30000</v>
      </c>
      <c r="J152" s="48">
        <f>J83</f>
        <v>0</v>
      </c>
      <c r="K152" s="48">
        <f>K83</f>
        <v>0</v>
      </c>
    </row>
    <row r="153" spans="1:11" s="25" customFormat="1" ht="93.6" x14ac:dyDescent="0.3">
      <c r="A153" s="24">
        <v>24</v>
      </c>
      <c r="B153" s="61"/>
      <c r="C153" s="61"/>
      <c r="D153" s="62"/>
      <c r="E153" s="117">
        <v>54</v>
      </c>
      <c r="F153" s="23" t="s">
        <v>228</v>
      </c>
      <c r="G153" s="24" t="s">
        <v>244</v>
      </c>
      <c r="H153" s="48">
        <f t="shared" ref="H153:K154" si="19">H119</f>
        <v>1570500</v>
      </c>
      <c r="I153" s="48">
        <f t="shared" si="19"/>
        <v>1570500</v>
      </c>
      <c r="J153" s="48">
        <f t="shared" si="19"/>
        <v>0</v>
      </c>
      <c r="K153" s="48">
        <f t="shared" si="19"/>
        <v>0</v>
      </c>
    </row>
    <row r="154" spans="1:11" s="25" customFormat="1" ht="31.2" x14ac:dyDescent="0.3">
      <c r="A154" s="24">
        <v>25</v>
      </c>
      <c r="B154" s="61"/>
      <c r="C154" s="61"/>
      <c r="D154" s="62"/>
      <c r="E154" s="117">
        <v>55</v>
      </c>
      <c r="F154" s="26" t="s">
        <v>230</v>
      </c>
      <c r="G154" s="33" t="s">
        <v>245</v>
      </c>
      <c r="H154" s="48">
        <f t="shared" si="19"/>
        <v>300000</v>
      </c>
      <c r="I154" s="48">
        <f t="shared" si="19"/>
        <v>300000</v>
      </c>
      <c r="J154" s="48">
        <f t="shared" si="19"/>
        <v>0</v>
      </c>
      <c r="K154" s="48">
        <f t="shared" si="19"/>
        <v>0</v>
      </c>
    </row>
    <row r="155" spans="1:11" s="25" customFormat="1" ht="46.8" x14ac:dyDescent="0.3">
      <c r="A155" s="24">
        <v>26</v>
      </c>
      <c r="B155" s="61"/>
      <c r="C155" s="61"/>
      <c r="D155" s="62"/>
      <c r="E155" s="119">
        <v>57</v>
      </c>
      <c r="F155" s="84" t="s">
        <v>286</v>
      </c>
      <c r="G155" s="24" t="s">
        <v>289</v>
      </c>
      <c r="H155" s="48">
        <f>H126</f>
        <v>2000000</v>
      </c>
      <c r="I155" s="48">
        <f t="shared" ref="I155:K155" si="20">I126</f>
        <v>2000000</v>
      </c>
      <c r="J155" s="48">
        <f t="shared" si="20"/>
        <v>0</v>
      </c>
      <c r="K155" s="48">
        <f t="shared" si="20"/>
        <v>0</v>
      </c>
    </row>
    <row r="156" spans="1:11" s="25" customFormat="1" ht="46.8" x14ac:dyDescent="0.3">
      <c r="A156" s="24">
        <v>27</v>
      </c>
      <c r="B156" s="61"/>
      <c r="C156" s="61"/>
      <c r="D156" s="62"/>
      <c r="E156" s="119">
        <v>58</v>
      </c>
      <c r="F156" s="84" t="s">
        <v>287</v>
      </c>
      <c r="G156" s="24" t="s">
        <v>290</v>
      </c>
      <c r="H156" s="48">
        <f>H127</f>
        <v>2526400</v>
      </c>
      <c r="I156" s="48">
        <f t="shared" ref="I156:K156" si="21">I127</f>
        <v>976400</v>
      </c>
      <c r="J156" s="48">
        <f t="shared" si="21"/>
        <v>1550000</v>
      </c>
      <c r="K156" s="48">
        <f t="shared" si="21"/>
        <v>1550000</v>
      </c>
    </row>
    <row r="157" spans="1:11" s="25" customFormat="1" ht="90" x14ac:dyDescent="0.3">
      <c r="A157" s="24">
        <v>28</v>
      </c>
      <c r="B157" s="61"/>
      <c r="C157" s="61"/>
      <c r="D157" s="62"/>
      <c r="E157" s="119">
        <v>56</v>
      </c>
      <c r="F157" s="84" t="s">
        <v>299</v>
      </c>
      <c r="G157" s="24" t="s">
        <v>301</v>
      </c>
      <c r="H157" s="48">
        <f>H30+H35+H97+H103+H108+H109</f>
        <v>3003202</v>
      </c>
      <c r="I157" s="48">
        <f>I30+I35+I97+I103+I108+I109</f>
        <v>0</v>
      </c>
      <c r="J157" s="48">
        <f>J30+J35+J97+J103+J108+J109</f>
        <v>3003202</v>
      </c>
      <c r="K157" s="48">
        <f>K30+K35+K97+K103+K108+K109</f>
        <v>2653202</v>
      </c>
    </row>
    <row r="158" spans="1:11" s="25" customFormat="1" ht="105.6" x14ac:dyDescent="0.3">
      <c r="A158" s="24">
        <v>29</v>
      </c>
      <c r="B158" s="61"/>
      <c r="C158" s="61"/>
      <c r="D158" s="62"/>
      <c r="E158" s="119">
        <v>59</v>
      </c>
      <c r="F158" s="84" t="s">
        <v>300</v>
      </c>
      <c r="G158" s="24" t="s">
        <v>302</v>
      </c>
      <c r="H158" s="48">
        <f>H86</f>
        <v>325175</v>
      </c>
      <c r="I158" s="48">
        <f>I86</f>
        <v>0</v>
      </c>
      <c r="J158" s="48">
        <f>J86</f>
        <v>325175</v>
      </c>
      <c r="K158" s="48">
        <f>K86</f>
        <v>325175</v>
      </c>
    </row>
    <row r="159" spans="1:11" s="81" customFormat="1" ht="17.399999999999999" x14ac:dyDescent="0.3">
      <c r="A159" s="147" t="s">
        <v>233</v>
      </c>
      <c r="B159" s="148"/>
      <c r="C159" s="148"/>
      <c r="D159" s="148"/>
      <c r="E159" s="148"/>
      <c r="F159" s="148"/>
      <c r="G159" s="149"/>
      <c r="H159" s="80">
        <f>I159+J159</f>
        <v>548034363</v>
      </c>
      <c r="I159" s="80">
        <f>SUM(I130:I158)</f>
        <v>355127007.63999999</v>
      </c>
      <c r="J159" s="80">
        <f t="shared" ref="J159:K159" si="22">SUM(J130:J158)</f>
        <v>192907355.36000001</v>
      </c>
      <c r="K159" s="80">
        <f t="shared" si="22"/>
        <v>191889209.36000001</v>
      </c>
    </row>
    <row r="160" spans="1:11" s="25" customFormat="1" ht="15.6" x14ac:dyDescent="0.3">
      <c r="A160" s="39"/>
      <c r="B160" s="46"/>
      <c r="C160" s="39"/>
      <c r="D160" s="25" t="s">
        <v>219</v>
      </c>
      <c r="E160" s="36"/>
      <c r="F160" s="20"/>
      <c r="G160" s="46" t="s">
        <v>220</v>
      </c>
      <c r="H160" s="46"/>
      <c r="I160" s="46"/>
      <c r="J160" s="46"/>
      <c r="K160" s="46"/>
    </row>
    <row r="161" spans="1:11" s="25" customFormat="1" ht="15.6" x14ac:dyDescent="0.3">
      <c r="A161" s="17"/>
      <c r="B161" s="1"/>
      <c r="C161" s="17"/>
      <c r="D161" s="2"/>
      <c r="E161" s="87"/>
      <c r="F161" s="20"/>
      <c r="G161" s="1"/>
      <c r="H161" s="50"/>
      <c r="I161" s="50"/>
      <c r="J161" s="50"/>
      <c r="K161" s="50"/>
    </row>
    <row r="162" spans="1:11" ht="15.6" x14ac:dyDescent="0.3">
      <c r="F162" s="20"/>
      <c r="H162" s="50"/>
      <c r="I162" s="50"/>
      <c r="J162" s="50"/>
      <c r="K162" s="50"/>
    </row>
    <row r="163" spans="1:11" x14ac:dyDescent="0.3">
      <c r="B163" s="17"/>
    </row>
    <row r="164" spans="1:11" s="87" customFormat="1" x14ac:dyDescent="0.3">
      <c r="A164" s="85"/>
      <c r="B164" s="86"/>
      <c r="C164" s="85"/>
      <c r="F164" s="146"/>
      <c r="G164" s="146"/>
      <c r="H164" s="88"/>
      <c r="I164" s="88"/>
      <c r="J164" s="88"/>
      <c r="K164" s="88"/>
    </row>
    <row r="165" spans="1:11" s="87" customFormat="1" x14ac:dyDescent="0.3">
      <c r="A165" s="85"/>
      <c r="B165" s="86"/>
      <c r="C165" s="85"/>
      <c r="F165" s="146"/>
      <c r="G165" s="146"/>
      <c r="H165" s="89"/>
      <c r="I165" s="89"/>
      <c r="J165" s="89"/>
      <c r="K165" s="89"/>
    </row>
    <row r="166" spans="1:11" x14ac:dyDescent="0.3">
      <c r="H166" s="19"/>
      <c r="I166" s="19"/>
      <c r="J166" s="19"/>
      <c r="K166" s="19"/>
    </row>
    <row r="168" spans="1:11" x14ac:dyDescent="0.3">
      <c r="G168" s="86"/>
      <c r="H168" s="88"/>
      <c r="I168" s="88"/>
      <c r="J168" s="88"/>
      <c r="K168" s="88"/>
    </row>
    <row r="169" spans="1:11" s="92" customFormat="1" x14ac:dyDescent="0.3">
      <c r="A169" s="90"/>
      <c r="B169" s="91"/>
      <c r="C169" s="90"/>
      <c r="E169" s="120"/>
      <c r="F169" s="93"/>
      <c r="G169" s="91"/>
      <c r="H169" s="94"/>
      <c r="I169" s="94"/>
      <c r="J169" s="94"/>
      <c r="K169" s="94"/>
    </row>
    <row r="171" spans="1:11" x14ac:dyDescent="0.3">
      <c r="G171" s="86"/>
      <c r="H171" s="89"/>
      <c r="I171" s="89"/>
      <c r="J171" s="89"/>
      <c r="K171" s="89"/>
    </row>
    <row r="172" spans="1:11" x14ac:dyDescent="0.3">
      <c r="H172" s="50"/>
      <c r="I172" s="50"/>
      <c r="J172" s="50"/>
      <c r="K172" s="50"/>
    </row>
    <row r="174" spans="1:11" x14ac:dyDescent="0.3">
      <c r="H174" s="50"/>
    </row>
    <row r="175" spans="1:11" x14ac:dyDescent="0.3">
      <c r="H175" s="50"/>
    </row>
  </sheetData>
  <mergeCells count="42">
    <mergeCell ref="D98:F98"/>
    <mergeCell ref="D99:F99"/>
    <mergeCell ref="F164:G164"/>
    <mergeCell ref="F165:G165"/>
    <mergeCell ref="A159:G159"/>
    <mergeCell ref="D129:F129"/>
    <mergeCell ref="D118:F118"/>
    <mergeCell ref="D113:F113"/>
    <mergeCell ref="D112:F112"/>
    <mergeCell ref="D117:F117"/>
    <mergeCell ref="A9:K9"/>
    <mergeCell ref="F13:F14"/>
    <mergeCell ref="A10:B10"/>
    <mergeCell ref="A13:A14"/>
    <mergeCell ref="B13:B14"/>
    <mergeCell ref="C13:C14"/>
    <mergeCell ref="D13:D14"/>
    <mergeCell ref="E13:E14"/>
    <mergeCell ref="D81:F81"/>
    <mergeCell ref="D74:F74"/>
    <mergeCell ref="D82:F82"/>
    <mergeCell ref="D61:F61"/>
    <mergeCell ref="D62:F62"/>
    <mergeCell ref="D64:F64"/>
    <mergeCell ref="D65:F65"/>
    <mergeCell ref="D73:F73"/>
    <mergeCell ref="I1:K1"/>
    <mergeCell ref="I2:K2"/>
    <mergeCell ref="I3:K3"/>
    <mergeCell ref="D48:F48"/>
    <mergeCell ref="D17:F17"/>
    <mergeCell ref="D31:F31"/>
    <mergeCell ref="D16:F16"/>
    <mergeCell ref="D32:F32"/>
    <mergeCell ref="D47:F47"/>
    <mergeCell ref="I5:K5"/>
    <mergeCell ref="I6:K6"/>
    <mergeCell ref="I7:K7"/>
    <mergeCell ref="G13:G14"/>
    <mergeCell ref="H13:H14"/>
    <mergeCell ref="I13:I14"/>
    <mergeCell ref="J13:K13"/>
  </mergeCells>
  <pageMargins left="0.39370078740157483" right="0.39370078740157483" top="0.19685039370078741" bottom="0.19685039370078741" header="0.51181102362204722" footer="0.51181102362204722"/>
  <pageSetup paperSize="9" scale="53" fitToHeight="9" orientation="landscape" r:id="rId1"/>
  <headerFooter differentFirst="1">
    <oddHeader>&amp;C&amp;P</oddHeader>
  </headerFooter>
  <rowBreaks count="3" manualBreakCount="3">
    <brk id="30" max="10" man="1"/>
    <brk id="94" max="10" man="1"/>
    <brk id="11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2024-07-26T10:36:26Z</dcterms:modified>
</cp:coreProperties>
</file>