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4\УТОЧНЕННЯ\9_НАСТУПНЕ\на сайт\"/>
    </mc:Choice>
  </mc:AlternateContent>
  <bookViews>
    <workbookView xWindow="0" yWindow="0" windowWidth="9168" windowHeight="5112"/>
  </bookViews>
  <sheets>
    <sheet name="Аркуш1" sheetId="1" r:id="rId1"/>
  </sheets>
  <definedNames>
    <definedName name="_xlnm.Print_Titles" localSheetId="0">Аркуш1!$14:$18</definedName>
    <definedName name="_xlnm.Print_Area" localSheetId="0">Аркуш1!$A$1:$P$203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1" i="1" l="1"/>
  <c r="K141" i="1"/>
  <c r="F124" i="1" l="1"/>
  <c r="F121" i="1"/>
  <c r="F43" i="1" l="1"/>
  <c r="F28" i="1"/>
  <c r="G194" i="1" l="1"/>
  <c r="G193" i="1"/>
  <c r="G198" i="1"/>
  <c r="G196" i="1"/>
  <c r="H198" i="1" l="1"/>
  <c r="L198" i="1"/>
  <c r="M198" i="1"/>
  <c r="N198" i="1"/>
  <c r="O185" i="1"/>
  <c r="K185" i="1"/>
  <c r="O184" i="1"/>
  <c r="K184" i="1"/>
  <c r="O174" i="1" l="1"/>
  <c r="K174" i="1"/>
  <c r="P181" i="1"/>
  <c r="J181" i="1"/>
  <c r="E181" i="1"/>
  <c r="F165" i="1"/>
  <c r="O155" i="1"/>
  <c r="K155" i="1"/>
  <c r="O154" i="1"/>
  <c r="K154" i="1"/>
  <c r="O150" i="1"/>
  <c r="K150" i="1"/>
  <c r="G148" i="1"/>
  <c r="F148" i="1"/>
  <c r="F141" i="1"/>
  <c r="I139" i="1"/>
  <c r="O138" i="1"/>
  <c r="I135" i="1"/>
  <c r="F135" i="1"/>
  <c r="O133" i="1"/>
  <c r="K133" i="1"/>
  <c r="O131" i="1"/>
  <c r="K131" i="1"/>
  <c r="G118" i="1"/>
  <c r="F118" i="1"/>
  <c r="G107" i="1"/>
  <c r="F107" i="1"/>
  <c r="G102" i="1"/>
  <c r="F102" i="1"/>
  <c r="F99" i="1"/>
  <c r="G83" i="1"/>
  <c r="F83" i="1"/>
  <c r="O80" i="1"/>
  <c r="K80" i="1"/>
  <c r="J79" i="1"/>
  <c r="E79" i="1"/>
  <c r="P79" i="1" s="1"/>
  <c r="F55" i="1"/>
  <c r="G55" i="1"/>
  <c r="G54" i="1"/>
  <c r="F54" i="1"/>
  <c r="F46" i="1"/>
  <c r="F42" i="1"/>
  <c r="J40" i="1"/>
  <c r="E40" i="1"/>
  <c r="O39" i="1"/>
  <c r="K39" i="1"/>
  <c r="F35" i="1"/>
  <c r="F30" i="1"/>
  <c r="F29" i="1"/>
  <c r="G25" i="1"/>
  <c r="F25" i="1"/>
  <c r="F23" i="1"/>
  <c r="F22" i="1"/>
  <c r="G22" i="1"/>
  <c r="F198" i="1" l="1"/>
  <c r="O198" i="1"/>
  <c r="P40" i="1"/>
  <c r="O157" i="1"/>
  <c r="K157" i="1"/>
  <c r="K198" i="1" s="1"/>
  <c r="H199" i="1" l="1"/>
  <c r="I199" i="1"/>
  <c r="M199" i="1"/>
  <c r="N199" i="1"/>
  <c r="E173" i="1"/>
  <c r="L126" i="1"/>
  <c r="M126" i="1"/>
  <c r="N126" i="1"/>
  <c r="G126" i="1"/>
  <c r="H126" i="1"/>
  <c r="J145" i="1"/>
  <c r="E145" i="1"/>
  <c r="P145" i="1" s="1"/>
  <c r="H194" i="1" l="1"/>
  <c r="I194" i="1"/>
  <c r="K194" i="1"/>
  <c r="L194" i="1"/>
  <c r="M194" i="1"/>
  <c r="N194" i="1"/>
  <c r="O194" i="1"/>
  <c r="N192" i="1"/>
  <c r="F184" i="1" l="1"/>
  <c r="J144" i="1"/>
  <c r="E144" i="1"/>
  <c r="O135" i="1"/>
  <c r="O126" i="1" s="1"/>
  <c r="K135" i="1"/>
  <c r="K126" i="1" s="1"/>
  <c r="J96" i="1"/>
  <c r="J97" i="1"/>
  <c r="E96" i="1"/>
  <c r="E97" i="1"/>
  <c r="L51" i="1"/>
  <c r="M51" i="1"/>
  <c r="N51" i="1"/>
  <c r="F80" i="1"/>
  <c r="F78" i="1"/>
  <c r="F76" i="1"/>
  <c r="G66" i="1"/>
  <c r="F66" i="1"/>
  <c r="E66" i="1" s="1"/>
  <c r="P66" i="1" s="1"/>
  <c r="E69" i="1"/>
  <c r="P69" i="1" s="1"/>
  <c r="E68" i="1"/>
  <c r="P68" i="1" s="1"/>
  <c r="F61" i="1"/>
  <c r="F56" i="1"/>
  <c r="O55" i="1"/>
  <c r="K55" i="1"/>
  <c r="O28" i="1"/>
  <c r="K28" i="1"/>
  <c r="P144" i="1" l="1"/>
  <c r="P97" i="1"/>
  <c r="P96" i="1"/>
  <c r="I61" i="1" l="1"/>
  <c r="I192" i="1" l="1"/>
  <c r="I51" i="1"/>
  <c r="O153" i="1"/>
  <c r="K153" i="1"/>
  <c r="I126" i="1"/>
  <c r="J136" i="1"/>
  <c r="E136" i="1"/>
  <c r="J132" i="1"/>
  <c r="E132" i="1"/>
  <c r="F120" i="1"/>
  <c r="G112" i="1"/>
  <c r="F112" i="1"/>
  <c r="G111" i="1"/>
  <c r="G195" i="1" s="1"/>
  <c r="F111" i="1"/>
  <c r="H54" i="1"/>
  <c r="H55" i="1"/>
  <c r="F44" i="1"/>
  <c r="O30" i="1"/>
  <c r="K30" i="1"/>
  <c r="F27" i="1"/>
  <c r="P132" i="1" l="1"/>
  <c r="P136" i="1"/>
  <c r="G44" i="1"/>
  <c r="G199" i="1" s="1"/>
  <c r="I196" i="1" l="1"/>
  <c r="K196" i="1"/>
  <c r="L196" i="1"/>
  <c r="M196" i="1"/>
  <c r="N196" i="1"/>
  <c r="O196" i="1"/>
  <c r="K182" i="1"/>
  <c r="L174" i="1"/>
  <c r="M174" i="1"/>
  <c r="N174" i="1"/>
  <c r="G174" i="1"/>
  <c r="H174" i="1"/>
  <c r="I174" i="1"/>
  <c r="J180" i="1"/>
  <c r="E180" i="1"/>
  <c r="F127" i="1"/>
  <c r="E123" i="1"/>
  <c r="P123" i="1" s="1"/>
  <c r="E73" i="1"/>
  <c r="P73" i="1" s="1"/>
  <c r="E72" i="1"/>
  <c r="P72" i="1" s="1"/>
  <c r="F70" i="1"/>
  <c r="E70" i="1" s="1"/>
  <c r="P70" i="1" s="1"/>
  <c r="P180" i="1" l="1"/>
  <c r="J49" i="1"/>
  <c r="E49" i="1"/>
  <c r="P49" i="1" s="1"/>
  <c r="F47" i="1"/>
  <c r="H22" i="1"/>
  <c r="L182" i="1" l="1"/>
  <c r="M182" i="1"/>
  <c r="N182" i="1"/>
  <c r="G182" i="1"/>
  <c r="G200" i="1" s="1"/>
  <c r="H182" i="1"/>
  <c r="I182" i="1"/>
  <c r="O182" i="1" l="1"/>
  <c r="O159" i="1"/>
  <c r="O199" i="1" s="1"/>
  <c r="K159" i="1"/>
  <c r="K199" i="1" s="1"/>
  <c r="F84" i="1"/>
  <c r="F82" i="1" s="1"/>
  <c r="G62" i="1" l="1"/>
  <c r="F186" i="1" l="1"/>
  <c r="F182" i="1" s="1"/>
  <c r="E188" i="1"/>
  <c r="J188" i="1"/>
  <c r="E179" i="1"/>
  <c r="P179" i="1" s="1"/>
  <c r="F176" i="1"/>
  <c r="F174" i="1" s="1"/>
  <c r="I167" i="1"/>
  <c r="F164" i="1"/>
  <c r="J140" i="1"/>
  <c r="E140" i="1"/>
  <c r="H78" i="1"/>
  <c r="H196" i="1" s="1"/>
  <c r="F196" i="1"/>
  <c r="J74" i="1"/>
  <c r="E74" i="1"/>
  <c r="H65" i="1"/>
  <c r="F65" i="1"/>
  <c r="J64" i="1"/>
  <c r="E64" i="1"/>
  <c r="H62" i="1"/>
  <c r="F62" i="1"/>
  <c r="H61" i="1"/>
  <c r="H59" i="1"/>
  <c r="F59" i="1"/>
  <c r="H56" i="1"/>
  <c r="H192" i="1" s="1"/>
  <c r="O54" i="1"/>
  <c r="K54" i="1"/>
  <c r="H52" i="1"/>
  <c r="F52" i="1"/>
  <c r="F45" i="1"/>
  <c r="F199" i="1" s="1"/>
  <c r="J43" i="1"/>
  <c r="E43" i="1"/>
  <c r="I39" i="1"/>
  <c r="I198" i="1" s="1"/>
  <c r="E38" i="1"/>
  <c r="F36" i="1"/>
  <c r="F34" i="1" s="1"/>
  <c r="F33" i="1"/>
  <c r="K33" i="1"/>
  <c r="O33" i="1"/>
  <c r="F32" i="1"/>
  <c r="F194" i="1" s="1"/>
  <c r="O192" i="1" l="1"/>
  <c r="O51" i="1"/>
  <c r="K192" i="1"/>
  <c r="K51" i="1"/>
  <c r="F192" i="1"/>
  <c r="H51" i="1"/>
  <c r="E33" i="1"/>
  <c r="F197" i="1"/>
  <c r="J33" i="1"/>
  <c r="P188" i="1"/>
  <c r="P140" i="1"/>
  <c r="P64" i="1"/>
  <c r="P74" i="1"/>
  <c r="P43" i="1"/>
  <c r="P33" i="1" l="1"/>
  <c r="L147" i="1"/>
  <c r="M147" i="1"/>
  <c r="N147" i="1"/>
  <c r="O147" i="1"/>
  <c r="K147" i="1"/>
  <c r="G147" i="1"/>
  <c r="H147" i="1"/>
  <c r="I147" i="1"/>
  <c r="J156" i="1"/>
  <c r="E156" i="1"/>
  <c r="J75" i="1"/>
  <c r="E75" i="1"/>
  <c r="P75" i="1" l="1"/>
  <c r="P156" i="1"/>
  <c r="E135" i="1" l="1"/>
  <c r="J178" i="1"/>
  <c r="E178" i="1"/>
  <c r="P178" i="1" s="1"/>
  <c r="J177" i="1"/>
  <c r="E177" i="1"/>
  <c r="J176" i="1"/>
  <c r="E176" i="1"/>
  <c r="P176" i="1" l="1"/>
  <c r="P177" i="1"/>
  <c r="F163" i="1" l="1"/>
  <c r="F149" i="1"/>
  <c r="F147" i="1" s="1"/>
  <c r="F129" i="1"/>
  <c r="F126" i="1" s="1"/>
  <c r="F119" i="1"/>
  <c r="F117" i="1" s="1"/>
  <c r="F108" i="1"/>
  <c r="F103" i="1"/>
  <c r="F53" i="1"/>
  <c r="F51" i="1" s="1"/>
  <c r="F24" i="1"/>
  <c r="L170" i="1" l="1"/>
  <c r="M170" i="1"/>
  <c r="N170" i="1"/>
  <c r="G170" i="1"/>
  <c r="H170" i="1"/>
  <c r="I170" i="1"/>
  <c r="J187" i="1"/>
  <c r="E187" i="1"/>
  <c r="P187" i="1" l="1"/>
  <c r="J186" i="1"/>
  <c r="E186" i="1"/>
  <c r="E185" i="1"/>
  <c r="J185" i="1"/>
  <c r="O170" i="1"/>
  <c r="K170" i="1"/>
  <c r="F170" i="1"/>
  <c r="J131" i="1"/>
  <c r="F193" i="1"/>
  <c r="H193" i="1"/>
  <c r="I193" i="1"/>
  <c r="K193" i="1"/>
  <c r="L193" i="1"/>
  <c r="M193" i="1"/>
  <c r="N193" i="1"/>
  <c r="O193" i="1"/>
  <c r="L146" i="1"/>
  <c r="M146" i="1"/>
  <c r="N146" i="1"/>
  <c r="O146" i="1"/>
  <c r="K146" i="1"/>
  <c r="E159" i="1"/>
  <c r="J159" i="1"/>
  <c r="E150" i="1"/>
  <c r="E151" i="1"/>
  <c r="E152" i="1"/>
  <c r="E153" i="1"/>
  <c r="E154" i="1"/>
  <c r="E155" i="1"/>
  <c r="E157" i="1"/>
  <c r="E158" i="1"/>
  <c r="J150" i="1"/>
  <c r="J151" i="1"/>
  <c r="J152" i="1"/>
  <c r="J153" i="1"/>
  <c r="J154" i="1"/>
  <c r="J155" i="1"/>
  <c r="J157" i="1"/>
  <c r="J158" i="1"/>
  <c r="J138" i="1"/>
  <c r="E138" i="1"/>
  <c r="E131" i="1"/>
  <c r="E80" i="1"/>
  <c r="J80" i="1"/>
  <c r="P154" i="1" l="1"/>
  <c r="P185" i="1"/>
  <c r="P155" i="1"/>
  <c r="P158" i="1"/>
  <c r="P152" i="1"/>
  <c r="P186" i="1"/>
  <c r="P159" i="1"/>
  <c r="P138" i="1"/>
  <c r="P157" i="1"/>
  <c r="P151" i="1"/>
  <c r="P150" i="1"/>
  <c r="P131" i="1"/>
  <c r="P153" i="1"/>
  <c r="P80" i="1"/>
  <c r="G56" i="1"/>
  <c r="G192" i="1" s="1"/>
  <c r="E41" i="1"/>
  <c r="J39" i="1"/>
  <c r="J41" i="1"/>
  <c r="E39" i="1"/>
  <c r="G51" i="1" l="1"/>
  <c r="P41" i="1"/>
  <c r="P39" i="1"/>
  <c r="J184" i="1"/>
  <c r="E184" i="1"/>
  <c r="P184" i="1" l="1"/>
  <c r="E142" i="1"/>
  <c r="P142" i="1" s="1"/>
  <c r="F200" i="1" l="1"/>
  <c r="H200" i="1"/>
  <c r="I200" i="1"/>
  <c r="K200" i="1"/>
  <c r="L200" i="1"/>
  <c r="M200" i="1"/>
  <c r="N200" i="1"/>
  <c r="O200" i="1"/>
  <c r="E182" i="1"/>
  <c r="E174" i="1"/>
  <c r="E172" i="1"/>
  <c r="E171" i="1"/>
  <c r="J182" i="1"/>
  <c r="O169" i="1"/>
  <c r="K169" i="1"/>
  <c r="F161" i="1"/>
  <c r="F125" i="1"/>
  <c r="L117" i="1"/>
  <c r="M117" i="1"/>
  <c r="N117" i="1"/>
  <c r="O117" i="1"/>
  <c r="K117" i="1"/>
  <c r="G117" i="1"/>
  <c r="H117" i="1"/>
  <c r="I117" i="1"/>
  <c r="F116" i="1"/>
  <c r="N106" i="1"/>
  <c r="O106" i="1"/>
  <c r="K106" i="1"/>
  <c r="G106" i="1"/>
  <c r="H106" i="1"/>
  <c r="I106" i="1"/>
  <c r="F106" i="1"/>
  <c r="F105" i="1" s="1"/>
  <c r="F101" i="1"/>
  <c r="F100" i="1" s="1"/>
  <c r="L101" i="1"/>
  <c r="M101" i="1"/>
  <c r="N101" i="1"/>
  <c r="O101" i="1"/>
  <c r="K101" i="1"/>
  <c r="G101" i="1"/>
  <c r="G100" i="1" s="1"/>
  <c r="H101" i="1"/>
  <c r="I101" i="1"/>
  <c r="L82" i="1"/>
  <c r="M82" i="1"/>
  <c r="N82" i="1"/>
  <c r="O82" i="1"/>
  <c r="K82" i="1"/>
  <c r="G82" i="1"/>
  <c r="H82" i="1"/>
  <c r="I82" i="1"/>
  <c r="E51" i="1"/>
  <c r="J47" i="1"/>
  <c r="E47" i="1"/>
  <c r="H195" i="1"/>
  <c r="I195" i="1"/>
  <c r="K195" i="1"/>
  <c r="N195" i="1"/>
  <c r="O195" i="1"/>
  <c r="E170" i="1" l="1"/>
  <c r="E169" i="1" s="1"/>
  <c r="P182" i="1"/>
  <c r="E200" i="1"/>
  <c r="P47" i="1"/>
  <c r="F195" i="1" l="1"/>
  <c r="M109" i="1" l="1"/>
  <c r="M192" i="1" s="1"/>
  <c r="L109" i="1"/>
  <c r="L192" i="1" s="1"/>
  <c r="L34" i="1" l="1"/>
  <c r="L197" i="1" s="1"/>
  <c r="M34" i="1"/>
  <c r="M197" i="1" s="1"/>
  <c r="N34" i="1"/>
  <c r="N197" i="1" s="1"/>
  <c r="O34" i="1"/>
  <c r="O197" i="1" s="1"/>
  <c r="K34" i="1"/>
  <c r="K197" i="1" s="1"/>
  <c r="G34" i="1"/>
  <c r="G197" i="1" s="1"/>
  <c r="H34" i="1"/>
  <c r="H197" i="1" s="1"/>
  <c r="I34" i="1"/>
  <c r="I197" i="1" s="1"/>
  <c r="J35" i="1"/>
  <c r="J36" i="1"/>
  <c r="J37" i="1"/>
  <c r="E36" i="1"/>
  <c r="E37" i="1"/>
  <c r="E35" i="1"/>
  <c r="E34" i="1" l="1"/>
  <c r="P35" i="1"/>
  <c r="P36" i="1"/>
  <c r="P37" i="1"/>
  <c r="L21" i="1"/>
  <c r="M21" i="1"/>
  <c r="M20" i="1" s="1"/>
  <c r="N21" i="1"/>
  <c r="N20" i="1" s="1"/>
  <c r="O21" i="1"/>
  <c r="O20" i="1" s="1"/>
  <c r="K21" i="1"/>
  <c r="K20" i="1" s="1"/>
  <c r="J23" i="1"/>
  <c r="J24" i="1"/>
  <c r="J25" i="1"/>
  <c r="J22" i="1"/>
  <c r="E23" i="1"/>
  <c r="E24" i="1"/>
  <c r="E25" i="1"/>
  <c r="E22" i="1"/>
  <c r="F21" i="1"/>
  <c r="F20" i="1" s="1"/>
  <c r="H21" i="1"/>
  <c r="H20" i="1" s="1"/>
  <c r="I21" i="1"/>
  <c r="I20" i="1" s="1"/>
  <c r="G21" i="1"/>
  <c r="G20" i="1" l="1"/>
  <c r="G191" i="1"/>
  <c r="G201" i="1" s="1"/>
  <c r="P22" i="1"/>
  <c r="O191" i="1"/>
  <c r="O201" i="1" s="1"/>
  <c r="L191" i="1"/>
  <c r="N191" i="1"/>
  <c r="N201" i="1" s="1"/>
  <c r="K191" i="1"/>
  <c r="K201" i="1" s="1"/>
  <c r="M191" i="1"/>
  <c r="I191" i="1"/>
  <c r="I201" i="1" s="1"/>
  <c r="H191" i="1"/>
  <c r="H201" i="1" s="1"/>
  <c r="F191" i="1"/>
  <c r="F201" i="1" s="1"/>
  <c r="P25" i="1"/>
  <c r="P24" i="1"/>
  <c r="P23" i="1"/>
  <c r="O100" i="1"/>
  <c r="K100" i="1"/>
  <c r="L100" i="1"/>
  <c r="M100" i="1"/>
  <c r="N100" i="1"/>
  <c r="M81" i="1"/>
  <c r="N81" i="1"/>
  <c r="O81" i="1"/>
  <c r="K81" i="1"/>
  <c r="L81" i="1"/>
  <c r="M50" i="1"/>
  <c r="N50" i="1"/>
  <c r="L50" i="1"/>
  <c r="O50" i="1"/>
  <c r="K50" i="1"/>
  <c r="G169" i="1"/>
  <c r="H169" i="1"/>
  <c r="I169" i="1"/>
  <c r="F169" i="1"/>
  <c r="G161" i="1"/>
  <c r="G160" i="1" s="1"/>
  <c r="H161" i="1"/>
  <c r="H160" i="1" s="1"/>
  <c r="I161" i="1"/>
  <c r="I160" i="1" s="1"/>
  <c r="F160" i="1"/>
  <c r="G146" i="1"/>
  <c r="H146" i="1"/>
  <c r="I146" i="1"/>
  <c r="F146" i="1"/>
  <c r="G125" i="1"/>
  <c r="H125" i="1"/>
  <c r="I125" i="1"/>
  <c r="G116" i="1"/>
  <c r="H116" i="1"/>
  <c r="I116" i="1"/>
  <c r="G105" i="1"/>
  <c r="H105" i="1"/>
  <c r="I105" i="1"/>
  <c r="L48" i="1" l="1"/>
  <c r="L199" i="1" s="1"/>
  <c r="L20" i="1" l="1"/>
  <c r="M113" i="1"/>
  <c r="L111" i="1"/>
  <c r="K105" i="1"/>
  <c r="N105" i="1"/>
  <c r="O105" i="1"/>
  <c r="L125" i="1"/>
  <c r="M125" i="1"/>
  <c r="N125" i="1"/>
  <c r="O125" i="1"/>
  <c r="K125" i="1"/>
  <c r="J143" i="1"/>
  <c r="E143" i="1"/>
  <c r="J48" i="1"/>
  <c r="E48" i="1"/>
  <c r="L195" i="1" l="1"/>
  <c r="L201" i="1" s="1"/>
  <c r="L106" i="1"/>
  <c r="L105" i="1" s="1"/>
  <c r="M195" i="1"/>
  <c r="M201" i="1" s="1"/>
  <c r="M106" i="1"/>
  <c r="M105" i="1" s="1"/>
  <c r="P143" i="1"/>
  <c r="P48" i="1"/>
  <c r="J101" i="1" l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7" i="1"/>
  <c r="J128" i="1"/>
  <c r="J129" i="1"/>
  <c r="J130" i="1"/>
  <c r="J133" i="1"/>
  <c r="J134" i="1"/>
  <c r="J135" i="1"/>
  <c r="J137" i="1"/>
  <c r="J139" i="1"/>
  <c r="J141" i="1"/>
  <c r="J146" i="1"/>
  <c r="J147" i="1"/>
  <c r="J148" i="1"/>
  <c r="J14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84" i="1"/>
  <c r="J85" i="1"/>
  <c r="J86" i="1"/>
  <c r="J87" i="1"/>
  <c r="J88" i="1"/>
  <c r="J89" i="1"/>
  <c r="J90" i="1"/>
  <c r="J91" i="1"/>
  <c r="J92" i="1"/>
  <c r="J93" i="1"/>
  <c r="J94" i="1"/>
  <c r="J95" i="1"/>
  <c r="J98" i="1"/>
  <c r="J99" i="1"/>
  <c r="J83" i="1"/>
  <c r="G81" i="1"/>
  <c r="I81" i="1"/>
  <c r="F81" i="1"/>
  <c r="H81" i="1"/>
  <c r="J53" i="1"/>
  <c r="J54" i="1"/>
  <c r="J55" i="1"/>
  <c r="J56" i="1"/>
  <c r="J57" i="1"/>
  <c r="J58" i="1"/>
  <c r="J59" i="1"/>
  <c r="J60" i="1"/>
  <c r="J61" i="1"/>
  <c r="J62" i="1"/>
  <c r="J63" i="1"/>
  <c r="J65" i="1"/>
  <c r="J76" i="1"/>
  <c r="J77" i="1"/>
  <c r="J78" i="1"/>
  <c r="J52" i="1"/>
  <c r="G50" i="1"/>
  <c r="H50" i="1"/>
  <c r="I50" i="1"/>
  <c r="J26" i="1"/>
  <c r="J27" i="1"/>
  <c r="J28" i="1"/>
  <c r="J29" i="1"/>
  <c r="J30" i="1"/>
  <c r="J31" i="1"/>
  <c r="J32" i="1"/>
  <c r="J34" i="1"/>
  <c r="J42" i="1"/>
  <c r="J44" i="1"/>
  <c r="J45" i="1"/>
  <c r="J46" i="1"/>
  <c r="J21" i="1"/>
  <c r="J20" i="1"/>
  <c r="L19" i="1"/>
  <c r="M19" i="1"/>
  <c r="M189" i="1" s="1"/>
  <c r="N19" i="1"/>
  <c r="N189" i="1" s="1"/>
  <c r="O19" i="1"/>
  <c r="K19" i="1"/>
  <c r="K189" i="1" s="1"/>
  <c r="G19" i="1"/>
  <c r="H19" i="1"/>
  <c r="I19" i="1"/>
  <c r="F19" i="1"/>
  <c r="E163" i="1"/>
  <c r="E164" i="1"/>
  <c r="E165" i="1"/>
  <c r="E166" i="1"/>
  <c r="E167" i="1"/>
  <c r="E168" i="1"/>
  <c r="E149" i="1"/>
  <c r="E128" i="1"/>
  <c r="E129" i="1"/>
  <c r="E130" i="1"/>
  <c r="E133" i="1"/>
  <c r="E134" i="1"/>
  <c r="E137" i="1"/>
  <c r="E139" i="1"/>
  <c r="E141" i="1"/>
  <c r="E119" i="1"/>
  <c r="E120" i="1"/>
  <c r="E121" i="1"/>
  <c r="E122" i="1"/>
  <c r="E124" i="1"/>
  <c r="E108" i="1"/>
  <c r="E109" i="1"/>
  <c r="E110" i="1"/>
  <c r="E111" i="1"/>
  <c r="E112" i="1"/>
  <c r="E113" i="1"/>
  <c r="E114" i="1"/>
  <c r="E115" i="1"/>
  <c r="E103" i="1"/>
  <c r="E104" i="1"/>
  <c r="E84" i="1"/>
  <c r="E85" i="1"/>
  <c r="E86" i="1"/>
  <c r="E87" i="1"/>
  <c r="E88" i="1"/>
  <c r="E89" i="1"/>
  <c r="E90" i="1"/>
  <c r="E91" i="1"/>
  <c r="E92" i="1"/>
  <c r="E93" i="1"/>
  <c r="E94" i="1"/>
  <c r="E95" i="1"/>
  <c r="E98" i="1"/>
  <c r="E99" i="1"/>
  <c r="E53" i="1"/>
  <c r="E54" i="1"/>
  <c r="E55" i="1"/>
  <c r="E56" i="1"/>
  <c r="E57" i="1"/>
  <c r="E58" i="1"/>
  <c r="E59" i="1"/>
  <c r="E60" i="1"/>
  <c r="E61" i="1"/>
  <c r="E62" i="1"/>
  <c r="E63" i="1"/>
  <c r="E65" i="1"/>
  <c r="E76" i="1"/>
  <c r="E77" i="1"/>
  <c r="E78" i="1"/>
  <c r="E162" i="1"/>
  <c r="E161" i="1"/>
  <c r="E160" i="1"/>
  <c r="E148" i="1"/>
  <c r="E147" i="1"/>
  <c r="E146" i="1"/>
  <c r="E127" i="1"/>
  <c r="E126" i="1"/>
  <c r="E125" i="1"/>
  <c r="E118" i="1"/>
  <c r="E117" i="1"/>
  <c r="E116" i="1"/>
  <c r="E107" i="1"/>
  <c r="E106" i="1"/>
  <c r="E105" i="1"/>
  <c r="E102" i="1"/>
  <c r="E101" i="1"/>
  <c r="E100" i="1"/>
  <c r="E83" i="1"/>
  <c r="E82" i="1"/>
  <c r="E52" i="1"/>
  <c r="E26" i="1"/>
  <c r="E27" i="1"/>
  <c r="E28" i="1"/>
  <c r="E29" i="1"/>
  <c r="E30" i="1"/>
  <c r="E31" i="1"/>
  <c r="E32" i="1"/>
  <c r="E42" i="1"/>
  <c r="E44" i="1"/>
  <c r="E45" i="1"/>
  <c r="E46" i="1"/>
  <c r="E21" i="1"/>
  <c r="E20" i="1"/>
  <c r="J198" i="1" l="1"/>
  <c r="E198" i="1"/>
  <c r="J126" i="1"/>
  <c r="P126" i="1" s="1"/>
  <c r="E199" i="1"/>
  <c r="J199" i="1"/>
  <c r="E192" i="1"/>
  <c r="J194" i="1"/>
  <c r="J192" i="1"/>
  <c r="E194" i="1"/>
  <c r="E197" i="1"/>
  <c r="P34" i="1"/>
  <c r="J197" i="1"/>
  <c r="J196" i="1"/>
  <c r="E81" i="1"/>
  <c r="E196" i="1"/>
  <c r="E193" i="1"/>
  <c r="J193" i="1"/>
  <c r="J200" i="1"/>
  <c r="P200" i="1" s="1"/>
  <c r="G189" i="1"/>
  <c r="E195" i="1"/>
  <c r="J195" i="1"/>
  <c r="E191" i="1"/>
  <c r="J191" i="1"/>
  <c r="I189" i="1"/>
  <c r="F50" i="1"/>
  <c r="E50" i="1" s="1"/>
  <c r="H189" i="1"/>
  <c r="J100" i="1"/>
  <c r="P100" i="1" s="1"/>
  <c r="J50" i="1"/>
  <c r="O189" i="1"/>
  <c r="P20" i="1"/>
  <c r="J81" i="1"/>
  <c r="J82" i="1"/>
  <c r="P82" i="1" s="1"/>
  <c r="J51" i="1"/>
  <c r="P51" i="1" s="1"/>
  <c r="J19" i="1"/>
  <c r="L189" i="1"/>
  <c r="E19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49" i="1"/>
  <c r="P148" i="1"/>
  <c r="P147" i="1"/>
  <c r="P146" i="1"/>
  <c r="P141" i="1"/>
  <c r="P139" i="1"/>
  <c r="P137" i="1"/>
  <c r="P135" i="1"/>
  <c r="P134" i="1"/>
  <c r="P133" i="1"/>
  <c r="P130" i="1"/>
  <c r="P129" i="1"/>
  <c r="P128" i="1"/>
  <c r="P127" i="1"/>
  <c r="P125" i="1"/>
  <c r="P124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99" i="1"/>
  <c r="P98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78" i="1"/>
  <c r="P77" i="1"/>
  <c r="P76" i="1"/>
  <c r="P65" i="1"/>
  <c r="P63" i="1"/>
  <c r="P62" i="1"/>
  <c r="P61" i="1"/>
  <c r="P60" i="1"/>
  <c r="P59" i="1"/>
  <c r="P58" i="1"/>
  <c r="P57" i="1"/>
  <c r="P56" i="1"/>
  <c r="P55" i="1"/>
  <c r="P54" i="1"/>
  <c r="P53" i="1"/>
  <c r="P52" i="1"/>
  <c r="P46" i="1"/>
  <c r="P45" i="1"/>
  <c r="P44" i="1"/>
  <c r="P42" i="1"/>
  <c r="P32" i="1"/>
  <c r="P31" i="1"/>
  <c r="P30" i="1"/>
  <c r="P29" i="1"/>
  <c r="P28" i="1"/>
  <c r="P27" i="1"/>
  <c r="P26" i="1"/>
  <c r="P21" i="1"/>
  <c r="P81" i="1" l="1"/>
  <c r="P196" i="1"/>
  <c r="P50" i="1"/>
  <c r="P197" i="1"/>
  <c r="P192" i="1"/>
  <c r="P199" i="1"/>
  <c r="P191" i="1"/>
  <c r="P198" i="1"/>
  <c r="J201" i="1"/>
  <c r="P195" i="1"/>
  <c r="P194" i="1"/>
  <c r="E201" i="1"/>
  <c r="P193" i="1"/>
  <c r="F189" i="1"/>
  <c r="P19" i="1"/>
  <c r="J189" i="1"/>
  <c r="E189" i="1" l="1"/>
  <c r="P201" i="1"/>
  <c r="P189" i="1" l="1"/>
</calcChain>
</file>

<file path=xl/sharedStrings.xml><?xml version="1.0" encoding="utf-8"?>
<sst xmlns="http://schemas.openxmlformats.org/spreadsheetml/2006/main" count="617" uniqueCount="395">
  <si>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</si>
  <si>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</si>
  <si>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</si>
  <si>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</si>
  <si>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</si>
  <si>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</si>
  <si>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</si>
  <si>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</si>
  <si>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</si>
  <si>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</si>
  <si>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</si>
  <si>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</si>
  <si>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</si>
  <si>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</si>
  <si>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</si>
  <si>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</si>
  <si>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</si>
  <si>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</si>
  <si>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</si>
  <si>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</si>
  <si>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</si>
  <si>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</si>
  <si>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</si>
  <si>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</si>
  <si>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</si>
  <si>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</si>
  <si>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</si>
  <si>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</si>
  <si>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</si>
  <si>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</si>
  <si>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</si>
  <si>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</si>
  <si>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</si>
  <si>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</si>
  <si>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</si>
  <si>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</si>
  <si>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</si>
  <si>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</si>
  <si>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</si>
  <si>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</si>
  <si>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</si>
  <si>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</si>
  <si>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</si>
  <si>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</si>
  <si>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</si>
  <si>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</si>
  <si>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</si>
  <si>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</si>
  <si>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</si>
  <si>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</si>
  <si>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</si>
  <si>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</si>
  <si>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</si>
  <si>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</si>
  <si>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</si>
  <si>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</si>
  <si>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</si>
  <si>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</si>
  <si>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</si>
  <si>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</si>
  <si>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</si>
  <si>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</si>
  <si>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</si>
  <si>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</si>
  <si>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</si>
  <si>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</si>
  <si>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</si>
  <si>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</si>
  <si>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</si>
  <si>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</si>
  <si>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</si>
  <si>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</si>
  <si>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</si>
  <si>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</si>
  <si>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</si>
  <si>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</si>
  <si>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</si>
  <si>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0610180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</si>
  <si>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</si>
  <si>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</si>
  <si>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</si>
  <si>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</si>
  <si>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</si>
  <si>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</si>
  <si>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</si>
  <si>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</si>
  <si>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</si>
  <si>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</si>
  <si>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</si>
  <si>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</si>
  <si>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</si>
  <si>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</si>
  <si>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</si>
  <si>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</si>
  <si>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</si>
  <si>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</si>
  <si>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</si>
  <si>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</si>
  <si>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</si>
  <si>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</si>
  <si>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</si>
  <si>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</si>
  <si>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</si>
  <si>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</si>
  <si>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</si>
  <si>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</si>
  <si>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</si>
  <si>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</si>
  <si>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</si>
  <si>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</si>
  <si>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</si>
  <si>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</si>
  <si>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</si>
  <si>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</si>
  <si>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</si>
  <si>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</si>
  <si>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</si>
  <si>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</si>
  <si>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</si>
  <si>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</si>
  <si>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</si>
  <si>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</si>
  <si>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</si>
  <si>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</si>
  <si>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</si>
  <si>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Утримання та навчально-тренувальна робота комунальних дитячо-юнацьких спортивних шкіл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</si>
  <si>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</si>
  <si>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</si>
  <si>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</si>
  <si>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</si>
  <si>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</si>
  <si>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</si>
  <si>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</si>
  <si>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</si>
  <si>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</si>
  <si>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</si>
  <si>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</si>
  <si>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</si>
  <si>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</si>
  <si>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</si>
  <si>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</si>
  <si>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</si>
  <si>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</si>
  <si>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</si>
  <si>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</si>
  <si>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</si>
  <si>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</si>
  <si>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</si>
  <si>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</si>
  <si>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</si>
  <si>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Утримання та забезпечення діяльності центрів соціальних служб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</si>
  <si>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</si>
  <si>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</si>
  <si>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</si>
  <si>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</si>
  <si>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</si>
  <si>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</si>
  <si>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</si>
  <si>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</si>
  <si>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</si>
  <si>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</si>
  <si>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</si>
  <si>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</si>
  <si>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</si>
  <si>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</si>
  <si>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</si>
  <si>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</si>
  <si>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</si>
  <si>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</si>
  <si>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</si>
  <si>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</si>
  <si>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</si>
  <si>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</si>
  <si>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</si>
  <si>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</si>
  <si>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0910180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</si>
  <si>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</si>
  <si>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</si>
  <si>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</si>
  <si>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</si>
  <si>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</si>
  <si>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</si>
  <si>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</si>
  <si>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1010180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</si>
  <si>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</si>
  <si>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</si>
  <si>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</si>
  <si>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</si>
  <si>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</si>
  <si>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</si>
  <si>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</si>
  <si>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</si>
  <si>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</si>
  <si>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</si>
  <si>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</si>
  <si>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</si>
  <si>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</si>
  <si>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</si>
  <si>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</si>
  <si>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</si>
  <si>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</si>
  <si>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</si>
  <si>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</si>
  <si>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</si>
  <si>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</si>
  <si>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</si>
  <si>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</si>
  <si>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</si>
  <si>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</si>
  <si>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</si>
  <si>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1110180</t>
  </si>
  <si>
    <t>1113133</t>
  </si>
  <si>
    <t>3133</t>
  </si>
  <si>
    <t>Інші заходи та заклади молодіжної політики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</si>
  <si>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</si>
  <si>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</si>
  <si>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</si>
  <si>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</si>
  <si>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</si>
  <si>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</si>
  <si>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</si>
  <si>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</si>
  <si>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</si>
  <si>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</si>
  <si>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</si>
  <si>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</si>
  <si>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</si>
  <si>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</si>
  <si>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1210180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</si>
  <si>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</si>
  <si>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</si>
  <si>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</si>
  <si>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</si>
  <si>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</si>
  <si>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</si>
  <si>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</si>
  <si>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</si>
  <si>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</si>
  <si>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</si>
  <si>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</si>
  <si>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</si>
  <si>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</si>
  <si>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</si>
  <si>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</si>
  <si>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</si>
  <si>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</si>
  <si>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</si>
  <si>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</si>
  <si>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</si>
  <si>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</si>
  <si>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</si>
  <si>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</si>
  <si>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</si>
  <si>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</si>
  <si>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</si>
  <si>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1510180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</si>
  <si>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</si>
  <si>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</si>
  <si>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</si>
  <si>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</si>
  <si>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</si>
  <si>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</si>
  <si>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</si>
  <si>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</si>
  <si>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</si>
  <si>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</si>
  <si>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3117350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</si>
  <si>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</si>
  <si>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</si>
  <si>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</si>
  <si>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</si>
  <si>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</si>
  <si>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</si>
  <si>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</si>
  <si>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</si>
  <si>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</si>
  <si>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</si>
  <si>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</si>
  <si>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3710180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</si>
  <si>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</si>
  <si>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</si>
  <si>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</si>
  <si>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</si>
  <si>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</si>
  <si>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</si>
  <si>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</si>
  <si>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</si>
  <si>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</si>
  <si>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</si>
  <si>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</si>
  <si>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0216011</t>
  </si>
  <si>
    <t>Експлуатація та технічне обслуговування житлового фонду</t>
  </si>
  <si>
    <t>0610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</si>
  <si>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</si>
  <si>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</si>
  <si>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</si>
  <si>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1218340</t>
  </si>
  <si>
    <t>Начальник фінансового управління</t>
  </si>
  <si>
    <t>Ольга ЯКОВЕНКО</t>
  </si>
  <si>
    <t>Чорноморської міської ради</t>
  </si>
  <si>
    <t>до рішення</t>
  </si>
  <si>
    <t>видатків бюджету Чорноморської міської територіальної громади  на 2024 рік</t>
  </si>
  <si>
    <t>від 22.12.2023  № 522 - VIII"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</si>
  <si>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</si>
  <si>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</si>
  <si>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</si>
  <si>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</si>
  <si>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</si>
  <si>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</si>
  <si>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</si>
  <si>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</si>
  <si>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</si>
  <si>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</si>
  <si>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</si>
  <si>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</si>
  <si>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</si>
  <si>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</si>
  <si>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</si>
  <si>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</si>
  <si>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</si>
  <si>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9000</t>
  </si>
  <si>
    <t>Міжбюджетні трансферти</t>
  </si>
  <si>
    <t>оплата праці і нарахування на заробітну плату</t>
  </si>
  <si>
    <t>0218240</t>
  </si>
  <si>
    <t>"Додаток 3</t>
  </si>
  <si>
    <t>1218240</t>
  </si>
  <si>
    <t>Субвенція з місцевого бюджету державному бюджету на виконання програм соціально-економічного розвитку регіонів, всього -</t>
  </si>
  <si>
    <t>Інша діяльність</t>
  </si>
  <si>
    <t>0217350</t>
  </si>
  <si>
    <t>0217640</t>
  </si>
  <si>
    <t>Заходи з енергозбереження</t>
  </si>
  <si>
    <t>0470</t>
  </si>
  <si>
    <t>0618110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</si>
  <si>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</si>
  <si>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6013</t>
  </si>
  <si>
    <t>Забезпечення діяльності водопровідно-каналізаційного господарства</t>
  </si>
  <si>
    <t>6050</t>
  </si>
  <si>
    <t>Попередження аварій та запобігання техногенним катастрофам у житлово-комунальному господарстві та на інших аварійних об'єктах комунальної власності</t>
  </si>
  <si>
    <t>7310</t>
  </si>
  <si>
    <t>Будівництво об'єктів житлово-комунального господарства</t>
  </si>
  <si>
    <t>7321</t>
  </si>
  <si>
    <t>Будівництво освітніх установ та закладів</t>
  </si>
  <si>
    <t>7370</t>
  </si>
  <si>
    <t>Реалізація інших заходів щодо соціально-економічного розвитку територій</t>
  </si>
  <si>
    <t>7640</t>
  </si>
  <si>
    <t>Міська цільова програма зміцнення законності, безпеки та порядку на території Чорноморської міської територіальної громади "Безпечне місто Чорноморськ" на 2023-2024 роки</t>
  </si>
  <si>
    <t>Міська цільова програма протидії злочинності на території Чорноморської міської територіальної громади на 2024 рік</t>
  </si>
  <si>
    <t>Міська цільова програма підтримки Територіального управління Державного бюро розслідувань, розташованого у місті Миколаєві, на 2024 рік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</si>
  <si>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2024 рік</t>
  </si>
  <si>
    <t>в т.ч. за програмами:</t>
  </si>
  <si>
    <t>Міська цільова програма фінансової підтримки діяльності  Одеської районної ради Одеської області на 2024 рік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</si>
  <si>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</si>
  <si>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</si>
  <si>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</si>
  <si>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</si>
  <si>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7368</t>
  </si>
  <si>
    <t>Виконання інвестиційних проектів за рахунок субвенцій з інших бюджетів</t>
  </si>
  <si>
    <t>0217130</t>
  </si>
  <si>
    <t>0218110</t>
  </si>
  <si>
    <t>0611154</t>
  </si>
  <si>
    <t>Забезпечення діяльності інклюзивно-ресурсних центрів за рахунок залишку коштів за освітньою субвенцією на кінець бюджетного періоду (крім залишку коштів, що мають цільове призначення, виділених відповідно до рішень Кабінету Міністрів України у попередніх бюджетних періодах)</t>
  </si>
  <si>
    <t>0611291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</si>
  <si>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</si>
  <si>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</si>
  <si>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Міська цільова програма розвитку фізичної культури і спорту на території Чорноморської міської територіальної громади на 2022-2025 роки</t>
  </si>
  <si>
    <t>Міська цільова соціальна програма розвитку цивільного захисту Чорноморської міської територіальної громади на 2021-2025 роки</t>
  </si>
  <si>
    <t xml:space="preserve">Міська цільова програма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</si>
  <si>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0218775</t>
  </si>
  <si>
    <t>Інші заходи за рахунок коштів резервного фонду місцевого бюджету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</si>
  <si>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</si>
  <si>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</si>
  <si>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</si>
  <si>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в тому числі:</t>
  </si>
  <si>
    <t>Оплата за проведення корекційно-розвиткових занять і придбання спеціальних засобів корекції для вихованців інклюзивних груп закладів дошкільної освіти</t>
  </si>
  <si>
    <t>Оплата за проведення корекційно-розвиткових занять і придбання спеціальних засобів корекції для учнів інклюзивних класів закладів загальної середньої освіти</t>
  </si>
  <si>
    <t>1115049</t>
  </si>
  <si>
    <t>5049</t>
  </si>
  <si>
    <t>Виконання окремих заходів з реалізації соціального проекту "Активні парки - локації здорової України"</t>
  </si>
  <si>
    <t>Додаток 3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</si>
  <si>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</si>
  <si>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</si>
  <si>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0813221</t>
  </si>
  <si>
    <t>0813223</t>
  </si>
  <si>
    <t>Грошова компенсація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</si>
  <si>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</si>
  <si>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1218761</t>
  </si>
  <si>
    <t>Заходи із запобігання та ліквідації наслідків надзвичайної ситуації внаслідок стихійного лиха за рахунок коштів резервного фонду місцевого бюджету</t>
  </si>
  <si>
    <t>1218773</t>
  </si>
  <si>
    <t>Заходи, пов'язані із підготовкою та проведенням позачергових місцевих виборів, за рахунок коштів резервного фонду місцевого бюджету</t>
  </si>
  <si>
    <t>від                         2024 №               -  VIII</t>
  </si>
  <si>
    <t>0217520</t>
  </si>
  <si>
    <t>Реалізація Національної програми інформатизації</t>
  </si>
  <si>
    <t>0460</t>
  </si>
  <si>
    <t>0617520</t>
  </si>
  <si>
    <t xml:space="preserve">Субвенція обласному бюджету Одеської області на співфінансування придбання шкільного автобусу відповідно до п. 4 Порядку та умов надання субвенції з державного бюджету місцевим бюджетам на придбання шкільних автобусів, затверджених постановою Кабінету Міністрів України від 28 квітня 2023 р. № 418 (зі змінами)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</si>
</sst>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5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4" fillId="0" borderId="0"/>
  </cellStyleXfs>
  <cellXfs count="53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4" fontId="1" fillId="0" borderId="0" xfId="0" applyNumberFormat="1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1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165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4" fontId="13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8" fillId="2" borderId="1" xfId="1" applyNumberFormat="1" applyFont="1" applyFill="1" applyBorder="1" applyAlignment="1">
      <alignment horizontal="right" vertical="center" wrapText="1"/>
    </xf>
    <xf numFmtId="4" fontId="11" fillId="2" borderId="1" xfId="1" applyNumberFormat="1" applyFont="1" applyFill="1" applyBorder="1" applyAlignment="1">
      <alignment horizontal="righ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3">
    <cellStyle name="Звичайний" xfId="0" builtinId="0"/>
    <cellStyle name="Обычный 9" xfId="2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4"/>
  <sheetViews>
    <sheetView tabSelected="1" view="pageBreakPreview" topLeftCell="A195" zoomScale="70" zoomScaleNormal="70" zoomScaleSheetLayoutView="70" workbookViewId="0">
      <selection activeCell="A205" sqref="A205:XFD217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18.6640625" style="2" customWidth="1"/>
    <col min="6" max="6" width="19.109375" style="2" customWidth="1"/>
    <col min="7" max="7" width="22.88671875" style="2" customWidth="1"/>
    <col min="8" max="8" width="15.6640625" style="2" customWidth="1"/>
    <col min="9" max="9" width="18.44140625" style="2" customWidth="1"/>
    <col min="10" max="10" width="17.44140625" style="2" bestFit="1" customWidth="1"/>
    <col min="11" max="11" width="17.6640625" style="2" customWidth="1"/>
    <col min="12" max="14" width="15.6640625" style="2" customWidth="1"/>
    <col min="15" max="15" width="17" style="2" customWidth="1"/>
    <col min="16" max="16" width="19.5546875" style="2" customWidth="1"/>
    <col min="17" max="16384" width="8.88671875" style="2"/>
  </cols>
  <sheetData>
    <row r="1" spans="1:16">
      <c r="M1" s="2" t="s">
        <v>378</v>
      </c>
    </row>
    <row r="2" spans="1:16">
      <c r="M2" s="2" t="s">
        <v>300</v>
      </c>
    </row>
    <row r="3" spans="1:16">
      <c r="M3" s="2" t="s">
        <v>299</v>
      </c>
    </row>
    <row r="4" spans="1:16">
      <c r="M4" s="2" t="s">
        <v>389</v>
      </c>
    </row>
    <row r="6" spans="1:16" ht="20.399999999999999" customHeight="1">
      <c r="M6" s="23" t="s">
        <v>324</v>
      </c>
    </row>
    <row r="7" spans="1:16" ht="20.399999999999999" customHeight="1">
      <c r="M7" s="2" t="s">
        <v>300</v>
      </c>
    </row>
    <row r="8" spans="1:16" ht="20.399999999999999" customHeight="1">
      <c r="M8" s="2" t="s">
        <v>299</v>
      </c>
    </row>
    <row r="9" spans="1:16" ht="20.399999999999999" customHeight="1">
      <c r="M9" s="2" t="s">
        <v>302</v>
      </c>
    </row>
    <row r="10" spans="1:16">
      <c r="A10" s="49" t="s">
        <v>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</row>
    <row r="11" spans="1:16">
      <c r="A11" s="49" t="s">
        <v>301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</row>
    <row r="12" spans="1:16">
      <c r="A12" s="3" t="s">
        <v>1</v>
      </c>
    </row>
    <row r="13" spans="1:16">
      <c r="A13" s="2" t="s">
        <v>2</v>
      </c>
      <c r="P13" s="4" t="s">
        <v>3</v>
      </c>
    </row>
    <row r="14" spans="1:16" ht="26.4" customHeight="1">
      <c r="A14" s="51" t="s">
        <v>4</v>
      </c>
      <c r="B14" s="51" t="s">
        <v>5</v>
      </c>
      <c r="C14" s="51" t="s">
        <v>6</v>
      </c>
      <c r="D14" s="52" t="s">
        <v>7</v>
      </c>
      <c r="E14" s="52" t="s">
        <v>8</v>
      </c>
      <c r="F14" s="52"/>
      <c r="G14" s="52"/>
      <c r="H14" s="52"/>
      <c r="I14" s="52"/>
      <c r="J14" s="52" t="s">
        <v>14</v>
      </c>
      <c r="K14" s="52"/>
      <c r="L14" s="52"/>
      <c r="M14" s="52"/>
      <c r="N14" s="52"/>
      <c r="O14" s="52"/>
      <c r="P14" s="52" t="s">
        <v>16</v>
      </c>
    </row>
    <row r="15" spans="1:16" ht="26.4" customHeight="1">
      <c r="A15" s="51"/>
      <c r="B15" s="51"/>
      <c r="C15" s="51"/>
      <c r="D15" s="52"/>
      <c r="E15" s="52" t="s">
        <v>9</v>
      </c>
      <c r="F15" s="52" t="s">
        <v>10</v>
      </c>
      <c r="G15" s="52" t="s">
        <v>11</v>
      </c>
      <c r="H15" s="52"/>
      <c r="I15" s="52" t="s">
        <v>13</v>
      </c>
      <c r="J15" s="52" t="s">
        <v>9</v>
      </c>
      <c r="K15" s="52" t="s">
        <v>15</v>
      </c>
      <c r="L15" s="52" t="s">
        <v>10</v>
      </c>
      <c r="M15" s="52" t="s">
        <v>11</v>
      </c>
      <c r="N15" s="52"/>
      <c r="O15" s="52" t="s">
        <v>13</v>
      </c>
      <c r="P15" s="52"/>
    </row>
    <row r="16" spans="1:16" ht="30.6" customHeight="1">
      <c r="A16" s="51"/>
      <c r="B16" s="51"/>
      <c r="C16" s="51"/>
      <c r="D16" s="52"/>
      <c r="E16" s="52"/>
      <c r="F16" s="52"/>
      <c r="G16" s="52" t="s">
        <v>322</v>
      </c>
      <c r="H16" s="52" t="s">
        <v>12</v>
      </c>
      <c r="I16" s="52"/>
      <c r="J16" s="52"/>
      <c r="K16" s="52"/>
      <c r="L16" s="52"/>
      <c r="M16" s="52" t="s">
        <v>322</v>
      </c>
      <c r="N16" s="52" t="s">
        <v>12</v>
      </c>
      <c r="O16" s="52"/>
      <c r="P16" s="52"/>
    </row>
    <row r="17" spans="1:16" ht="31.2" customHeight="1">
      <c r="A17" s="51"/>
      <c r="B17" s="51"/>
      <c r="C17" s="51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  <row r="18" spans="1:16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7">
        <v>8</v>
      </c>
      <c r="I18" s="7">
        <v>9</v>
      </c>
      <c r="J18" s="7">
        <v>10</v>
      </c>
      <c r="K18" s="7">
        <v>11</v>
      </c>
      <c r="L18" s="7">
        <v>12</v>
      </c>
      <c r="M18" s="7">
        <v>13</v>
      </c>
      <c r="N18" s="7">
        <v>14</v>
      </c>
      <c r="O18" s="7">
        <v>15</v>
      </c>
      <c r="P18" s="7">
        <v>16</v>
      </c>
    </row>
    <row r="19" spans="1:16" ht="46.8">
      <c r="A19" s="8" t="s">
        <v>17</v>
      </c>
      <c r="B19" s="8" t="s">
        <v>18</v>
      </c>
      <c r="C19" s="8" t="s">
        <v>18</v>
      </c>
      <c r="D19" s="9" t="s">
        <v>19</v>
      </c>
      <c r="E19" s="10">
        <f>F19+I19</f>
        <v>164668893</v>
      </c>
      <c r="F19" s="10">
        <f>F20</f>
        <v>164668893</v>
      </c>
      <c r="G19" s="10">
        <f>G20</f>
        <v>83348300</v>
      </c>
      <c r="H19" s="10">
        <f>H20</f>
        <v>5213300</v>
      </c>
      <c r="I19" s="10">
        <f>I20</f>
        <v>0</v>
      </c>
      <c r="J19" s="10">
        <f>L19+O19</f>
        <v>7776089</v>
      </c>
      <c r="K19" s="10">
        <f>K20</f>
        <v>7537489</v>
      </c>
      <c r="L19" s="10">
        <f>L20</f>
        <v>238600</v>
      </c>
      <c r="M19" s="10">
        <f>M20</f>
        <v>0</v>
      </c>
      <c r="N19" s="10">
        <f>N20</f>
        <v>0</v>
      </c>
      <c r="O19" s="10">
        <f>O20</f>
        <v>7537489</v>
      </c>
      <c r="P19" s="10">
        <f t="shared" ref="P19:P77" si="0">E19 + J19</f>
        <v>172444982</v>
      </c>
    </row>
    <row r="20" spans="1:16" ht="46.8">
      <c r="A20" s="8" t="s">
        <v>20</v>
      </c>
      <c r="B20" s="8" t="s">
        <v>18</v>
      </c>
      <c r="C20" s="8" t="s">
        <v>18</v>
      </c>
      <c r="D20" s="9" t="s">
        <v>19</v>
      </c>
      <c r="E20" s="10">
        <f>F20+I20</f>
        <v>164668893</v>
      </c>
      <c r="F20" s="10">
        <f>SUM(F21:F49)-F22-F23-F24-F25-F35-F36-F37</f>
        <v>164668893</v>
      </c>
      <c r="G20" s="10">
        <f t="shared" ref="G20:K20" si="1">SUM(G21:G49)-G22-G23-G24-G25-G35-G36-G37</f>
        <v>83348300</v>
      </c>
      <c r="H20" s="10">
        <f t="shared" si="1"/>
        <v>5213300</v>
      </c>
      <c r="I20" s="10">
        <f t="shared" si="1"/>
        <v>0</v>
      </c>
      <c r="J20" s="10">
        <f>L20+O20</f>
        <v>7776089</v>
      </c>
      <c r="K20" s="10">
        <f t="shared" si="1"/>
        <v>7537489</v>
      </c>
      <c r="L20" s="10">
        <f t="shared" ref="L20" si="2">SUM(L21:L49)-L22-L23-L24-L25-L35-L36-L37</f>
        <v>238600</v>
      </c>
      <c r="M20" s="10">
        <f t="shared" ref="M20" si="3">SUM(M21:M49)-M22-M23-M24-M25-M35-M36-M37</f>
        <v>0</v>
      </c>
      <c r="N20" s="10">
        <f t="shared" ref="N20" si="4">SUM(N21:N49)-N22-N23-N24-N25-N35-N36-N37</f>
        <v>0</v>
      </c>
      <c r="O20" s="10">
        <f t="shared" ref="O20" si="5">SUM(O21:O49)-O22-O23-O24-O25-O35-O36-O37</f>
        <v>7537489</v>
      </c>
      <c r="P20" s="10">
        <f>E20 + J20</f>
        <v>172444982</v>
      </c>
    </row>
    <row r="21" spans="1:16" ht="93.6">
      <c r="A21" s="7" t="s">
        <v>21</v>
      </c>
      <c r="B21" s="7" t="s">
        <v>22</v>
      </c>
      <c r="C21" s="7" t="s">
        <v>23</v>
      </c>
      <c r="D21" s="11" t="s">
        <v>24</v>
      </c>
      <c r="E21" s="12">
        <f>F21+I21</f>
        <v>74565973</v>
      </c>
      <c r="F21" s="12">
        <f>F22+F23+F24+F25</f>
        <v>74565973</v>
      </c>
      <c r="G21" s="12">
        <f>G22+G23+G24+G25</f>
        <v>64375200</v>
      </c>
      <c r="H21" s="12">
        <f t="shared" ref="H21:I21" si="6">H22+H23+H24+H25</f>
        <v>4886300</v>
      </c>
      <c r="I21" s="12">
        <f t="shared" si="6"/>
        <v>0</v>
      </c>
      <c r="J21" s="12">
        <f>L21+O21</f>
        <v>138600</v>
      </c>
      <c r="K21" s="12">
        <f>K22+K23+K24+K25</f>
        <v>0</v>
      </c>
      <c r="L21" s="12">
        <f t="shared" ref="L21:O21" si="7">L22+L23+L24+L25</f>
        <v>138600</v>
      </c>
      <c r="M21" s="12">
        <f t="shared" si="7"/>
        <v>0</v>
      </c>
      <c r="N21" s="12">
        <f t="shared" si="7"/>
        <v>0</v>
      </c>
      <c r="O21" s="12">
        <f t="shared" si="7"/>
        <v>0</v>
      </c>
      <c r="P21" s="12">
        <f t="shared" si="0"/>
        <v>74704573</v>
      </c>
    </row>
    <row r="22" spans="1:16" s="6" customFormat="1" ht="46.8">
      <c r="A22" s="13"/>
      <c r="B22" s="13"/>
      <c r="C22" s="13"/>
      <c r="D22" s="1" t="s">
        <v>19</v>
      </c>
      <c r="E22" s="14">
        <f>F22+I22</f>
        <v>66557273</v>
      </c>
      <c r="F22" s="14">
        <f>66352700-109000-99200-100000+490000-12000+34773</f>
        <v>66557273</v>
      </c>
      <c r="G22" s="14">
        <f>57122400+490000</f>
        <v>57612400</v>
      </c>
      <c r="H22" s="14">
        <f>4610900-100000</f>
        <v>4510900</v>
      </c>
      <c r="I22" s="14"/>
      <c r="J22" s="14">
        <f>L22+O22</f>
        <v>138598</v>
      </c>
      <c r="K22" s="14"/>
      <c r="L22" s="14">
        <v>138598</v>
      </c>
      <c r="M22" s="14"/>
      <c r="N22" s="14"/>
      <c r="O22" s="14"/>
      <c r="P22" s="14">
        <f t="shared" si="0"/>
        <v>66695871</v>
      </c>
    </row>
    <row r="23" spans="1:16" s="6" customFormat="1" ht="62.4">
      <c r="A23" s="13"/>
      <c r="B23" s="13"/>
      <c r="C23" s="13"/>
      <c r="D23" s="1" t="s">
        <v>293</v>
      </c>
      <c r="E23" s="14">
        <f t="shared" ref="E23:E25" si="8">F23+I23</f>
        <v>3270600</v>
      </c>
      <c r="F23" s="14">
        <f>3206600+44000+20000</f>
        <v>3270600</v>
      </c>
      <c r="G23" s="14">
        <v>2744700</v>
      </c>
      <c r="H23" s="14">
        <v>171700</v>
      </c>
      <c r="I23" s="14"/>
      <c r="J23" s="14">
        <f t="shared" ref="J23:J25" si="9">L23+O23</f>
        <v>1</v>
      </c>
      <c r="K23" s="14"/>
      <c r="L23" s="14">
        <v>1</v>
      </c>
      <c r="M23" s="14"/>
      <c r="N23" s="14"/>
      <c r="O23" s="14"/>
      <c r="P23" s="14">
        <f t="shared" si="0"/>
        <v>3270601</v>
      </c>
    </row>
    <row r="24" spans="1:16" s="6" customFormat="1" ht="62.4">
      <c r="A24" s="13"/>
      <c r="B24" s="13"/>
      <c r="C24" s="13"/>
      <c r="D24" s="1" t="s">
        <v>294</v>
      </c>
      <c r="E24" s="14">
        <f t="shared" si="8"/>
        <v>2157300</v>
      </c>
      <c r="F24" s="14">
        <f>2157300</f>
        <v>2157300</v>
      </c>
      <c r="G24" s="14">
        <v>1819000</v>
      </c>
      <c r="H24" s="14">
        <v>91600</v>
      </c>
      <c r="I24" s="14"/>
      <c r="J24" s="14">
        <f t="shared" si="9"/>
        <v>0</v>
      </c>
      <c r="K24" s="14"/>
      <c r="L24" s="14"/>
      <c r="M24" s="14"/>
      <c r="N24" s="14"/>
      <c r="O24" s="14"/>
      <c r="P24" s="14">
        <f t="shared" si="0"/>
        <v>2157300</v>
      </c>
    </row>
    <row r="25" spans="1:16" s="6" customFormat="1" ht="46.8">
      <c r="A25" s="13"/>
      <c r="B25" s="13"/>
      <c r="C25" s="13"/>
      <c r="D25" s="1" t="s">
        <v>295</v>
      </c>
      <c r="E25" s="14">
        <f t="shared" si="8"/>
        <v>2580800</v>
      </c>
      <c r="F25" s="14">
        <f>2515800+65000</f>
        <v>2580800</v>
      </c>
      <c r="G25" s="14">
        <f>2134100+65000</f>
        <v>2199100</v>
      </c>
      <c r="H25" s="14">
        <v>112100</v>
      </c>
      <c r="I25" s="14"/>
      <c r="J25" s="14">
        <f t="shared" si="9"/>
        <v>1</v>
      </c>
      <c r="K25" s="14"/>
      <c r="L25" s="14">
        <v>1</v>
      </c>
      <c r="M25" s="14"/>
      <c r="N25" s="14"/>
      <c r="O25" s="14"/>
      <c r="P25" s="14">
        <f t="shared" si="0"/>
        <v>2580801</v>
      </c>
    </row>
    <row r="26" spans="1:16" ht="46.8">
      <c r="A26" s="7" t="s">
        <v>25</v>
      </c>
      <c r="B26" s="7" t="s">
        <v>26</v>
      </c>
      <c r="C26" s="7" t="s">
        <v>27</v>
      </c>
      <c r="D26" s="11" t="s">
        <v>28</v>
      </c>
      <c r="E26" s="12">
        <f t="shared" ref="E26:E49" si="10">F26+I26</f>
        <v>50000</v>
      </c>
      <c r="F26" s="12">
        <v>50000</v>
      </c>
      <c r="G26" s="12">
        <v>0</v>
      </c>
      <c r="H26" s="12">
        <v>0</v>
      </c>
      <c r="I26" s="12">
        <v>0</v>
      </c>
      <c r="J26" s="12">
        <f t="shared" ref="J26:J49" si="11">L26+O26</f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f t="shared" si="0"/>
        <v>50000</v>
      </c>
    </row>
    <row r="27" spans="1:16" ht="31.2">
      <c r="A27" s="7" t="s">
        <v>29</v>
      </c>
      <c r="B27" s="7" t="s">
        <v>30</v>
      </c>
      <c r="C27" s="7" t="s">
        <v>31</v>
      </c>
      <c r="D27" s="11" t="s">
        <v>32</v>
      </c>
      <c r="E27" s="12">
        <f t="shared" si="10"/>
        <v>2576170</v>
      </c>
      <c r="F27" s="12">
        <f>3265000-33000-557830+100000-99000-99000</f>
        <v>2576170</v>
      </c>
      <c r="G27" s="12">
        <v>0</v>
      </c>
      <c r="H27" s="12">
        <v>0</v>
      </c>
      <c r="I27" s="12">
        <v>0</v>
      </c>
      <c r="J27" s="12">
        <f t="shared" si="11"/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f t="shared" si="0"/>
        <v>2576170</v>
      </c>
    </row>
    <row r="28" spans="1:16" ht="31.2">
      <c r="A28" s="7" t="s">
        <v>33</v>
      </c>
      <c r="B28" s="7" t="s">
        <v>34</v>
      </c>
      <c r="C28" s="7" t="s">
        <v>35</v>
      </c>
      <c r="D28" s="11" t="s">
        <v>36</v>
      </c>
      <c r="E28" s="12">
        <f t="shared" si="10"/>
        <v>22535284</v>
      </c>
      <c r="F28" s="12">
        <f>18586800+794600-1000000+868684-66000+582720+2168480+600000</f>
        <v>22535284</v>
      </c>
      <c r="G28" s="12">
        <v>0</v>
      </c>
      <c r="H28" s="12">
        <v>0</v>
      </c>
      <c r="I28" s="12">
        <v>0</v>
      </c>
      <c r="J28" s="12">
        <f t="shared" si="11"/>
        <v>2670690</v>
      </c>
      <c r="K28" s="12">
        <f>2134405+66000+700000-229715</f>
        <v>2670690</v>
      </c>
      <c r="L28" s="12">
        <v>0</v>
      </c>
      <c r="M28" s="12">
        <v>0</v>
      </c>
      <c r="N28" s="12">
        <v>0</v>
      </c>
      <c r="O28" s="12">
        <f>2134405+66000+700000-229715</f>
        <v>2670690</v>
      </c>
      <c r="P28" s="12">
        <f t="shared" si="0"/>
        <v>25205974</v>
      </c>
    </row>
    <row r="29" spans="1:16">
      <c r="A29" s="7" t="s">
        <v>37</v>
      </c>
      <c r="B29" s="7" t="s">
        <v>38</v>
      </c>
      <c r="C29" s="7" t="s">
        <v>39</v>
      </c>
      <c r="D29" s="11" t="s">
        <v>40</v>
      </c>
      <c r="E29" s="12">
        <f t="shared" si="10"/>
        <v>9140135</v>
      </c>
      <c r="F29" s="12">
        <f>8941500+198635</f>
        <v>9140135</v>
      </c>
      <c r="G29" s="12">
        <v>0</v>
      </c>
      <c r="H29" s="12">
        <v>0</v>
      </c>
      <c r="I29" s="12">
        <v>0</v>
      </c>
      <c r="J29" s="12">
        <f t="shared" si="11"/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f t="shared" si="0"/>
        <v>9140135</v>
      </c>
    </row>
    <row r="30" spans="1:16" ht="62.4">
      <c r="A30" s="7" t="s">
        <v>41</v>
      </c>
      <c r="B30" s="7" t="s">
        <v>42</v>
      </c>
      <c r="C30" s="7" t="s">
        <v>43</v>
      </c>
      <c r="D30" s="11" t="s">
        <v>44</v>
      </c>
      <c r="E30" s="12">
        <f t="shared" si="10"/>
        <v>11765200</v>
      </c>
      <c r="F30" s="12">
        <f>8225200+99000+603000+36000+2802000</f>
        <v>11765200</v>
      </c>
      <c r="G30" s="12">
        <v>0</v>
      </c>
      <c r="H30" s="12">
        <v>0</v>
      </c>
      <c r="I30" s="12">
        <v>0</v>
      </c>
      <c r="J30" s="12">
        <f t="shared" si="11"/>
        <v>964000</v>
      </c>
      <c r="K30" s="12">
        <f>1000000-36000</f>
        <v>964000</v>
      </c>
      <c r="L30" s="12">
        <v>0</v>
      </c>
      <c r="M30" s="12">
        <v>0</v>
      </c>
      <c r="N30" s="12">
        <v>0</v>
      </c>
      <c r="O30" s="12">
        <f>1000000-36000</f>
        <v>964000</v>
      </c>
      <c r="P30" s="12">
        <f t="shared" si="0"/>
        <v>12729200</v>
      </c>
    </row>
    <row r="31" spans="1:16" ht="31.2">
      <c r="A31" s="7" t="s">
        <v>45</v>
      </c>
      <c r="B31" s="7" t="s">
        <v>46</v>
      </c>
      <c r="C31" s="7" t="s">
        <v>47</v>
      </c>
      <c r="D31" s="11" t="s">
        <v>48</v>
      </c>
      <c r="E31" s="12">
        <f t="shared" si="10"/>
        <v>1629600</v>
      </c>
      <c r="F31" s="12">
        <v>1629600</v>
      </c>
      <c r="G31" s="12">
        <v>0</v>
      </c>
      <c r="H31" s="12">
        <v>0</v>
      </c>
      <c r="I31" s="12">
        <v>0</v>
      </c>
      <c r="J31" s="12">
        <f t="shared" si="11"/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f t="shared" si="0"/>
        <v>1629600</v>
      </c>
    </row>
    <row r="32" spans="1:16" ht="31.2">
      <c r="A32" s="7" t="s">
        <v>49</v>
      </c>
      <c r="B32" s="7" t="s">
        <v>50</v>
      </c>
      <c r="C32" s="7" t="s">
        <v>51</v>
      </c>
      <c r="D32" s="11" t="s">
        <v>52</v>
      </c>
      <c r="E32" s="12">
        <f t="shared" si="10"/>
        <v>4999900</v>
      </c>
      <c r="F32" s="12">
        <f>4000000+900000+99900</f>
        <v>4999900</v>
      </c>
      <c r="G32" s="12">
        <v>0</v>
      </c>
      <c r="H32" s="12">
        <v>0</v>
      </c>
      <c r="I32" s="12">
        <v>0</v>
      </c>
      <c r="J32" s="12">
        <f t="shared" si="11"/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f t="shared" si="0"/>
        <v>4999900</v>
      </c>
    </row>
    <row r="33" spans="1:16" ht="31.2">
      <c r="A33" s="15" t="s">
        <v>290</v>
      </c>
      <c r="B33" s="7">
        <v>6011</v>
      </c>
      <c r="C33" s="15" t="s">
        <v>292</v>
      </c>
      <c r="D33" s="11" t="s">
        <v>291</v>
      </c>
      <c r="E33" s="12">
        <f t="shared" si="10"/>
        <v>0</v>
      </c>
      <c r="F33" s="12">
        <f>85744400-85744400+1187813-1187813</f>
        <v>0</v>
      </c>
      <c r="G33" s="12"/>
      <c r="H33" s="12"/>
      <c r="I33" s="12"/>
      <c r="J33" s="12">
        <f t="shared" si="11"/>
        <v>0</v>
      </c>
      <c r="K33" s="12">
        <f>2799000-2799000</f>
        <v>0</v>
      </c>
      <c r="L33" s="12"/>
      <c r="M33" s="12"/>
      <c r="N33" s="12"/>
      <c r="O33" s="12">
        <f>2799000-2799000</f>
        <v>0</v>
      </c>
      <c r="P33" s="12">
        <f t="shared" si="0"/>
        <v>0</v>
      </c>
    </row>
    <row r="34" spans="1:16" ht="31.2">
      <c r="A34" s="7" t="s">
        <v>53</v>
      </c>
      <c r="B34" s="7" t="s">
        <v>54</v>
      </c>
      <c r="C34" s="7" t="s">
        <v>55</v>
      </c>
      <c r="D34" s="11" t="s">
        <v>56</v>
      </c>
      <c r="E34" s="12">
        <f>F34+I34</f>
        <v>12041000</v>
      </c>
      <c r="F34" s="12">
        <f>F35+F36+F37</f>
        <v>12041000</v>
      </c>
      <c r="G34" s="12">
        <f t="shared" ref="G34:I34" si="12">SUM(G35:G37)</f>
        <v>0</v>
      </c>
      <c r="H34" s="12">
        <f t="shared" si="12"/>
        <v>0</v>
      </c>
      <c r="I34" s="12">
        <f t="shared" si="12"/>
        <v>0</v>
      </c>
      <c r="J34" s="12">
        <f t="shared" si="11"/>
        <v>0</v>
      </c>
      <c r="K34" s="12">
        <f>SUM(K35:K37)</f>
        <v>0</v>
      </c>
      <c r="L34" s="12">
        <f t="shared" ref="L34:O34" si="13">SUM(L35:L37)</f>
        <v>0</v>
      </c>
      <c r="M34" s="12">
        <f t="shared" si="13"/>
        <v>0</v>
      </c>
      <c r="N34" s="12">
        <f t="shared" si="13"/>
        <v>0</v>
      </c>
      <c r="O34" s="12">
        <f t="shared" si="13"/>
        <v>0</v>
      </c>
      <c r="P34" s="12">
        <f>E34 + J34</f>
        <v>12041000</v>
      </c>
    </row>
    <row r="35" spans="1:16" s="6" customFormat="1" ht="62.4">
      <c r="A35" s="13"/>
      <c r="B35" s="13"/>
      <c r="C35" s="13"/>
      <c r="D35" s="1" t="s">
        <v>293</v>
      </c>
      <c r="E35" s="14">
        <f>F35+I35</f>
        <v>7054300</v>
      </c>
      <c r="F35" s="14">
        <f>4176500-44000-78200+3000000</f>
        <v>7054300</v>
      </c>
      <c r="G35" s="14"/>
      <c r="H35" s="14"/>
      <c r="I35" s="14"/>
      <c r="J35" s="14">
        <f t="shared" si="11"/>
        <v>0</v>
      </c>
      <c r="K35" s="14"/>
      <c r="L35" s="14"/>
      <c r="M35" s="14"/>
      <c r="N35" s="14"/>
      <c r="O35" s="14"/>
      <c r="P35" s="14">
        <f t="shared" si="0"/>
        <v>7054300</v>
      </c>
    </row>
    <row r="36" spans="1:16" s="6" customFormat="1" ht="62.4">
      <c r="A36" s="13"/>
      <c r="B36" s="13"/>
      <c r="C36" s="13"/>
      <c r="D36" s="1" t="s">
        <v>294</v>
      </c>
      <c r="E36" s="14">
        <f t="shared" ref="E36:E41" si="14">F36+I36</f>
        <v>1961700</v>
      </c>
      <c r="F36" s="14">
        <f>2210900-249200</f>
        <v>1961700</v>
      </c>
      <c r="G36" s="14"/>
      <c r="H36" s="14"/>
      <c r="I36" s="14"/>
      <c r="J36" s="14">
        <f t="shared" si="11"/>
        <v>0</v>
      </c>
      <c r="K36" s="14"/>
      <c r="L36" s="14"/>
      <c r="M36" s="14"/>
      <c r="N36" s="14"/>
      <c r="O36" s="14"/>
      <c r="P36" s="14">
        <f t="shared" si="0"/>
        <v>1961700</v>
      </c>
    </row>
    <row r="37" spans="1:16" s="6" customFormat="1" ht="46.8">
      <c r="A37" s="13"/>
      <c r="B37" s="13"/>
      <c r="C37" s="13"/>
      <c r="D37" s="1" t="s">
        <v>295</v>
      </c>
      <c r="E37" s="14">
        <f t="shared" si="14"/>
        <v>3025000</v>
      </c>
      <c r="F37" s="14">
        <v>3025000</v>
      </c>
      <c r="G37" s="14"/>
      <c r="H37" s="14"/>
      <c r="I37" s="14"/>
      <c r="J37" s="14">
        <f t="shared" si="11"/>
        <v>0</v>
      </c>
      <c r="K37" s="14"/>
      <c r="L37" s="14"/>
      <c r="M37" s="14"/>
      <c r="N37" s="14"/>
      <c r="O37" s="14"/>
      <c r="P37" s="14">
        <f t="shared" si="0"/>
        <v>3025000</v>
      </c>
    </row>
    <row r="38" spans="1:16">
      <c r="A38" s="15" t="s">
        <v>357</v>
      </c>
      <c r="B38" s="33">
        <v>7130</v>
      </c>
      <c r="C38" s="15" t="s">
        <v>264</v>
      </c>
      <c r="D38" s="11" t="s">
        <v>265</v>
      </c>
      <c r="E38" s="12">
        <f t="shared" si="14"/>
        <v>3000</v>
      </c>
      <c r="F38" s="12">
        <v>3000</v>
      </c>
      <c r="G38" s="12"/>
      <c r="H38" s="12"/>
      <c r="I38" s="12"/>
      <c r="J38" s="14"/>
      <c r="K38" s="12"/>
      <c r="L38" s="12"/>
      <c r="M38" s="12"/>
      <c r="N38" s="12"/>
      <c r="O38" s="12"/>
      <c r="P38" s="12"/>
    </row>
    <row r="39" spans="1:16" ht="46.8">
      <c r="A39" s="15" t="s">
        <v>328</v>
      </c>
      <c r="B39" s="29">
        <v>7350</v>
      </c>
      <c r="C39" s="15" t="s">
        <v>268</v>
      </c>
      <c r="D39" s="11" t="s">
        <v>269</v>
      </c>
      <c r="E39" s="12">
        <f t="shared" si="14"/>
        <v>0</v>
      </c>
      <c r="F39" s="12"/>
      <c r="G39" s="12"/>
      <c r="H39" s="12"/>
      <c r="I39" s="12">
        <f>260000-260000</f>
        <v>0</v>
      </c>
      <c r="J39" s="12">
        <f t="shared" si="11"/>
        <v>660000</v>
      </c>
      <c r="K39" s="12">
        <f>260000+400000</f>
        <v>660000</v>
      </c>
      <c r="L39" s="12"/>
      <c r="M39" s="12"/>
      <c r="N39" s="12"/>
      <c r="O39" s="12">
        <f>260000+400000</f>
        <v>660000</v>
      </c>
      <c r="P39" s="12">
        <f t="shared" si="0"/>
        <v>660000</v>
      </c>
    </row>
    <row r="40" spans="1:16" ht="31.2">
      <c r="A40" s="15" t="s">
        <v>390</v>
      </c>
      <c r="B40" s="48">
        <v>7520</v>
      </c>
      <c r="C40" s="15" t="s">
        <v>392</v>
      </c>
      <c r="D40" s="11" t="s">
        <v>391</v>
      </c>
      <c r="E40" s="12">
        <f t="shared" si="14"/>
        <v>0</v>
      </c>
      <c r="F40" s="12"/>
      <c r="G40" s="12"/>
      <c r="H40" s="12"/>
      <c r="I40" s="12"/>
      <c r="J40" s="12">
        <f t="shared" si="11"/>
        <v>58200</v>
      </c>
      <c r="K40" s="12">
        <v>58200</v>
      </c>
      <c r="L40" s="12"/>
      <c r="M40" s="12"/>
      <c r="N40" s="12"/>
      <c r="O40" s="12">
        <v>58200</v>
      </c>
      <c r="P40" s="12">
        <f t="shared" si="0"/>
        <v>58200</v>
      </c>
    </row>
    <row r="41" spans="1:16">
      <c r="A41" s="15" t="s">
        <v>329</v>
      </c>
      <c r="B41" s="29">
        <v>7640</v>
      </c>
      <c r="C41" s="15" t="s">
        <v>331</v>
      </c>
      <c r="D41" s="11" t="s">
        <v>330</v>
      </c>
      <c r="E41" s="12">
        <f t="shared" si="14"/>
        <v>0</v>
      </c>
      <c r="F41" s="12"/>
      <c r="G41" s="12"/>
      <c r="H41" s="12"/>
      <c r="I41" s="12"/>
      <c r="J41" s="12">
        <f t="shared" si="11"/>
        <v>1680000</v>
      </c>
      <c r="K41" s="12">
        <v>1680000</v>
      </c>
      <c r="L41" s="12"/>
      <c r="M41" s="12"/>
      <c r="N41" s="12"/>
      <c r="O41" s="12">
        <v>1680000</v>
      </c>
      <c r="P41" s="12">
        <f t="shared" si="0"/>
        <v>1680000</v>
      </c>
    </row>
    <row r="42" spans="1:16" ht="31.2">
      <c r="A42" s="7" t="s">
        <v>57</v>
      </c>
      <c r="B42" s="7" t="s">
        <v>58</v>
      </c>
      <c r="C42" s="7" t="s">
        <v>59</v>
      </c>
      <c r="D42" s="11" t="s">
        <v>60</v>
      </c>
      <c r="E42" s="12">
        <f t="shared" si="10"/>
        <v>122000</v>
      </c>
      <c r="F42" s="12">
        <f>110000+12000</f>
        <v>122000</v>
      </c>
      <c r="G42" s="12">
        <v>0</v>
      </c>
      <c r="H42" s="12">
        <v>0</v>
      </c>
      <c r="I42" s="12">
        <v>0</v>
      </c>
      <c r="J42" s="12">
        <f t="shared" si="11"/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f t="shared" si="0"/>
        <v>122000</v>
      </c>
    </row>
    <row r="43" spans="1:16" ht="46.8">
      <c r="A43" s="15" t="s">
        <v>358</v>
      </c>
      <c r="B43" s="33">
        <v>8110</v>
      </c>
      <c r="C43" s="15" t="s">
        <v>249</v>
      </c>
      <c r="D43" s="11" t="s">
        <v>250</v>
      </c>
      <c r="E43" s="12">
        <f t="shared" si="10"/>
        <v>91000</v>
      </c>
      <c r="F43" s="12">
        <f>42000+49000</f>
        <v>91000</v>
      </c>
      <c r="G43" s="12"/>
      <c r="H43" s="12"/>
      <c r="I43" s="12"/>
      <c r="J43" s="12">
        <f t="shared" si="11"/>
        <v>0</v>
      </c>
      <c r="K43" s="12"/>
      <c r="L43" s="12"/>
      <c r="M43" s="12"/>
      <c r="N43" s="12"/>
      <c r="O43" s="12"/>
      <c r="P43" s="12">
        <f t="shared" si="0"/>
        <v>91000</v>
      </c>
    </row>
    <row r="44" spans="1:16" ht="31.2">
      <c r="A44" s="7" t="s">
        <v>61</v>
      </c>
      <c r="B44" s="7" t="s">
        <v>62</v>
      </c>
      <c r="C44" s="7" t="s">
        <v>63</v>
      </c>
      <c r="D44" s="11" t="s">
        <v>64</v>
      </c>
      <c r="E44" s="12">
        <f t="shared" si="10"/>
        <v>21287101</v>
      </c>
      <c r="F44" s="12">
        <f>19446000+1542000-444800+1481200-700000-37299</f>
        <v>21287101</v>
      </c>
      <c r="G44" s="12">
        <f>16649900+1542000+1481200-700000</f>
        <v>18973100</v>
      </c>
      <c r="H44" s="12">
        <v>327000</v>
      </c>
      <c r="I44" s="12">
        <v>0</v>
      </c>
      <c r="J44" s="12">
        <f t="shared" si="11"/>
        <v>37299</v>
      </c>
      <c r="K44" s="12">
        <v>37299</v>
      </c>
      <c r="L44" s="12">
        <v>0</v>
      </c>
      <c r="M44" s="12">
        <v>0</v>
      </c>
      <c r="N44" s="12">
        <v>0</v>
      </c>
      <c r="O44" s="12">
        <v>37299</v>
      </c>
      <c r="P44" s="12">
        <f t="shared" si="0"/>
        <v>21324400</v>
      </c>
    </row>
    <row r="45" spans="1:16" ht="31.2">
      <c r="A45" s="7" t="s">
        <v>65</v>
      </c>
      <c r="B45" s="7" t="s">
        <v>66</v>
      </c>
      <c r="C45" s="7" t="s">
        <v>63</v>
      </c>
      <c r="D45" s="11" t="s">
        <v>67</v>
      </c>
      <c r="E45" s="12">
        <f t="shared" si="10"/>
        <v>786030</v>
      </c>
      <c r="F45" s="12">
        <f>637000+33000+116030</f>
        <v>786030</v>
      </c>
      <c r="G45" s="12">
        <v>0</v>
      </c>
      <c r="H45" s="12">
        <v>0</v>
      </c>
      <c r="I45" s="12">
        <v>0</v>
      </c>
      <c r="J45" s="12">
        <f t="shared" si="11"/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f t="shared" si="0"/>
        <v>786030</v>
      </c>
    </row>
    <row r="46" spans="1:16" ht="31.2">
      <c r="A46" s="7" t="s">
        <v>68</v>
      </c>
      <c r="B46" s="7" t="s">
        <v>69</v>
      </c>
      <c r="C46" s="7" t="s">
        <v>63</v>
      </c>
      <c r="D46" s="11" t="s">
        <v>70</v>
      </c>
      <c r="E46" s="12">
        <f t="shared" si="10"/>
        <v>2486500</v>
      </c>
      <c r="F46" s="12">
        <f>1975000+4800+126000+380700</f>
        <v>2486500</v>
      </c>
      <c r="G46" s="12">
        <v>0</v>
      </c>
      <c r="H46" s="12">
        <v>0</v>
      </c>
      <c r="I46" s="12">
        <v>0</v>
      </c>
      <c r="J46" s="12">
        <f t="shared" si="11"/>
        <v>190800</v>
      </c>
      <c r="K46" s="12">
        <v>190800</v>
      </c>
      <c r="L46" s="12">
        <v>0</v>
      </c>
      <c r="M46" s="12">
        <v>0</v>
      </c>
      <c r="N46" s="12">
        <v>0</v>
      </c>
      <c r="O46" s="12">
        <v>190800</v>
      </c>
      <c r="P46" s="12">
        <f t="shared" si="0"/>
        <v>2677300</v>
      </c>
    </row>
    <row r="47" spans="1:16" s="23" customFormat="1" ht="31.2">
      <c r="A47" s="15" t="s">
        <v>323</v>
      </c>
      <c r="B47" s="27">
        <v>8240</v>
      </c>
      <c r="C47" s="15" t="s">
        <v>63</v>
      </c>
      <c r="D47" s="11" t="s">
        <v>273</v>
      </c>
      <c r="E47" s="12">
        <f t="shared" si="10"/>
        <v>0</v>
      </c>
      <c r="F47" s="12">
        <f>60000-60000</f>
        <v>0</v>
      </c>
      <c r="G47" s="12"/>
      <c r="H47" s="12"/>
      <c r="I47" s="12"/>
      <c r="J47" s="12">
        <f t="shared" si="11"/>
        <v>1276500</v>
      </c>
      <c r="K47" s="12">
        <v>1276500</v>
      </c>
      <c r="L47" s="12"/>
      <c r="M47" s="12"/>
      <c r="N47" s="12"/>
      <c r="O47" s="12">
        <v>1276500</v>
      </c>
      <c r="P47" s="12">
        <f t="shared" si="0"/>
        <v>1276500</v>
      </c>
    </row>
    <row r="48" spans="1:16" ht="31.2">
      <c r="A48" s="15" t="s">
        <v>289</v>
      </c>
      <c r="B48" s="7">
        <v>8340</v>
      </c>
      <c r="C48" s="7" t="s">
        <v>287</v>
      </c>
      <c r="D48" s="11" t="s">
        <v>288</v>
      </c>
      <c r="E48" s="12">
        <f t="shared" si="10"/>
        <v>0</v>
      </c>
      <c r="F48" s="12"/>
      <c r="G48" s="12"/>
      <c r="H48" s="12"/>
      <c r="I48" s="12"/>
      <c r="J48" s="12">
        <f t="shared" si="11"/>
        <v>100000</v>
      </c>
      <c r="K48" s="12"/>
      <c r="L48" s="12">
        <f>50000+50000</f>
        <v>100000</v>
      </c>
      <c r="M48" s="12"/>
      <c r="N48" s="12"/>
      <c r="O48" s="12"/>
      <c r="P48" s="12">
        <f t="shared" si="0"/>
        <v>100000</v>
      </c>
    </row>
    <row r="49" spans="1:16" ht="31.2">
      <c r="A49" s="15" t="s">
        <v>367</v>
      </c>
      <c r="B49" s="34">
        <v>8775</v>
      </c>
      <c r="C49" s="15" t="s">
        <v>31</v>
      </c>
      <c r="D49" s="11" t="s">
        <v>368</v>
      </c>
      <c r="E49" s="12">
        <f t="shared" si="10"/>
        <v>590000</v>
      </c>
      <c r="F49" s="12">
        <v>590000</v>
      </c>
      <c r="G49" s="12"/>
      <c r="H49" s="12"/>
      <c r="I49" s="12"/>
      <c r="J49" s="12">
        <f t="shared" si="11"/>
        <v>0</v>
      </c>
      <c r="K49" s="12"/>
      <c r="L49" s="12"/>
      <c r="M49" s="12"/>
      <c r="N49" s="12"/>
      <c r="O49" s="12"/>
      <c r="P49" s="12">
        <f t="shared" si="0"/>
        <v>590000</v>
      </c>
    </row>
    <row r="50" spans="1:16" ht="46.8">
      <c r="A50" s="8" t="s">
        <v>71</v>
      </c>
      <c r="B50" s="8" t="s">
        <v>18</v>
      </c>
      <c r="C50" s="8" t="s">
        <v>18</v>
      </c>
      <c r="D50" s="9" t="s">
        <v>72</v>
      </c>
      <c r="E50" s="10">
        <f>F50+I50</f>
        <v>429268733.63</v>
      </c>
      <c r="F50" s="10">
        <f>F51</f>
        <v>429202733.63</v>
      </c>
      <c r="G50" s="10">
        <f>G51</f>
        <v>348558163.99000001</v>
      </c>
      <c r="H50" s="10">
        <f>H51</f>
        <v>34689901</v>
      </c>
      <c r="I50" s="10">
        <f>I51</f>
        <v>66000</v>
      </c>
      <c r="J50" s="10">
        <f>L50+O50</f>
        <v>39426388.359999999</v>
      </c>
      <c r="K50" s="10">
        <f>K51</f>
        <v>21393472.359999999</v>
      </c>
      <c r="L50" s="10">
        <f t="shared" ref="L50:O50" si="15">L51</f>
        <v>16500000</v>
      </c>
      <c r="M50" s="10">
        <f t="shared" si="15"/>
        <v>0</v>
      </c>
      <c r="N50" s="10">
        <f t="shared" si="15"/>
        <v>0</v>
      </c>
      <c r="O50" s="10">
        <f t="shared" si="15"/>
        <v>22926388.359999999</v>
      </c>
      <c r="P50" s="10">
        <f t="shared" si="0"/>
        <v>468695121.99000001</v>
      </c>
    </row>
    <row r="51" spans="1:16" ht="46.8">
      <c r="A51" s="8" t="s">
        <v>73</v>
      </c>
      <c r="B51" s="8" t="s">
        <v>18</v>
      </c>
      <c r="C51" s="8" t="s">
        <v>18</v>
      </c>
      <c r="D51" s="9" t="s">
        <v>72</v>
      </c>
      <c r="E51" s="10">
        <f>F51+I51</f>
        <v>429268733.63</v>
      </c>
      <c r="F51" s="10">
        <f>SUM(F52:F80)-F72-F73-F68-F69</f>
        <v>429202733.63</v>
      </c>
      <c r="G51" s="10">
        <f t="shared" ref="G51:K51" si="16">SUM(G52:G80)-G72-G73-G68-G69</f>
        <v>348558163.99000001</v>
      </c>
      <c r="H51" s="10">
        <f t="shared" si="16"/>
        <v>34689901</v>
      </c>
      <c r="I51" s="10">
        <f t="shared" si="16"/>
        <v>66000</v>
      </c>
      <c r="J51" s="10">
        <f>L51+O51</f>
        <v>39426388.359999999</v>
      </c>
      <c r="K51" s="10">
        <f t="shared" si="16"/>
        <v>21393472.359999999</v>
      </c>
      <c r="L51" s="10">
        <f t="shared" ref="L51" si="17">SUM(L52:L80)-L72-L73-L68-L69</f>
        <v>16500000</v>
      </c>
      <c r="M51" s="10">
        <f t="shared" ref="M51" si="18">SUM(M52:M80)-M72-M73-M68-M69</f>
        <v>0</v>
      </c>
      <c r="N51" s="10">
        <f t="shared" ref="N51" si="19">SUM(N52:N80)-N72-N73-N68-N69</f>
        <v>0</v>
      </c>
      <c r="O51" s="10">
        <f t="shared" ref="O51" si="20">SUM(O52:O80)-O72-O73-O68-O69</f>
        <v>22926388.359999999</v>
      </c>
      <c r="P51" s="10">
        <f t="shared" si="0"/>
        <v>468695121.99000001</v>
      </c>
    </row>
    <row r="52" spans="1:16" ht="46.8">
      <c r="A52" s="7" t="s">
        <v>74</v>
      </c>
      <c r="B52" s="7" t="s">
        <v>75</v>
      </c>
      <c r="C52" s="7" t="s">
        <v>23</v>
      </c>
      <c r="D52" s="11" t="s">
        <v>76</v>
      </c>
      <c r="E52" s="12">
        <f>F52+I52</f>
        <v>5115833</v>
      </c>
      <c r="F52" s="12">
        <f>5123700-7867</f>
        <v>5115833</v>
      </c>
      <c r="G52" s="12">
        <v>4656300</v>
      </c>
      <c r="H52" s="12">
        <f>400800-640</f>
        <v>400160</v>
      </c>
      <c r="I52" s="12">
        <v>0</v>
      </c>
      <c r="J52" s="12">
        <f>L52+O52</f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f t="shared" si="0"/>
        <v>5115833</v>
      </c>
    </row>
    <row r="53" spans="1:16" ht="31.2">
      <c r="A53" s="7" t="s">
        <v>77</v>
      </c>
      <c r="B53" s="7" t="s">
        <v>30</v>
      </c>
      <c r="C53" s="7" t="s">
        <v>31</v>
      </c>
      <c r="D53" s="11" t="s">
        <v>32</v>
      </c>
      <c r="E53" s="12">
        <f t="shared" ref="E53:E80" si="21">F53+I53</f>
        <v>99000</v>
      </c>
      <c r="F53" s="12">
        <f>99000</f>
        <v>99000</v>
      </c>
      <c r="G53" s="12">
        <v>0</v>
      </c>
      <c r="H53" s="12">
        <v>0</v>
      </c>
      <c r="I53" s="12">
        <v>0</v>
      </c>
      <c r="J53" s="12">
        <f t="shared" ref="J53:J80" si="22">L53+O53</f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f t="shared" si="0"/>
        <v>99000</v>
      </c>
    </row>
    <row r="54" spans="1:16">
      <c r="A54" s="7" t="s">
        <v>78</v>
      </c>
      <c r="B54" s="7" t="s">
        <v>79</v>
      </c>
      <c r="C54" s="7" t="s">
        <v>80</v>
      </c>
      <c r="D54" s="11" t="s">
        <v>81</v>
      </c>
      <c r="E54" s="12">
        <f t="shared" si="21"/>
        <v>90838228</v>
      </c>
      <c r="F54" s="12">
        <f>108737600-5482940-1541905-371581-1938765-5061596+497415-4000000</f>
        <v>90838228</v>
      </c>
      <c r="G54" s="12">
        <f>85693100-5482940-656964-5061596-4000000</f>
        <v>70491600</v>
      </c>
      <c r="H54" s="12">
        <f>12904300-668900-371581</f>
        <v>11863819</v>
      </c>
      <c r="I54" s="12">
        <v>0</v>
      </c>
      <c r="J54" s="12">
        <f t="shared" si="22"/>
        <v>20008713</v>
      </c>
      <c r="K54" s="12">
        <f>3621430+287283</f>
        <v>3908713</v>
      </c>
      <c r="L54" s="12">
        <v>16100000</v>
      </c>
      <c r="M54" s="12">
        <v>0</v>
      </c>
      <c r="N54" s="12">
        <v>0</v>
      </c>
      <c r="O54" s="12">
        <f>3621430+287283</f>
        <v>3908713</v>
      </c>
      <c r="P54" s="12">
        <f t="shared" si="0"/>
        <v>110846941</v>
      </c>
    </row>
    <row r="55" spans="1:16" ht="46.8">
      <c r="A55" s="7" t="s">
        <v>82</v>
      </c>
      <c r="B55" s="7" t="s">
        <v>83</v>
      </c>
      <c r="C55" s="7" t="s">
        <v>84</v>
      </c>
      <c r="D55" s="11" t="s">
        <v>85</v>
      </c>
      <c r="E55" s="12">
        <f t="shared" si="21"/>
        <v>86659412</v>
      </c>
      <c r="F55" s="12">
        <f>78349600+15100000-1214067+658273+168737-800000+239800-6273931+431000</f>
        <v>86659412</v>
      </c>
      <c r="G55" s="12">
        <f>40380000+15100000-6273931</f>
        <v>49206069</v>
      </c>
      <c r="H55" s="12">
        <f>16403600-644047</f>
        <v>15759553</v>
      </c>
      <c r="I55" s="12">
        <v>0</v>
      </c>
      <c r="J55" s="12">
        <f t="shared" si="22"/>
        <v>4171770</v>
      </c>
      <c r="K55" s="12">
        <f>2254770+1720000</f>
        <v>3974770</v>
      </c>
      <c r="L55" s="12">
        <v>197000</v>
      </c>
      <c r="M55" s="12">
        <v>0</v>
      </c>
      <c r="N55" s="12">
        <v>0</v>
      </c>
      <c r="O55" s="12">
        <f>2254770+1720000</f>
        <v>3974770</v>
      </c>
      <c r="P55" s="12">
        <f t="shared" si="0"/>
        <v>90831182</v>
      </c>
    </row>
    <row r="56" spans="1:16" ht="93.6">
      <c r="A56" s="7" t="s">
        <v>86</v>
      </c>
      <c r="B56" s="7" t="s">
        <v>87</v>
      </c>
      <c r="C56" s="7" t="s">
        <v>88</v>
      </c>
      <c r="D56" s="11" t="s">
        <v>89</v>
      </c>
      <c r="E56" s="12">
        <f t="shared" si="21"/>
        <v>14971050</v>
      </c>
      <c r="F56" s="12">
        <f>14164200+900000-138150+45000</f>
        <v>14971050</v>
      </c>
      <c r="G56" s="12">
        <f>10028000+900000</f>
        <v>10928000</v>
      </c>
      <c r="H56" s="12">
        <f>1929700-9700</f>
        <v>1920000</v>
      </c>
      <c r="I56" s="12">
        <v>0</v>
      </c>
      <c r="J56" s="12">
        <f t="shared" si="22"/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f t="shared" si="0"/>
        <v>14971050</v>
      </c>
    </row>
    <row r="57" spans="1:16" ht="46.8">
      <c r="A57" s="7" t="s">
        <v>90</v>
      </c>
      <c r="B57" s="7" t="s">
        <v>91</v>
      </c>
      <c r="C57" s="7" t="s">
        <v>84</v>
      </c>
      <c r="D57" s="11" t="s">
        <v>92</v>
      </c>
      <c r="E57" s="12">
        <f t="shared" si="21"/>
        <v>146822800</v>
      </c>
      <c r="F57" s="12">
        <v>146822800</v>
      </c>
      <c r="G57" s="12">
        <v>146592900</v>
      </c>
      <c r="H57" s="12">
        <v>0</v>
      </c>
      <c r="I57" s="12">
        <v>0</v>
      </c>
      <c r="J57" s="12">
        <f t="shared" si="22"/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f t="shared" si="0"/>
        <v>146822800</v>
      </c>
    </row>
    <row r="58" spans="1:16" ht="93.6">
      <c r="A58" s="7" t="s">
        <v>93</v>
      </c>
      <c r="B58" s="7" t="s">
        <v>94</v>
      </c>
      <c r="C58" s="7" t="s">
        <v>88</v>
      </c>
      <c r="D58" s="11" t="s">
        <v>95</v>
      </c>
      <c r="E58" s="12">
        <f t="shared" si="21"/>
        <v>12600000</v>
      </c>
      <c r="F58" s="12">
        <v>12600000</v>
      </c>
      <c r="G58" s="12">
        <v>12600000</v>
      </c>
      <c r="H58" s="12">
        <v>0</v>
      </c>
      <c r="I58" s="12">
        <v>0</v>
      </c>
      <c r="J58" s="12">
        <f t="shared" si="22"/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f t="shared" si="0"/>
        <v>12600000</v>
      </c>
    </row>
    <row r="59" spans="1:16" ht="46.8">
      <c r="A59" s="7" t="s">
        <v>96</v>
      </c>
      <c r="B59" s="7" t="s">
        <v>97</v>
      </c>
      <c r="C59" s="7" t="s">
        <v>98</v>
      </c>
      <c r="D59" s="11" t="s">
        <v>99</v>
      </c>
      <c r="E59" s="12">
        <f t="shared" si="21"/>
        <v>22455552</v>
      </c>
      <c r="F59" s="12">
        <f>22900800-193260-251988</f>
        <v>22455552</v>
      </c>
      <c r="G59" s="12">
        <v>19000000</v>
      </c>
      <c r="H59" s="12">
        <f>1388800-26570</f>
        <v>1362230</v>
      </c>
      <c r="I59" s="12">
        <v>0</v>
      </c>
      <c r="J59" s="12">
        <f t="shared" si="22"/>
        <v>200000</v>
      </c>
      <c r="K59" s="12">
        <v>0</v>
      </c>
      <c r="L59" s="12">
        <v>200000</v>
      </c>
      <c r="M59" s="12">
        <v>0</v>
      </c>
      <c r="N59" s="12">
        <v>0</v>
      </c>
      <c r="O59" s="12">
        <v>0</v>
      </c>
      <c r="P59" s="12">
        <f t="shared" si="0"/>
        <v>22655552</v>
      </c>
    </row>
    <row r="60" spans="1:16" ht="46.8">
      <c r="A60" s="7" t="s">
        <v>100</v>
      </c>
      <c r="B60" s="7" t="s">
        <v>101</v>
      </c>
      <c r="C60" s="7" t="s">
        <v>102</v>
      </c>
      <c r="D60" s="11" t="s">
        <v>103</v>
      </c>
      <c r="E60" s="12">
        <f t="shared" si="21"/>
        <v>30000</v>
      </c>
      <c r="F60" s="12">
        <v>30000</v>
      </c>
      <c r="G60" s="12">
        <v>0</v>
      </c>
      <c r="H60" s="12">
        <v>0</v>
      </c>
      <c r="I60" s="12">
        <v>0</v>
      </c>
      <c r="J60" s="12">
        <f t="shared" si="22"/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f t="shared" si="0"/>
        <v>30000</v>
      </c>
    </row>
    <row r="61" spans="1:16" ht="31.2">
      <c r="A61" s="7" t="s">
        <v>104</v>
      </c>
      <c r="B61" s="7" t="s">
        <v>105</v>
      </c>
      <c r="C61" s="7" t="s">
        <v>106</v>
      </c>
      <c r="D61" s="11" t="s">
        <v>107</v>
      </c>
      <c r="E61" s="12">
        <f t="shared" si="21"/>
        <v>21182853</v>
      </c>
      <c r="F61" s="12">
        <f>20474900-20000+1103382-658273+202844-46000+60000</f>
        <v>21116853</v>
      </c>
      <c r="G61" s="12">
        <v>17600000</v>
      </c>
      <c r="H61" s="12">
        <f>2136900+259789</f>
        <v>2396689</v>
      </c>
      <c r="I61" s="12">
        <f>20000+46000</f>
        <v>66000</v>
      </c>
      <c r="J61" s="12">
        <f t="shared" si="22"/>
        <v>3000</v>
      </c>
      <c r="K61" s="12">
        <v>0</v>
      </c>
      <c r="L61" s="12">
        <v>3000</v>
      </c>
      <c r="M61" s="12">
        <v>0</v>
      </c>
      <c r="N61" s="12">
        <v>0</v>
      </c>
      <c r="O61" s="12">
        <v>0</v>
      </c>
      <c r="P61" s="12">
        <f t="shared" si="0"/>
        <v>21185853</v>
      </c>
    </row>
    <row r="62" spans="1:16" ht="46.8">
      <c r="A62" s="7" t="s">
        <v>108</v>
      </c>
      <c r="B62" s="7" t="s">
        <v>109</v>
      </c>
      <c r="C62" s="7" t="s">
        <v>106</v>
      </c>
      <c r="D62" s="11" t="s">
        <v>110</v>
      </c>
      <c r="E62" s="12">
        <f t="shared" si="21"/>
        <v>516520</v>
      </c>
      <c r="F62" s="12">
        <f>726800-200000-10280</f>
        <v>516520</v>
      </c>
      <c r="G62" s="12">
        <f>393800-200000+18300</f>
        <v>212100</v>
      </c>
      <c r="H62" s="12">
        <f>179000-18630</f>
        <v>160370</v>
      </c>
      <c r="I62" s="12">
        <v>0</v>
      </c>
      <c r="J62" s="12">
        <f t="shared" si="22"/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f t="shared" si="0"/>
        <v>516520</v>
      </c>
    </row>
    <row r="63" spans="1:16" ht="46.8">
      <c r="A63" s="7" t="s">
        <v>111</v>
      </c>
      <c r="B63" s="7" t="s">
        <v>112</v>
      </c>
      <c r="C63" s="7" t="s">
        <v>106</v>
      </c>
      <c r="D63" s="11" t="s">
        <v>113</v>
      </c>
      <c r="E63" s="12">
        <f t="shared" si="21"/>
        <v>2775740</v>
      </c>
      <c r="F63" s="12">
        <v>2775740</v>
      </c>
      <c r="G63" s="12">
        <v>2775740</v>
      </c>
      <c r="H63" s="12">
        <v>0</v>
      </c>
      <c r="I63" s="12">
        <v>0</v>
      </c>
      <c r="J63" s="12">
        <f t="shared" si="22"/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f t="shared" si="0"/>
        <v>2775740</v>
      </c>
    </row>
    <row r="64" spans="1:16" ht="124.8">
      <c r="A64" s="15" t="s">
        <v>359</v>
      </c>
      <c r="B64" s="33">
        <v>1154</v>
      </c>
      <c r="C64" s="15" t="s">
        <v>106</v>
      </c>
      <c r="D64" s="11" t="s">
        <v>360</v>
      </c>
      <c r="E64" s="12">
        <f t="shared" si="21"/>
        <v>245454.99</v>
      </c>
      <c r="F64" s="12">
        <v>245454.99</v>
      </c>
      <c r="G64" s="12">
        <v>245454.99</v>
      </c>
      <c r="H64" s="12"/>
      <c r="I64" s="12"/>
      <c r="J64" s="12">
        <f t="shared" si="22"/>
        <v>0</v>
      </c>
      <c r="K64" s="12"/>
      <c r="L64" s="12"/>
      <c r="M64" s="12"/>
      <c r="N64" s="12"/>
      <c r="O64" s="12"/>
      <c r="P64" s="12">
        <f t="shared" si="0"/>
        <v>245454.99</v>
      </c>
    </row>
    <row r="65" spans="1:18" ht="46.8">
      <c r="A65" s="7" t="s">
        <v>114</v>
      </c>
      <c r="B65" s="7" t="s">
        <v>115</v>
      </c>
      <c r="C65" s="7" t="s">
        <v>106</v>
      </c>
      <c r="D65" s="11" t="s">
        <v>116</v>
      </c>
      <c r="E65" s="12">
        <f t="shared" si="21"/>
        <v>4467418</v>
      </c>
      <c r="F65" s="12">
        <f>4471900-4482</f>
        <v>4467418</v>
      </c>
      <c r="G65" s="12">
        <v>4150000</v>
      </c>
      <c r="H65" s="12">
        <f>56900-300</f>
        <v>56600</v>
      </c>
      <c r="I65" s="12">
        <v>0</v>
      </c>
      <c r="J65" s="12">
        <f t="shared" si="22"/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f t="shared" si="0"/>
        <v>4467418</v>
      </c>
    </row>
    <row r="66" spans="1:18" ht="78">
      <c r="A66" s="15" t="s">
        <v>379</v>
      </c>
      <c r="B66" s="45">
        <v>1200</v>
      </c>
      <c r="C66" s="45" t="s">
        <v>106</v>
      </c>
      <c r="D66" s="11" t="s">
        <v>380</v>
      </c>
      <c r="E66" s="12">
        <f t="shared" si="21"/>
        <v>292110</v>
      </c>
      <c r="F66" s="12">
        <f>F68+F69</f>
        <v>292110</v>
      </c>
      <c r="G66" s="12">
        <f>G68+G69</f>
        <v>0</v>
      </c>
      <c r="H66" s="12"/>
      <c r="I66" s="12"/>
      <c r="J66" s="12"/>
      <c r="K66" s="12"/>
      <c r="L66" s="12"/>
      <c r="M66" s="12"/>
      <c r="N66" s="12"/>
      <c r="O66" s="12"/>
      <c r="P66" s="12">
        <f t="shared" si="0"/>
        <v>292110</v>
      </c>
    </row>
    <row r="67" spans="1:18" s="36" customFormat="1">
      <c r="A67" s="31"/>
      <c r="B67" s="31"/>
      <c r="C67" s="31"/>
      <c r="D67" s="32" t="s">
        <v>372</v>
      </c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35"/>
      <c r="R67" s="35"/>
    </row>
    <row r="68" spans="1:18" s="40" customFormat="1" ht="78">
      <c r="A68" s="37"/>
      <c r="B68" s="37"/>
      <c r="C68" s="37"/>
      <c r="D68" s="38" t="s">
        <v>373</v>
      </c>
      <c r="E68" s="42">
        <f t="shared" ref="E68:E69" si="23">F68+I68</f>
        <v>179439</v>
      </c>
      <c r="F68" s="42">
        <v>179439</v>
      </c>
      <c r="G68" s="42"/>
      <c r="H68" s="42"/>
      <c r="I68" s="42"/>
      <c r="J68" s="42"/>
      <c r="K68" s="42"/>
      <c r="L68" s="42"/>
      <c r="M68" s="42"/>
      <c r="N68" s="42"/>
      <c r="O68" s="42"/>
      <c r="P68" s="42">
        <f t="shared" ref="P68:P69" si="24">E68+J68</f>
        <v>179439</v>
      </c>
      <c r="Q68" s="39"/>
      <c r="R68" s="39"/>
    </row>
    <row r="69" spans="1:18" s="40" customFormat="1" ht="78">
      <c r="A69" s="37"/>
      <c r="B69" s="37"/>
      <c r="C69" s="37"/>
      <c r="D69" s="38" t="s">
        <v>374</v>
      </c>
      <c r="E69" s="42">
        <f t="shared" si="23"/>
        <v>112671</v>
      </c>
      <c r="F69" s="42">
        <v>112671</v>
      </c>
      <c r="G69" s="42"/>
      <c r="H69" s="42"/>
      <c r="I69" s="42"/>
      <c r="J69" s="42"/>
      <c r="K69" s="42"/>
      <c r="L69" s="42"/>
      <c r="M69" s="42"/>
      <c r="N69" s="42"/>
      <c r="O69" s="42"/>
      <c r="P69" s="42">
        <f t="shared" si="24"/>
        <v>112671</v>
      </c>
      <c r="Q69" s="39"/>
      <c r="R69" s="39"/>
    </row>
    <row r="70" spans="1:18" s="36" customFormat="1" ht="93.6">
      <c r="A70" s="31" t="s">
        <v>369</v>
      </c>
      <c r="B70" s="31" t="s">
        <v>370</v>
      </c>
      <c r="C70" s="31" t="s">
        <v>106</v>
      </c>
      <c r="D70" s="32" t="s">
        <v>371</v>
      </c>
      <c r="E70" s="41">
        <f>F70+I70</f>
        <v>97284</v>
      </c>
      <c r="F70" s="41">
        <f>F72+F73</f>
        <v>97284</v>
      </c>
      <c r="G70" s="41"/>
      <c r="H70" s="41"/>
      <c r="I70" s="41"/>
      <c r="J70" s="41"/>
      <c r="K70" s="41"/>
      <c r="L70" s="41"/>
      <c r="M70" s="41"/>
      <c r="N70" s="41"/>
      <c r="O70" s="41"/>
      <c r="P70" s="41">
        <f t="shared" ref="P70:P73" si="25">E70+J70</f>
        <v>97284</v>
      </c>
      <c r="Q70" s="35"/>
      <c r="R70" s="35"/>
    </row>
    <row r="71" spans="1:18" s="36" customFormat="1">
      <c r="A71" s="31"/>
      <c r="B71" s="31"/>
      <c r="C71" s="31"/>
      <c r="D71" s="32" t="s">
        <v>372</v>
      </c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35"/>
      <c r="R71" s="35"/>
    </row>
    <row r="72" spans="1:18" s="40" customFormat="1" ht="78">
      <c r="A72" s="37"/>
      <c r="B72" s="37"/>
      <c r="C72" s="37"/>
      <c r="D72" s="38" t="s">
        <v>373</v>
      </c>
      <c r="E72" s="42">
        <f t="shared" ref="E72:E73" si="26">F72+I72</f>
        <v>60434</v>
      </c>
      <c r="F72" s="42">
        <v>60434</v>
      </c>
      <c r="G72" s="42"/>
      <c r="H72" s="42"/>
      <c r="I72" s="42"/>
      <c r="J72" s="42"/>
      <c r="K72" s="42"/>
      <c r="L72" s="42"/>
      <c r="M72" s="42"/>
      <c r="N72" s="42"/>
      <c r="O72" s="42"/>
      <c r="P72" s="42">
        <f t="shared" si="25"/>
        <v>60434</v>
      </c>
      <c r="Q72" s="39"/>
      <c r="R72" s="39"/>
    </row>
    <row r="73" spans="1:18" s="40" customFormat="1" ht="78">
      <c r="A73" s="37"/>
      <c r="B73" s="37"/>
      <c r="C73" s="37"/>
      <c r="D73" s="38" t="s">
        <v>374</v>
      </c>
      <c r="E73" s="42">
        <f t="shared" si="26"/>
        <v>36850</v>
      </c>
      <c r="F73" s="42">
        <v>36850</v>
      </c>
      <c r="G73" s="42"/>
      <c r="H73" s="42"/>
      <c r="I73" s="42"/>
      <c r="J73" s="42"/>
      <c r="K73" s="42"/>
      <c r="L73" s="42"/>
      <c r="M73" s="42"/>
      <c r="N73" s="42"/>
      <c r="O73" s="42"/>
      <c r="P73" s="42">
        <f t="shared" si="25"/>
        <v>36850</v>
      </c>
      <c r="Q73" s="39"/>
      <c r="R73" s="39"/>
    </row>
    <row r="74" spans="1:18" ht="140.4">
      <c r="A74" s="15" t="s">
        <v>361</v>
      </c>
      <c r="B74" s="33">
        <v>1291</v>
      </c>
      <c r="C74" s="31" t="s">
        <v>106</v>
      </c>
      <c r="D74" s="11" t="s">
        <v>362</v>
      </c>
      <c r="E74" s="43">
        <f t="shared" si="21"/>
        <v>0</v>
      </c>
      <c r="F74" s="43"/>
      <c r="G74" s="43"/>
      <c r="H74" s="43"/>
      <c r="I74" s="43"/>
      <c r="J74" s="43">
        <f t="shared" si="22"/>
        <v>656964</v>
      </c>
      <c r="K74" s="43">
        <v>656964</v>
      </c>
      <c r="L74" s="43"/>
      <c r="M74" s="43"/>
      <c r="N74" s="43"/>
      <c r="O74" s="43">
        <v>656964</v>
      </c>
      <c r="P74" s="43">
        <f t="shared" si="0"/>
        <v>656964</v>
      </c>
    </row>
    <row r="75" spans="1:18" ht="124.8">
      <c r="A75" s="31" t="s">
        <v>352</v>
      </c>
      <c r="B75" s="31" t="s">
        <v>353</v>
      </c>
      <c r="C75" s="31" t="s">
        <v>106</v>
      </c>
      <c r="D75" s="32" t="s">
        <v>354</v>
      </c>
      <c r="E75" s="43">
        <f t="shared" si="21"/>
        <v>0</v>
      </c>
      <c r="F75" s="43"/>
      <c r="G75" s="43"/>
      <c r="H75" s="43"/>
      <c r="I75" s="43"/>
      <c r="J75" s="43">
        <f t="shared" si="22"/>
        <v>1532916</v>
      </c>
      <c r="K75" s="43"/>
      <c r="L75" s="43"/>
      <c r="M75" s="43"/>
      <c r="N75" s="43"/>
      <c r="O75" s="41">
        <v>1532916</v>
      </c>
      <c r="P75" s="43">
        <f t="shared" si="0"/>
        <v>1532916</v>
      </c>
    </row>
    <row r="76" spans="1:18" ht="93.6">
      <c r="A76" s="7" t="s">
        <v>117</v>
      </c>
      <c r="B76" s="7" t="s">
        <v>118</v>
      </c>
      <c r="C76" s="7" t="s">
        <v>119</v>
      </c>
      <c r="D76" s="11" t="s">
        <v>120</v>
      </c>
      <c r="E76" s="12">
        <f t="shared" si="21"/>
        <v>4139500</v>
      </c>
      <c r="F76" s="12">
        <f>3348600-9100+800000</f>
        <v>4139500</v>
      </c>
      <c r="G76" s="12">
        <v>0</v>
      </c>
      <c r="H76" s="12">
        <v>0</v>
      </c>
      <c r="I76" s="12">
        <v>0</v>
      </c>
      <c r="J76" s="12">
        <f t="shared" si="22"/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f t="shared" si="0"/>
        <v>4139500</v>
      </c>
    </row>
    <row r="77" spans="1:18" ht="31.2">
      <c r="A77" s="7" t="s">
        <v>121</v>
      </c>
      <c r="B77" s="7" t="s">
        <v>50</v>
      </c>
      <c r="C77" s="7" t="s">
        <v>51</v>
      </c>
      <c r="D77" s="11" t="s">
        <v>52</v>
      </c>
      <c r="E77" s="12">
        <f t="shared" si="21"/>
        <v>3100000</v>
      </c>
      <c r="F77" s="12">
        <v>3100000</v>
      </c>
      <c r="G77" s="12">
        <v>0</v>
      </c>
      <c r="H77" s="12">
        <v>0</v>
      </c>
      <c r="I77" s="12">
        <v>0</v>
      </c>
      <c r="J77" s="12">
        <f t="shared" si="22"/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f t="shared" si="0"/>
        <v>3100000</v>
      </c>
    </row>
    <row r="78" spans="1:18" ht="46.8">
      <c r="A78" s="7" t="s">
        <v>122</v>
      </c>
      <c r="B78" s="7" t="s">
        <v>123</v>
      </c>
      <c r="C78" s="7" t="s">
        <v>124</v>
      </c>
      <c r="D78" s="11" t="s">
        <v>125</v>
      </c>
      <c r="E78" s="12">
        <f t="shared" si="21"/>
        <v>11933747</v>
      </c>
      <c r="F78" s="12">
        <f>11976800-53053+10000</f>
        <v>11933747</v>
      </c>
      <c r="G78" s="12">
        <v>10100000</v>
      </c>
      <c r="H78" s="12">
        <f>771800-1320</f>
        <v>770480</v>
      </c>
      <c r="I78" s="12">
        <v>0</v>
      </c>
      <c r="J78" s="12">
        <f t="shared" si="22"/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f t="shared" ref="P78:P113" si="27">E78 + J78</f>
        <v>11933747</v>
      </c>
    </row>
    <row r="79" spans="1:18" ht="31.2">
      <c r="A79" s="15" t="s">
        <v>393</v>
      </c>
      <c r="B79" s="48">
        <v>7520</v>
      </c>
      <c r="C79" s="15" t="s">
        <v>392</v>
      </c>
      <c r="D79" s="11" t="s">
        <v>391</v>
      </c>
      <c r="E79" s="12">
        <f t="shared" si="21"/>
        <v>295000</v>
      </c>
      <c r="F79" s="12">
        <v>295000</v>
      </c>
      <c r="G79" s="12"/>
      <c r="H79" s="12"/>
      <c r="I79" s="12"/>
      <c r="J79" s="12">
        <f t="shared" si="22"/>
        <v>205000</v>
      </c>
      <c r="K79" s="12">
        <v>205000</v>
      </c>
      <c r="L79" s="12"/>
      <c r="M79" s="12"/>
      <c r="N79" s="12"/>
      <c r="O79" s="12">
        <v>205000</v>
      </c>
      <c r="P79" s="12">
        <f t="shared" si="27"/>
        <v>500000</v>
      </c>
    </row>
    <row r="80" spans="1:18" ht="46.8">
      <c r="A80" s="15" t="s">
        <v>332</v>
      </c>
      <c r="B80" s="29">
        <v>8110</v>
      </c>
      <c r="C80" s="15" t="s">
        <v>249</v>
      </c>
      <c r="D80" s="11" t="s">
        <v>250</v>
      </c>
      <c r="E80" s="12">
        <f t="shared" si="21"/>
        <v>631231.64</v>
      </c>
      <c r="F80" s="12">
        <f>100000+531231.64</f>
        <v>631231.64</v>
      </c>
      <c r="G80" s="12"/>
      <c r="H80" s="12"/>
      <c r="I80" s="12"/>
      <c r="J80" s="12">
        <f t="shared" si="22"/>
        <v>12648025.359999999</v>
      </c>
      <c r="K80" s="12">
        <f>3000000+689876+1958149.36+7000000</f>
        <v>12648025.359999999</v>
      </c>
      <c r="L80" s="12"/>
      <c r="M80" s="12"/>
      <c r="N80" s="12"/>
      <c r="O80" s="12">
        <f>3000000+689876+1958149.36+7000000</f>
        <v>12648025.359999999</v>
      </c>
      <c r="P80" s="12">
        <f t="shared" si="27"/>
        <v>13279257</v>
      </c>
    </row>
    <row r="81" spans="1:16" ht="46.8">
      <c r="A81" s="8" t="s">
        <v>126</v>
      </c>
      <c r="B81" s="8" t="s">
        <v>18</v>
      </c>
      <c r="C81" s="8" t="s">
        <v>18</v>
      </c>
      <c r="D81" s="9" t="s">
        <v>127</v>
      </c>
      <c r="E81" s="10">
        <f>F81+I81</f>
        <v>100520965</v>
      </c>
      <c r="F81" s="10">
        <f>F82</f>
        <v>100520965</v>
      </c>
      <c r="G81" s="10">
        <f>G82</f>
        <v>40446100</v>
      </c>
      <c r="H81" s="10">
        <f>H82</f>
        <v>1363500</v>
      </c>
      <c r="I81" s="10">
        <f>I82</f>
        <v>0</v>
      </c>
      <c r="J81" s="10">
        <f>L81+O81</f>
        <v>6660247</v>
      </c>
      <c r="K81" s="10">
        <f>K82</f>
        <v>6603847</v>
      </c>
      <c r="L81" s="10">
        <f t="shared" ref="L81:O81" si="28">L82</f>
        <v>0</v>
      </c>
      <c r="M81" s="10">
        <f t="shared" si="28"/>
        <v>0</v>
      </c>
      <c r="N81" s="10">
        <f t="shared" si="28"/>
        <v>0</v>
      </c>
      <c r="O81" s="10">
        <f t="shared" si="28"/>
        <v>6660247</v>
      </c>
      <c r="P81" s="10">
        <f t="shared" si="27"/>
        <v>107181212</v>
      </c>
    </row>
    <row r="82" spans="1:16" ht="46.8">
      <c r="A82" s="8" t="s">
        <v>128</v>
      </c>
      <c r="B82" s="8" t="s">
        <v>18</v>
      </c>
      <c r="C82" s="8" t="s">
        <v>18</v>
      </c>
      <c r="D82" s="9" t="s">
        <v>127</v>
      </c>
      <c r="E82" s="10">
        <f>F82+I82</f>
        <v>100520965</v>
      </c>
      <c r="F82" s="10">
        <f>SUM(F83:F99)</f>
        <v>100520965</v>
      </c>
      <c r="G82" s="10">
        <f t="shared" ref="G82:K82" si="29">SUM(G83:G99)</f>
        <v>40446100</v>
      </c>
      <c r="H82" s="10">
        <f t="shared" si="29"/>
        <v>1363500</v>
      </c>
      <c r="I82" s="10">
        <f t="shared" si="29"/>
        <v>0</v>
      </c>
      <c r="J82" s="10">
        <f>L82+O82</f>
        <v>6660247</v>
      </c>
      <c r="K82" s="10">
        <f t="shared" si="29"/>
        <v>6603847</v>
      </c>
      <c r="L82" s="10">
        <f t="shared" ref="L82" si="30">SUM(L83:L99)</f>
        <v>0</v>
      </c>
      <c r="M82" s="10">
        <f t="shared" ref="M82" si="31">SUM(M83:M99)</f>
        <v>0</v>
      </c>
      <c r="N82" s="10">
        <f t="shared" ref="N82" si="32">SUM(N83:N99)</f>
        <v>0</v>
      </c>
      <c r="O82" s="10">
        <f t="shared" ref="O82" si="33">SUM(O83:O99)</f>
        <v>6660247</v>
      </c>
      <c r="P82" s="10">
        <f t="shared" si="27"/>
        <v>107181212</v>
      </c>
    </row>
    <row r="83" spans="1:16" ht="46.8">
      <c r="A83" s="7" t="s">
        <v>129</v>
      </c>
      <c r="B83" s="7" t="s">
        <v>75</v>
      </c>
      <c r="C83" s="7" t="s">
        <v>23</v>
      </c>
      <c r="D83" s="11" t="s">
        <v>76</v>
      </c>
      <c r="E83" s="12">
        <f>F83+I83</f>
        <v>16122300</v>
      </c>
      <c r="F83" s="12">
        <f>15522300+600000</f>
        <v>16122300</v>
      </c>
      <c r="G83" s="12">
        <f>14208400+600000</f>
        <v>14808400</v>
      </c>
      <c r="H83" s="12">
        <v>770900</v>
      </c>
      <c r="I83" s="12">
        <v>0</v>
      </c>
      <c r="J83" s="12">
        <f>L83+O83</f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f t="shared" si="27"/>
        <v>16122300</v>
      </c>
    </row>
    <row r="84" spans="1:16" ht="31.2">
      <c r="A84" s="7" t="s">
        <v>130</v>
      </c>
      <c r="B84" s="7" t="s">
        <v>30</v>
      </c>
      <c r="C84" s="7" t="s">
        <v>31</v>
      </c>
      <c r="D84" s="11" t="s">
        <v>32</v>
      </c>
      <c r="E84" s="12">
        <f t="shared" ref="E84:E99" si="34">F84+I84</f>
        <v>248200</v>
      </c>
      <c r="F84" s="12">
        <f>149000+99200</f>
        <v>248200</v>
      </c>
      <c r="G84" s="12">
        <v>0</v>
      </c>
      <c r="H84" s="12">
        <v>0</v>
      </c>
      <c r="I84" s="12">
        <v>0</v>
      </c>
      <c r="J84" s="12">
        <f t="shared" ref="J84:J169" si="35">L84+O84</f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f t="shared" si="27"/>
        <v>248200</v>
      </c>
    </row>
    <row r="85" spans="1:16" ht="46.8">
      <c r="A85" s="7" t="s">
        <v>131</v>
      </c>
      <c r="B85" s="7" t="s">
        <v>132</v>
      </c>
      <c r="C85" s="7" t="s">
        <v>133</v>
      </c>
      <c r="D85" s="11" t="s">
        <v>134</v>
      </c>
      <c r="E85" s="12">
        <f t="shared" si="34"/>
        <v>2311000</v>
      </c>
      <c r="F85" s="12">
        <v>2311000</v>
      </c>
      <c r="G85" s="12">
        <v>0</v>
      </c>
      <c r="H85" s="12">
        <v>0</v>
      </c>
      <c r="I85" s="12">
        <v>0</v>
      </c>
      <c r="J85" s="12">
        <f t="shared" si="35"/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f t="shared" si="27"/>
        <v>2311000</v>
      </c>
    </row>
    <row r="86" spans="1:16" ht="31.2">
      <c r="A86" s="7" t="s">
        <v>135</v>
      </c>
      <c r="B86" s="7" t="s">
        <v>136</v>
      </c>
      <c r="C86" s="7" t="s">
        <v>97</v>
      </c>
      <c r="D86" s="11" t="s">
        <v>137</v>
      </c>
      <c r="E86" s="12">
        <f t="shared" si="34"/>
        <v>11500</v>
      </c>
      <c r="F86" s="12">
        <v>11500</v>
      </c>
      <c r="G86" s="12">
        <v>0</v>
      </c>
      <c r="H86" s="12">
        <v>0</v>
      </c>
      <c r="I86" s="12">
        <v>0</v>
      </c>
      <c r="J86" s="12">
        <f t="shared" si="35"/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f t="shared" si="27"/>
        <v>11500</v>
      </c>
    </row>
    <row r="87" spans="1:16" ht="46.8">
      <c r="A87" s="7" t="s">
        <v>138</v>
      </c>
      <c r="B87" s="7" t="s">
        <v>139</v>
      </c>
      <c r="C87" s="7" t="s">
        <v>97</v>
      </c>
      <c r="D87" s="11" t="s">
        <v>140</v>
      </c>
      <c r="E87" s="12">
        <f t="shared" si="34"/>
        <v>306529</v>
      </c>
      <c r="F87" s="12">
        <v>306529</v>
      </c>
      <c r="G87" s="12">
        <v>0</v>
      </c>
      <c r="H87" s="12">
        <v>0</v>
      </c>
      <c r="I87" s="12">
        <v>0</v>
      </c>
      <c r="J87" s="12">
        <f t="shared" si="35"/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f t="shared" si="27"/>
        <v>306529</v>
      </c>
    </row>
    <row r="88" spans="1:16" ht="46.8">
      <c r="A88" s="7" t="s">
        <v>141</v>
      </c>
      <c r="B88" s="7" t="s">
        <v>142</v>
      </c>
      <c r="C88" s="7" t="s">
        <v>133</v>
      </c>
      <c r="D88" s="11" t="s">
        <v>143</v>
      </c>
      <c r="E88" s="12">
        <f t="shared" si="34"/>
        <v>182216</v>
      </c>
      <c r="F88" s="12">
        <v>182216</v>
      </c>
      <c r="G88" s="12">
        <v>0</v>
      </c>
      <c r="H88" s="12">
        <v>0</v>
      </c>
      <c r="I88" s="12">
        <v>0</v>
      </c>
      <c r="J88" s="12">
        <f t="shared" si="35"/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f t="shared" si="27"/>
        <v>182216</v>
      </c>
    </row>
    <row r="89" spans="1:16" ht="78">
      <c r="A89" s="7" t="s">
        <v>144</v>
      </c>
      <c r="B89" s="7" t="s">
        <v>145</v>
      </c>
      <c r="C89" s="7" t="s">
        <v>146</v>
      </c>
      <c r="D89" s="11" t="s">
        <v>147</v>
      </c>
      <c r="E89" s="12">
        <f t="shared" si="34"/>
        <v>19637500</v>
      </c>
      <c r="F89" s="12">
        <v>19637500</v>
      </c>
      <c r="G89" s="12">
        <v>18509200</v>
      </c>
      <c r="H89" s="12">
        <v>345300</v>
      </c>
      <c r="I89" s="12">
        <v>0</v>
      </c>
      <c r="J89" s="12">
        <f t="shared" si="35"/>
        <v>56400</v>
      </c>
      <c r="K89" s="12">
        <v>0</v>
      </c>
      <c r="L89" s="12">
        <v>0</v>
      </c>
      <c r="M89" s="12">
        <v>0</v>
      </c>
      <c r="N89" s="12">
        <v>0</v>
      </c>
      <c r="O89" s="12">
        <v>56400</v>
      </c>
      <c r="P89" s="12">
        <f t="shared" si="27"/>
        <v>19693900</v>
      </c>
    </row>
    <row r="90" spans="1:16" ht="31.2">
      <c r="A90" s="7" t="s">
        <v>148</v>
      </c>
      <c r="B90" s="7" t="s">
        <v>149</v>
      </c>
      <c r="C90" s="7" t="s">
        <v>119</v>
      </c>
      <c r="D90" s="11" t="s">
        <v>150</v>
      </c>
      <c r="E90" s="12">
        <f t="shared" si="34"/>
        <v>8328600</v>
      </c>
      <c r="F90" s="12">
        <v>8328600</v>
      </c>
      <c r="G90" s="12">
        <v>7128500</v>
      </c>
      <c r="H90" s="12">
        <v>247300</v>
      </c>
      <c r="I90" s="12">
        <v>0</v>
      </c>
      <c r="J90" s="12">
        <f t="shared" si="35"/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12">
        <f t="shared" si="27"/>
        <v>8328600</v>
      </c>
    </row>
    <row r="91" spans="1:16" ht="31.2">
      <c r="A91" s="7" t="s">
        <v>151</v>
      </c>
      <c r="B91" s="7" t="s">
        <v>152</v>
      </c>
      <c r="C91" s="7" t="s">
        <v>119</v>
      </c>
      <c r="D91" s="11" t="s">
        <v>153</v>
      </c>
      <c r="E91" s="12">
        <f t="shared" si="34"/>
        <v>700000</v>
      </c>
      <c r="F91" s="12">
        <v>700000</v>
      </c>
      <c r="G91" s="12">
        <v>0</v>
      </c>
      <c r="H91" s="12">
        <v>0</v>
      </c>
      <c r="I91" s="12">
        <v>0</v>
      </c>
      <c r="J91" s="12">
        <f t="shared" si="35"/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f t="shared" si="27"/>
        <v>700000</v>
      </c>
    </row>
    <row r="92" spans="1:16" ht="109.2">
      <c r="A92" s="7" t="s">
        <v>154</v>
      </c>
      <c r="B92" s="7" t="s">
        <v>155</v>
      </c>
      <c r="C92" s="7" t="s">
        <v>79</v>
      </c>
      <c r="D92" s="11" t="s">
        <v>156</v>
      </c>
      <c r="E92" s="12">
        <f t="shared" si="34"/>
        <v>3300000</v>
      </c>
      <c r="F92" s="12">
        <v>3300000</v>
      </c>
      <c r="G92" s="12">
        <v>0</v>
      </c>
      <c r="H92" s="12">
        <v>0</v>
      </c>
      <c r="I92" s="12">
        <v>0</v>
      </c>
      <c r="J92" s="12">
        <f t="shared" si="35"/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f t="shared" si="27"/>
        <v>3300000</v>
      </c>
    </row>
    <row r="93" spans="1:16" ht="78">
      <c r="A93" s="7" t="s">
        <v>157</v>
      </c>
      <c r="B93" s="7" t="s">
        <v>158</v>
      </c>
      <c r="C93" s="7" t="s">
        <v>79</v>
      </c>
      <c r="D93" s="11" t="s">
        <v>159</v>
      </c>
      <c r="E93" s="12">
        <f t="shared" si="34"/>
        <v>28720</v>
      </c>
      <c r="F93" s="12">
        <v>28720</v>
      </c>
      <c r="G93" s="12">
        <v>0</v>
      </c>
      <c r="H93" s="12">
        <v>0</v>
      </c>
      <c r="I93" s="12">
        <v>0</v>
      </c>
      <c r="J93" s="12">
        <f t="shared" si="35"/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f t="shared" si="27"/>
        <v>28720</v>
      </c>
    </row>
    <row r="94" spans="1:16" ht="93.6">
      <c r="A94" s="7" t="s">
        <v>160</v>
      </c>
      <c r="B94" s="7" t="s">
        <v>161</v>
      </c>
      <c r="C94" s="7" t="s">
        <v>162</v>
      </c>
      <c r="D94" s="11" t="s">
        <v>163</v>
      </c>
      <c r="E94" s="12">
        <f t="shared" si="34"/>
        <v>1500000</v>
      </c>
      <c r="F94" s="12">
        <v>1500000</v>
      </c>
      <c r="G94" s="12">
        <v>0</v>
      </c>
      <c r="H94" s="12">
        <v>0</v>
      </c>
      <c r="I94" s="12">
        <v>0</v>
      </c>
      <c r="J94" s="12">
        <f t="shared" si="35"/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f t="shared" si="27"/>
        <v>1500000</v>
      </c>
    </row>
    <row r="95" spans="1:16" ht="62.4">
      <c r="A95" s="7" t="s">
        <v>164</v>
      </c>
      <c r="B95" s="7" t="s">
        <v>165</v>
      </c>
      <c r="C95" s="7" t="s">
        <v>133</v>
      </c>
      <c r="D95" s="11" t="s">
        <v>166</v>
      </c>
      <c r="E95" s="12">
        <f t="shared" si="34"/>
        <v>71000</v>
      </c>
      <c r="F95" s="12">
        <v>71000</v>
      </c>
      <c r="G95" s="12">
        <v>0</v>
      </c>
      <c r="H95" s="12">
        <v>0</v>
      </c>
      <c r="I95" s="12">
        <v>0</v>
      </c>
      <c r="J95" s="12">
        <f t="shared" si="35"/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f t="shared" si="27"/>
        <v>71000</v>
      </c>
    </row>
    <row r="96" spans="1:16" ht="409.6">
      <c r="A96" s="15" t="s">
        <v>381</v>
      </c>
      <c r="B96" s="45">
        <v>3221</v>
      </c>
      <c r="C96" s="45">
        <v>1060</v>
      </c>
      <c r="D96" s="46" t="s">
        <v>383</v>
      </c>
      <c r="E96" s="12">
        <f t="shared" si="34"/>
        <v>0</v>
      </c>
      <c r="F96" s="12"/>
      <c r="G96" s="12"/>
      <c r="H96" s="12"/>
      <c r="I96" s="12"/>
      <c r="J96" s="12">
        <f t="shared" si="35"/>
        <v>1859158</v>
      </c>
      <c r="K96" s="12">
        <v>1859158</v>
      </c>
      <c r="L96" s="12"/>
      <c r="M96" s="12"/>
      <c r="N96" s="12"/>
      <c r="O96" s="12">
        <v>1859158</v>
      </c>
      <c r="P96" s="12">
        <f t="shared" si="27"/>
        <v>1859158</v>
      </c>
    </row>
    <row r="97" spans="1:16" ht="280.8">
      <c r="A97" s="15" t="s">
        <v>382</v>
      </c>
      <c r="B97" s="45">
        <v>3223</v>
      </c>
      <c r="C97" s="45">
        <v>1060</v>
      </c>
      <c r="D97" s="46" t="s">
        <v>384</v>
      </c>
      <c r="E97" s="12">
        <f t="shared" si="34"/>
        <v>0</v>
      </c>
      <c r="F97" s="12"/>
      <c r="G97" s="12"/>
      <c r="H97" s="12"/>
      <c r="I97" s="12"/>
      <c r="J97" s="12">
        <f t="shared" si="35"/>
        <v>4744689</v>
      </c>
      <c r="K97" s="12">
        <v>4744689</v>
      </c>
      <c r="L97" s="12"/>
      <c r="M97" s="12"/>
      <c r="N97" s="12"/>
      <c r="O97" s="12">
        <v>4744689</v>
      </c>
      <c r="P97" s="12">
        <f t="shared" si="27"/>
        <v>4744689</v>
      </c>
    </row>
    <row r="98" spans="1:16" ht="62.4">
      <c r="A98" s="7" t="s">
        <v>167</v>
      </c>
      <c r="B98" s="7" t="s">
        <v>168</v>
      </c>
      <c r="C98" s="7" t="s">
        <v>97</v>
      </c>
      <c r="D98" s="11" t="s">
        <v>169</v>
      </c>
      <c r="E98" s="12">
        <f t="shared" si="34"/>
        <v>688600</v>
      </c>
      <c r="F98" s="12">
        <v>688600</v>
      </c>
      <c r="G98" s="12">
        <v>0</v>
      </c>
      <c r="H98" s="12">
        <v>0</v>
      </c>
      <c r="I98" s="12">
        <v>0</v>
      </c>
      <c r="J98" s="12">
        <f t="shared" si="35"/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12">
        <f t="shared" si="27"/>
        <v>688600</v>
      </c>
    </row>
    <row r="99" spans="1:16" ht="31.2">
      <c r="A99" s="7" t="s">
        <v>170</v>
      </c>
      <c r="B99" s="7" t="s">
        <v>50</v>
      </c>
      <c r="C99" s="7" t="s">
        <v>51</v>
      </c>
      <c r="D99" s="11" t="s">
        <v>52</v>
      </c>
      <c r="E99" s="12">
        <f t="shared" si="34"/>
        <v>47084800</v>
      </c>
      <c r="F99" s="12">
        <f>12346800+338100+1000000+33000000+99900+300000</f>
        <v>47084800</v>
      </c>
      <c r="G99" s="12">
        <v>0</v>
      </c>
      <c r="H99" s="12">
        <v>0</v>
      </c>
      <c r="I99" s="12">
        <v>0</v>
      </c>
      <c r="J99" s="12">
        <f t="shared" si="35"/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f t="shared" si="27"/>
        <v>47084800</v>
      </c>
    </row>
    <row r="100" spans="1:16" ht="46.8">
      <c r="A100" s="8" t="s">
        <v>171</v>
      </c>
      <c r="B100" s="8" t="s">
        <v>18</v>
      </c>
      <c r="C100" s="8" t="s">
        <v>18</v>
      </c>
      <c r="D100" s="9" t="s">
        <v>172</v>
      </c>
      <c r="E100" s="10">
        <f t="shared" ref="E100:E107" si="36">F100+I100</f>
        <v>2680500</v>
      </c>
      <c r="F100" s="10">
        <f>F101</f>
        <v>2680500</v>
      </c>
      <c r="G100" s="10">
        <f>G101</f>
        <v>2265000</v>
      </c>
      <c r="H100" s="10">
        <v>0</v>
      </c>
      <c r="I100" s="10">
        <v>0</v>
      </c>
      <c r="J100" s="10">
        <f t="shared" si="35"/>
        <v>0</v>
      </c>
      <c r="K100" s="10">
        <f>K101</f>
        <v>0</v>
      </c>
      <c r="L100" s="10">
        <f t="shared" ref="L100:O100" si="37">L101</f>
        <v>0</v>
      </c>
      <c r="M100" s="10">
        <f t="shared" si="37"/>
        <v>0</v>
      </c>
      <c r="N100" s="10">
        <f t="shared" si="37"/>
        <v>0</v>
      </c>
      <c r="O100" s="10">
        <f t="shared" si="37"/>
        <v>0</v>
      </c>
      <c r="P100" s="10">
        <f t="shared" si="27"/>
        <v>2680500</v>
      </c>
    </row>
    <row r="101" spans="1:16" ht="46.8">
      <c r="A101" s="8" t="s">
        <v>173</v>
      </c>
      <c r="B101" s="8" t="s">
        <v>18</v>
      </c>
      <c r="C101" s="8" t="s">
        <v>18</v>
      </c>
      <c r="D101" s="9" t="s">
        <v>172</v>
      </c>
      <c r="E101" s="10">
        <f t="shared" si="36"/>
        <v>2680500</v>
      </c>
      <c r="F101" s="10">
        <f>SUM(F102:F104)</f>
        <v>2680500</v>
      </c>
      <c r="G101" s="10">
        <f t="shared" ref="G101:K101" si="38">SUM(G102:G104)</f>
        <v>2265000</v>
      </c>
      <c r="H101" s="10">
        <f t="shared" si="38"/>
        <v>0</v>
      </c>
      <c r="I101" s="10">
        <f t="shared" si="38"/>
        <v>0</v>
      </c>
      <c r="J101" s="10">
        <f t="shared" si="35"/>
        <v>0</v>
      </c>
      <c r="K101" s="10">
        <f t="shared" si="38"/>
        <v>0</v>
      </c>
      <c r="L101" s="10">
        <f t="shared" ref="L101" si="39">SUM(L102:L104)</f>
        <v>0</v>
      </c>
      <c r="M101" s="10">
        <f t="shared" ref="M101" si="40">SUM(M102:M104)</f>
        <v>0</v>
      </c>
      <c r="N101" s="10">
        <f t="shared" ref="N101" si="41">SUM(N102:N104)</f>
        <v>0</v>
      </c>
      <c r="O101" s="10">
        <f t="shared" ref="O101" si="42">SUM(O102:O104)</f>
        <v>0</v>
      </c>
      <c r="P101" s="10">
        <f t="shared" si="27"/>
        <v>2680500</v>
      </c>
    </row>
    <row r="102" spans="1:16" ht="46.8">
      <c r="A102" s="7" t="s">
        <v>174</v>
      </c>
      <c r="B102" s="7" t="s">
        <v>75</v>
      </c>
      <c r="C102" s="7" t="s">
        <v>23</v>
      </c>
      <c r="D102" s="11" t="s">
        <v>76</v>
      </c>
      <c r="E102" s="12">
        <f t="shared" si="36"/>
        <v>2376500</v>
      </c>
      <c r="F102" s="12">
        <f>2226500+150000</f>
        <v>2376500</v>
      </c>
      <c r="G102" s="12">
        <f>2115000+150000</f>
        <v>2265000</v>
      </c>
      <c r="H102" s="12">
        <v>0</v>
      </c>
      <c r="I102" s="12">
        <v>0</v>
      </c>
      <c r="J102" s="12">
        <f t="shared" si="35"/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12">
        <f t="shared" si="27"/>
        <v>2376500</v>
      </c>
    </row>
    <row r="103" spans="1:16" ht="31.2">
      <c r="A103" s="7" t="s">
        <v>175</v>
      </c>
      <c r="B103" s="7" t="s">
        <v>30</v>
      </c>
      <c r="C103" s="7" t="s">
        <v>31</v>
      </c>
      <c r="D103" s="11" t="s">
        <v>32</v>
      </c>
      <c r="E103" s="12">
        <f t="shared" si="36"/>
        <v>99000</v>
      </c>
      <c r="F103" s="12">
        <f>99000</f>
        <v>99000</v>
      </c>
      <c r="G103" s="12">
        <v>0</v>
      </c>
      <c r="H103" s="12">
        <v>0</v>
      </c>
      <c r="I103" s="12">
        <v>0</v>
      </c>
      <c r="J103" s="12">
        <f t="shared" si="35"/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f t="shared" si="27"/>
        <v>99000</v>
      </c>
    </row>
    <row r="104" spans="1:16" ht="31.2">
      <c r="A104" s="7" t="s">
        <v>176</v>
      </c>
      <c r="B104" s="7" t="s">
        <v>177</v>
      </c>
      <c r="C104" s="7" t="s">
        <v>119</v>
      </c>
      <c r="D104" s="11" t="s">
        <v>178</v>
      </c>
      <c r="E104" s="12">
        <f t="shared" si="36"/>
        <v>205000</v>
      </c>
      <c r="F104" s="12">
        <v>205000</v>
      </c>
      <c r="G104" s="12">
        <v>0</v>
      </c>
      <c r="H104" s="12">
        <v>0</v>
      </c>
      <c r="I104" s="12">
        <v>0</v>
      </c>
      <c r="J104" s="12">
        <f t="shared" si="35"/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f t="shared" si="27"/>
        <v>205000</v>
      </c>
    </row>
    <row r="105" spans="1:16" ht="46.8">
      <c r="A105" s="8" t="s">
        <v>179</v>
      </c>
      <c r="B105" s="8" t="s">
        <v>18</v>
      </c>
      <c r="C105" s="8" t="s">
        <v>18</v>
      </c>
      <c r="D105" s="9" t="s">
        <v>180</v>
      </c>
      <c r="E105" s="10">
        <f t="shared" si="36"/>
        <v>56726300</v>
      </c>
      <c r="F105" s="10">
        <f>F106</f>
        <v>56726300</v>
      </c>
      <c r="G105" s="10">
        <f t="shared" ref="G105:I105" si="43">G106</f>
        <v>50504600</v>
      </c>
      <c r="H105" s="10">
        <f t="shared" si="43"/>
        <v>3196000</v>
      </c>
      <c r="I105" s="10">
        <f t="shared" si="43"/>
        <v>0</v>
      </c>
      <c r="J105" s="10">
        <f t="shared" si="35"/>
        <v>1305000</v>
      </c>
      <c r="K105" s="10">
        <f>K106</f>
        <v>0</v>
      </c>
      <c r="L105" s="10">
        <f t="shared" ref="L105:O105" si="44">L106</f>
        <v>1105000</v>
      </c>
      <c r="M105" s="10">
        <f t="shared" si="44"/>
        <v>525100</v>
      </c>
      <c r="N105" s="10">
        <f t="shared" si="44"/>
        <v>0</v>
      </c>
      <c r="O105" s="10">
        <f t="shared" si="44"/>
        <v>200000</v>
      </c>
      <c r="P105" s="10">
        <f t="shared" si="27"/>
        <v>58031300</v>
      </c>
    </row>
    <row r="106" spans="1:16" ht="46.8">
      <c r="A106" s="8" t="s">
        <v>181</v>
      </c>
      <c r="B106" s="8" t="s">
        <v>18</v>
      </c>
      <c r="C106" s="8" t="s">
        <v>18</v>
      </c>
      <c r="D106" s="9" t="s">
        <v>180</v>
      </c>
      <c r="E106" s="10">
        <f t="shared" si="36"/>
        <v>56726300</v>
      </c>
      <c r="F106" s="10">
        <f>SUM(F107:F115)</f>
        <v>56726300</v>
      </c>
      <c r="G106" s="10">
        <f t="shared" ref="G106:K106" si="45">SUM(G107:G115)</f>
        <v>50504600</v>
      </c>
      <c r="H106" s="10">
        <f t="shared" si="45"/>
        <v>3196000</v>
      </c>
      <c r="I106" s="10">
        <f t="shared" si="45"/>
        <v>0</v>
      </c>
      <c r="J106" s="10">
        <f t="shared" si="35"/>
        <v>1305000</v>
      </c>
      <c r="K106" s="10">
        <f t="shared" si="45"/>
        <v>0</v>
      </c>
      <c r="L106" s="10">
        <f t="shared" ref="L106" si="46">SUM(L107:L115)</f>
        <v>1105000</v>
      </c>
      <c r="M106" s="10">
        <f t="shared" ref="M106" si="47">SUM(M107:M115)</f>
        <v>525100</v>
      </c>
      <c r="N106" s="10">
        <f t="shared" ref="N106" si="48">SUM(N107:N115)</f>
        <v>0</v>
      </c>
      <c r="O106" s="10">
        <f t="shared" ref="O106" si="49">SUM(O107:O115)</f>
        <v>200000</v>
      </c>
      <c r="P106" s="10">
        <f t="shared" si="27"/>
        <v>58031300</v>
      </c>
    </row>
    <row r="107" spans="1:16" ht="46.8">
      <c r="A107" s="7" t="s">
        <v>182</v>
      </c>
      <c r="B107" s="7" t="s">
        <v>75</v>
      </c>
      <c r="C107" s="7" t="s">
        <v>23</v>
      </c>
      <c r="D107" s="11" t="s">
        <v>76</v>
      </c>
      <c r="E107" s="12">
        <f t="shared" si="36"/>
        <v>1007100</v>
      </c>
      <c r="F107" s="12">
        <f>912100+95000</f>
        <v>1007100</v>
      </c>
      <c r="G107" s="12">
        <f>884400+95000</f>
        <v>979400</v>
      </c>
      <c r="H107" s="12">
        <v>0</v>
      </c>
      <c r="I107" s="12">
        <v>0</v>
      </c>
      <c r="J107" s="12">
        <f t="shared" si="35"/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f t="shared" si="27"/>
        <v>1007100</v>
      </c>
    </row>
    <row r="108" spans="1:16" ht="31.2">
      <c r="A108" s="7" t="s">
        <v>183</v>
      </c>
      <c r="B108" s="7" t="s">
        <v>30</v>
      </c>
      <c r="C108" s="7" t="s">
        <v>31</v>
      </c>
      <c r="D108" s="11" t="s">
        <v>32</v>
      </c>
      <c r="E108" s="12">
        <f t="shared" ref="E108:E115" si="50">F108+I108</f>
        <v>99000</v>
      </c>
      <c r="F108" s="12">
        <f>99000</f>
        <v>99000</v>
      </c>
      <c r="G108" s="12">
        <v>0</v>
      </c>
      <c r="H108" s="12">
        <v>0</v>
      </c>
      <c r="I108" s="12">
        <v>0</v>
      </c>
      <c r="J108" s="12">
        <f t="shared" si="35"/>
        <v>0</v>
      </c>
      <c r="K108" s="12">
        <v>0</v>
      </c>
      <c r="L108" s="12"/>
      <c r="M108" s="12"/>
      <c r="N108" s="12"/>
      <c r="O108" s="12"/>
      <c r="P108" s="12">
        <f t="shared" si="27"/>
        <v>99000</v>
      </c>
    </row>
    <row r="109" spans="1:16" ht="31.2">
      <c r="A109" s="7" t="s">
        <v>184</v>
      </c>
      <c r="B109" s="7" t="s">
        <v>185</v>
      </c>
      <c r="C109" s="7" t="s">
        <v>98</v>
      </c>
      <c r="D109" s="11" t="s">
        <v>186</v>
      </c>
      <c r="E109" s="12">
        <f t="shared" si="50"/>
        <v>25824300</v>
      </c>
      <c r="F109" s="12">
        <v>25824300</v>
      </c>
      <c r="G109" s="12">
        <v>25065000</v>
      </c>
      <c r="H109" s="12">
        <v>636100</v>
      </c>
      <c r="I109" s="12">
        <v>0</v>
      </c>
      <c r="J109" s="12">
        <f t="shared" si="35"/>
        <v>1025000</v>
      </c>
      <c r="K109" s="12">
        <v>0</v>
      </c>
      <c r="L109" s="12">
        <f>1024000-200000+1000</f>
        <v>825000</v>
      </c>
      <c r="M109" s="12">
        <f>405800+89300</f>
        <v>495100</v>
      </c>
      <c r="N109" s="12">
        <v>0</v>
      </c>
      <c r="O109" s="12">
        <v>200000</v>
      </c>
      <c r="P109" s="12">
        <f t="shared" si="27"/>
        <v>26849300</v>
      </c>
    </row>
    <row r="110" spans="1:16" ht="93.6">
      <c r="A110" s="7" t="s">
        <v>187</v>
      </c>
      <c r="B110" s="7" t="s">
        <v>118</v>
      </c>
      <c r="C110" s="7" t="s">
        <v>119</v>
      </c>
      <c r="D110" s="11" t="s">
        <v>120</v>
      </c>
      <c r="E110" s="12">
        <f t="shared" si="50"/>
        <v>150000</v>
      </c>
      <c r="F110" s="12">
        <v>150000</v>
      </c>
      <c r="G110" s="12">
        <v>0</v>
      </c>
      <c r="H110" s="12">
        <v>0</v>
      </c>
      <c r="I110" s="12">
        <v>0</v>
      </c>
      <c r="J110" s="12">
        <f t="shared" si="35"/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f t="shared" si="27"/>
        <v>150000</v>
      </c>
    </row>
    <row r="111" spans="1:16">
      <c r="A111" s="7" t="s">
        <v>188</v>
      </c>
      <c r="B111" s="7" t="s">
        <v>189</v>
      </c>
      <c r="C111" s="7" t="s">
        <v>190</v>
      </c>
      <c r="D111" s="11" t="s">
        <v>191</v>
      </c>
      <c r="E111" s="12">
        <f t="shared" si="50"/>
        <v>9580300</v>
      </c>
      <c r="F111" s="12">
        <f>9730300-150000</f>
        <v>9580300</v>
      </c>
      <c r="G111" s="12">
        <f>8119400-150000</f>
        <v>7969400</v>
      </c>
      <c r="H111" s="12">
        <v>1029700</v>
      </c>
      <c r="I111" s="12">
        <v>0</v>
      </c>
      <c r="J111" s="12">
        <f t="shared" si="35"/>
        <v>80000</v>
      </c>
      <c r="K111" s="12">
        <v>0</v>
      </c>
      <c r="L111" s="12">
        <f>80000</f>
        <v>80000</v>
      </c>
      <c r="M111" s="12">
        <v>0</v>
      </c>
      <c r="N111" s="12">
        <v>0</v>
      </c>
      <c r="O111" s="12">
        <v>0</v>
      </c>
      <c r="P111" s="12">
        <f t="shared" si="27"/>
        <v>9660300</v>
      </c>
    </row>
    <row r="112" spans="1:16" ht="31.2">
      <c r="A112" s="7" t="s">
        <v>192</v>
      </c>
      <c r="B112" s="7" t="s">
        <v>193</v>
      </c>
      <c r="C112" s="7" t="s">
        <v>190</v>
      </c>
      <c r="D112" s="11" t="s">
        <v>194</v>
      </c>
      <c r="E112" s="12">
        <f t="shared" si="50"/>
        <v>3962600</v>
      </c>
      <c r="F112" s="12">
        <f>3612600+200000-50000+200000</f>
        <v>3962600</v>
      </c>
      <c r="G112" s="12">
        <f>2754000-50000</f>
        <v>2704000</v>
      </c>
      <c r="H112" s="12">
        <v>436000</v>
      </c>
      <c r="I112" s="12">
        <v>0</v>
      </c>
      <c r="J112" s="12">
        <f t="shared" si="35"/>
        <v>40000</v>
      </c>
      <c r="K112" s="12">
        <v>0</v>
      </c>
      <c r="L112" s="12">
        <v>40000</v>
      </c>
      <c r="M112" s="12">
        <v>0</v>
      </c>
      <c r="N112" s="12">
        <v>0</v>
      </c>
      <c r="O112" s="12">
        <v>0</v>
      </c>
      <c r="P112" s="12">
        <f t="shared" si="27"/>
        <v>4002600</v>
      </c>
    </row>
    <row r="113" spans="1:18" ht="46.8">
      <c r="A113" s="7" t="s">
        <v>195</v>
      </c>
      <c r="B113" s="7" t="s">
        <v>196</v>
      </c>
      <c r="C113" s="7" t="s">
        <v>197</v>
      </c>
      <c r="D113" s="11" t="s">
        <v>198</v>
      </c>
      <c r="E113" s="12">
        <f t="shared" si="50"/>
        <v>12911200</v>
      </c>
      <c r="F113" s="12">
        <v>12911200</v>
      </c>
      <c r="G113" s="12">
        <v>11348400</v>
      </c>
      <c r="H113" s="12">
        <v>1030900</v>
      </c>
      <c r="I113" s="12">
        <v>0</v>
      </c>
      <c r="J113" s="12">
        <f t="shared" si="35"/>
        <v>160000</v>
      </c>
      <c r="K113" s="12">
        <v>0</v>
      </c>
      <c r="L113" s="12">
        <v>160000</v>
      </c>
      <c r="M113" s="12">
        <f>30000</f>
        <v>30000</v>
      </c>
      <c r="N113" s="12">
        <v>0</v>
      </c>
      <c r="O113" s="12">
        <v>0</v>
      </c>
      <c r="P113" s="12">
        <f t="shared" si="27"/>
        <v>13071200</v>
      </c>
    </row>
    <row r="114" spans="1:18" ht="31.2">
      <c r="A114" s="7" t="s">
        <v>199</v>
      </c>
      <c r="B114" s="7" t="s">
        <v>200</v>
      </c>
      <c r="C114" s="7" t="s">
        <v>201</v>
      </c>
      <c r="D114" s="11" t="s">
        <v>202</v>
      </c>
      <c r="E114" s="12">
        <f t="shared" si="50"/>
        <v>2591800</v>
      </c>
      <c r="F114" s="12">
        <v>2591800</v>
      </c>
      <c r="G114" s="12">
        <v>2438400</v>
      </c>
      <c r="H114" s="12">
        <v>63300</v>
      </c>
      <c r="I114" s="12">
        <v>0</v>
      </c>
      <c r="J114" s="12">
        <f t="shared" si="35"/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f t="shared" ref="P114:P165" si="51">E114 + J114</f>
        <v>2591800</v>
      </c>
    </row>
    <row r="115" spans="1:18" ht="31.2">
      <c r="A115" s="7" t="s">
        <v>203</v>
      </c>
      <c r="B115" s="7" t="s">
        <v>204</v>
      </c>
      <c r="C115" s="7" t="s">
        <v>201</v>
      </c>
      <c r="D115" s="11" t="s">
        <v>205</v>
      </c>
      <c r="E115" s="12">
        <f t="shared" si="50"/>
        <v>600000</v>
      </c>
      <c r="F115" s="12">
        <v>600000</v>
      </c>
      <c r="G115" s="12">
        <v>0</v>
      </c>
      <c r="H115" s="12">
        <v>0</v>
      </c>
      <c r="I115" s="12">
        <v>0</v>
      </c>
      <c r="J115" s="12">
        <f t="shared" si="35"/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f t="shared" si="51"/>
        <v>600000</v>
      </c>
    </row>
    <row r="116" spans="1:18" ht="46.8">
      <c r="A116" s="8" t="s">
        <v>206</v>
      </c>
      <c r="B116" s="8" t="s">
        <v>18</v>
      </c>
      <c r="C116" s="8" t="s">
        <v>18</v>
      </c>
      <c r="D116" s="9" t="s">
        <v>207</v>
      </c>
      <c r="E116" s="10">
        <f t="shared" ref="E116:E127" si="52">F116+I116</f>
        <v>7311144</v>
      </c>
      <c r="F116" s="10">
        <f>F117</f>
        <v>7311144</v>
      </c>
      <c r="G116" s="10">
        <f t="shared" ref="G116:I116" si="53">G117</f>
        <v>2596100</v>
      </c>
      <c r="H116" s="10">
        <f t="shared" si="53"/>
        <v>58000</v>
      </c>
      <c r="I116" s="10">
        <f t="shared" si="53"/>
        <v>0</v>
      </c>
      <c r="J116" s="10">
        <f t="shared" si="35"/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f t="shared" si="51"/>
        <v>7311144</v>
      </c>
    </row>
    <row r="117" spans="1:18" ht="46.8">
      <c r="A117" s="8" t="s">
        <v>208</v>
      </c>
      <c r="B117" s="8" t="s">
        <v>18</v>
      </c>
      <c r="C117" s="8" t="s">
        <v>18</v>
      </c>
      <c r="D117" s="9" t="s">
        <v>207</v>
      </c>
      <c r="E117" s="10">
        <f t="shared" si="52"/>
        <v>7311144</v>
      </c>
      <c r="F117" s="10">
        <f>SUM(F118:F124)</f>
        <v>7311144</v>
      </c>
      <c r="G117" s="10">
        <f t="shared" ref="G117:K117" si="54">SUM(G118:G124)</f>
        <v>2596100</v>
      </c>
      <c r="H117" s="10">
        <f t="shared" si="54"/>
        <v>58000</v>
      </c>
      <c r="I117" s="10">
        <f t="shared" si="54"/>
        <v>0</v>
      </c>
      <c r="J117" s="10">
        <f t="shared" si="35"/>
        <v>0</v>
      </c>
      <c r="K117" s="10">
        <f t="shared" si="54"/>
        <v>0</v>
      </c>
      <c r="L117" s="10">
        <f t="shared" ref="L117" si="55">SUM(L118:L124)</f>
        <v>0</v>
      </c>
      <c r="M117" s="10">
        <f t="shared" ref="M117" si="56">SUM(M118:M124)</f>
        <v>0</v>
      </c>
      <c r="N117" s="10">
        <f t="shared" ref="N117" si="57">SUM(N118:N124)</f>
        <v>0</v>
      </c>
      <c r="O117" s="10">
        <f t="shared" ref="O117" si="58">SUM(O118:O124)</f>
        <v>0</v>
      </c>
      <c r="P117" s="10">
        <f t="shared" si="51"/>
        <v>7311144</v>
      </c>
    </row>
    <row r="118" spans="1:18" ht="46.8">
      <c r="A118" s="7" t="s">
        <v>209</v>
      </c>
      <c r="B118" s="7" t="s">
        <v>75</v>
      </c>
      <c r="C118" s="7" t="s">
        <v>23</v>
      </c>
      <c r="D118" s="11" t="s">
        <v>76</v>
      </c>
      <c r="E118" s="12">
        <f t="shared" si="52"/>
        <v>2072100</v>
      </c>
      <c r="F118" s="12">
        <f>2042100+30000</f>
        <v>2072100</v>
      </c>
      <c r="G118" s="12">
        <f>1932200+30000</f>
        <v>1962200</v>
      </c>
      <c r="H118" s="12">
        <v>0</v>
      </c>
      <c r="I118" s="12">
        <v>0</v>
      </c>
      <c r="J118" s="12">
        <f t="shared" si="35"/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f t="shared" si="51"/>
        <v>2072100</v>
      </c>
    </row>
    <row r="119" spans="1:18" ht="31.2">
      <c r="A119" s="7" t="s">
        <v>210</v>
      </c>
      <c r="B119" s="7" t="s">
        <v>30</v>
      </c>
      <c r="C119" s="7" t="s">
        <v>31</v>
      </c>
      <c r="D119" s="11" t="s">
        <v>32</v>
      </c>
      <c r="E119" s="12">
        <f t="shared" si="52"/>
        <v>99000</v>
      </c>
      <c r="F119" s="12">
        <f>99000</f>
        <v>99000</v>
      </c>
      <c r="G119" s="12">
        <v>0</v>
      </c>
      <c r="H119" s="12">
        <v>0</v>
      </c>
      <c r="I119" s="12">
        <v>0</v>
      </c>
      <c r="J119" s="12">
        <f t="shared" si="35"/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f t="shared" si="51"/>
        <v>99000</v>
      </c>
    </row>
    <row r="120" spans="1:18" ht="31.2">
      <c r="A120" s="7" t="s">
        <v>211</v>
      </c>
      <c r="B120" s="7" t="s">
        <v>212</v>
      </c>
      <c r="C120" s="7" t="s">
        <v>119</v>
      </c>
      <c r="D120" s="11" t="s">
        <v>213</v>
      </c>
      <c r="E120" s="12">
        <f t="shared" si="52"/>
        <v>1979400</v>
      </c>
      <c r="F120" s="12">
        <f>1880400+99000</f>
        <v>1979400</v>
      </c>
      <c r="G120" s="12">
        <v>633900</v>
      </c>
      <c r="H120" s="12">
        <v>58000</v>
      </c>
      <c r="I120" s="12">
        <v>0</v>
      </c>
      <c r="J120" s="12">
        <f t="shared" si="35"/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f t="shared" si="51"/>
        <v>1979400</v>
      </c>
    </row>
    <row r="121" spans="1:18" ht="46.8">
      <c r="A121" s="7" t="s">
        <v>214</v>
      </c>
      <c r="B121" s="7" t="s">
        <v>215</v>
      </c>
      <c r="C121" s="7" t="s">
        <v>124</v>
      </c>
      <c r="D121" s="11" t="s">
        <v>216</v>
      </c>
      <c r="E121" s="12">
        <f t="shared" si="52"/>
        <v>895000</v>
      </c>
      <c r="F121" s="12">
        <f>950000-55000</f>
        <v>895000</v>
      </c>
      <c r="G121" s="12">
        <v>0</v>
      </c>
      <c r="H121" s="12">
        <v>0</v>
      </c>
      <c r="I121" s="12">
        <v>0</v>
      </c>
      <c r="J121" s="12">
        <f t="shared" si="35"/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f t="shared" si="51"/>
        <v>895000</v>
      </c>
    </row>
    <row r="122" spans="1:18" ht="46.8">
      <c r="A122" s="7" t="s">
        <v>217</v>
      </c>
      <c r="B122" s="7" t="s">
        <v>218</v>
      </c>
      <c r="C122" s="7" t="s">
        <v>124</v>
      </c>
      <c r="D122" s="11" t="s">
        <v>219</v>
      </c>
      <c r="E122" s="12">
        <f t="shared" si="52"/>
        <v>320000</v>
      </c>
      <c r="F122" s="12">
        <v>320000</v>
      </c>
      <c r="G122" s="12">
        <v>0</v>
      </c>
      <c r="H122" s="12">
        <v>0</v>
      </c>
      <c r="I122" s="12">
        <v>0</v>
      </c>
      <c r="J122" s="12">
        <f t="shared" si="35"/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f t="shared" si="51"/>
        <v>320000</v>
      </c>
    </row>
    <row r="123" spans="1:18" s="36" customFormat="1" ht="46.8">
      <c r="A123" s="31" t="s">
        <v>375</v>
      </c>
      <c r="B123" s="31" t="s">
        <v>376</v>
      </c>
      <c r="C123" s="31" t="s">
        <v>124</v>
      </c>
      <c r="D123" s="32" t="s">
        <v>377</v>
      </c>
      <c r="E123" s="41">
        <f>F123+I123</f>
        <v>103944</v>
      </c>
      <c r="F123" s="41">
        <v>103944</v>
      </c>
      <c r="G123" s="41"/>
      <c r="H123" s="41"/>
      <c r="I123" s="41"/>
      <c r="J123" s="41"/>
      <c r="K123" s="41"/>
      <c r="L123" s="41"/>
      <c r="M123" s="41"/>
      <c r="N123" s="41"/>
      <c r="O123" s="41"/>
      <c r="P123" s="41">
        <f t="shared" ref="P123" si="59">E123+J123</f>
        <v>103944</v>
      </c>
      <c r="Q123" s="35"/>
      <c r="R123" s="35"/>
    </row>
    <row r="124" spans="1:18" ht="78">
      <c r="A124" s="7" t="s">
        <v>220</v>
      </c>
      <c r="B124" s="7" t="s">
        <v>221</v>
      </c>
      <c r="C124" s="7" t="s">
        <v>124</v>
      </c>
      <c r="D124" s="11" t="s">
        <v>222</v>
      </c>
      <c r="E124" s="12">
        <f t="shared" si="52"/>
        <v>1841700</v>
      </c>
      <c r="F124" s="12">
        <f>1786700+55000</f>
        <v>1841700</v>
      </c>
      <c r="G124" s="12">
        <v>0</v>
      </c>
      <c r="H124" s="12">
        <v>0</v>
      </c>
      <c r="I124" s="12">
        <v>0</v>
      </c>
      <c r="J124" s="12">
        <f t="shared" si="35"/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f t="shared" si="51"/>
        <v>1841700</v>
      </c>
    </row>
    <row r="125" spans="1:18" ht="62.4">
      <c r="A125" s="8" t="s">
        <v>223</v>
      </c>
      <c r="B125" s="8" t="s">
        <v>18</v>
      </c>
      <c r="C125" s="8" t="s">
        <v>18</v>
      </c>
      <c r="D125" s="9" t="s">
        <v>224</v>
      </c>
      <c r="E125" s="10">
        <f t="shared" si="52"/>
        <v>152476942</v>
      </c>
      <c r="F125" s="10">
        <f>F126</f>
        <v>51493831</v>
      </c>
      <c r="G125" s="10">
        <f t="shared" ref="G125:I125" si="60">G126</f>
        <v>3502400</v>
      </c>
      <c r="H125" s="10">
        <f t="shared" si="60"/>
        <v>14400</v>
      </c>
      <c r="I125" s="10">
        <f t="shared" si="60"/>
        <v>100983111</v>
      </c>
      <c r="J125" s="10">
        <f t="shared" si="35"/>
        <v>13121541.32</v>
      </c>
      <c r="K125" s="10">
        <f>K126</f>
        <v>11869937</v>
      </c>
      <c r="L125" s="10">
        <f t="shared" ref="L125:O125" si="61">L126</f>
        <v>100000</v>
      </c>
      <c r="M125" s="10">
        <f t="shared" si="61"/>
        <v>0</v>
      </c>
      <c r="N125" s="10">
        <f t="shared" si="61"/>
        <v>0</v>
      </c>
      <c r="O125" s="10">
        <f t="shared" si="61"/>
        <v>13021541.32</v>
      </c>
      <c r="P125" s="10">
        <f t="shared" si="51"/>
        <v>165598483.31999999</v>
      </c>
    </row>
    <row r="126" spans="1:18" ht="62.4">
      <c r="A126" s="8" t="s">
        <v>225</v>
      </c>
      <c r="B126" s="8" t="s">
        <v>18</v>
      </c>
      <c r="C126" s="8" t="s">
        <v>18</v>
      </c>
      <c r="D126" s="9" t="s">
        <v>224</v>
      </c>
      <c r="E126" s="10">
        <f t="shared" si="52"/>
        <v>152476942</v>
      </c>
      <c r="F126" s="10">
        <f>SUM(F127:F145)</f>
        <v>51493831</v>
      </c>
      <c r="G126" s="10">
        <f t="shared" ref="G126:J126" si="62">SUM(G127:G145)</f>
        <v>3502400</v>
      </c>
      <c r="H126" s="10">
        <f t="shared" si="62"/>
        <v>14400</v>
      </c>
      <c r="I126" s="10">
        <f t="shared" ref="I126" si="63">SUM(I127:I143)</f>
        <v>100983111</v>
      </c>
      <c r="J126" s="10">
        <f t="shared" si="62"/>
        <v>13121541.32</v>
      </c>
      <c r="K126" s="10">
        <f t="shared" ref="K126" si="64">SUM(K127:K145)</f>
        <v>11869937</v>
      </c>
      <c r="L126" s="10">
        <f t="shared" ref="L126" si="65">SUM(L127:L145)</f>
        <v>100000</v>
      </c>
      <c r="M126" s="10">
        <f t="shared" ref="M126" si="66">SUM(M127:M145)</f>
        <v>0</v>
      </c>
      <c r="N126" s="10">
        <f t="shared" ref="N126" si="67">SUM(N127:N145)</f>
        <v>0</v>
      </c>
      <c r="O126" s="10">
        <f t="shared" ref="O126" si="68">SUM(O127:O145)</f>
        <v>13021541.32</v>
      </c>
      <c r="P126" s="10">
        <f>E126 + J126</f>
        <v>165598483.31999999</v>
      </c>
    </row>
    <row r="127" spans="1:18" ht="46.8">
      <c r="A127" s="7" t="s">
        <v>226</v>
      </c>
      <c r="B127" s="7" t="s">
        <v>75</v>
      </c>
      <c r="C127" s="7" t="s">
        <v>23</v>
      </c>
      <c r="D127" s="11" t="s">
        <v>76</v>
      </c>
      <c r="E127" s="12">
        <f t="shared" si="52"/>
        <v>4294900</v>
      </c>
      <c r="F127" s="12">
        <f>3829700+465200</f>
        <v>4294900</v>
      </c>
      <c r="G127" s="12">
        <v>3502400</v>
      </c>
      <c r="H127" s="12">
        <v>14400</v>
      </c>
      <c r="I127" s="12">
        <v>0</v>
      </c>
      <c r="J127" s="12">
        <f t="shared" si="35"/>
        <v>36000</v>
      </c>
      <c r="K127" s="12">
        <v>36000</v>
      </c>
      <c r="L127" s="12">
        <v>0</v>
      </c>
      <c r="M127" s="12">
        <v>0</v>
      </c>
      <c r="N127" s="12">
        <v>0</v>
      </c>
      <c r="O127" s="12">
        <v>36000</v>
      </c>
      <c r="P127" s="12">
        <f t="shared" si="51"/>
        <v>4330900</v>
      </c>
    </row>
    <row r="128" spans="1:18" ht="46.8">
      <c r="A128" s="7" t="s">
        <v>227</v>
      </c>
      <c r="B128" s="7" t="s">
        <v>26</v>
      </c>
      <c r="C128" s="7" t="s">
        <v>27</v>
      </c>
      <c r="D128" s="11" t="s">
        <v>28</v>
      </c>
      <c r="E128" s="12">
        <f t="shared" ref="E128:E145" si="69">F128+I128</f>
        <v>25000</v>
      </c>
      <c r="F128" s="12">
        <v>25000</v>
      </c>
      <c r="G128" s="12">
        <v>0</v>
      </c>
      <c r="H128" s="12">
        <v>0</v>
      </c>
      <c r="I128" s="12">
        <v>0</v>
      </c>
      <c r="J128" s="12">
        <f t="shared" si="35"/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f t="shared" si="51"/>
        <v>25000</v>
      </c>
    </row>
    <row r="129" spans="1:16" ht="31.2">
      <c r="A129" s="7" t="s">
        <v>228</v>
      </c>
      <c r="B129" s="7" t="s">
        <v>30</v>
      </c>
      <c r="C129" s="7" t="s">
        <v>31</v>
      </c>
      <c r="D129" s="11" t="s">
        <v>32</v>
      </c>
      <c r="E129" s="12">
        <f t="shared" si="69"/>
        <v>99000</v>
      </c>
      <c r="F129" s="12">
        <f>99000</f>
        <v>99000</v>
      </c>
      <c r="G129" s="12">
        <v>0</v>
      </c>
      <c r="H129" s="12">
        <v>0</v>
      </c>
      <c r="I129" s="12">
        <v>0</v>
      </c>
      <c r="J129" s="12">
        <f t="shared" si="35"/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f t="shared" si="51"/>
        <v>99000</v>
      </c>
    </row>
    <row r="130" spans="1:16" ht="31.2">
      <c r="A130" s="7" t="s">
        <v>229</v>
      </c>
      <c r="B130" s="7" t="s">
        <v>230</v>
      </c>
      <c r="C130" s="7" t="s">
        <v>231</v>
      </c>
      <c r="D130" s="11" t="s">
        <v>232</v>
      </c>
      <c r="E130" s="12">
        <f t="shared" si="69"/>
        <v>30000</v>
      </c>
      <c r="F130" s="12">
        <v>30000</v>
      </c>
      <c r="G130" s="12">
        <v>0</v>
      </c>
      <c r="H130" s="12">
        <v>0</v>
      </c>
      <c r="I130" s="12">
        <v>0</v>
      </c>
      <c r="J130" s="12">
        <f t="shared" si="35"/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f t="shared" si="51"/>
        <v>30000</v>
      </c>
    </row>
    <row r="131" spans="1:16" ht="31.2">
      <c r="A131" s="29">
        <v>1216011</v>
      </c>
      <c r="B131" s="29">
        <v>6011</v>
      </c>
      <c r="C131" s="15" t="s">
        <v>292</v>
      </c>
      <c r="D131" s="11" t="s">
        <v>291</v>
      </c>
      <c r="E131" s="12">
        <f t="shared" si="69"/>
        <v>319069</v>
      </c>
      <c r="F131" s="12"/>
      <c r="G131" s="12"/>
      <c r="H131" s="12"/>
      <c r="I131" s="12">
        <v>319069</v>
      </c>
      <c r="J131" s="12">
        <f t="shared" si="35"/>
        <v>4231826</v>
      </c>
      <c r="K131" s="12">
        <f>4029487+202339</f>
        <v>4231826</v>
      </c>
      <c r="L131" s="12"/>
      <c r="M131" s="12"/>
      <c r="N131" s="12"/>
      <c r="O131" s="12">
        <f>4029487+202339</f>
        <v>4231826</v>
      </c>
      <c r="P131" s="12">
        <f t="shared" si="51"/>
        <v>4550895</v>
      </c>
    </row>
    <row r="132" spans="1:16" ht="31.2">
      <c r="A132" s="44">
        <v>1216013</v>
      </c>
      <c r="B132" s="44">
        <v>6013</v>
      </c>
      <c r="C132" s="15" t="s">
        <v>55</v>
      </c>
      <c r="D132" s="11" t="s">
        <v>335</v>
      </c>
      <c r="E132" s="12">
        <f t="shared" si="69"/>
        <v>59940</v>
      </c>
      <c r="F132" s="12"/>
      <c r="G132" s="12"/>
      <c r="H132" s="12"/>
      <c r="I132" s="12">
        <v>59940</v>
      </c>
      <c r="J132" s="12">
        <f t="shared" si="35"/>
        <v>1244281</v>
      </c>
      <c r="K132" s="12">
        <v>1244281</v>
      </c>
      <c r="L132" s="12"/>
      <c r="M132" s="12"/>
      <c r="N132" s="12"/>
      <c r="O132" s="12">
        <v>1244281</v>
      </c>
      <c r="P132" s="12">
        <f t="shared" si="51"/>
        <v>1304221</v>
      </c>
    </row>
    <row r="133" spans="1:16" ht="31.2">
      <c r="A133" s="7" t="s">
        <v>233</v>
      </c>
      <c r="B133" s="7" t="s">
        <v>234</v>
      </c>
      <c r="C133" s="7" t="s">
        <v>55</v>
      </c>
      <c r="D133" s="11" t="s">
        <v>235</v>
      </c>
      <c r="E133" s="12">
        <f t="shared" si="69"/>
        <v>300000</v>
      </c>
      <c r="F133" s="12">
        <v>0</v>
      </c>
      <c r="G133" s="12">
        <v>0</v>
      </c>
      <c r="H133" s="12">
        <v>0</v>
      </c>
      <c r="I133" s="12">
        <v>300000</v>
      </c>
      <c r="J133" s="12">
        <f t="shared" si="35"/>
        <v>1980702</v>
      </c>
      <c r="K133" s="12">
        <f>495000+1485702</f>
        <v>1980702</v>
      </c>
      <c r="L133" s="12">
        <v>0</v>
      </c>
      <c r="M133" s="12">
        <v>0</v>
      </c>
      <c r="N133" s="12">
        <v>0</v>
      </c>
      <c r="O133" s="12">
        <f>495000+1485702</f>
        <v>1980702</v>
      </c>
      <c r="P133" s="12">
        <f t="shared" si="51"/>
        <v>2280702</v>
      </c>
    </row>
    <row r="134" spans="1:16" ht="46.8">
      <c r="A134" s="7" t="s">
        <v>236</v>
      </c>
      <c r="B134" s="7" t="s">
        <v>237</v>
      </c>
      <c r="C134" s="7" t="s">
        <v>55</v>
      </c>
      <c r="D134" s="11" t="s">
        <v>238</v>
      </c>
      <c r="E134" s="12">
        <f t="shared" si="69"/>
        <v>1493000</v>
      </c>
      <c r="F134" s="12">
        <v>0</v>
      </c>
      <c r="G134" s="12">
        <v>0</v>
      </c>
      <c r="H134" s="12">
        <v>0</v>
      </c>
      <c r="I134" s="12">
        <v>1493000</v>
      </c>
      <c r="J134" s="12">
        <f t="shared" si="35"/>
        <v>1200000</v>
      </c>
      <c r="K134" s="12">
        <v>1200000</v>
      </c>
      <c r="L134" s="12">
        <v>0</v>
      </c>
      <c r="M134" s="12">
        <v>0</v>
      </c>
      <c r="N134" s="12">
        <v>0</v>
      </c>
      <c r="O134" s="12">
        <v>1200000</v>
      </c>
      <c r="P134" s="12">
        <f t="shared" si="51"/>
        <v>2693000</v>
      </c>
    </row>
    <row r="135" spans="1:16" ht="31.2">
      <c r="A135" s="7" t="s">
        <v>239</v>
      </c>
      <c r="B135" s="7" t="s">
        <v>54</v>
      </c>
      <c r="C135" s="7" t="s">
        <v>55</v>
      </c>
      <c r="D135" s="11" t="s">
        <v>56</v>
      </c>
      <c r="E135" s="12">
        <f>F135+I135</f>
        <v>73845000</v>
      </c>
      <c r="F135" s="12">
        <f>19865000+465200+345000-50000-465200-900000</f>
        <v>19260000</v>
      </c>
      <c r="G135" s="12">
        <v>0</v>
      </c>
      <c r="H135" s="12">
        <v>0</v>
      </c>
      <c r="I135" s="12">
        <f>54195000-345000+30000-55000+550000+300000-90000</f>
        <v>54585000</v>
      </c>
      <c r="J135" s="12">
        <f t="shared" si="35"/>
        <v>839500</v>
      </c>
      <c r="K135" s="12">
        <f>875500-36000+550000-550000</f>
        <v>839500</v>
      </c>
      <c r="L135" s="12">
        <v>0</v>
      </c>
      <c r="M135" s="12">
        <v>0</v>
      </c>
      <c r="N135" s="12">
        <v>0</v>
      </c>
      <c r="O135" s="12">
        <f>875500-36000+550000-550000</f>
        <v>839500</v>
      </c>
      <c r="P135" s="12">
        <f t="shared" si="51"/>
        <v>74684500</v>
      </c>
    </row>
    <row r="136" spans="1:16">
      <c r="A136" s="44">
        <v>1217130</v>
      </c>
      <c r="B136" s="44">
        <v>7130</v>
      </c>
      <c r="C136" s="15" t="s">
        <v>264</v>
      </c>
      <c r="D136" s="11" t="s">
        <v>265</v>
      </c>
      <c r="E136" s="12">
        <f>F136+I136</f>
        <v>55000</v>
      </c>
      <c r="F136" s="12"/>
      <c r="G136" s="12"/>
      <c r="H136" s="12"/>
      <c r="I136" s="12">
        <v>55000</v>
      </c>
      <c r="J136" s="12">
        <f t="shared" si="35"/>
        <v>0</v>
      </c>
      <c r="K136" s="12"/>
      <c r="L136" s="12"/>
      <c r="M136" s="12"/>
      <c r="N136" s="12"/>
      <c r="O136" s="12"/>
      <c r="P136" s="12">
        <f t="shared" si="51"/>
        <v>55000</v>
      </c>
    </row>
    <row r="137" spans="1:16" ht="46.8">
      <c r="A137" s="7" t="s">
        <v>240</v>
      </c>
      <c r="B137" s="7" t="s">
        <v>241</v>
      </c>
      <c r="C137" s="7" t="s">
        <v>242</v>
      </c>
      <c r="D137" s="11" t="s">
        <v>243</v>
      </c>
      <c r="E137" s="12">
        <f t="shared" si="69"/>
        <v>25700000</v>
      </c>
      <c r="F137" s="12">
        <v>25700000</v>
      </c>
      <c r="G137" s="12">
        <v>0</v>
      </c>
      <c r="H137" s="12">
        <v>0</v>
      </c>
      <c r="I137" s="12">
        <v>0</v>
      </c>
      <c r="J137" s="12">
        <f t="shared" si="35"/>
        <v>0</v>
      </c>
      <c r="K137" s="12">
        <v>0</v>
      </c>
      <c r="L137" s="12">
        <v>0</v>
      </c>
      <c r="M137" s="12">
        <v>0</v>
      </c>
      <c r="N137" s="12">
        <v>0</v>
      </c>
      <c r="O137" s="12">
        <v>0</v>
      </c>
      <c r="P137" s="12">
        <f t="shared" si="51"/>
        <v>25700000</v>
      </c>
    </row>
    <row r="138" spans="1:16" ht="140.4">
      <c r="A138" s="29">
        <v>1217691</v>
      </c>
      <c r="B138" s="29">
        <v>7691</v>
      </c>
      <c r="C138" s="15" t="s">
        <v>59</v>
      </c>
      <c r="D138" s="11" t="s">
        <v>333</v>
      </c>
      <c r="E138" s="12">
        <f t="shared" si="69"/>
        <v>0</v>
      </c>
      <c r="F138" s="12"/>
      <c r="G138" s="12"/>
      <c r="H138" s="12"/>
      <c r="I138" s="12"/>
      <c r="J138" s="12">
        <f t="shared" si="35"/>
        <v>580802.88</v>
      </c>
      <c r="K138" s="12"/>
      <c r="L138" s="12"/>
      <c r="M138" s="12"/>
      <c r="N138" s="12"/>
      <c r="O138" s="12">
        <f>393146+187656.88</f>
        <v>580802.88</v>
      </c>
      <c r="P138" s="12">
        <f t="shared" si="51"/>
        <v>580802.88</v>
      </c>
    </row>
    <row r="139" spans="1:16" ht="31.2">
      <c r="A139" s="7" t="s">
        <v>244</v>
      </c>
      <c r="B139" s="7" t="s">
        <v>245</v>
      </c>
      <c r="C139" s="7" t="s">
        <v>59</v>
      </c>
      <c r="D139" s="11" t="s">
        <v>246</v>
      </c>
      <c r="E139" s="12">
        <f t="shared" si="69"/>
        <v>44171102</v>
      </c>
      <c r="F139" s="12">
        <v>0</v>
      </c>
      <c r="G139" s="12">
        <v>0</v>
      </c>
      <c r="H139" s="12">
        <v>0</v>
      </c>
      <c r="I139" s="12">
        <f>31215000+3554300+1350000+8000000+51802</f>
        <v>44171102</v>
      </c>
      <c r="J139" s="12">
        <f t="shared" si="35"/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f t="shared" si="51"/>
        <v>44171102</v>
      </c>
    </row>
    <row r="140" spans="1:16" ht="62.4">
      <c r="A140" s="33">
        <v>1217700</v>
      </c>
      <c r="B140" s="33">
        <v>7700</v>
      </c>
      <c r="C140" s="15" t="s">
        <v>31</v>
      </c>
      <c r="D140" s="11" t="s">
        <v>363</v>
      </c>
      <c r="E140" s="12">
        <f t="shared" si="69"/>
        <v>0</v>
      </c>
      <c r="F140" s="12"/>
      <c r="G140" s="12"/>
      <c r="H140" s="12"/>
      <c r="I140" s="12"/>
      <c r="J140" s="12">
        <f t="shared" si="35"/>
        <v>420801.44</v>
      </c>
      <c r="K140" s="12"/>
      <c r="L140" s="12"/>
      <c r="M140" s="12"/>
      <c r="N140" s="12"/>
      <c r="O140" s="12">
        <v>420801.44</v>
      </c>
      <c r="P140" s="12">
        <f t="shared" si="51"/>
        <v>420801.44</v>
      </c>
    </row>
    <row r="141" spans="1:16" ht="46.8">
      <c r="A141" s="7" t="s">
        <v>247</v>
      </c>
      <c r="B141" s="7" t="s">
        <v>248</v>
      </c>
      <c r="C141" s="7" t="s">
        <v>249</v>
      </c>
      <c r="D141" s="11" t="s">
        <v>250</v>
      </c>
      <c r="E141" s="12">
        <f t="shared" si="69"/>
        <v>2072231</v>
      </c>
      <c r="F141" s="12">
        <f>835000+552900+58341+62000+500000+63990</f>
        <v>2072231</v>
      </c>
      <c r="G141" s="12">
        <v>0</v>
      </c>
      <c r="H141" s="12">
        <v>0</v>
      </c>
      <c r="I141" s="12">
        <v>0</v>
      </c>
      <c r="J141" s="12">
        <f t="shared" si="35"/>
        <v>1163000</v>
      </c>
      <c r="K141" s="12">
        <f>150000+2213000-1200000</f>
        <v>1163000</v>
      </c>
      <c r="L141" s="12">
        <v>0</v>
      </c>
      <c r="M141" s="12">
        <v>0</v>
      </c>
      <c r="N141" s="12">
        <v>0</v>
      </c>
      <c r="O141" s="12">
        <f>150000+2213000-1200000</f>
        <v>1163000</v>
      </c>
      <c r="P141" s="12">
        <f t="shared" si="51"/>
        <v>3235231</v>
      </c>
    </row>
    <row r="142" spans="1:16" ht="31.2">
      <c r="A142" s="15" t="s">
        <v>325</v>
      </c>
      <c r="B142" s="27">
        <v>8240</v>
      </c>
      <c r="C142" s="15" t="s">
        <v>63</v>
      </c>
      <c r="D142" s="11" t="s">
        <v>273</v>
      </c>
      <c r="E142" s="12">
        <f t="shared" si="69"/>
        <v>12700</v>
      </c>
      <c r="F142" s="12">
        <v>12700</v>
      </c>
      <c r="G142" s="12"/>
      <c r="H142" s="12"/>
      <c r="I142" s="12"/>
      <c r="J142" s="12"/>
      <c r="K142" s="12"/>
      <c r="L142" s="12"/>
      <c r="M142" s="12"/>
      <c r="N142" s="12"/>
      <c r="O142" s="12"/>
      <c r="P142" s="12">
        <f t="shared" si="51"/>
        <v>12700</v>
      </c>
    </row>
    <row r="143" spans="1:16" ht="31.2">
      <c r="A143" s="15" t="s">
        <v>296</v>
      </c>
      <c r="B143" s="7">
        <v>8340</v>
      </c>
      <c r="C143" s="7" t="s">
        <v>287</v>
      </c>
      <c r="D143" s="11" t="s">
        <v>288</v>
      </c>
      <c r="E143" s="12">
        <f t="shared" si="69"/>
        <v>0</v>
      </c>
      <c r="F143" s="12"/>
      <c r="G143" s="12"/>
      <c r="H143" s="12"/>
      <c r="I143" s="12"/>
      <c r="J143" s="12">
        <f t="shared" si="35"/>
        <v>250000</v>
      </c>
      <c r="K143" s="12"/>
      <c r="L143" s="12">
        <v>100000</v>
      </c>
      <c r="M143" s="12"/>
      <c r="N143" s="12"/>
      <c r="O143" s="12">
        <v>150000</v>
      </c>
      <c r="P143" s="12">
        <f t="shared" si="51"/>
        <v>250000</v>
      </c>
    </row>
    <row r="144" spans="1:16" ht="78">
      <c r="A144" s="15" t="s">
        <v>385</v>
      </c>
      <c r="B144" s="45">
        <v>8761</v>
      </c>
      <c r="C144" s="15" t="s">
        <v>287</v>
      </c>
      <c r="D144" s="11" t="s">
        <v>386</v>
      </c>
      <c r="E144" s="12">
        <f t="shared" si="69"/>
        <v>0</v>
      </c>
      <c r="F144" s="12"/>
      <c r="G144" s="12"/>
      <c r="H144" s="12"/>
      <c r="I144" s="12"/>
      <c r="J144" s="12">
        <f t="shared" si="35"/>
        <v>674628</v>
      </c>
      <c r="K144" s="12">
        <v>674628</v>
      </c>
      <c r="L144" s="12"/>
      <c r="M144" s="12"/>
      <c r="N144" s="12"/>
      <c r="O144" s="12">
        <v>674628</v>
      </c>
      <c r="P144" s="12">
        <f t="shared" si="51"/>
        <v>674628</v>
      </c>
    </row>
    <row r="145" spans="1:16" ht="62.4">
      <c r="A145" s="15" t="s">
        <v>387</v>
      </c>
      <c r="B145" s="47">
        <v>8773</v>
      </c>
      <c r="C145" s="15" t="s">
        <v>75</v>
      </c>
      <c r="D145" s="11" t="s">
        <v>388</v>
      </c>
      <c r="E145" s="12">
        <f t="shared" si="69"/>
        <v>0</v>
      </c>
      <c r="F145" s="12"/>
      <c r="G145" s="12"/>
      <c r="H145" s="12"/>
      <c r="I145" s="12"/>
      <c r="J145" s="12">
        <f t="shared" si="35"/>
        <v>500000</v>
      </c>
      <c r="K145" s="12">
        <v>500000</v>
      </c>
      <c r="L145" s="12"/>
      <c r="M145" s="12"/>
      <c r="N145" s="12"/>
      <c r="O145" s="12">
        <v>500000</v>
      </c>
      <c r="P145" s="12">
        <f t="shared" si="51"/>
        <v>500000</v>
      </c>
    </row>
    <row r="146" spans="1:16" ht="62.4">
      <c r="A146" s="8" t="s">
        <v>251</v>
      </c>
      <c r="B146" s="8" t="s">
        <v>18</v>
      </c>
      <c r="C146" s="8" t="s">
        <v>18</v>
      </c>
      <c r="D146" s="9" t="s">
        <v>252</v>
      </c>
      <c r="E146" s="10">
        <f t="shared" ref="E146:E162" si="70">F146+I146</f>
        <v>4555000</v>
      </c>
      <c r="F146" s="10">
        <f>F147</f>
        <v>4555000</v>
      </c>
      <c r="G146" s="10">
        <f t="shared" ref="G146:I146" si="71">G147</f>
        <v>4340900</v>
      </c>
      <c r="H146" s="10">
        <f t="shared" si="71"/>
        <v>0</v>
      </c>
      <c r="I146" s="10">
        <f t="shared" si="71"/>
        <v>0</v>
      </c>
      <c r="J146" s="10">
        <f t="shared" si="35"/>
        <v>138609386</v>
      </c>
      <c r="K146" s="10">
        <f>K147</f>
        <v>138609386</v>
      </c>
      <c r="L146" s="10">
        <f t="shared" ref="L146:O146" si="72">L147</f>
        <v>0</v>
      </c>
      <c r="M146" s="10">
        <f t="shared" si="72"/>
        <v>0</v>
      </c>
      <c r="N146" s="10">
        <f t="shared" si="72"/>
        <v>0</v>
      </c>
      <c r="O146" s="10">
        <f t="shared" si="72"/>
        <v>138609386</v>
      </c>
      <c r="P146" s="10">
        <f t="shared" si="51"/>
        <v>143164386</v>
      </c>
    </row>
    <row r="147" spans="1:16" ht="62.4">
      <c r="A147" s="8" t="s">
        <v>253</v>
      </c>
      <c r="B147" s="8" t="s">
        <v>18</v>
      </c>
      <c r="C147" s="8" t="s">
        <v>18</v>
      </c>
      <c r="D147" s="9" t="s">
        <v>252</v>
      </c>
      <c r="E147" s="10">
        <f t="shared" si="70"/>
        <v>4555000</v>
      </c>
      <c r="F147" s="10">
        <f>SUM(F148:F159)</f>
        <v>4555000</v>
      </c>
      <c r="G147" s="10">
        <f t="shared" ref="G147:K147" si="73">SUM(G148:G159)</f>
        <v>4340900</v>
      </c>
      <c r="H147" s="10">
        <f t="shared" si="73"/>
        <v>0</v>
      </c>
      <c r="I147" s="10">
        <f t="shared" si="73"/>
        <v>0</v>
      </c>
      <c r="J147" s="10">
        <f t="shared" si="35"/>
        <v>138609386</v>
      </c>
      <c r="K147" s="10">
        <f t="shared" si="73"/>
        <v>138609386</v>
      </c>
      <c r="L147" s="10">
        <f t="shared" ref="L147" si="74">SUM(L148:L159)</f>
        <v>0</v>
      </c>
      <c r="M147" s="10">
        <f t="shared" ref="M147" si="75">SUM(M148:M159)</f>
        <v>0</v>
      </c>
      <c r="N147" s="10">
        <f t="shared" ref="N147" si="76">SUM(N148:N159)</f>
        <v>0</v>
      </c>
      <c r="O147" s="10">
        <f t="shared" ref="O147" si="77">SUM(O148:O159)</f>
        <v>138609386</v>
      </c>
      <c r="P147" s="10">
        <f t="shared" si="51"/>
        <v>143164386</v>
      </c>
    </row>
    <row r="148" spans="1:16" ht="46.8">
      <c r="A148" s="7" t="s">
        <v>254</v>
      </c>
      <c r="B148" s="7" t="s">
        <v>75</v>
      </c>
      <c r="C148" s="7" t="s">
        <v>23</v>
      </c>
      <c r="D148" s="11" t="s">
        <v>76</v>
      </c>
      <c r="E148" s="12">
        <f t="shared" si="70"/>
        <v>4456000</v>
      </c>
      <c r="F148" s="12">
        <f>4386000+70000</f>
        <v>4456000</v>
      </c>
      <c r="G148" s="12">
        <f>4270900+70000</f>
        <v>4340900</v>
      </c>
      <c r="H148" s="12">
        <v>0</v>
      </c>
      <c r="I148" s="12">
        <v>0</v>
      </c>
      <c r="J148" s="12">
        <f t="shared" si="35"/>
        <v>0</v>
      </c>
      <c r="K148" s="12">
        <v>0</v>
      </c>
      <c r="L148" s="12">
        <v>0</v>
      </c>
      <c r="M148" s="12">
        <v>0</v>
      </c>
      <c r="N148" s="12">
        <v>0</v>
      </c>
      <c r="O148" s="12">
        <v>0</v>
      </c>
      <c r="P148" s="12">
        <f t="shared" si="51"/>
        <v>4456000</v>
      </c>
    </row>
    <row r="149" spans="1:16" ht="31.2">
      <c r="A149" s="7" t="s">
        <v>255</v>
      </c>
      <c r="B149" s="7" t="s">
        <v>30</v>
      </c>
      <c r="C149" s="7" t="s">
        <v>31</v>
      </c>
      <c r="D149" s="11" t="s">
        <v>32</v>
      </c>
      <c r="E149" s="12">
        <f t="shared" si="70"/>
        <v>99000</v>
      </c>
      <c r="F149" s="12">
        <f>99000</f>
        <v>99000</v>
      </c>
      <c r="G149" s="12">
        <v>0</v>
      </c>
      <c r="H149" s="12">
        <v>0</v>
      </c>
      <c r="I149" s="12">
        <v>0</v>
      </c>
      <c r="J149" s="12">
        <f t="shared" si="35"/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12">
        <f t="shared" si="51"/>
        <v>99000</v>
      </c>
    </row>
    <row r="150" spans="1:16" ht="31.2">
      <c r="A150" s="29">
        <v>1512010</v>
      </c>
      <c r="B150" s="15" t="s">
        <v>34</v>
      </c>
      <c r="C150" s="15" t="s">
        <v>35</v>
      </c>
      <c r="D150" s="11" t="s">
        <v>36</v>
      </c>
      <c r="E150" s="12">
        <f t="shared" si="70"/>
        <v>0</v>
      </c>
      <c r="F150" s="12"/>
      <c r="G150" s="12"/>
      <c r="H150" s="12"/>
      <c r="I150" s="12"/>
      <c r="J150" s="12">
        <f t="shared" si="35"/>
        <v>1150627</v>
      </c>
      <c r="K150" s="12">
        <f>1205627-30000-25000</f>
        <v>1150627</v>
      </c>
      <c r="L150" s="12"/>
      <c r="M150" s="12"/>
      <c r="N150" s="12"/>
      <c r="O150" s="12">
        <f>1205627-30000-25000</f>
        <v>1150627</v>
      </c>
      <c r="P150" s="12">
        <f t="shared" si="51"/>
        <v>1150627</v>
      </c>
    </row>
    <row r="151" spans="1:16" ht="31.2">
      <c r="A151" s="29">
        <v>1516013</v>
      </c>
      <c r="B151" s="15" t="s">
        <v>334</v>
      </c>
      <c r="C151" s="15" t="s">
        <v>55</v>
      </c>
      <c r="D151" s="11" t="s">
        <v>335</v>
      </c>
      <c r="E151" s="12">
        <f t="shared" si="70"/>
        <v>0</v>
      </c>
      <c r="F151" s="12"/>
      <c r="G151" s="12"/>
      <c r="H151" s="12"/>
      <c r="I151" s="12"/>
      <c r="J151" s="12">
        <f t="shared" si="35"/>
        <v>382750</v>
      </c>
      <c r="K151" s="12">
        <v>382750</v>
      </c>
      <c r="L151" s="12"/>
      <c r="M151" s="12"/>
      <c r="N151" s="12"/>
      <c r="O151" s="12">
        <v>382750</v>
      </c>
      <c r="P151" s="12">
        <f t="shared" si="51"/>
        <v>382750</v>
      </c>
    </row>
    <row r="152" spans="1:16" ht="31.2">
      <c r="A152" s="29">
        <v>1516015</v>
      </c>
      <c r="B152" s="15" t="s">
        <v>234</v>
      </c>
      <c r="C152" s="15" t="s">
        <v>55</v>
      </c>
      <c r="D152" s="11" t="s">
        <v>235</v>
      </c>
      <c r="E152" s="12">
        <f t="shared" si="70"/>
        <v>0</v>
      </c>
      <c r="F152" s="12"/>
      <c r="G152" s="12"/>
      <c r="H152" s="12"/>
      <c r="I152" s="12"/>
      <c r="J152" s="12">
        <f t="shared" si="35"/>
        <v>23415217</v>
      </c>
      <c r="K152" s="12">
        <v>23415217</v>
      </c>
      <c r="L152" s="12"/>
      <c r="M152" s="12"/>
      <c r="N152" s="12"/>
      <c r="O152" s="12">
        <v>23415217</v>
      </c>
      <c r="P152" s="12">
        <f t="shared" si="51"/>
        <v>23415217</v>
      </c>
    </row>
    <row r="153" spans="1:16" ht="78">
      <c r="A153" s="29">
        <v>1516050</v>
      </c>
      <c r="B153" s="15" t="s">
        <v>336</v>
      </c>
      <c r="C153" s="15" t="s">
        <v>55</v>
      </c>
      <c r="D153" s="11" t="s">
        <v>337</v>
      </c>
      <c r="E153" s="12">
        <f t="shared" si="70"/>
        <v>0</v>
      </c>
      <c r="F153" s="12"/>
      <c r="G153" s="12"/>
      <c r="H153" s="12"/>
      <c r="I153" s="12"/>
      <c r="J153" s="12">
        <f t="shared" si="35"/>
        <v>1194873</v>
      </c>
      <c r="K153" s="12">
        <f>2439154-1244281</f>
        <v>1194873</v>
      </c>
      <c r="L153" s="12"/>
      <c r="M153" s="12"/>
      <c r="N153" s="12"/>
      <c r="O153" s="12">
        <f>2439154-1244281</f>
        <v>1194873</v>
      </c>
      <c r="P153" s="12">
        <f t="shared" si="51"/>
        <v>1194873</v>
      </c>
    </row>
    <row r="154" spans="1:16" ht="31.2">
      <c r="A154" s="29">
        <v>1517310</v>
      </c>
      <c r="B154" s="15" t="s">
        <v>338</v>
      </c>
      <c r="C154" s="15" t="s">
        <v>268</v>
      </c>
      <c r="D154" s="11" t="s">
        <v>339</v>
      </c>
      <c r="E154" s="12">
        <f t="shared" si="70"/>
        <v>0</v>
      </c>
      <c r="F154" s="12"/>
      <c r="G154" s="12"/>
      <c r="H154" s="12"/>
      <c r="I154" s="12"/>
      <c r="J154" s="12">
        <f t="shared" si="35"/>
        <v>29001250</v>
      </c>
      <c r="K154" s="12">
        <f>19000000+10001250</f>
        <v>29001250</v>
      </c>
      <c r="L154" s="12"/>
      <c r="M154" s="12"/>
      <c r="N154" s="12"/>
      <c r="O154" s="12">
        <f>19000000+10001250</f>
        <v>29001250</v>
      </c>
      <c r="P154" s="12">
        <f t="shared" si="51"/>
        <v>29001250</v>
      </c>
    </row>
    <row r="155" spans="1:16" ht="31.2">
      <c r="A155" s="29">
        <v>1517321</v>
      </c>
      <c r="B155" s="15" t="s">
        <v>340</v>
      </c>
      <c r="C155" s="15" t="s">
        <v>268</v>
      </c>
      <c r="D155" s="11" t="s">
        <v>341</v>
      </c>
      <c r="E155" s="12">
        <f t="shared" si="70"/>
        <v>0</v>
      </c>
      <c r="F155" s="12"/>
      <c r="G155" s="12"/>
      <c r="H155" s="12"/>
      <c r="I155" s="12"/>
      <c r="J155" s="12">
        <f t="shared" si="35"/>
        <v>227660</v>
      </c>
      <c r="K155" s="12">
        <f>202660+25000</f>
        <v>227660</v>
      </c>
      <c r="L155" s="12"/>
      <c r="M155" s="12"/>
      <c r="N155" s="12"/>
      <c r="O155" s="12">
        <f>202660+25000</f>
        <v>227660</v>
      </c>
      <c r="P155" s="12">
        <f t="shared" si="51"/>
        <v>227660</v>
      </c>
    </row>
    <row r="156" spans="1:16" ht="31.2">
      <c r="A156" s="30">
        <v>1517368</v>
      </c>
      <c r="B156" s="15" t="s">
        <v>355</v>
      </c>
      <c r="C156" s="15" t="s">
        <v>59</v>
      </c>
      <c r="D156" s="11" t="s">
        <v>356</v>
      </c>
      <c r="E156" s="12">
        <f t="shared" si="70"/>
        <v>0</v>
      </c>
      <c r="F156" s="12"/>
      <c r="G156" s="12"/>
      <c r="H156" s="12"/>
      <c r="I156" s="12"/>
      <c r="J156" s="12">
        <f t="shared" si="35"/>
        <v>26491442</v>
      </c>
      <c r="K156" s="12">
        <v>26491442</v>
      </c>
      <c r="L156" s="12"/>
      <c r="M156" s="12"/>
      <c r="N156" s="12"/>
      <c r="O156" s="12">
        <v>26491442</v>
      </c>
      <c r="P156" s="12">
        <f t="shared" si="51"/>
        <v>26491442</v>
      </c>
    </row>
    <row r="157" spans="1:16" ht="46.8">
      <c r="A157" s="29">
        <v>1517370</v>
      </c>
      <c r="B157" s="15" t="s">
        <v>342</v>
      </c>
      <c r="C157" s="15" t="s">
        <v>59</v>
      </c>
      <c r="D157" s="11" t="s">
        <v>343</v>
      </c>
      <c r="E157" s="12">
        <f t="shared" si="70"/>
        <v>0</v>
      </c>
      <c r="F157" s="12"/>
      <c r="G157" s="12"/>
      <c r="H157" s="12"/>
      <c r="I157" s="12"/>
      <c r="J157" s="12">
        <f t="shared" si="35"/>
        <v>27740698</v>
      </c>
      <c r="K157" s="12">
        <f>7820447+17920251+2000000</f>
        <v>27740698</v>
      </c>
      <c r="L157" s="12"/>
      <c r="M157" s="12"/>
      <c r="N157" s="12"/>
      <c r="O157" s="12">
        <f>7820447+17920251+2000000</f>
        <v>27740698</v>
      </c>
      <c r="P157" s="12">
        <f t="shared" si="51"/>
        <v>27740698</v>
      </c>
    </row>
    <row r="158" spans="1:16">
      <c r="A158" s="29">
        <v>1517640</v>
      </c>
      <c r="B158" s="15" t="s">
        <v>344</v>
      </c>
      <c r="C158" s="15" t="s">
        <v>331</v>
      </c>
      <c r="D158" s="11" t="s">
        <v>330</v>
      </c>
      <c r="E158" s="12">
        <f t="shared" si="70"/>
        <v>0</v>
      </c>
      <c r="F158" s="12"/>
      <c r="G158" s="12"/>
      <c r="H158" s="12"/>
      <c r="I158" s="12"/>
      <c r="J158" s="12">
        <f t="shared" si="35"/>
        <v>7720091</v>
      </c>
      <c r="K158" s="12">
        <v>7720091</v>
      </c>
      <c r="L158" s="12"/>
      <c r="M158" s="12"/>
      <c r="N158" s="12"/>
      <c r="O158" s="12">
        <v>7720091</v>
      </c>
      <c r="P158" s="12">
        <f t="shared" si="51"/>
        <v>7720091</v>
      </c>
    </row>
    <row r="159" spans="1:16" ht="46.8">
      <c r="A159" s="29">
        <v>1518110</v>
      </c>
      <c r="B159" s="15" t="s">
        <v>248</v>
      </c>
      <c r="C159" s="15" t="s">
        <v>249</v>
      </c>
      <c r="D159" s="11" t="s">
        <v>250</v>
      </c>
      <c r="E159" s="12">
        <f t="shared" si="70"/>
        <v>0</v>
      </c>
      <c r="F159" s="12"/>
      <c r="G159" s="12"/>
      <c r="H159" s="12"/>
      <c r="I159" s="12"/>
      <c r="J159" s="12">
        <f t="shared" si="35"/>
        <v>21284778</v>
      </c>
      <c r="K159" s="12">
        <f>22333778-1000000-49000</f>
        <v>21284778</v>
      </c>
      <c r="L159" s="12"/>
      <c r="M159" s="12"/>
      <c r="N159" s="12"/>
      <c r="O159" s="12">
        <f>22333778-1000000-49000</f>
        <v>21284778</v>
      </c>
      <c r="P159" s="12">
        <f t="shared" si="51"/>
        <v>21284778</v>
      </c>
    </row>
    <row r="160" spans="1:16" ht="62.4">
      <c r="A160" s="8" t="s">
        <v>256</v>
      </c>
      <c r="B160" s="8" t="s">
        <v>18</v>
      </c>
      <c r="C160" s="8" t="s">
        <v>18</v>
      </c>
      <c r="D160" s="9" t="s">
        <v>257</v>
      </c>
      <c r="E160" s="10">
        <f t="shared" si="70"/>
        <v>24484100</v>
      </c>
      <c r="F160" s="10">
        <f>F161</f>
        <v>4515800</v>
      </c>
      <c r="G160" s="10">
        <f t="shared" ref="G160:I160" si="78">G161</f>
        <v>3675600</v>
      </c>
      <c r="H160" s="10">
        <f t="shared" si="78"/>
        <v>0</v>
      </c>
      <c r="I160" s="10">
        <f t="shared" si="78"/>
        <v>19968300</v>
      </c>
      <c r="J160" s="10">
        <f t="shared" si="35"/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f t="shared" si="51"/>
        <v>24484100</v>
      </c>
    </row>
    <row r="161" spans="1:16" ht="62.4">
      <c r="A161" s="8" t="s">
        <v>258</v>
      </c>
      <c r="B161" s="8" t="s">
        <v>18</v>
      </c>
      <c r="C161" s="8" t="s">
        <v>18</v>
      </c>
      <c r="D161" s="9" t="s">
        <v>257</v>
      </c>
      <c r="E161" s="10">
        <f t="shared" si="70"/>
        <v>24484100</v>
      </c>
      <c r="F161" s="10">
        <f>SUM(F162:F168)</f>
        <v>4515800</v>
      </c>
      <c r="G161" s="10">
        <f t="shared" ref="G161:I161" si="79">SUM(G162:G168)</f>
        <v>3675600</v>
      </c>
      <c r="H161" s="10">
        <f t="shared" si="79"/>
        <v>0</v>
      </c>
      <c r="I161" s="10">
        <f t="shared" si="79"/>
        <v>19968300</v>
      </c>
      <c r="J161" s="10">
        <f t="shared" si="35"/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f t="shared" si="51"/>
        <v>24484100</v>
      </c>
    </row>
    <row r="162" spans="1:16" ht="46.8">
      <c r="A162" s="7" t="s">
        <v>259</v>
      </c>
      <c r="B162" s="7" t="s">
        <v>75</v>
      </c>
      <c r="C162" s="7" t="s">
        <v>23</v>
      </c>
      <c r="D162" s="11" t="s">
        <v>76</v>
      </c>
      <c r="E162" s="12">
        <f t="shared" si="70"/>
        <v>3762800</v>
      </c>
      <c r="F162" s="12">
        <v>3762800</v>
      </c>
      <c r="G162" s="12">
        <v>3675600</v>
      </c>
      <c r="H162" s="12">
        <v>0</v>
      </c>
      <c r="I162" s="12">
        <v>0</v>
      </c>
      <c r="J162" s="12">
        <f t="shared" si="35"/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12">
        <f t="shared" si="51"/>
        <v>3762800</v>
      </c>
    </row>
    <row r="163" spans="1:16" ht="31.2">
      <c r="A163" s="7" t="s">
        <v>260</v>
      </c>
      <c r="B163" s="7" t="s">
        <v>30</v>
      </c>
      <c r="C163" s="7" t="s">
        <v>31</v>
      </c>
      <c r="D163" s="11" t="s">
        <v>32</v>
      </c>
      <c r="E163" s="12">
        <f t="shared" ref="E163:E168" si="80">F163+I163</f>
        <v>159000</v>
      </c>
      <c r="F163" s="12">
        <f>159000</f>
        <v>159000</v>
      </c>
      <c r="G163" s="12">
        <v>0</v>
      </c>
      <c r="H163" s="12">
        <v>0</v>
      </c>
      <c r="I163" s="12">
        <v>0</v>
      </c>
      <c r="J163" s="12">
        <f t="shared" si="35"/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f t="shared" si="51"/>
        <v>159000</v>
      </c>
    </row>
    <row r="164" spans="1:16" ht="46.8">
      <c r="A164" s="7" t="s">
        <v>261</v>
      </c>
      <c r="B164" s="7" t="s">
        <v>237</v>
      </c>
      <c r="C164" s="7" t="s">
        <v>55</v>
      </c>
      <c r="D164" s="11" t="s">
        <v>238</v>
      </c>
      <c r="E164" s="12">
        <f t="shared" si="80"/>
        <v>250000</v>
      </c>
      <c r="F164" s="12">
        <f>146000+104000</f>
        <v>250000</v>
      </c>
      <c r="G164" s="12">
        <v>0</v>
      </c>
      <c r="H164" s="12">
        <v>0</v>
      </c>
      <c r="I164" s="12">
        <v>0</v>
      </c>
      <c r="J164" s="12">
        <f t="shared" si="35"/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12">
        <f t="shared" si="51"/>
        <v>250000</v>
      </c>
    </row>
    <row r="165" spans="1:16">
      <c r="A165" s="7" t="s">
        <v>262</v>
      </c>
      <c r="B165" s="7" t="s">
        <v>263</v>
      </c>
      <c r="C165" s="7" t="s">
        <v>264</v>
      </c>
      <c r="D165" s="11" t="s">
        <v>265</v>
      </c>
      <c r="E165" s="12">
        <f t="shared" si="80"/>
        <v>194000</v>
      </c>
      <c r="F165" s="12">
        <f>200000-104000+50000+48000</f>
        <v>194000</v>
      </c>
      <c r="G165" s="12">
        <v>0</v>
      </c>
      <c r="H165" s="12">
        <v>0</v>
      </c>
      <c r="I165" s="12">
        <v>0</v>
      </c>
      <c r="J165" s="12">
        <f t="shared" si="35"/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f t="shared" si="51"/>
        <v>194000</v>
      </c>
    </row>
    <row r="166" spans="1:16" ht="46.8">
      <c r="A166" s="7" t="s">
        <v>266</v>
      </c>
      <c r="B166" s="7" t="s">
        <v>267</v>
      </c>
      <c r="C166" s="7" t="s">
        <v>268</v>
      </c>
      <c r="D166" s="11" t="s">
        <v>269</v>
      </c>
      <c r="E166" s="12">
        <f t="shared" si="80"/>
        <v>1500000</v>
      </c>
      <c r="F166" s="12">
        <v>0</v>
      </c>
      <c r="G166" s="12">
        <v>0</v>
      </c>
      <c r="H166" s="12">
        <v>0</v>
      </c>
      <c r="I166" s="12">
        <v>1500000</v>
      </c>
      <c r="J166" s="12">
        <f t="shared" si="35"/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f t="shared" ref="P166:P189" si="81">E166 + J166</f>
        <v>1500000</v>
      </c>
    </row>
    <row r="167" spans="1:16" ht="31.2">
      <c r="A167" s="7" t="s">
        <v>270</v>
      </c>
      <c r="B167" s="7" t="s">
        <v>245</v>
      </c>
      <c r="C167" s="7" t="s">
        <v>59</v>
      </c>
      <c r="D167" s="11" t="s">
        <v>246</v>
      </c>
      <c r="E167" s="12">
        <f t="shared" si="80"/>
        <v>18468300</v>
      </c>
      <c r="F167" s="12">
        <v>0</v>
      </c>
      <c r="G167" s="12">
        <v>0</v>
      </c>
      <c r="H167" s="12">
        <v>0</v>
      </c>
      <c r="I167" s="12">
        <f>18281300+187000</f>
        <v>18468300</v>
      </c>
      <c r="J167" s="12">
        <f t="shared" si="35"/>
        <v>0</v>
      </c>
      <c r="K167" s="12">
        <v>0</v>
      </c>
      <c r="L167" s="12">
        <v>0</v>
      </c>
      <c r="M167" s="12">
        <v>0</v>
      </c>
      <c r="N167" s="12">
        <v>0</v>
      </c>
      <c r="O167" s="12">
        <v>0</v>
      </c>
      <c r="P167" s="12">
        <f t="shared" si="81"/>
        <v>18468300</v>
      </c>
    </row>
    <row r="168" spans="1:16" ht="31.2">
      <c r="A168" s="7" t="s">
        <v>271</v>
      </c>
      <c r="B168" s="7" t="s">
        <v>272</v>
      </c>
      <c r="C168" s="7" t="s">
        <v>63</v>
      </c>
      <c r="D168" s="11" t="s">
        <v>273</v>
      </c>
      <c r="E168" s="12">
        <f t="shared" si="80"/>
        <v>150000</v>
      </c>
      <c r="F168" s="12">
        <v>150000</v>
      </c>
      <c r="G168" s="12">
        <v>0</v>
      </c>
      <c r="H168" s="12">
        <v>0</v>
      </c>
      <c r="I168" s="12">
        <v>0</v>
      </c>
      <c r="J168" s="12">
        <f t="shared" si="35"/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12">
        <f t="shared" si="81"/>
        <v>150000</v>
      </c>
    </row>
    <row r="169" spans="1:16" ht="46.8">
      <c r="A169" s="8" t="s">
        <v>274</v>
      </c>
      <c r="B169" s="8" t="s">
        <v>18</v>
      </c>
      <c r="C169" s="8" t="s">
        <v>18</v>
      </c>
      <c r="D169" s="9" t="s">
        <v>275</v>
      </c>
      <c r="E169" s="10">
        <f>E170</f>
        <v>24574114</v>
      </c>
      <c r="F169" s="10">
        <f>F170</f>
        <v>22074114</v>
      </c>
      <c r="G169" s="10">
        <f t="shared" ref="G169:I169" si="82">G170</f>
        <v>5671600</v>
      </c>
      <c r="H169" s="10">
        <f t="shared" si="82"/>
        <v>0</v>
      </c>
      <c r="I169" s="10">
        <f t="shared" si="82"/>
        <v>0</v>
      </c>
      <c r="J169" s="10">
        <f t="shared" si="35"/>
        <v>50202767</v>
      </c>
      <c r="K169" s="10">
        <f>K170</f>
        <v>50202767</v>
      </c>
      <c r="L169" s="10">
        <v>0</v>
      </c>
      <c r="M169" s="10">
        <v>0</v>
      </c>
      <c r="N169" s="10">
        <v>0</v>
      </c>
      <c r="O169" s="10">
        <f>O170</f>
        <v>50202767</v>
      </c>
      <c r="P169" s="10">
        <f t="shared" si="81"/>
        <v>74776881</v>
      </c>
    </row>
    <row r="170" spans="1:16" ht="46.8">
      <c r="A170" s="8" t="s">
        <v>276</v>
      </c>
      <c r="B170" s="8" t="s">
        <v>18</v>
      </c>
      <c r="C170" s="8" t="s">
        <v>18</v>
      </c>
      <c r="D170" s="9" t="s">
        <v>275</v>
      </c>
      <c r="E170" s="10">
        <f>SUM(E171:E174)+E182</f>
        <v>24574114</v>
      </c>
      <c r="F170" s="10">
        <f>F171+F172+F173+F174+F182</f>
        <v>22074114</v>
      </c>
      <c r="G170" s="10">
        <f t="shared" ref="G170:K170" si="83">G171+G172+G173+G174+G182</f>
        <v>5671600</v>
      </c>
      <c r="H170" s="10">
        <f t="shared" si="83"/>
        <v>0</v>
      </c>
      <c r="I170" s="10">
        <f t="shared" si="83"/>
        <v>0</v>
      </c>
      <c r="J170" s="10">
        <f t="shared" ref="J170:J188" si="84">L170+O170</f>
        <v>50202767</v>
      </c>
      <c r="K170" s="10">
        <f t="shared" si="83"/>
        <v>50202767</v>
      </c>
      <c r="L170" s="10">
        <f t="shared" ref="L170" si="85">L171+L172+L173+L174+L182</f>
        <v>0</v>
      </c>
      <c r="M170" s="10">
        <f t="shared" ref="M170" si="86">M171+M172+M173+M174+M182</f>
        <v>0</v>
      </c>
      <c r="N170" s="10">
        <f t="shared" ref="N170" si="87">N171+N172+N173+N174+N182</f>
        <v>0</v>
      </c>
      <c r="O170" s="10">
        <f t="shared" ref="O170" si="88">O171+O172+O173+O174+O182</f>
        <v>50202767</v>
      </c>
      <c r="P170" s="10">
        <f t="shared" si="81"/>
        <v>74776881</v>
      </c>
    </row>
    <row r="171" spans="1:16" ht="46.8">
      <c r="A171" s="7" t="s">
        <v>277</v>
      </c>
      <c r="B171" s="7" t="s">
        <v>75</v>
      </c>
      <c r="C171" s="7" t="s">
        <v>23</v>
      </c>
      <c r="D171" s="11" t="s">
        <v>76</v>
      </c>
      <c r="E171" s="12">
        <f>F171+I171</f>
        <v>5938700</v>
      </c>
      <c r="F171" s="12">
        <v>5938700</v>
      </c>
      <c r="G171" s="12">
        <v>5671600</v>
      </c>
      <c r="H171" s="12">
        <v>0</v>
      </c>
      <c r="I171" s="12">
        <v>0</v>
      </c>
      <c r="J171" s="12">
        <f t="shared" si="84"/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12">
        <f t="shared" si="81"/>
        <v>5938700</v>
      </c>
    </row>
    <row r="172" spans="1:16" ht="31.2">
      <c r="A172" s="7" t="s">
        <v>278</v>
      </c>
      <c r="B172" s="7" t="s">
        <v>30</v>
      </c>
      <c r="C172" s="7" t="s">
        <v>31</v>
      </c>
      <c r="D172" s="11" t="s">
        <v>32</v>
      </c>
      <c r="E172" s="12">
        <f>F172+I172</f>
        <v>52900</v>
      </c>
      <c r="F172" s="12">
        <v>52900</v>
      </c>
      <c r="G172" s="12">
        <v>0</v>
      </c>
      <c r="H172" s="12">
        <v>0</v>
      </c>
      <c r="I172" s="12">
        <v>0</v>
      </c>
      <c r="J172" s="12">
        <f t="shared" si="84"/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f t="shared" si="81"/>
        <v>52900</v>
      </c>
    </row>
    <row r="173" spans="1:16">
      <c r="A173" s="7" t="s">
        <v>279</v>
      </c>
      <c r="B173" s="7" t="s">
        <v>280</v>
      </c>
      <c r="C173" s="7" t="s">
        <v>31</v>
      </c>
      <c r="D173" s="11" t="s">
        <v>281</v>
      </c>
      <c r="E173" s="12">
        <f>8000000-1577623-590000-157749-2000000-674628-500000</f>
        <v>2500000</v>
      </c>
      <c r="F173" s="12">
        <v>0</v>
      </c>
      <c r="G173" s="12">
        <v>0</v>
      </c>
      <c r="H173" s="12">
        <v>0</v>
      </c>
      <c r="I173" s="12">
        <v>0</v>
      </c>
      <c r="J173" s="12">
        <f t="shared" si="84"/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12">
        <f t="shared" si="81"/>
        <v>2500000</v>
      </c>
    </row>
    <row r="174" spans="1:16">
      <c r="A174" s="7" t="s">
        <v>282</v>
      </c>
      <c r="B174" s="7" t="s">
        <v>283</v>
      </c>
      <c r="C174" s="7" t="s">
        <v>30</v>
      </c>
      <c r="D174" s="11" t="s">
        <v>284</v>
      </c>
      <c r="E174" s="12">
        <f>F174+I174</f>
        <v>4407500</v>
      </c>
      <c r="F174" s="12">
        <f>F176+F177+F178+F179+F180+F181</f>
        <v>4407500</v>
      </c>
      <c r="G174" s="12">
        <f t="shared" ref="G174:N174" si="89">G176+G177+G178+G179+G180</f>
        <v>0</v>
      </c>
      <c r="H174" s="12">
        <f t="shared" si="89"/>
        <v>0</v>
      </c>
      <c r="I174" s="12">
        <f t="shared" si="89"/>
        <v>0</v>
      </c>
      <c r="J174" s="12">
        <f t="shared" si="84"/>
        <v>3300000</v>
      </c>
      <c r="K174" s="12">
        <f>K176+K177+K178+K179+K180+K181</f>
        <v>3300000</v>
      </c>
      <c r="L174" s="12">
        <f t="shared" si="89"/>
        <v>0</v>
      </c>
      <c r="M174" s="12">
        <f t="shared" si="89"/>
        <v>0</v>
      </c>
      <c r="N174" s="12">
        <f t="shared" si="89"/>
        <v>0</v>
      </c>
      <c r="O174" s="12">
        <f>O176+O177+O178+O179+O180+O181</f>
        <v>3300000</v>
      </c>
      <c r="P174" s="12">
        <f t="shared" si="81"/>
        <v>7707500</v>
      </c>
    </row>
    <row r="175" spans="1:16" s="6" customFormat="1">
      <c r="A175" s="13"/>
      <c r="B175" s="13"/>
      <c r="C175" s="13"/>
      <c r="D175" s="1" t="s">
        <v>349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</row>
    <row r="176" spans="1:16" s="6" customFormat="1" ht="124.8">
      <c r="A176" s="13"/>
      <c r="B176" s="13"/>
      <c r="C176" s="13"/>
      <c r="D176" s="1" t="s">
        <v>348</v>
      </c>
      <c r="E176" s="14">
        <f t="shared" ref="E176:E182" si="90">F176+I176</f>
        <v>1570500</v>
      </c>
      <c r="F176" s="14">
        <f>1261500+309000</f>
        <v>1570500</v>
      </c>
      <c r="G176" s="14"/>
      <c r="H176" s="14"/>
      <c r="I176" s="14"/>
      <c r="J176" s="14">
        <f>L176+O176</f>
        <v>0</v>
      </c>
      <c r="K176" s="14"/>
      <c r="L176" s="14"/>
      <c r="M176" s="14"/>
      <c r="N176" s="14"/>
      <c r="O176" s="14"/>
      <c r="P176" s="14">
        <f>E176+J176</f>
        <v>1570500</v>
      </c>
    </row>
    <row r="177" spans="1:16" s="6" customFormat="1" ht="62.4">
      <c r="A177" s="13"/>
      <c r="B177" s="13"/>
      <c r="C177" s="13"/>
      <c r="D177" s="1" t="s">
        <v>350</v>
      </c>
      <c r="E177" s="14">
        <f t="shared" si="90"/>
        <v>300000</v>
      </c>
      <c r="F177" s="14">
        <v>300000</v>
      </c>
      <c r="G177" s="14"/>
      <c r="H177" s="14"/>
      <c r="I177" s="14"/>
      <c r="J177" s="14">
        <f>L177+O177</f>
        <v>0</v>
      </c>
      <c r="K177" s="14"/>
      <c r="L177" s="14"/>
      <c r="M177" s="14"/>
      <c r="N177" s="14"/>
      <c r="O177" s="14"/>
      <c r="P177" s="14">
        <f t="shared" si="81"/>
        <v>300000</v>
      </c>
    </row>
    <row r="178" spans="1:16" s="6" customFormat="1" ht="78">
      <c r="A178" s="13"/>
      <c r="B178" s="13"/>
      <c r="C178" s="13"/>
      <c r="D178" s="1" t="s">
        <v>351</v>
      </c>
      <c r="E178" s="14">
        <f t="shared" si="90"/>
        <v>2237000</v>
      </c>
      <c r="F178" s="14">
        <v>2237000</v>
      </c>
      <c r="G178" s="14"/>
      <c r="H178" s="14"/>
      <c r="I178" s="14"/>
      <c r="J178" s="14">
        <f>L178+O178</f>
        <v>0</v>
      </c>
      <c r="K178" s="14"/>
      <c r="L178" s="14"/>
      <c r="M178" s="14"/>
      <c r="N178" s="14"/>
      <c r="O178" s="14"/>
      <c r="P178" s="14">
        <f>E178+J178</f>
        <v>2237000</v>
      </c>
    </row>
    <row r="179" spans="1:16" s="6" customFormat="1" ht="78">
      <c r="A179" s="13"/>
      <c r="B179" s="13"/>
      <c r="C179" s="13"/>
      <c r="D179" s="1" t="s">
        <v>364</v>
      </c>
      <c r="E179" s="14">
        <f t="shared" si="90"/>
        <v>300000</v>
      </c>
      <c r="F179" s="14">
        <v>300000</v>
      </c>
      <c r="G179" s="14"/>
      <c r="H179" s="14"/>
      <c r="I179" s="14"/>
      <c r="J179" s="14"/>
      <c r="K179" s="14"/>
      <c r="L179" s="14"/>
      <c r="M179" s="14"/>
      <c r="N179" s="14"/>
      <c r="O179" s="14"/>
      <c r="P179" s="14">
        <f>E179+J179</f>
        <v>300000</v>
      </c>
    </row>
    <row r="180" spans="1:16" s="6" customFormat="1" ht="78">
      <c r="A180" s="13"/>
      <c r="B180" s="13"/>
      <c r="C180" s="13"/>
      <c r="D180" s="1" t="s">
        <v>345</v>
      </c>
      <c r="E180" s="14">
        <f t="shared" si="90"/>
        <v>0</v>
      </c>
      <c r="F180" s="14"/>
      <c r="G180" s="14"/>
      <c r="H180" s="14"/>
      <c r="I180" s="14"/>
      <c r="J180" s="14">
        <f>L180+O180</f>
        <v>1800000</v>
      </c>
      <c r="K180" s="14">
        <v>1800000</v>
      </c>
      <c r="L180" s="14"/>
      <c r="M180" s="14"/>
      <c r="N180" s="14"/>
      <c r="O180" s="14">
        <v>1800000</v>
      </c>
      <c r="P180" s="14">
        <f>E180+J180</f>
        <v>1800000</v>
      </c>
    </row>
    <row r="181" spans="1:16" s="6" customFormat="1" ht="156">
      <c r="A181" s="13"/>
      <c r="B181" s="13"/>
      <c r="C181" s="13"/>
      <c r="D181" s="1" t="s">
        <v>394</v>
      </c>
      <c r="E181" s="14">
        <f t="shared" si="90"/>
        <v>0</v>
      </c>
      <c r="F181" s="14"/>
      <c r="G181" s="14"/>
      <c r="H181" s="14"/>
      <c r="I181" s="14"/>
      <c r="J181" s="14">
        <f>L181+O181</f>
        <v>1500000</v>
      </c>
      <c r="K181" s="14">
        <v>1500000</v>
      </c>
      <c r="L181" s="14"/>
      <c r="M181" s="14"/>
      <c r="N181" s="14"/>
      <c r="O181" s="14">
        <v>1500000</v>
      </c>
      <c r="P181" s="14">
        <f>E181+J181</f>
        <v>1500000</v>
      </c>
    </row>
    <row r="182" spans="1:16" s="23" customFormat="1" ht="62.4">
      <c r="A182" s="27">
        <v>3719800</v>
      </c>
      <c r="B182" s="27">
        <v>9800</v>
      </c>
      <c r="C182" s="27"/>
      <c r="D182" s="11" t="s">
        <v>326</v>
      </c>
      <c r="E182" s="12">
        <f t="shared" si="90"/>
        <v>11675014</v>
      </c>
      <c r="F182" s="12">
        <f>F184+F185+F186+F187+F188</f>
        <v>11675014</v>
      </c>
      <c r="G182" s="12">
        <f t="shared" ref="G182:O182" si="91">G184+G185+G186+G187+G188</f>
        <v>0</v>
      </c>
      <c r="H182" s="12">
        <f t="shared" si="91"/>
        <v>0</v>
      </c>
      <c r="I182" s="12">
        <f t="shared" si="91"/>
        <v>0</v>
      </c>
      <c r="J182" s="12">
        <f t="shared" si="84"/>
        <v>46902767</v>
      </c>
      <c r="K182" s="12">
        <f>K184+K185+K186+K187+K188</f>
        <v>46902767</v>
      </c>
      <c r="L182" s="12">
        <f t="shared" si="91"/>
        <v>0</v>
      </c>
      <c r="M182" s="12">
        <f t="shared" si="91"/>
        <v>0</v>
      </c>
      <c r="N182" s="12">
        <f t="shared" si="91"/>
        <v>0</v>
      </c>
      <c r="O182" s="12">
        <f t="shared" si="91"/>
        <v>46902767</v>
      </c>
      <c r="P182" s="12">
        <f t="shared" si="81"/>
        <v>58577781</v>
      </c>
    </row>
    <row r="183" spans="1:16" s="28" customFormat="1">
      <c r="A183" s="13"/>
      <c r="B183" s="13"/>
      <c r="C183" s="13"/>
      <c r="D183" s="1" t="s">
        <v>349</v>
      </c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</row>
    <row r="184" spans="1:16" s="28" customFormat="1" ht="156">
      <c r="A184" s="13"/>
      <c r="B184" s="13"/>
      <c r="C184" s="13"/>
      <c r="D184" s="1" t="s">
        <v>366</v>
      </c>
      <c r="E184" s="14">
        <f t="shared" ref="E184:E188" si="92">F184+I184</f>
        <v>8698614</v>
      </c>
      <c r="F184" s="14">
        <f>190000+1000000+1290000+545334+1000000+2000000+295600+2377680</f>
        <v>8698614</v>
      </c>
      <c r="G184" s="14"/>
      <c r="H184" s="14"/>
      <c r="I184" s="14"/>
      <c r="J184" s="14">
        <f t="shared" si="84"/>
        <v>28202767</v>
      </c>
      <c r="K184" s="14">
        <f>1300000+6800000+840000+1062000+4750000+1943963+2204400+5202404+4100000</f>
        <v>28202767</v>
      </c>
      <c r="L184" s="14"/>
      <c r="M184" s="14"/>
      <c r="N184" s="14"/>
      <c r="O184" s="14">
        <f>1300000+6800000+840000+1062000+4750000+1943963+2204400+5202404+4100000</f>
        <v>28202767</v>
      </c>
      <c r="P184" s="14">
        <f t="shared" si="81"/>
        <v>36901381</v>
      </c>
    </row>
    <row r="185" spans="1:16" s="28" customFormat="1" ht="78">
      <c r="A185" s="13"/>
      <c r="B185" s="13"/>
      <c r="C185" s="13"/>
      <c r="D185" s="1" t="s">
        <v>345</v>
      </c>
      <c r="E185" s="14">
        <f t="shared" si="92"/>
        <v>0</v>
      </c>
      <c r="F185" s="14"/>
      <c r="G185" s="14"/>
      <c r="H185" s="14"/>
      <c r="I185" s="14"/>
      <c r="J185" s="14">
        <f t="shared" si="84"/>
        <v>16200000</v>
      </c>
      <c r="K185" s="14">
        <f>5000000+3200000+8000000</f>
        <v>16200000</v>
      </c>
      <c r="L185" s="14"/>
      <c r="M185" s="14"/>
      <c r="N185" s="14"/>
      <c r="O185" s="14">
        <f>5000000+3200000+8000000</f>
        <v>16200000</v>
      </c>
      <c r="P185" s="14">
        <f t="shared" si="81"/>
        <v>16200000</v>
      </c>
    </row>
    <row r="186" spans="1:16" s="28" customFormat="1" ht="62.4">
      <c r="A186" s="13"/>
      <c r="B186" s="13"/>
      <c r="C186" s="13"/>
      <c r="D186" s="1" t="s">
        <v>346</v>
      </c>
      <c r="E186" s="14">
        <f t="shared" si="92"/>
        <v>976400</v>
      </c>
      <c r="F186" s="14">
        <f>950000+26400</f>
        <v>976400</v>
      </c>
      <c r="G186" s="14"/>
      <c r="H186" s="14"/>
      <c r="I186" s="14"/>
      <c r="J186" s="14">
        <f t="shared" si="84"/>
        <v>1550000</v>
      </c>
      <c r="K186" s="14">
        <v>1550000</v>
      </c>
      <c r="L186" s="14"/>
      <c r="M186" s="14"/>
      <c r="N186" s="14"/>
      <c r="O186" s="14">
        <v>1550000</v>
      </c>
      <c r="P186" s="14">
        <f t="shared" si="81"/>
        <v>2526400</v>
      </c>
    </row>
    <row r="187" spans="1:16" s="28" customFormat="1" ht="78">
      <c r="A187" s="13"/>
      <c r="B187" s="13"/>
      <c r="C187" s="13"/>
      <c r="D187" s="1" t="s">
        <v>347</v>
      </c>
      <c r="E187" s="14">
        <f t="shared" si="92"/>
        <v>2000000</v>
      </c>
      <c r="F187" s="14">
        <v>2000000</v>
      </c>
      <c r="G187" s="14"/>
      <c r="H187" s="14"/>
      <c r="I187" s="14"/>
      <c r="J187" s="14">
        <f t="shared" si="84"/>
        <v>0</v>
      </c>
      <c r="K187" s="14"/>
      <c r="L187" s="14"/>
      <c r="M187" s="14"/>
      <c r="N187" s="14"/>
      <c r="O187" s="14"/>
      <c r="P187" s="14">
        <f t="shared" si="81"/>
        <v>2000000</v>
      </c>
    </row>
    <row r="188" spans="1:16" s="28" customFormat="1" ht="62.4">
      <c r="A188" s="13"/>
      <c r="B188" s="13"/>
      <c r="C188" s="13"/>
      <c r="D188" s="1" t="s">
        <v>365</v>
      </c>
      <c r="E188" s="14">
        <f t="shared" si="92"/>
        <v>0</v>
      </c>
      <c r="F188" s="14"/>
      <c r="G188" s="14"/>
      <c r="H188" s="14"/>
      <c r="I188" s="14"/>
      <c r="J188" s="14">
        <f t="shared" si="84"/>
        <v>950000</v>
      </c>
      <c r="K188" s="14">
        <v>950000</v>
      </c>
      <c r="L188" s="14"/>
      <c r="M188" s="14"/>
      <c r="N188" s="14"/>
      <c r="O188" s="14">
        <v>950000</v>
      </c>
      <c r="P188" s="14">
        <f t="shared" si="81"/>
        <v>950000</v>
      </c>
    </row>
    <row r="189" spans="1:16">
      <c r="A189" s="8" t="s">
        <v>286</v>
      </c>
      <c r="B189" s="8" t="s">
        <v>286</v>
      </c>
      <c r="C189" s="8" t="s">
        <v>286</v>
      </c>
      <c r="D189" s="16" t="s">
        <v>285</v>
      </c>
      <c r="E189" s="10">
        <f>F189+I189+E173</f>
        <v>967266691.63</v>
      </c>
      <c r="F189" s="10">
        <f>F19+F50+F81+F100+F105+F116+F125+F146+F160+F169</f>
        <v>843749280.63</v>
      </c>
      <c r="G189" s="10">
        <f>G19+G50+G81+G100+G105+G116+G125+G146+G160+G169</f>
        <v>544908763.99000001</v>
      </c>
      <c r="H189" s="10">
        <f>H19+H50+H81+H100+H105+H116+H125+H146+H160+H169</f>
        <v>44535101</v>
      </c>
      <c r="I189" s="10">
        <f>I19+I50+I81+I100+I105+I116+I125+I146+I160+I169</f>
        <v>121017411</v>
      </c>
      <c r="J189" s="10">
        <f>L189+O189</f>
        <v>257101418.68000001</v>
      </c>
      <c r="K189" s="10">
        <f>K19+K50+K81+K100+K105+K116+K125+K146+K160+K169</f>
        <v>236216898.36000001</v>
      </c>
      <c r="L189" s="10">
        <f>L19+L50+L81+L100+L105+L116+L125+L146+L160+L169</f>
        <v>17943600</v>
      </c>
      <c r="M189" s="10">
        <f>M19+M50+M81+M100+M105+M116+M125+M146+M160+M169</f>
        <v>525100</v>
      </c>
      <c r="N189" s="10">
        <f>N19+N50+N81+N100+N105+N116+N125+N146+N160+N169</f>
        <v>0</v>
      </c>
      <c r="O189" s="10">
        <f>O19+O50+O81+O100+O105+O116+O125+O146+O160+O169</f>
        <v>239157818.68000001</v>
      </c>
      <c r="P189" s="10">
        <f t="shared" si="81"/>
        <v>1224368110.3099999</v>
      </c>
    </row>
    <row r="191" spans="1:16" s="21" customFormat="1" ht="18">
      <c r="A191" s="17"/>
      <c r="B191" s="17"/>
      <c r="C191" s="18" t="s">
        <v>303</v>
      </c>
      <c r="D191" s="19" t="s">
        <v>304</v>
      </c>
      <c r="E191" s="20">
        <f t="shared" ref="E191:O191" si="93">E21+E26+E27+E52+E53+E83+E84+E102+E103+E107+E108+E118+E119+E127+E128+E129+E148+E149+E162+E163+E171+E172</f>
        <v>123417476</v>
      </c>
      <c r="F191" s="20">
        <f t="shared" si="93"/>
        <v>123417476</v>
      </c>
      <c r="G191" s="20">
        <f>G21+G26+G27+G52+G53+G83+G84+G102+G103+G107+G108+G118+G119+G127+G128+G129+G148+G149+G162+G163+G171+G172</f>
        <v>106237000</v>
      </c>
      <c r="H191" s="20">
        <f t="shared" si="93"/>
        <v>6071760</v>
      </c>
      <c r="I191" s="20">
        <f t="shared" si="93"/>
        <v>0</v>
      </c>
      <c r="J191" s="20">
        <f t="shared" si="93"/>
        <v>174600</v>
      </c>
      <c r="K191" s="20">
        <f t="shared" si="93"/>
        <v>36000</v>
      </c>
      <c r="L191" s="20">
        <f t="shared" si="93"/>
        <v>138600</v>
      </c>
      <c r="M191" s="20">
        <f t="shared" si="93"/>
        <v>0</v>
      </c>
      <c r="N191" s="20">
        <f t="shared" si="93"/>
        <v>0</v>
      </c>
      <c r="O191" s="20">
        <f t="shared" si="93"/>
        <v>36000</v>
      </c>
      <c r="P191" s="20">
        <f>E191+J191</f>
        <v>123592076</v>
      </c>
    </row>
    <row r="192" spans="1:16" s="21" customFormat="1" ht="18">
      <c r="A192" s="17"/>
      <c r="B192" s="17"/>
      <c r="C192" s="18" t="s">
        <v>305</v>
      </c>
      <c r="D192" s="19" t="s">
        <v>306</v>
      </c>
      <c r="E192" s="20">
        <f>E54+E55+E56+E57+E58+E59+E60+E61+E62+E63+E64+E65+E66+E70+E74+E75+E109</f>
        <v>429778721.99000001</v>
      </c>
      <c r="F192" s="20">
        <f t="shared" ref="F192:O192" si="94">F54+F55+F56+F57+F58+F59+F60+F61+F62+F63+F64+F65+F66+F70+F74+F75+F109</f>
        <v>429712721.99000001</v>
      </c>
      <c r="G192" s="20">
        <f>G54+G55+G56+G57+G58+G59+G60+G61+G62+G63+G64+G65+G66+G70+G74+G75+G109</f>
        <v>358866863.99000001</v>
      </c>
      <c r="H192" s="20">
        <f t="shared" si="94"/>
        <v>34155361</v>
      </c>
      <c r="I192" s="20">
        <f t="shared" si="94"/>
        <v>66000</v>
      </c>
      <c r="J192" s="20">
        <f t="shared" si="94"/>
        <v>27598363</v>
      </c>
      <c r="K192" s="20">
        <f t="shared" si="94"/>
        <v>8540447</v>
      </c>
      <c r="L192" s="20">
        <f t="shared" si="94"/>
        <v>17325000</v>
      </c>
      <c r="M192" s="20">
        <f t="shared" si="94"/>
        <v>495100</v>
      </c>
      <c r="N192" s="20">
        <f t="shared" si="94"/>
        <v>0</v>
      </c>
      <c r="O192" s="20">
        <f t="shared" si="94"/>
        <v>10273363</v>
      </c>
      <c r="P192" s="20">
        <f t="shared" ref="P192:P200" si="95">E192+J192</f>
        <v>457377084.99000001</v>
      </c>
    </row>
    <row r="193" spans="1:16" s="21" customFormat="1" ht="18">
      <c r="A193" s="17"/>
      <c r="B193" s="17"/>
      <c r="C193" s="18" t="s">
        <v>307</v>
      </c>
      <c r="D193" s="19" t="s">
        <v>308</v>
      </c>
      <c r="E193" s="20">
        <f t="shared" ref="E193:O193" si="96">E28+E29+E30+E31+E150</f>
        <v>45070219</v>
      </c>
      <c r="F193" s="20">
        <f t="shared" si="96"/>
        <v>45070219</v>
      </c>
      <c r="G193" s="20">
        <f>G28+G29+G30+G31+G150</f>
        <v>0</v>
      </c>
      <c r="H193" s="20">
        <f t="shared" si="96"/>
        <v>0</v>
      </c>
      <c r="I193" s="20">
        <f t="shared" si="96"/>
        <v>0</v>
      </c>
      <c r="J193" s="20">
        <f t="shared" si="96"/>
        <v>4785317</v>
      </c>
      <c r="K193" s="20">
        <f t="shared" si="96"/>
        <v>4785317</v>
      </c>
      <c r="L193" s="20">
        <f t="shared" si="96"/>
        <v>0</v>
      </c>
      <c r="M193" s="20">
        <f t="shared" si="96"/>
        <v>0</v>
      </c>
      <c r="N193" s="20">
        <f t="shared" si="96"/>
        <v>0</v>
      </c>
      <c r="O193" s="20">
        <f t="shared" si="96"/>
        <v>4785317</v>
      </c>
      <c r="P193" s="20">
        <f t="shared" si="95"/>
        <v>49855536</v>
      </c>
    </row>
    <row r="194" spans="1:16" s="21" customFormat="1" ht="31.8">
      <c r="A194" s="17"/>
      <c r="B194" s="17"/>
      <c r="C194" s="18" t="s">
        <v>309</v>
      </c>
      <c r="D194" s="19" t="s">
        <v>310</v>
      </c>
      <c r="E194" s="20">
        <f>E32+E76+E77+E85+E86+E87+E88+E89+E90+E91+E92+E93+E94+E95+E96+E97+E98+E99+E104+E110+E120+E130</f>
        <v>98754265</v>
      </c>
      <c r="F194" s="20">
        <f t="shared" ref="F194:O194" si="97">F32+F76+F77+F85+F86+F87+F88+F89+F90+F91+F92+F93+F94+F95+F96+F97+F98+F99+F104+F110+F120+F130</f>
        <v>98754265</v>
      </c>
      <c r="G194" s="20">
        <f>G32+G76+G77+G85+G86+G87+G88+G89+G90+G91+G92+G93+G94+G95+G96+G97+G98+G99+G104+G110+G120+G130</f>
        <v>26271600</v>
      </c>
      <c r="H194" s="20">
        <f t="shared" si="97"/>
        <v>650600</v>
      </c>
      <c r="I194" s="20">
        <f t="shared" si="97"/>
        <v>0</v>
      </c>
      <c r="J194" s="20">
        <f t="shared" si="97"/>
        <v>6660247</v>
      </c>
      <c r="K194" s="20">
        <f t="shared" si="97"/>
        <v>6603847</v>
      </c>
      <c r="L194" s="20">
        <f t="shared" si="97"/>
        <v>0</v>
      </c>
      <c r="M194" s="20">
        <f t="shared" si="97"/>
        <v>0</v>
      </c>
      <c r="N194" s="20">
        <f t="shared" si="97"/>
        <v>0</v>
      </c>
      <c r="O194" s="20">
        <f t="shared" si="97"/>
        <v>6660247</v>
      </c>
      <c r="P194" s="20">
        <f t="shared" si="95"/>
        <v>105414512</v>
      </c>
    </row>
    <row r="195" spans="1:16" s="21" customFormat="1" ht="18">
      <c r="A195" s="17"/>
      <c r="B195" s="17"/>
      <c r="C195" s="18" t="s">
        <v>311</v>
      </c>
      <c r="D195" s="19" t="s">
        <v>312</v>
      </c>
      <c r="E195" s="20">
        <f t="shared" ref="E195:O195" si="98">E111+E112+E113+E114+E115</f>
        <v>29645900</v>
      </c>
      <c r="F195" s="20">
        <f t="shared" si="98"/>
        <v>29645900</v>
      </c>
      <c r="G195" s="20">
        <f t="shared" si="98"/>
        <v>24460200</v>
      </c>
      <c r="H195" s="20">
        <f t="shared" si="98"/>
        <v>2559900</v>
      </c>
      <c r="I195" s="20">
        <f t="shared" si="98"/>
        <v>0</v>
      </c>
      <c r="J195" s="20">
        <f t="shared" si="98"/>
        <v>280000</v>
      </c>
      <c r="K195" s="20">
        <f t="shared" si="98"/>
        <v>0</v>
      </c>
      <c r="L195" s="20">
        <f t="shared" si="98"/>
        <v>280000</v>
      </c>
      <c r="M195" s="20">
        <f t="shared" si="98"/>
        <v>30000</v>
      </c>
      <c r="N195" s="20">
        <f t="shared" si="98"/>
        <v>0</v>
      </c>
      <c r="O195" s="20">
        <f t="shared" si="98"/>
        <v>0</v>
      </c>
      <c r="P195" s="20">
        <f t="shared" si="95"/>
        <v>29925900</v>
      </c>
    </row>
    <row r="196" spans="1:16" s="21" customFormat="1" ht="18">
      <c r="A196" s="17"/>
      <c r="B196" s="17"/>
      <c r="C196" s="18" t="s">
        <v>313</v>
      </c>
      <c r="D196" s="19" t="s">
        <v>314</v>
      </c>
      <c r="E196" s="20">
        <f t="shared" ref="E196:O196" si="99">E78+E121+E122+E123+E124</f>
        <v>15094391</v>
      </c>
      <c r="F196" s="20">
        <f t="shared" si="99"/>
        <v>15094391</v>
      </c>
      <c r="G196" s="20">
        <f t="shared" si="99"/>
        <v>10100000</v>
      </c>
      <c r="H196" s="20">
        <f t="shared" si="99"/>
        <v>770480</v>
      </c>
      <c r="I196" s="20">
        <f t="shared" si="99"/>
        <v>0</v>
      </c>
      <c r="J196" s="20">
        <f t="shared" si="99"/>
        <v>0</v>
      </c>
      <c r="K196" s="20">
        <f t="shared" si="99"/>
        <v>0</v>
      </c>
      <c r="L196" s="20">
        <f t="shared" si="99"/>
        <v>0</v>
      </c>
      <c r="M196" s="20">
        <f t="shared" si="99"/>
        <v>0</v>
      </c>
      <c r="N196" s="20">
        <f t="shared" si="99"/>
        <v>0</v>
      </c>
      <c r="O196" s="20">
        <f t="shared" si="99"/>
        <v>0</v>
      </c>
      <c r="P196" s="20">
        <f t="shared" si="95"/>
        <v>15094391</v>
      </c>
    </row>
    <row r="197" spans="1:16" s="21" customFormat="1" ht="18">
      <c r="A197" s="17"/>
      <c r="B197" s="17"/>
      <c r="C197" s="18" t="s">
        <v>315</v>
      </c>
      <c r="D197" s="19" t="s">
        <v>316</v>
      </c>
      <c r="E197" s="20">
        <f>E33+E34+E131+E132+E133+E134+E135+E151+E152+E153+E164</f>
        <v>88308009</v>
      </c>
      <c r="F197" s="20">
        <f t="shared" ref="F197:O197" si="100">F33+F34+F131+F132+F133+F134+F135+F151+F152+F153+F164</f>
        <v>31551000</v>
      </c>
      <c r="G197" s="20">
        <f t="shared" si="100"/>
        <v>0</v>
      </c>
      <c r="H197" s="20">
        <f t="shared" si="100"/>
        <v>0</v>
      </c>
      <c r="I197" s="20">
        <f t="shared" si="100"/>
        <v>56757009</v>
      </c>
      <c r="J197" s="20">
        <f t="shared" si="100"/>
        <v>34489149</v>
      </c>
      <c r="K197" s="20">
        <f t="shared" si="100"/>
        <v>34489149</v>
      </c>
      <c r="L197" s="20">
        <f t="shared" si="100"/>
        <v>0</v>
      </c>
      <c r="M197" s="20">
        <f t="shared" si="100"/>
        <v>0</v>
      </c>
      <c r="N197" s="20">
        <f t="shared" si="100"/>
        <v>0</v>
      </c>
      <c r="O197" s="20">
        <f t="shared" si="100"/>
        <v>34489149</v>
      </c>
      <c r="P197" s="20">
        <f t="shared" si="95"/>
        <v>122797158</v>
      </c>
    </row>
    <row r="198" spans="1:16" s="21" customFormat="1" ht="18">
      <c r="A198" s="17"/>
      <c r="B198" s="17"/>
      <c r="C198" s="18" t="s">
        <v>317</v>
      </c>
      <c r="D198" s="19" t="s">
        <v>318</v>
      </c>
      <c r="E198" s="20">
        <f>E38+E39+E40+E41+E42+E79+E136+E137+E138+E139+E140+E154+E155+E156+E157+E158+E165+E166+E167</f>
        <v>90508402</v>
      </c>
      <c r="F198" s="20">
        <f t="shared" ref="F198:O198" si="101">F38+F39+F40+F41+F42+F79+F136+F137+F138+F139+F140+F154+F155+F156+F157+F158+F165+F166+F167</f>
        <v>26314000</v>
      </c>
      <c r="G198" s="20">
        <f t="shared" si="101"/>
        <v>0</v>
      </c>
      <c r="H198" s="20">
        <f t="shared" si="101"/>
        <v>0</v>
      </c>
      <c r="I198" s="20">
        <f t="shared" si="101"/>
        <v>64194402</v>
      </c>
      <c r="J198" s="20">
        <f t="shared" si="101"/>
        <v>94785945.319999993</v>
      </c>
      <c r="K198" s="20">
        <f t="shared" si="101"/>
        <v>93784341</v>
      </c>
      <c r="L198" s="20">
        <f t="shared" si="101"/>
        <v>0</v>
      </c>
      <c r="M198" s="20">
        <f t="shared" si="101"/>
        <v>0</v>
      </c>
      <c r="N198" s="20">
        <f t="shared" si="101"/>
        <v>0</v>
      </c>
      <c r="O198" s="20">
        <f t="shared" si="101"/>
        <v>94785945.319999993</v>
      </c>
      <c r="P198" s="20">
        <f>E198+J198</f>
        <v>185294347.31999999</v>
      </c>
    </row>
    <row r="199" spans="1:16" s="22" customFormat="1" ht="18">
      <c r="A199" s="17"/>
      <c r="B199" s="17"/>
      <c r="C199" s="18" t="s">
        <v>319</v>
      </c>
      <c r="D199" s="19" t="s">
        <v>327</v>
      </c>
      <c r="E199" s="20">
        <f>E43+E44+E45+E46+E47+E48+E49+E80+E142+E143+E144+E145+E141+E159+E168+E173</f>
        <v>30606793.640000001</v>
      </c>
      <c r="F199" s="20">
        <f t="shared" ref="F199:O199" si="102">F43+F44+F45+F46+F47+F48+F49+F80+F142+F143+F144+F145+F141+F159+F168+F173</f>
        <v>28106793.640000001</v>
      </c>
      <c r="G199" s="20">
        <f t="shared" si="102"/>
        <v>18973100</v>
      </c>
      <c r="H199" s="20">
        <f t="shared" si="102"/>
        <v>327000</v>
      </c>
      <c r="I199" s="20">
        <f t="shared" si="102"/>
        <v>0</v>
      </c>
      <c r="J199" s="20">
        <f t="shared" si="102"/>
        <v>38125030.359999999</v>
      </c>
      <c r="K199" s="20">
        <f t="shared" si="102"/>
        <v>37775030.359999999</v>
      </c>
      <c r="L199" s="20">
        <f t="shared" si="102"/>
        <v>200000</v>
      </c>
      <c r="M199" s="20">
        <f t="shared" si="102"/>
        <v>0</v>
      </c>
      <c r="N199" s="20">
        <f t="shared" si="102"/>
        <v>0</v>
      </c>
      <c r="O199" s="20">
        <f t="shared" si="102"/>
        <v>37925030.359999999</v>
      </c>
      <c r="P199" s="20">
        <f t="shared" si="95"/>
        <v>68731824</v>
      </c>
    </row>
    <row r="200" spans="1:16" s="23" customFormat="1" ht="18">
      <c r="A200" s="17"/>
      <c r="B200" s="17"/>
      <c r="C200" s="18" t="s">
        <v>320</v>
      </c>
      <c r="D200" s="19" t="s">
        <v>321</v>
      </c>
      <c r="E200" s="20">
        <f>E174+E182</f>
        <v>16082514</v>
      </c>
      <c r="F200" s="20">
        <f t="shared" ref="F200:O200" si="103">F174+F182</f>
        <v>16082514</v>
      </c>
      <c r="G200" s="20">
        <f t="shared" si="103"/>
        <v>0</v>
      </c>
      <c r="H200" s="20">
        <f t="shared" si="103"/>
        <v>0</v>
      </c>
      <c r="I200" s="20">
        <f t="shared" si="103"/>
        <v>0</v>
      </c>
      <c r="J200" s="20">
        <f t="shared" si="103"/>
        <v>50202767</v>
      </c>
      <c r="K200" s="20">
        <f t="shared" si="103"/>
        <v>50202767</v>
      </c>
      <c r="L200" s="20">
        <f t="shared" si="103"/>
        <v>0</v>
      </c>
      <c r="M200" s="20">
        <f t="shared" si="103"/>
        <v>0</v>
      </c>
      <c r="N200" s="20">
        <f t="shared" si="103"/>
        <v>0</v>
      </c>
      <c r="O200" s="20">
        <f t="shared" si="103"/>
        <v>50202767</v>
      </c>
      <c r="P200" s="20">
        <f t="shared" si="95"/>
        <v>66285281</v>
      </c>
    </row>
    <row r="201" spans="1:16" s="23" customFormat="1">
      <c r="A201" s="24"/>
      <c r="B201" s="24"/>
      <c r="C201" s="24"/>
      <c r="D201" s="24" t="s">
        <v>16</v>
      </c>
      <c r="E201" s="25">
        <f>SUM(E191:E200)</f>
        <v>967266691.63</v>
      </c>
      <c r="F201" s="25">
        <f>SUM(F191:F200)</f>
        <v>843749280.63</v>
      </c>
      <c r="G201" s="25">
        <f>SUM(G191:G200)</f>
        <v>544908763.99000001</v>
      </c>
      <c r="H201" s="25">
        <f t="shared" ref="H201:O201" si="104">SUM(H191:H200)</f>
        <v>44535101</v>
      </c>
      <c r="I201" s="25">
        <f t="shared" si="104"/>
        <v>121017411</v>
      </c>
      <c r="J201" s="25">
        <f t="shared" si="104"/>
        <v>257101418.68000001</v>
      </c>
      <c r="K201" s="25">
        <f t="shared" si="104"/>
        <v>236216898.36000001</v>
      </c>
      <c r="L201" s="25">
        <f t="shared" si="104"/>
        <v>17943600</v>
      </c>
      <c r="M201" s="25">
        <f t="shared" si="104"/>
        <v>525100</v>
      </c>
      <c r="N201" s="25">
        <f t="shared" si="104"/>
        <v>0</v>
      </c>
      <c r="O201" s="25">
        <f t="shared" si="104"/>
        <v>239157818.68000001</v>
      </c>
      <c r="P201" s="25">
        <f>E201+J201</f>
        <v>1224368110.3099999</v>
      </c>
    </row>
    <row r="202" spans="1:16" s="23" customFormat="1" ht="11.4" customHeight="1"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</row>
    <row r="203" spans="1:16" s="23" customFormat="1">
      <c r="D203" s="23" t="s">
        <v>297</v>
      </c>
      <c r="E203" s="26"/>
      <c r="F203" s="26"/>
      <c r="G203" s="26"/>
      <c r="H203" s="26"/>
      <c r="I203" s="26" t="s">
        <v>298</v>
      </c>
      <c r="J203" s="26"/>
      <c r="K203" s="26"/>
      <c r="L203" s="26"/>
      <c r="M203" s="26"/>
      <c r="N203" s="26"/>
      <c r="O203" s="26"/>
      <c r="P203" s="26"/>
    </row>
    <row r="204" spans="1:16">
      <c r="E204" s="5"/>
    </row>
  </sheetData>
  <mergeCells count="22">
    <mergeCell ref="J15:J17"/>
    <mergeCell ref="K15:K17"/>
    <mergeCell ref="L15:L17"/>
    <mergeCell ref="M15:N15"/>
    <mergeCell ref="M16:M17"/>
    <mergeCell ref="N16:N17"/>
    <mergeCell ref="A10:P10"/>
    <mergeCell ref="A11:P11"/>
    <mergeCell ref="A14:A17"/>
    <mergeCell ref="B14:B17"/>
    <mergeCell ref="C14:C17"/>
    <mergeCell ref="D14:D17"/>
    <mergeCell ref="E14:I14"/>
    <mergeCell ref="E15:E17"/>
    <mergeCell ref="F15:F17"/>
    <mergeCell ref="G15:H15"/>
    <mergeCell ref="O15:O17"/>
    <mergeCell ref="P14:P17"/>
    <mergeCell ref="G16:G17"/>
    <mergeCell ref="H16:H17"/>
    <mergeCell ref="I15:I17"/>
    <mergeCell ref="J14:O14"/>
  </mergeCells>
  <pageMargins left="0.19685039370078741" right="0.19685039370078741" top="0.39370078740157483" bottom="0.39370078740157483" header="0" footer="0"/>
  <pageSetup paperSize="9" scale="50" fitToHeight="50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Аркуш1</vt:lpstr>
      <vt:lpstr>Аркуш1!Заголовки_для_друку</vt:lpstr>
      <vt:lpstr>Аркуш1!Область_друку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2024-08-02T14:59:54Z</cp:lastPrinted>
  <dcterms:created xsi:type="dcterms:W3CDTF">2023-12-16T13:37:11Z</dcterms:created>
  <dcterms:modified xsi:type="dcterms:W3CDTF">2024-08-05T14:29:02Z</dcterms:modified>
</cp:coreProperties>
</file>